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24226"/>
  <mc:AlternateContent xmlns:mc="http://schemas.openxmlformats.org/markup-compatibility/2006">
    <mc:Choice Requires="x15">
      <x15ac:absPath xmlns:x15ac="http://schemas.microsoft.com/office/spreadsheetml/2010/11/ac" url="G:\PCFP\01 PCFP Budgets\25-27 Biennium Budget Build\L01\"/>
    </mc:Choice>
  </mc:AlternateContent>
  <xr:revisionPtr revIDLastSave="0" documentId="13_ncr:1_{3599D6F6-851C-4817-8AA6-F6DECC3FC870}" xr6:coauthVersionLast="47" xr6:coauthVersionMax="47" xr10:uidLastSave="{00000000-0000-0000-0000-000000000000}"/>
  <bookViews>
    <workbookView xWindow="-28920" yWindow="-120" windowWidth="29040" windowHeight="15720" tabRatio="879" firstSheet="30" activeTab="32" xr2:uid="{5F071A73-F65C-4178-90E6-9964BDD6139F}"/>
  </bookViews>
  <sheets>
    <sheet name="Summary Model Revisions" sheetId="556" r:id="rId1"/>
    <sheet name="Table of Contents" sheetId="401" r:id="rId2"/>
    <sheet name="1.1A Assumptions Control_Admin " sheetId="579" state="hidden" r:id="rId3"/>
    <sheet name="1.2A Enrollment Assump_Admin" sheetId="585" state="hidden" r:id="rId4"/>
    <sheet name="BLS Data Series" sheetId="626" r:id="rId5"/>
    <sheet name="Inflation and Caseload Dis." sheetId="625" r:id="rId6"/>
    <sheet name="1.1 Assumption Control YR1" sheetId="551" r:id="rId7"/>
    <sheet name="1.2 Budgeted Enrollment YR1" sheetId="577" r:id="rId8"/>
    <sheet name="1.3 Budgeted Revenues YR1" sheetId="332" r:id="rId9"/>
    <sheet name="1.3A Net Proceeds_Admin" sheetId="586" state="hidden" r:id="rId10"/>
    <sheet name="1.4A HH 2020 Freeze_Admin" sheetId="587" state="hidden" r:id="rId11"/>
    <sheet name="1.4 FY 2020 Revenue Received" sheetId="526" r:id="rId12"/>
    <sheet name="2.1A State Education Fund_Admin" sheetId="568" state="hidden" r:id="rId13"/>
    <sheet name="2.2A NDE Admin, Non-District_Ad" sheetId="569" state="hidden" r:id="rId14"/>
    <sheet name="2.1 Auxiliary Services YR1" sheetId="336" r:id="rId15"/>
    <sheet name="2.3A Auxilary Services_Admin" sheetId="570" state="hidden" r:id="rId16"/>
    <sheet name="2.4A Statewide Base Funding_Adm" sheetId="571" state="hidden" r:id="rId17"/>
    <sheet name="2.2 Spec Ed Local YR1" sheetId="601" r:id="rId18"/>
    <sheet name="2.3 Statewide Base Funding YR1" sheetId="337" r:id="rId19"/>
    <sheet name="2.4 District Size Adj. YR1" sheetId="588" r:id="rId20"/>
    <sheet name="2.5 NCEI Adj. YR1" sheetId="504" r:id="rId21"/>
    <sheet name="2.6 Adj. Base Summary YR1" sheetId="338" r:id="rId22"/>
    <sheet name="2.5A Adjusted Base Funding_Adm" sheetId="572" state="hidden" r:id="rId23"/>
    <sheet name="2.7 Weighted Funding YR1" sheetId="340" r:id="rId24"/>
    <sheet name="2.6A Weighted Funding, Init_Adm" sheetId="573" state="hidden" r:id="rId25"/>
    <sheet name="2.7A Weighted Funding, Inc._Adm" sheetId="574" state="hidden" r:id="rId26"/>
    <sheet name="2.8A Excess Fundng_Admin" sheetId="575" state="hidden" r:id="rId27"/>
    <sheet name="2.8 Alloc of Residual Rev. YR1" sheetId="343" r:id="rId28"/>
    <sheet name="2.9 PCFP Funding Comparison YR1" sheetId="602" r:id="rId29"/>
    <sheet name="2.9A Hold Harmless_Admin" sheetId="576" state="hidden" r:id="rId30"/>
    <sheet name="3.1a Initial Allocations YR1" sheetId="603" r:id="rId31"/>
    <sheet name="3.1b Allocation Adj. YR1 " sheetId="604" r:id="rId32"/>
    <sheet name="4.0 PCFP Allocation Summary" sheetId="333" r:id="rId33"/>
    <sheet name="5.1 Assumption Control YR2" sheetId="606" r:id="rId34"/>
    <sheet name="5.2 Budgeted Enrollment YR2" sheetId="607" r:id="rId35"/>
    <sheet name="5.3 Budgeted Revenues YR2" sheetId="608" r:id="rId36"/>
    <sheet name="6.1 Auxiliary Services YR2" sheetId="609" r:id="rId37"/>
    <sheet name="6.2 Spec Ed Local YR2" sheetId="611" r:id="rId38"/>
    <sheet name="6.3 Statewide Base Funding YR2" sheetId="612" r:id="rId39"/>
    <sheet name="6.4 District Size Adj. YR2" sheetId="613" r:id="rId40"/>
    <sheet name="6.5 NCEI Adj. YR2" sheetId="614" r:id="rId41"/>
    <sheet name="6.6 Adj. Base Summary YR2" sheetId="615" r:id="rId42"/>
    <sheet name="6.7 Weighted Funding YR2" sheetId="616" r:id="rId43"/>
    <sheet name="6.8 Alloc of Residual Rev. YR2" sheetId="617" r:id="rId44"/>
    <sheet name="6.9 PCFP Funding Comparison YR2" sheetId="618" r:id="rId45"/>
    <sheet name="7.1a Initial Allocations YR2" sheetId="619" r:id="rId46"/>
    <sheet name="7.1b Allocation Adj. YR2" sheetId="620" r:id="rId47"/>
    <sheet name="8.0 Mid biennial weighted adj." sheetId="605" state="hidden" r:id="rId48"/>
    <sheet name="Biennial Comparison" sheetId="621" state="hidden" r:id="rId49"/>
    <sheet name="BA by DU" sheetId="622" state="hidden" r:id="rId50"/>
    <sheet name="SEF-FY23FY24FY25 Forecast-May23" sheetId="624" state="hidden" r:id="rId51"/>
    <sheet name="SEF-FY23FY24FY25 Forecast-Dec22" sheetId="623" state="hidden" r:id="rId52"/>
    <sheet name="RGL Download" sheetId="627" state="hidden" r:id="rId53"/>
  </sheets>
  <definedNames>
    <definedName name="_xlnm._FilterDatabase" localSheetId="19" hidden="1">'2.4 District Size Adj. YR1'!$A$126:$G$189</definedName>
    <definedName name="_xlnm._FilterDatabase" localSheetId="49" hidden="1">'BA by DU'!$A$8:$O$337</definedName>
    <definedName name="_xlnm._FilterDatabase" localSheetId="48" hidden="1">'Biennial Comparison'!$B$6:$D$6</definedName>
    <definedName name="OLE_LINK1" localSheetId="12">'2.1A State Education Fund_Admin'!$D$31</definedName>
    <definedName name="_xlnm.Print_Area" localSheetId="6">'1.1 Assumption Control YR1'!$A$1:$F$64</definedName>
    <definedName name="_xlnm.Print_Area" localSheetId="7">'1.2 Budgeted Enrollment YR1'!$A$1:$L$31</definedName>
    <definedName name="_xlnm.Print_Area" localSheetId="8">'1.3 Budgeted Revenues YR1'!$A$1:$H$44</definedName>
    <definedName name="_xlnm.Print_Area" localSheetId="11">'1.4 FY 2020 Revenue Received'!$A$1:$H$29</definedName>
    <definedName name="_xlnm.Print_Area" localSheetId="14">'2.1 Auxiliary Services YR1'!$A$1:$K$33</definedName>
    <definedName name="_xlnm.Print_Area" localSheetId="17">'2.2 Spec Ed Local YR1'!$A$1:$L$31</definedName>
    <definedName name="_xlnm.Print_Area" localSheetId="18">'2.3 Statewide Base Funding YR1'!$A$1:$F$35</definedName>
    <definedName name="_xlnm.Print_Area" localSheetId="19">'2.4 District Size Adj. YR1'!$A$1:$G$12</definedName>
    <definedName name="_xlnm.Print_Area" localSheetId="20">'2.5 NCEI Adj. YR1'!$A$1:$K$29</definedName>
    <definedName name="_xlnm.Print_Area" localSheetId="21">'2.6 Adj. Base Summary YR1'!$A$1:$I$37</definedName>
    <definedName name="_xlnm.Print_Area" localSheetId="23">'2.7 Weighted Funding YR1'!$A$1:$N$40</definedName>
    <definedName name="_xlnm.Print_Area" localSheetId="27">'2.8 Alloc of Residual Rev. YR1'!$A$1:$O$35</definedName>
    <definedName name="_xlnm.Print_Area" localSheetId="28">'2.9 PCFP Funding Comparison YR1'!$A$4:$T$30</definedName>
    <definedName name="_xlnm.Print_Area" localSheetId="30">'3.1a Initial Allocations YR1'!$A$1:$V$34</definedName>
    <definedName name="_xlnm.Print_Area" localSheetId="31">'3.1b Allocation Adj. YR1 '!$A$4:$X$32</definedName>
    <definedName name="_xlnm.Print_Area" localSheetId="32">'4.0 PCFP Allocation Summary'!$A$1:$S$36</definedName>
    <definedName name="_xlnm.Print_Area" localSheetId="33">'5.1 Assumption Control YR2'!$A$1:$F$63</definedName>
    <definedName name="_xlnm.Print_Area" localSheetId="34">'5.2 Budgeted Enrollment YR2'!$A$1:$L$30</definedName>
    <definedName name="_xlnm.Print_Area" localSheetId="35">'5.3 Budgeted Revenues YR2'!$A$1:$H$45</definedName>
    <definedName name="_xlnm.Print_Area" localSheetId="36">'6.1 Auxiliary Services YR2'!$A$1:$K$33</definedName>
    <definedName name="_xlnm.Print_Area" localSheetId="37">'6.2 Spec Ed Local YR2'!$A$1:$L$30</definedName>
    <definedName name="_xlnm.Print_Area" localSheetId="38">'6.3 Statewide Base Funding YR2'!$A$1:$F$35</definedName>
    <definedName name="_xlnm.Print_Area" localSheetId="39">'6.4 District Size Adj. YR2'!$A$1:$G$12</definedName>
    <definedName name="_xlnm.Print_Area" localSheetId="40">'6.5 NCEI Adj. YR2'!$A$1:$K$28</definedName>
    <definedName name="_xlnm.Print_Area" localSheetId="41">'6.6 Adj. Base Summary YR2'!$A$1:$I$36</definedName>
    <definedName name="_xlnm.Print_Area" localSheetId="42">'6.7 Weighted Funding YR2'!$A$1:$N$40</definedName>
    <definedName name="_xlnm.Print_Area" localSheetId="43">'6.8 Alloc of Residual Rev. YR2'!$A$1:$N$36</definedName>
    <definedName name="_xlnm.Print_Area" localSheetId="44">'6.9 PCFP Funding Comparison YR2'!$A$1:$V$30</definedName>
    <definedName name="_xlnm.Print_Area" localSheetId="45">'7.1a Initial Allocations YR2'!$A$1:$V$33</definedName>
    <definedName name="_xlnm.Print_Area" localSheetId="46">'7.1b Allocation Adj. YR2'!$A$4:$X$32</definedName>
    <definedName name="_xlnm.Print_Area" localSheetId="47">'8.0 Mid biennial weighted adj.'!$A$1:$AB$31</definedName>
    <definedName name="_xlnm.Print_Area" localSheetId="50">'SEF-FY23FY24FY25 Forecast-May23'!$A$1:$K$40</definedName>
    <definedName name="_xlnm.Print_Area" localSheetId="0">'Summary Model Revisions'!$A$1:$Y$42</definedName>
    <definedName name="_xlnm.Print_Area" localSheetId="1">'Table of Contents'!$A$1:$R$57</definedName>
    <definedName name="_xlnm.Print_Titles" localSheetId="7">'1.2 Budgeted Enrollment YR1'!$1:$8</definedName>
    <definedName name="_xlnm.Print_Titles" localSheetId="11">'1.4 FY 2020 Revenue Received'!$1:$6</definedName>
    <definedName name="_xlnm.Print_Titles" localSheetId="14">'2.1 Auxiliary Services YR1'!$1:$9</definedName>
    <definedName name="_xlnm.Print_Titles" localSheetId="17">'2.2 Spec Ed Local YR1'!$1:$7</definedName>
    <definedName name="_xlnm.Print_Titles" localSheetId="18">'2.3 Statewide Base Funding YR1'!$10:$12</definedName>
    <definedName name="_xlnm.Print_Titles" localSheetId="19">'2.4 District Size Adj. YR1'!$13:$14</definedName>
    <definedName name="_xlnm.Print_Titles" localSheetId="20">'2.5 NCEI Adj. YR1'!$5:$5</definedName>
    <definedName name="_xlnm.Print_Titles" localSheetId="21">'2.6 Adj. Base Summary YR1'!$8:$13</definedName>
    <definedName name="_xlnm.Print_Titles" localSheetId="23">'2.7 Weighted Funding YR1'!$A:$B,'2.7 Weighted Funding YR1'!$11:$13</definedName>
    <definedName name="_xlnm.Print_Titles" localSheetId="27">'2.8 Alloc of Residual Rev. YR1'!$A:$B,'2.8 Alloc of Residual Rev. YR1'!$5:$11</definedName>
    <definedName name="_xlnm.Print_Titles" localSheetId="30">'3.1a Initial Allocations YR1'!$4:$4</definedName>
    <definedName name="_xlnm.Print_Titles" localSheetId="31">'3.1b Allocation Adj. YR1 '!$6:$8</definedName>
    <definedName name="_xlnm.Print_Titles" localSheetId="34">'5.2 Budgeted Enrollment YR2'!$1:$8</definedName>
    <definedName name="_xlnm.Print_Titles" localSheetId="36">'6.1 Auxiliary Services YR2'!$1:$9</definedName>
    <definedName name="_xlnm.Print_Titles" localSheetId="37">'6.2 Spec Ed Local YR2'!$1:$7</definedName>
    <definedName name="_xlnm.Print_Titles" localSheetId="38">'6.3 Statewide Base Funding YR2'!$10:$12</definedName>
    <definedName name="_xlnm.Print_Titles" localSheetId="39">'6.4 District Size Adj. YR2'!$13:$14</definedName>
    <definedName name="_xlnm.Print_Titles" localSheetId="40">'6.5 NCEI Adj. YR2'!$5:$5</definedName>
    <definedName name="_xlnm.Print_Titles" localSheetId="41">'6.6 Adj. Base Summary YR2'!$8:$13</definedName>
    <definedName name="_xlnm.Print_Titles" localSheetId="42">'6.7 Weighted Funding YR2'!$A:$B,'6.7 Weighted Funding YR2'!$11:$13</definedName>
    <definedName name="_xlnm.Print_Titles" localSheetId="43">'6.8 Alloc of Residual Rev. YR2'!$A:$B,'6.8 Alloc of Residual Rev. YR2'!$5:$11</definedName>
    <definedName name="_xlnm.Print_Titles" localSheetId="45">'7.1a Initial Allocations YR2'!#REF!</definedName>
    <definedName name="_xlnm.Print_Titles" localSheetId="46">'7.1b Allocation Adj. YR2'!$6:$8</definedName>
    <definedName name="_xlnm.Print_Titles" localSheetId="49">'BA by DU'!$A:$B,'BA by DU'!$8:$8</definedName>
    <definedName name="_xlnm.Print_Titles" localSheetId="51">'SEF-FY23FY24FY25 Forecast-Dec22'!$A:$D,'SEF-FY23FY24FY25 Forecast-Dec22'!$1:$5</definedName>
    <definedName name="_xlnm.Print_Titles" localSheetId="50">'SEF-FY23FY24FY25 Forecast-May23'!$A:$D,'SEF-FY23FY24FY25 Forecast-May23'!$1:$5</definedName>
    <definedName name="_xlnm.Print_Titles" localSheetId="1">'Table of Contents'!$1:$4</definedName>
    <definedName name="Z_92EB2B16_3546_4CC6_AF3A_0019867B62A7_.wvu.Cols" localSheetId="20" hidden="1">'2.5 NCEI Adj. YR1'!#REF!</definedName>
    <definedName name="Z_92EB2B16_3546_4CC6_AF3A_0019867B62A7_.wvu.Cols" localSheetId="40" hidden="1">'6.5 NCEI Adj. YR2'!#REF!</definedName>
    <definedName name="Z_92EB2B16_3546_4CC6_AF3A_0019867B62A7_.wvu.PrintArea" localSheetId="8" hidden="1">'1.3 Budgeted Revenues YR1'!$B$1:$D$40</definedName>
    <definedName name="Z_92EB2B16_3546_4CC6_AF3A_0019867B62A7_.wvu.PrintArea" localSheetId="14" hidden="1">'2.1 Auxiliary Services YR1'!$A$1:$K$34</definedName>
    <definedName name="Z_92EB2B16_3546_4CC6_AF3A_0019867B62A7_.wvu.PrintArea" localSheetId="17" hidden="1">'2.2 Spec Ed Local YR1'!$A$1:$E$7</definedName>
    <definedName name="Z_92EB2B16_3546_4CC6_AF3A_0019867B62A7_.wvu.PrintArea" localSheetId="18" hidden="1">'2.3 Statewide Base Funding YR1'!$A$4:$E$100</definedName>
    <definedName name="Z_92EB2B16_3546_4CC6_AF3A_0019867B62A7_.wvu.PrintArea" localSheetId="20" hidden="1">'2.5 NCEI Adj. YR1'!#REF!</definedName>
    <definedName name="Z_92EB2B16_3546_4CC6_AF3A_0019867B62A7_.wvu.PrintArea" localSheetId="23" hidden="1">'2.7 Weighted Funding YR1'!$A$5:$N$103</definedName>
    <definedName name="Z_92EB2B16_3546_4CC6_AF3A_0019867B62A7_.wvu.PrintArea" localSheetId="28" hidden="1">'2.9 PCFP Funding Comparison YR1'!$A$4:$T$96</definedName>
    <definedName name="Z_92EB2B16_3546_4CC6_AF3A_0019867B62A7_.wvu.PrintArea" localSheetId="30" hidden="1">'3.1a Initial Allocations YR1'!$A$4:$W$35</definedName>
    <definedName name="Z_92EB2B16_3546_4CC6_AF3A_0019867B62A7_.wvu.PrintArea" localSheetId="31" hidden="1">'3.1b Allocation Adj. YR1 '!$A$4:$X$34</definedName>
    <definedName name="Z_92EB2B16_3546_4CC6_AF3A_0019867B62A7_.wvu.PrintArea" localSheetId="35" hidden="1">'5.3 Budgeted Revenues YR2'!$B$1:$D$41</definedName>
    <definedName name="Z_92EB2B16_3546_4CC6_AF3A_0019867B62A7_.wvu.PrintArea" localSheetId="36" hidden="1">'6.1 Auxiliary Services YR2'!$A$1:$K$34</definedName>
    <definedName name="Z_92EB2B16_3546_4CC6_AF3A_0019867B62A7_.wvu.PrintArea" localSheetId="37" hidden="1">'6.2 Spec Ed Local YR2'!$A$1:$E$7</definedName>
    <definedName name="Z_92EB2B16_3546_4CC6_AF3A_0019867B62A7_.wvu.PrintArea" localSheetId="38" hidden="1">'6.3 Statewide Base Funding YR2'!$A$4:$E$100</definedName>
    <definedName name="Z_92EB2B16_3546_4CC6_AF3A_0019867B62A7_.wvu.PrintArea" localSheetId="40" hidden="1">'6.5 NCEI Adj. YR2'!#REF!</definedName>
    <definedName name="Z_92EB2B16_3546_4CC6_AF3A_0019867B62A7_.wvu.PrintArea" localSheetId="42" hidden="1">'6.7 Weighted Funding YR2'!$A$5:$N$99</definedName>
    <definedName name="Z_92EB2B16_3546_4CC6_AF3A_0019867B62A7_.wvu.PrintArea" localSheetId="44" hidden="1">'6.9 PCFP Funding Comparison YR2'!$A$4:$V$97</definedName>
    <definedName name="Z_92EB2B16_3546_4CC6_AF3A_0019867B62A7_.wvu.PrintArea" localSheetId="45" hidden="1">'7.1a Initial Allocations YR2'!$A$4:$W$34</definedName>
    <definedName name="Z_92EB2B16_3546_4CC6_AF3A_0019867B62A7_.wvu.PrintArea" localSheetId="46" hidden="1">'7.1b Allocation Adj. YR2'!$A$4:$X$33</definedName>
    <definedName name="Z_92EB2B16_3546_4CC6_AF3A_0019867B62A7_.wvu.PrintArea" localSheetId="0" hidden="1">'Summary Model Revisions'!$A$1:$U$61</definedName>
    <definedName name="Z_92EB2B16_3546_4CC6_AF3A_0019867B62A7_.wvu.PrintArea" localSheetId="1" hidden="1">'Table of Contents'!$A$1:$K$4</definedName>
    <definedName name="Z_92EB2B16_3546_4CC6_AF3A_0019867B62A7_.wvu.PrintTitles" localSheetId="14" hidden="1">'2.1 Auxiliary Services YR1'!$1:$9</definedName>
    <definedName name="Z_92EB2B16_3546_4CC6_AF3A_0019867B62A7_.wvu.PrintTitles" localSheetId="17" hidden="1">'2.2 Spec Ed Local YR1'!$1:$7</definedName>
    <definedName name="Z_92EB2B16_3546_4CC6_AF3A_0019867B62A7_.wvu.PrintTitles" localSheetId="18" hidden="1">'2.3 Statewide Base Funding YR1'!$4:$11</definedName>
    <definedName name="Z_92EB2B16_3546_4CC6_AF3A_0019867B62A7_.wvu.PrintTitles" localSheetId="20" hidden="1">'2.5 NCEI Adj. YR1'!#REF!</definedName>
    <definedName name="Z_92EB2B16_3546_4CC6_AF3A_0019867B62A7_.wvu.PrintTitles" localSheetId="21" hidden="1">'2.6 Adj. Base Summary YR1'!$4:$12</definedName>
    <definedName name="Z_92EB2B16_3546_4CC6_AF3A_0019867B62A7_.wvu.PrintTitles" localSheetId="23" hidden="1">'2.7 Weighted Funding YR1'!$A:$B,'2.7 Weighted Funding YR1'!$5:$13</definedName>
    <definedName name="Z_92EB2B16_3546_4CC6_AF3A_0019867B62A7_.wvu.PrintTitles" localSheetId="27" hidden="1">'2.8 Alloc of Residual Rev. YR1'!$A:$B,'2.8 Alloc of Residual Rev. YR1'!$5:$11</definedName>
    <definedName name="Z_92EB2B16_3546_4CC6_AF3A_0019867B62A7_.wvu.PrintTitles" localSheetId="30" hidden="1">'3.1a Initial Allocations YR1'!$4:$4</definedName>
    <definedName name="Z_92EB2B16_3546_4CC6_AF3A_0019867B62A7_.wvu.PrintTitles" localSheetId="31" hidden="1">'3.1b Allocation Adj. YR1 '!#REF!</definedName>
    <definedName name="Z_92EB2B16_3546_4CC6_AF3A_0019867B62A7_.wvu.PrintTitles" localSheetId="36" hidden="1">'6.1 Auxiliary Services YR2'!$1:$9</definedName>
    <definedName name="Z_92EB2B16_3546_4CC6_AF3A_0019867B62A7_.wvu.PrintTitles" localSheetId="37" hidden="1">'6.2 Spec Ed Local YR2'!$1:$7</definedName>
    <definedName name="Z_92EB2B16_3546_4CC6_AF3A_0019867B62A7_.wvu.PrintTitles" localSheetId="38" hidden="1">'6.3 Statewide Base Funding YR2'!$4:$11</definedName>
    <definedName name="Z_92EB2B16_3546_4CC6_AF3A_0019867B62A7_.wvu.PrintTitles" localSheetId="40" hidden="1">'6.5 NCEI Adj. YR2'!#REF!</definedName>
    <definedName name="Z_92EB2B16_3546_4CC6_AF3A_0019867B62A7_.wvu.PrintTitles" localSheetId="41" hidden="1">'6.6 Adj. Base Summary YR2'!$4:$12</definedName>
    <definedName name="Z_92EB2B16_3546_4CC6_AF3A_0019867B62A7_.wvu.PrintTitles" localSheetId="42" hidden="1">'6.7 Weighted Funding YR2'!$A:$B,'6.7 Weighted Funding YR2'!$5:$13</definedName>
    <definedName name="Z_92EB2B16_3546_4CC6_AF3A_0019867B62A7_.wvu.PrintTitles" localSheetId="43" hidden="1">'6.8 Alloc of Residual Rev. YR2'!$A:$B,'6.8 Alloc of Residual Rev. YR2'!$5:$11</definedName>
    <definedName name="Z_92EB2B16_3546_4CC6_AF3A_0019867B62A7_.wvu.PrintTitles" localSheetId="45" hidden="1">'7.1a Initial Allocations YR2'!#REF!</definedName>
    <definedName name="Z_92EB2B16_3546_4CC6_AF3A_0019867B62A7_.wvu.PrintTitles" localSheetId="46" hidden="1">'7.1b Allocation Adj. YR2'!#REF!</definedName>
    <definedName name="Z_92EB2B16_3546_4CC6_AF3A_0019867B62A7_.wvu.PrintTitles" localSheetId="1" hidden="1">'Table of Contents'!$1:$4</definedName>
    <definedName name="Z_92EB2B16_3546_4CC6_AF3A_0019867B62A7_.wvu.Rows" localSheetId="11" hidden="1">'1.4 FY 2020 Revenue Received'!#REF!</definedName>
    <definedName name="Z_9F71BA88_74DF_4B45_811C_93ABE8314534_.wvu.Cols" localSheetId="20" hidden="1">'2.5 NCEI Adj. YR1'!#REF!</definedName>
    <definedName name="Z_9F71BA88_74DF_4B45_811C_93ABE8314534_.wvu.Cols" localSheetId="40" hidden="1">'6.5 NCEI Adj. YR2'!#REF!</definedName>
    <definedName name="Z_9F71BA88_74DF_4B45_811C_93ABE8314534_.wvu.PrintArea" localSheetId="8" hidden="1">'1.3 Budgeted Revenues YR1'!$B$1:$D$40</definedName>
    <definedName name="Z_9F71BA88_74DF_4B45_811C_93ABE8314534_.wvu.PrintArea" localSheetId="14" hidden="1">'2.1 Auxiliary Services YR1'!$A$1:$K$34</definedName>
    <definedName name="Z_9F71BA88_74DF_4B45_811C_93ABE8314534_.wvu.PrintArea" localSheetId="17" hidden="1">'2.2 Spec Ed Local YR1'!$A$1:$E$7</definedName>
    <definedName name="Z_9F71BA88_74DF_4B45_811C_93ABE8314534_.wvu.PrintArea" localSheetId="18" hidden="1">'2.3 Statewide Base Funding YR1'!$A$4:$E$100</definedName>
    <definedName name="Z_9F71BA88_74DF_4B45_811C_93ABE8314534_.wvu.PrintArea" localSheetId="20" hidden="1">'2.5 NCEI Adj. YR1'!#REF!</definedName>
    <definedName name="Z_9F71BA88_74DF_4B45_811C_93ABE8314534_.wvu.PrintArea" localSheetId="23" hidden="1">'2.7 Weighted Funding YR1'!$A$5:$N$103</definedName>
    <definedName name="Z_9F71BA88_74DF_4B45_811C_93ABE8314534_.wvu.PrintArea" localSheetId="28" hidden="1">'2.9 PCFP Funding Comparison YR1'!$A$4:$T$96</definedName>
    <definedName name="Z_9F71BA88_74DF_4B45_811C_93ABE8314534_.wvu.PrintArea" localSheetId="30" hidden="1">'3.1a Initial Allocations YR1'!$A$4:$W$35</definedName>
    <definedName name="Z_9F71BA88_74DF_4B45_811C_93ABE8314534_.wvu.PrintArea" localSheetId="31" hidden="1">'3.1b Allocation Adj. YR1 '!$A$4:$X$34</definedName>
    <definedName name="Z_9F71BA88_74DF_4B45_811C_93ABE8314534_.wvu.PrintArea" localSheetId="35" hidden="1">'5.3 Budgeted Revenues YR2'!$B$1:$D$41</definedName>
    <definedName name="Z_9F71BA88_74DF_4B45_811C_93ABE8314534_.wvu.PrintArea" localSheetId="36" hidden="1">'6.1 Auxiliary Services YR2'!$A$1:$K$34</definedName>
    <definedName name="Z_9F71BA88_74DF_4B45_811C_93ABE8314534_.wvu.PrintArea" localSheetId="37" hidden="1">'6.2 Spec Ed Local YR2'!$A$1:$E$7</definedName>
    <definedName name="Z_9F71BA88_74DF_4B45_811C_93ABE8314534_.wvu.PrintArea" localSheetId="38" hidden="1">'6.3 Statewide Base Funding YR2'!$A$4:$E$100</definedName>
    <definedName name="Z_9F71BA88_74DF_4B45_811C_93ABE8314534_.wvu.PrintArea" localSheetId="40" hidden="1">'6.5 NCEI Adj. YR2'!#REF!</definedName>
    <definedName name="Z_9F71BA88_74DF_4B45_811C_93ABE8314534_.wvu.PrintArea" localSheetId="42" hidden="1">'6.7 Weighted Funding YR2'!$A$5:$N$99</definedName>
    <definedName name="Z_9F71BA88_74DF_4B45_811C_93ABE8314534_.wvu.PrintArea" localSheetId="44" hidden="1">'6.9 PCFP Funding Comparison YR2'!$A$4:$V$97</definedName>
    <definedName name="Z_9F71BA88_74DF_4B45_811C_93ABE8314534_.wvu.PrintArea" localSheetId="45" hidden="1">'7.1a Initial Allocations YR2'!$A$4:$W$34</definedName>
    <definedName name="Z_9F71BA88_74DF_4B45_811C_93ABE8314534_.wvu.PrintArea" localSheetId="46" hidden="1">'7.1b Allocation Adj. YR2'!$A$4:$X$33</definedName>
    <definedName name="Z_9F71BA88_74DF_4B45_811C_93ABE8314534_.wvu.PrintArea" localSheetId="0" hidden="1">'Summary Model Revisions'!$A$1:$U$61</definedName>
    <definedName name="Z_9F71BA88_74DF_4B45_811C_93ABE8314534_.wvu.PrintArea" localSheetId="1" hidden="1">'Table of Contents'!$A$1:$K$4</definedName>
    <definedName name="Z_9F71BA88_74DF_4B45_811C_93ABE8314534_.wvu.PrintTitles" localSheetId="14" hidden="1">'2.1 Auxiliary Services YR1'!$1:$9</definedName>
    <definedName name="Z_9F71BA88_74DF_4B45_811C_93ABE8314534_.wvu.PrintTitles" localSheetId="17" hidden="1">'2.2 Spec Ed Local YR1'!$1:$7</definedName>
    <definedName name="Z_9F71BA88_74DF_4B45_811C_93ABE8314534_.wvu.PrintTitles" localSheetId="18" hidden="1">'2.3 Statewide Base Funding YR1'!$4:$11</definedName>
    <definedName name="Z_9F71BA88_74DF_4B45_811C_93ABE8314534_.wvu.PrintTitles" localSheetId="20" hidden="1">'2.5 NCEI Adj. YR1'!#REF!</definedName>
    <definedName name="Z_9F71BA88_74DF_4B45_811C_93ABE8314534_.wvu.PrintTitles" localSheetId="21" hidden="1">'2.6 Adj. Base Summary YR1'!$4:$12</definedName>
    <definedName name="Z_9F71BA88_74DF_4B45_811C_93ABE8314534_.wvu.PrintTitles" localSheetId="23" hidden="1">'2.7 Weighted Funding YR1'!$A:$B,'2.7 Weighted Funding YR1'!$5:$13</definedName>
    <definedName name="Z_9F71BA88_74DF_4B45_811C_93ABE8314534_.wvu.PrintTitles" localSheetId="27" hidden="1">'2.8 Alloc of Residual Rev. YR1'!$A:$B,'2.8 Alloc of Residual Rev. YR1'!$5:$11</definedName>
    <definedName name="Z_9F71BA88_74DF_4B45_811C_93ABE8314534_.wvu.PrintTitles" localSheetId="30" hidden="1">'3.1a Initial Allocations YR1'!$4:$4</definedName>
    <definedName name="Z_9F71BA88_74DF_4B45_811C_93ABE8314534_.wvu.PrintTitles" localSheetId="31" hidden="1">'3.1b Allocation Adj. YR1 '!#REF!</definedName>
    <definedName name="Z_9F71BA88_74DF_4B45_811C_93ABE8314534_.wvu.PrintTitles" localSheetId="36" hidden="1">'6.1 Auxiliary Services YR2'!$1:$9</definedName>
    <definedName name="Z_9F71BA88_74DF_4B45_811C_93ABE8314534_.wvu.PrintTitles" localSheetId="37" hidden="1">'6.2 Spec Ed Local YR2'!$1:$7</definedName>
    <definedName name="Z_9F71BA88_74DF_4B45_811C_93ABE8314534_.wvu.PrintTitles" localSheetId="38" hidden="1">'6.3 Statewide Base Funding YR2'!$4:$11</definedName>
    <definedName name="Z_9F71BA88_74DF_4B45_811C_93ABE8314534_.wvu.PrintTitles" localSheetId="40" hidden="1">'6.5 NCEI Adj. YR2'!#REF!</definedName>
    <definedName name="Z_9F71BA88_74DF_4B45_811C_93ABE8314534_.wvu.PrintTitles" localSheetId="41" hidden="1">'6.6 Adj. Base Summary YR2'!$4:$12</definedName>
    <definedName name="Z_9F71BA88_74DF_4B45_811C_93ABE8314534_.wvu.PrintTitles" localSheetId="42" hidden="1">'6.7 Weighted Funding YR2'!$A:$B,'6.7 Weighted Funding YR2'!$5:$13</definedName>
    <definedName name="Z_9F71BA88_74DF_4B45_811C_93ABE8314534_.wvu.PrintTitles" localSheetId="43" hidden="1">'6.8 Alloc of Residual Rev. YR2'!$A:$B,'6.8 Alloc of Residual Rev. YR2'!$5:$11</definedName>
    <definedName name="Z_9F71BA88_74DF_4B45_811C_93ABE8314534_.wvu.PrintTitles" localSheetId="45" hidden="1">'7.1a Initial Allocations YR2'!#REF!</definedName>
    <definedName name="Z_9F71BA88_74DF_4B45_811C_93ABE8314534_.wvu.PrintTitles" localSheetId="46" hidden="1">'7.1b Allocation Adj. YR2'!#REF!</definedName>
    <definedName name="Z_9F71BA88_74DF_4B45_811C_93ABE8314534_.wvu.PrintTitles" localSheetId="1" hidden="1">'Table of Contents'!$1:$4</definedName>
    <definedName name="Z_9F71BA88_74DF_4B45_811C_93ABE8314534_.wvu.Rows" localSheetId="11" hidden="1">'1.4 FY 2020 Revenue Received'!#REF!</definedName>
    <definedName name="Z_CA1C9262_C0F9_4BBB_95C8_A52990BD1149_.wvu.Cols" localSheetId="20" hidden="1">'2.5 NCEI Adj. YR1'!#REF!</definedName>
    <definedName name="Z_CA1C9262_C0F9_4BBB_95C8_A52990BD1149_.wvu.Cols" localSheetId="40" hidden="1">'6.5 NCEI Adj. YR2'!#REF!</definedName>
    <definedName name="Z_CA1C9262_C0F9_4BBB_95C8_A52990BD1149_.wvu.PrintArea" localSheetId="8" hidden="1">'1.3 Budgeted Revenues YR1'!$B$1:$D$40</definedName>
    <definedName name="Z_CA1C9262_C0F9_4BBB_95C8_A52990BD1149_.wvu.PrintArea" localSheetId="14" hidden="1">'2.1 Auxiliary Services YR1'!$A$1:$K$34</definedName>
    <definedName name="Z_CA1C9262_C0F9_4BBB_95C8_A52990BD1149_.wvu.PrintArea" localSheetId="17" hidden="1">'2.2 Spec Ed Local YR1'!$A$1:$E$7</definedName>
    <definedName name="Z_CA1C9262_C0F9_4BBB_95C8_A52990BD1149_.wvu.PrintArea" localSheetId="18" hidden="1">'2.3 Statewide Base Funding YR1'!$A$4:$E$100</definedName>
    <definedName name="Z_CA1C9262_C0F9_4BBB_95C8_A52990BD1149_.wvu.PrintArea" localSheetId="20" hidden="1">'2.5 NCEI Adj. YR1'!#REF!</definedName>
    <definedName name="Z_CA1C9262_C0F9_4BBB_95C8_A52990BD1149_.wvu.PrintArea" localSheetId="23" hidden="1">'2.7 Weighted Funding YR1'!$A$5:$N$103</definedName>
    <definedName name="Z_CA1C9262_C0F9_4BBB_95C8_A52990BD1149_.wvu.PrintArea" localSheetId="28" hidden="1">'2.9 PCFP Funding Comparison YR1'!$A$4:$T$96</definedName>
    <definedName name="Z_CA1C9262_C0F9_4BBB_95C8_A52990BD1149_.wvu.PrintArea" localSheetId="30" hidden="1">'3.1a Initial Allocations YR1'!$A$4:$W$35</definedName>
    <definedName name="Z_CA1C9262_C0F9_4BBB_95C8_A52990BD1149_.wvu.PrintArea" localSheetId="31" hidden="1">'3.1b Allocation Adj. YR1 '!$A$4:$X$34</definedName>
    <definedName name="Z_CA1C9262_C0F9_4BBB_95C8_A52990BD1149_.wvu.PrintArea" localSheetId="35" hidden="1">'5.3 Budgeted Revenues YR2'!$B$1:$D$41</definedName>
    <definedName name="Z_CA1C9262_C0F9_4BBB_95C8_A52990BD1149_.wvu.PrintArea" localSheetId="36" hidden="1">'6.1 Auxiliary Services YR2'!$A$1:$K$34</definedName>
    <definedName name="Z_CA1C9262_C0F9_4BBB_95C8_A52990BD1149_.wvu.PrintArea" localSheetId="37" hidden="1">'6.2 Spec Ed Local YR2'!$A$1:$E$7</definedName>
    <definedName name="Z_CA1C9262_C0F9_4BBB_95C8_A52990BD1149_.wvu.PrintArea" localSheetId="38" hidden="1">'6.3 Statewide Base Funding YR2'!$A$4:$E$100</definedName>
    <definedName name="Z_CA1C9262_C0F9_4BBB_95C8_A52990BD1149_.wvu.PrintArea" localSheetId="40" hidden="1">'6.5 NCEI Adj. YR2'!#REF!</definedName>
    <definedName name="Z_CA1C9262_C0F9_4BBB_95C8_A52990BD1149_.wvu.PrintArea" localSheetId="42" hidden="1">'6.7 Weighted Funding YR2'!$A$5:$N$99</definedName>
    <definedName name="Z_CA1C9262_C0F9_4BBB_95C8_A52990BD1149_.wvu.PrintArea" localSheetId="44" hidden="1">'6.9 PCFP Funding Comparison YR2'!$A$4:$V$97</definedName>
    <definedName name="Z_CA1C9262_C0F9_4BBB_95C8_A52990BD1149_.wvu.PrintArea" localSheetId="45" hidden="1">'7.1a Initial Allocations YR2'!$A$4:$W$34</definedName>
    <definedName name="Z_CA1C9262_C0F9_4BBB_95C8_A52990BD1149_.wvu.PrintArea" localSheetId="46" hidden="1">'7.1b Allocation Adj. YR2'!$A$4:$X$33</definedName>
    <definedName name="Z_CA1C9262_C0F9_4BBB_95C8_A52990BD1149_.wvu.PrintArea" localSheetId="0" hidden="1">'Summary Model Revisions'!$A$1:$U$61</definedName>
    <definedName name="Z_CA1C9262_C0F9_4BBB_95C8_A52990BD1149_.wvu.PrintArea" localSheetId="1" hidden="1">'Table of Contents'!$A$1:$K$4</definedName>
    <definedName name="Z_CA1C9262_C0F9_4BBB_95C8_A52990BD1149_.wvu.PrintTitles" localSheetId="14" hidden="1">'2.1 Auxiliary Services YR1'!$1:$9</definedName>
    <definedName name="Z_CA1C9262_C0F9_4BBB_95C8_A52990BD1149_.wvu.PrintTitles" localSheetId="17" hidden="1">'2.2 Spec Ed Local YR1'!$1:$7</definedName>
    <definedName name="Z_CA1C9262_C0F9_4BBB_95C8_A52990BD1149_.wvu.PrintTitles" localSheetId="18" hidden="1">'2.3 Statewide Base Funding YR1'!$4:$11</definedName>
    <definedName name="Z_CA1C9262_C0F9_4BBB_95C8_A52990BD1149_.wvu.PrintTitles" localSheetId="20" hidden="1">'2.5 NCEI Adj. YR1'!#REF!</definedName>
    <definedName name="Z_CA1C9262_C0F9_4BBB_95C8_A52990BD1149_.wvu.PrintTitles" localSheetId="21" hidden="1">'2.6 Adj. Base Summary YR1'!$4:$12</definedName>
    <definedName name="Z_CA1C9262_C0F9_4BBB_95C8_A52990BD1149_.wvu.PrintTitles" localSheetId="23" hidden="1">'2.7 Weighted Funding YR1'!$A:$B,'2.7 Weighted Funding YR1'!$5:$13</definedName>
    <definedName name="Z_CA1C9262_C0F9_4BBB_95C8_A52990BD1149_.wvu.PrintTitles" localSheetId="27" hidden="1">'2.8 Alloc of Residual Rev. YR1'!$A:$B,'2.8 Alloc of Residual Rev. YR1'!$5:$11</definedName>
    <definedName name="Z_CA1C9262_C0F9_4BBB_95C8_A52990BD1149_.wvu.PrintTitles" localSheetId="30" hidden="1">'3.1a Initial Allocations YR1'!$4:$4</definedName>
    <definedName name="Z_CA1C9262_C0F9_4BBB_95C8_A52990BD1149_.wvu.PrintTitles" localSheetId="31" hidden="1">'3.1b Allocation Adj. YR1 '!#REF!</definedName>
    <definedName name="Z_CA1C9262_C0F9_4BBB_95C8_A52990BD1149_.wvu.PrintTitles" localSheetId="36" hidden="1">'6.1 Auxiliary Services YR2'!$1:$9</definedName>
    <definedName name="Z_CA1C9262_C0F9_4BBB_95C8_A52990BD1149_.wvu.PrintTitles" localSheetId="37" hidden="1">'6.2 Spec Ed Local YR2'!$1:$7</definedName>
    <definedName name="Z_CA1C9262_C0F9_4BBB_95C8_A52990BD1149_.wvu.PrintTitles" localSheetId="38" hidden="1">'6.3 Statewide Base Funding YR2'!$4:$11</definedName>
    <definedName name="Z_CA1C9262_C0F9_4BBB_95C8_A52990BD1149_.wvu.PrintTitles" localSheetId="40" hidden="1">'6.5 NCEI Adj. YR2'!#REF!</definedName>
    <definedName name="Z_CA1C9262_C0F9_4BBB_95C8_A52990BD1149_.wvu.PrintTitles" localSheetId="41" hidden="1">'6.6 Adj. Base Summary YR2'!$4:$12</definedName>
    <definedName name="Z_CA1C9262_C0F9_4BBB_95C8_A52990BD1149_.wvu.PrintTitles" localSheetId="42" hidden="1">'6.7 Weighted Funding YR2'!$A:$B,'6.7 Weighted Funding YR2'!$5:$13</definedName>
    <definedName name="Z_CA1C9262_C0F9_4BBB_95C8_A52990BD1149_.wvu.PrintTitles" localSheetId="43" hidden="1">'6.8 Alloc of Residual Rev. YR2'!$A:$B,'6.8 Alloc of Residual Rev. YR2'!$5:$11</definedName>
    <definedName name="Z_CA1C9262_C0F9_4BBB_95C8_A52990BD1149_.wvu.PrintTitles" localSheetId="45" hidden="1">'7.1a Initial Allocations YR2'!#REF!</definedName>
    <definedName name="Z_CA1C9262_C0F9_4BBB_95C8_A52990BD1149_.wvu.PrintTitles" localSheetId="46" hidden="1">'7.1b Allocation Adj. YR2'!#REF!</definedName>
    <definedName name="Z_CA1C9262_C0F9_4BBB_95C8_A52990BD1149_.wvu.PrintTitles" localSheetId="1" hidden="1">'Table of Contents'!$1:$4</definedName>
    <definedName name="Z_CA1C9262_C0F9_4BBB_95C8_A52990BD1149_.wvu.Rows" localSheetId="11" hidden="1">'1.4 FY 2020 Revenue Received'!#REF!</definedName>
  </definedNames>
  <calcPr calcId="191028"/>
  <customWorkbookViews>
    <customWorkbookView name="Show Only Core Model Elements" guid="{CA1C9262-C0F9-4BBB-95C8-A52990BD1149}" maximized="1" xWindow="-16" yWindow="-16" windowWidth="3872" windowHeight="2092" tabRatio="763" activeSheetId="554"/>
    <customWorkbookView name="Show Administrative References" guid="{9F71BA88-74DF-4B45-811C-93ABE8314534}" maximized="1" xWindow="-16" yWindow="-16" windowWidth="3872" windowHeight="2092" tabRatio="763" activeSheetId="331"/>
    <customWorkbookView name="With NDE Source Files" guid="{92EB2B16-3546-4CC6-AF3A-0019867B62A7}" maximized="1" xWindow="-16" yWindow="-16" windowWidth="3872" windowHeight="2092" tabRatio="763" activeSheetId="50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620" l="1"/>
  <c r="C9" i="332"/>
  <c r="C9" i="608"/>
  <c r="C40" i="332" l="1"/>
  <c r="E26" i="332" l="1"/>
  <c r="N6" i="343"/>
  <c r="L110" i="611" l="1"/>
  <c r="K110" i="611"/>
  <c r="J110" i="611"/>
  <c r="I110" i="611"/>
  <c r="H110" i="611"/>
  <c r="G110" i="611"/>
  <c r="F110" i="611"/>
  <c r="E110" i="611"/>
  <c r="D110" i="611"/>
  <c r="C110" i="611"/>
  <c r="L109" i="611"/>
  <c r="K109" i="611"/>
  <c r="J109" i="611"/>
  <c r="J111" i="611" s="1"/>
  <c r="I109" i="611"/>
  <c r="H109" i="611"/>
  <c r="G109" i="611"/>
  <c r="G111" i="611" s="1"/>
  <c r="F109" i="611"/>
  <c r="F111" i="611" s="1"/>
  <c r="E109" i="611"/>
  <c r="E111" i="611" s="1"/>
  <c r="D109" i="611"/>
  <c r="D111" i="611" s="1"/>
  <c r="C109" i="611"/>
  <c r="C111" i="611" s="1"/>
  <c r="L105" i="611"/>
  <c r="K105" i="611"/>
  <c r="J105" i="611"/>
  <c r="I105" i="611"/>
  <c r="H105" i="611"/>
  <c r="G105" i="611"/>
  <c r="G106" i="611" s="1"/>
  <c r="F105" i="611"/>
  <c r="E105" i="611"/>
  <c r="D105" i="611"/>
  <c r="C105" i="611"/>
  <c r="L104" i="611"/>
  <c r="K104" i="611"/>
  <c r="J104" i="611"/>
  <c r="J106" i="611" s="1"/>
  <c r="I104" i="611"/>
  <c r="H104" i="611"/>
  <c r="G104" i="611"/>
  <c r="F104" i="611"/>
  <c r="E104" i="611"/>
  <c r="D104" i="611"/>
  <c r="C104" i="611"/>
  <c r="L100" i="611"/>
  <c r="K100" i="611"/>
  <c r="J100" i="611"/>
  <c r="I100" i="611"/>
  <c r="H100" i="611"/>
  <c r="G100" i="611"/>
  <c r="G101" i="611" s="1"/>
  <c r="G102" i="611" s="1"/>
  <c r="F100" i="611"/>
  <c r="E100" i="611"/>
  <c r="D100" i="611"/>
  <c r="C100" i="611"/>
  <c r="L99" i="611"/>
  <c r="K99" i="611"/>
  <c r="J99" i="611"/>
  <c r="J101" i="611" s="1"/>
  <c r="J102" i="611" s="1"/>
  <c r="I99" i="611"/>
  <c r="H99" i="611"/>
  <c r="G99" i="611"/>
  <c r="F99" i="611"/>
  <c r="E99" i="611"/>
  <c r="D99" i="611"/>
  <c r="C99" i="611"/>
  <c r="L95" i="611"/>
  <c r="K95" i="611"/>
  <c r="J95" i="611"/>
  <c r="I95" i="611"/>
  <c r="H95" i="611"/>
  <c r="G95" i="611"/>
  <c r="F95" i="611"/>
  <c r="E95" i="611"/>
  <c r="D95" i="611"/>
  <c r="C95" i="611"/>
  <c r="L94" i="611"/>
  <c r="K94" i="611"/>
  <c r="J94" i="611"/>
  <c r="I94" i="611"/>
  <c r="H94" i="611"/>
  <c r="G94" i="611"/>
  <c r="F94" i="611"/>
  <c r="E94" i="611"/>
  <c r="D94" i="611"/>
  <c r="C94" i="611"/>
  <c r="L93" i="611"/>
  <c r="K93" i="611"/>
  <c r="J93" i="611"/>
  <c r="I93" i="611"/>
  <c r="H93" i="611"/>
  <c r="G93" i="611"/>
  <c r="F93" i="611"/>
  <c r="E93" i="611"/>
  <c r="D93" i="611"/>
  <c r="C93" i="611"/>
  <c r="L92" i="611"/>
  <c r="K92" i="611"/>
  <c r="J92" i="611"/>
  <c r="I92" i="611"/>
  <c r="H92" i="611"/>
  <c r="G92" i="611"/>
  <c r="F92" i="611"/>
  <c r="E92" i="611"/>
  <c r="D92" i="611"/>
  <c r="C92" i="611"/>
  <c r="L91" i="611"/>
  <c r="K91" i="611"/>
  <c r="J91" i="611"/>
  <c r="I91" i="611"/>
  <c r="H91" i="611"/>
  <c r="G91" i="611"/>
  <c r="F91" i="611"/>
  <c r="E91" i="611"/>
  <c r="D91" i="611"/>
  <c r="C91" i="611"/>
  <c r="L90" i="611"/>
  <c r="K90" i="611"/>
  <c r="J90" i="611"/>
  <c r="I90" i="611"/>
  <c r="H90" i="611"/>
  <c r="G90" i="611"/>
  <c r="F90" i="611"/>
  <c r="E90" i="611"/>
  <c r="D90" i="611"/>
  <c r="C90" i="611"/>
  <c r="L89" i="611"/>
  <c r="K89" i="611"/>
  <c r="J89" i="611"/>
  <c r="I89" i="611"/>
  <c r="H89" i="611"/>
  <c r="G89" i="611"/>
  <c r="F89" i="611"/>
  <c r="E89" i="611"/>
  <c r="D89" i="611"/>
  <c r="C89" i="611"/>
  <c r="L88" i="611"/>
  <c r="K88" i="611"/>
  <c r="J88" i="611"/>
  <c r="I88" i="611"/>
  <c r="H88" i="611"/>
  <c r="G88" i="611"/>
  <c r="F88" i="611"/>
  <c r="E88" i="611"/>
  <c r="D88" i="611"/>
  <c r="C88" i="611"/>
  <c r="L87" i="611"/>
  <c r="K87" i="611"/>
  <c r="J87" i="611"/>
  <c r="I87" i="611"/>
  <c r="H87" i="611"/>
  <c r="G87" i="611"/>
  <c r="F87" i="611"/>
  <c r="E87" i="611"/>
  <c r="D87" i="611"/>
  <c r="C87" i="611"/>
  <c r="L86" i="611"/>
  <c r="K86" i="611"/>
  <c r="J86" i="611"/>
  <c r="I86" i="611"/>
  <c r="H86" i="611"/>
  <c r="G86" i="611"/>
  <c r="F86" i="611"/>
  <c r="E86" i="611"/>
  <c r="D86" i="611"/>
  <c r="C86" i="611"/>
  <c r="L85" i="611"/>
  <c r="K85" i="611"/>
  <c r="J85" i="611"/>
  <c r="I85" i="611"/>
  <c r="H85" i="611"/>
  <c r="G85" i="611"/>
  <c r="F85" i="611"/>
  <c r="E85" i="611"/>
  <c r="D85" i="611"/>
  <c r="C85" i="611"/>
  <c r="L84" i="611"/>
  <c r="K84" i="611"/>
  <c r="J84" i="611"/>
  <c r="I84" i="611"/>
  <c r="H84" i="611"/>
  <c r="G84" i="611"/>
  <c r="F84" i="611"/>
  <c r="E84" i="611"/>
  <c r="D84" i="611"/>
  <c r="C84" i="611"/>
  <c r="L83" i="611"/>
  <c r="K83" i="611"/>
  <c r="J83" i="611"/>
  <c r="I83" i="611"/>
  <c r="H83" i="611"/>
  <c r="G83" i="611"/>
  <c r="F83" i="611"/>
  <c r="E83" i="611"/>
  <c r="D83" i="611"/>
  <c r="C83" i="611"/>
  <c r="L82" i="611"/>
  <c r="K82" i="611"/>
  <c r="J82" i="611"/>
  <c r="I82" i="611"/>
  <c r="H82" i="611"/>
  <c r="G82" i="611"/>
  <c r="F82" i="611"/>
  <c r="E82" i="611"/>
  <c r="D82" i="611"/>
  <c r="C82" i="611"/>
  <c r="L81" i="611"/>
  <c r="K81" i="611"/>
  <c r="J81" i="611"/>
  <c r="I81" i="611"/>
  <c r="H81" i="611"/>
  <c r="G81" i="611"/>
  <c r="F81" i="611"/>
  <c r="E81" i="611"/>
  <c r="D81" i="611"/>
  <c r="C81" i="611"/>
  <c r="L80" i="611"/>
  <c r="K80" i="611"/>
  <c r="J80" i="611"/>
  <c r="I80" i="611"/>
  <c r="H80" i="611"/>
  <c r="G80" i="611"/>
  <c r="F80" i="611"/>
  <c r="E80" i="611"/>
  <c r="D80" i="611"/>
  <c r="C80" i="611"/>
  <c r="L79" i="611"/>
  <c r="K79" i="611"/>
  <c r="J79" i="611"/>
  <c r="I79" i="611"/>
  <c r="H79" i="611"/>
  <c r="G79" i="611"/>
  <c r="F79" i="611"/>
  <c r="E79" i="611"/>
  <c r="D79" i="611"/>
  <c r="C79" i="611"/>
  <c r="L78" i="611"/>
  <c r="K78" i="611"/>
  <c r="J78" i="611"/>
  <c r="I78" i="611"/>
  <c r="H78" i="611"/>
  <c r="G78" i="611"/>
  <c r="F78" i="611"/>
  <c r="E78" i="611"/>
  <c r="D78" i="611"/>
  <c r="C78" i="611"/>
  <c r="L77" i="611"/>
  <c r="K77" i="611"/>
  <c r="J77" i="611"/>
  <c r="I77" i="611"/>
  <c r="H77" i="611"/>
  <c r="G77" i="611"/>
  <c r="F77" i="611"/>
  <c r="E77" i="611"/>
  <c r="D77" i="611"/>
  <c r="C77" i="611"/>
  <c r="L76" i="611"/>
  <c r="K76" i="611"/>
  <c r="J76" i="611"/>
  <c r="I76" i="611"/>
  <c r="H76" i="611"/>
  <c r="G76" i="611"/>
  <c r="F76" i="611"/>
  <c r="E76" i="611"/>
  <c r="D76" i="611"/>
  <c r="C76" i="611"/>
  <c r="L75" i="611"/>
  <c r="K75" i="611"/>
  <c r="J75" i="611"/>
  <c r="I75" i="611"/>
  <c r="H75" i="611"/>
  <c r="G75" i="611"/>
  <c r="F75" i="611"/>
  <c r="E75" i="611"/>
  <c r="D75" i="611"/>
  <c r="C75" i="611"/>
  <c r="L74" i="611"/>
  <c r="K74" i="611"/>
  <c r="J74" i="611"/>
  <c r="I74" i="611"/>
  <c r="H74" i="611"/>
  <c r="G74" i="611"/>
  <c r="F74" i="611"/>
  <c r="E74" i="611"/>
  <c r="D74" i="611"/>
  <c r="C74" i="611"/>
  <c r="L73" i="611"/>
  <c r="K73" i="611"/>
  <c r="J73" i="611"/>
  <c r="I73" i="611"/>
  <c r="H73" i="611"/>
  <c r="G73" i="611"/>
  <c r="F73" i="611"/>
  <c r="E73" i="611"/>
  <c r="D73" i="611"/>
  <c r="C73" i="611"/>
  <c r="L72" i="611"/>
  <c r="K72" i="611"/>
  <c r="J72" i="611"/>
  <c r="I72" i="611"/>
  <c r="H72" i="611"/>
  <c r="G72" i="611"/>
  <c r="F72" i="611"/>
  <c r="E72" i="611"/>
  <c r="D72" i="611"/>
  <c r="C72" i="611"/>
  <c r="L71" i="611"/>
  <c r="K71" i="611"/>
  <c r="J71" i="611"/>
  <c r="I71" i="611"/>
  <c r="H71" i="611"/>
  <c r="G71" i="611"/>
  <c r="F71" i="611"/>
  <c r="E71" i="611"/>
  <c r="D71" i="611"/>
  <c r="C71" i="611"/>
  <c r="L70" i="611"/>
  <c r="K70" i="611"/>
  <c r="J70" i="611"/>
  <c r="I70" i="611"/>
  <c r="H70" i="611"/>
  <c r="G70" i="611"/>
  <c r="F70" i="611"/>
  <c r="E70" i="611"/>
  <c r="D70" i="611"/>
  <c r="C70" i="611"/>
  <c r="L69" i="611"/>
  <c r="K69" i="611"/>
  <c r="J69" i="611"/>
  <c r="I69" i="611"/>
  <c r="H69" i="611"/>
  <c r="G69" i="611"/>
  <c r="F69" i="611"/>
  <c r="E69" i="611"/>
  <c r="D69" i="611"/>
  <c r="C69" i="611"/>
  <c r="L68" i="611"/>
  <c r="K68" i="611"/>
  <c r="J68" i="611"/>
  <c r="I68" i="611"/>
  <c r="H68" i="611"/>
  <c r="G68" i="611"/>
  <c r="F68" i="611"/>
  <c r="E68" i="611"/>
  <c r="D68" i="611"/>
  <c r="C68" i="611"/>
  <c r="L67" i="611"/>
  <c r="K67" i="611"/>
  <c r="J67" i="611"/>
  <c r="I67" i="611"/>
  <c r="H67" i="611"/>
  <c r="G67" i="611"/>
  <c r="F67" i="611"/>
  <c r="E67" i="611"/>
  <c r="D67" i="611"/>
  <c r="C67" i="611"/>
  <c r="L66" i="611"/>
  <c r="K66" i="611"/>
  <c r="J66" i="611"/>
  <c r="I66" i="611"/>
  <c r="H66" i="611"/>
  <c r="G66" i="611"/>
  <c r="F66" i="611"/>
  <c r="E66" i="611"/>
  <c r="D66" i="611"/>
  <c r="C66" i="611"/>
  <c r="L65" i="611"/>
  <c r="K65" i="611"/>
  <c r="J65" i="611"/>
  <c r="I65" i="611"/>
  <c r="H65" i="611"/>
  <c r="G65" i="611"/>
  <c r="F65" i="611"/>
  <c r="E65" i="611"/>
  <c r="D65" i="611"/>
  <c r="C65" i="611"/>
  <c r="L64" i="611"/>
  <c r="K64" i="611"/>
  <c r="J64" i="611"/>
  <c r="I64" i="611"/>
  <c r="H64" i="611"/>
  <c r="G64" i="611"/>
  <c r="F64" i="611"/>
  <c r="E64" i="611"/>
  <c r="D64" i="611"/>
  <c r="C64" i="611"/>
  <c r="L63" i="611"/>
  <c r="K63" i="611"/>
  <c r="J63" i="611"/>
  <c r="I63" i="611"/>
  <c r="H63" i="611"/>
  <c r="G63" i="611"/>
  <c r="F63" i="611"/>
  <c r="E63" i="611"/>
  <c r="D63" i="611"/>
  <c r="C63" i="611"/>
  <c r="L62" i="611"/>
  <c r="K62" i="611"/>
  <c r="J62" i="611"/>
  <c r="I62" i="611"/>
  <c r="H62" i="611"/>
  <c r="G62" i="611"/>
  <c r="F62" i="611"/>
  <c r="E62" i="611"/>
  <c r="D62" i="611"/>
  <c r="C62" i="611"/>
  <c r="L61" i="611"/>
  <c r="K61" i="611"/>
  <c r="J61" i="611"/>
  <c r="I61" i="611"/>
  <c r="H61" i="611"/>
  <c r="G61" i="611"/>
  <c r="F61" i="611"/>
  <c r="E61" i="611"/>
  <c r="D61" i="611"/>
  <c r="C61" i="611"/>
  <c r="L60" i="611"/>
  <c r="K60" i="611"/>
  <c r="J60" i="611"/>
  <c r="I60" i="611"/>
  <c r="H60" i="611"/>
  <c r="G60" i="611"/>
  <c r="F60" i="611"/>
  <c r="E60" i="611"/>
  <c r="D60" i="611"/>
  <c r="C60" i="611"/>
  <c r="L59" i="611"/>
  <c r="K59" i="611"/>
  <c r="J59" i="611"/>
  <c r="I59" i="611"/>
  <c r="H59" i="611"/>
  <c r="G59" i="611"/>
  <c r="F59" i="611"/>
  <c r="E59" i="611"/>
  <c r="D59" i="611"/>
  <c r="C59" i="611"/>
  <c r="L58" i="611"/>
  <c r="K58" i="611"/>
  <c r="J58" i="611"/>
  <c r="I58" i="611"/>
  <c r="H58" i="611"/>
  <c r="G58" i="611"/>
  <c r="F58" i="611"/>
  <c r="E58" i="611"/>
  <c r="D58" i="611"/>
  <c r="C58" i="611"/>
  <c r="L57" i="611"/>
  <c r="K57" i="611"/>
  <c r="J57" i="611"/>
  <c r="I57" i="611"/>
  <c r="H57" i="611"/>
  <c r="G57" i="611"/>
  <c r="F57" i="611"/>
  <c r="E57" i="611"/>
  <c r="D57" i="611"/>
  <c r="C57" i="611"/>
  <c r="L56" i="611"/>
  <c r="K56" i="611"/>
  <c r="J56" i="611"/>
  <c r="I56" i="611"/>
  <c r="H56" i="611"/>
  <c r="G56" i="611"/>
  <c r="F56" i="611"/>
  <c r="E56" i="611"/>
  <c r="D56" i="611"/>
  <c r="C56" i="611"/>
  <c r="L55" i="611"/>
  <c r="K55" i="611"/>
  <c r="J55" i="611"/>
  <c r="I55" i="611"/>
  <c r="H55" i="611"/>
  <c r="G55" i="611"/>
  <c r="F55" i="611"/>
  <c r="E55" i="611"/>
  <c r="D55" i="611"/>
  <c r="C55" i="611"/>
  <c r="L54" i="611"/>
  <c r="K54" i="611"/>
  <c r="J54" i="611"/>
  <c r="I54" i="611"/>
  <c r="H54" i="611"/>
  <c r="G54" i="611"/>
  <c r="F54" i="611"/>
  <c r="E54" i="611"/>
  <c r="D54" i="611"/>
  <c r="C54" i="611"/>
  <c r="L53" i="611"/>
  <c r="K53" i="611"/>
  <c r="J53" i="611"/>
  <c r="I53" i="611"/>
  <c r="H53" i="611"/>
  <c r="G53" i="611"/>
  <c r="F53" i="611"/>
  <c r="E53" i="611"/>
  <c r="D53" i="611"/>
  <c r="C53" i="611"/>
  <c r="L52" i="611"/>
  <c r="K52" i="611"/>
  <c r="J52" i="611"/>
  <c r="I52" i="611"/>
  <c r="H52" i="611"/>
  <c r="G52" i="611"/>
  <c r="F52" i="611"/>
  <c r="E52" i="611"/>
  <c r="D52" i="611"/>
  <c r="C52" i="611"/>
  <c r="L51" i="611"/>
  <c r="K51" i="611"/>
  <c r="J51" i="611"/>
  <c r="I51" i="611"/>
  <c r="H51" i="611"/>
  <c r="G51" i="611"/>
  <c r="F51" i="611"/>
  <c r="E51" i="611"/>
  <c r="D51" i="611"/>
  <c r="C51" i="611"/>
  <c r="L50" i="611"/>
  <c r="K50" i="611"/>
  <c r="J50" i="611"/>
  <c r="I50" i="611"/>
  <c r="H50" i="611"/>
  <c r="G50" i="611"/>
  <c r="F50" i="611"/>
  <c r="E50" i="611"/>
  <c r="D50" i="611"/>
  <c r="C50" i="611"/>
  <c r="L49" i="611"/>
  <c r="K49" i="611"/>
  <c r="J49" i="611"/>
  <c r="I49" i="611"/>
  <c r="H49" i="611"/>
  <c r="G49" i="611"/>
  <c r="F49" i="611"/>
  <c r="E49" i="611"/>
  <c r="D49" i="611"/>
  <c r="C49" i="611"/>
  <c r="L48" i="611"/>
  <c r="K48" i="611"/>
  <c r="J48" i="611"/>
  <c r="I48" i="611"/>
  <c r="H48" i="611"/>
  <c r="G48" i="611"/>
  <c r="F48" i="611"/>
  <c r="E48" i="611"/>
  <c r="D48" i="611"/>
  <c r="C48" i="611"/>
  <c r="L47" i="611"/>
  <c r="K47" i="611"/>
  <c r="J47" i="611"/>
  <c r="I47" i="611"/>
  <c r="H47" i="611"/>
  <c r="G47" i="611"/>
  <c r="F47" i="611"/>
  <c r="E47" i="611"/>
  <c r="D47" i="611"/>
  <c r="C47" i="611"/>
  <c r="L46" i="611"/>
  <c r="K46" i="611"/>
  <c r="J46" i="611"/>
  <c r="I46" i="611"/>
  <c r="H46" i="611"/>
  <c r="G46" i="611"/>
  <c r="F46" i="611"/>
  <c r="E46" i="611"/>
  <c r="D46" i="611"/>
  <c r="C46" i="611"/>
  <c r="L45" i="611"/>
  <c r="K45" i="611"/>
  <c r="J45" i="611"/>
  <c r="I45" i="611"/>
  <c r="H45" i="611"/>
  <c r="G45" i="611"/>
  <c r="F45" i="611"/>
  <c r="E45" i="611"/>
  <c r="D45" i="611"/>
  <c r="C45" i="611"/>
  <c r="L44" i="611"/>
  <c r="K44" i="611"/>
  <c r="J44" i="611"/>
  <c r="I44" i="611"/>
  <c r="H44" i="611"/>
  <c r="G44" i="611"/>
  <c r="F44" i="611"/>
  <c r="E44" i="611"/>
  <c r="D44" i="611"/>
  <c r="C44" i="611"/>
  <c r="L43" i="611"/>
  <c r="K43" i="611"/>
  <c r="J43" i="611"/>
  <c r="I43" i="611"/>
  <c r="H43" i="611"/>
  <c r="G43" i="611"/>
  <c r="F43" i="611"/>
  <c r="E43" i="611"/>
  <c r="D43" i="611"/>
  <c r="C43" i="611"/>
  <c r="L42" i="611"/>
  <c r="K42" i="611"/>
  <c r="J42" i="611"/>
  <c r="I42" i="611"/>
  <c r="H42" i="611"/>
  <c r="G42" i="611"/>
  <c r="F42" i="611"/>
  <c r="E42" i="611"/>
  <c r="D42" i="611"/>
  <c r="C42" i="611"/>
  <c r="L41" i="611"/>
  <c r="K41" i="611"/>
  <c r="J41" i="611"/>
  <c r="I41" i="611"/>
  <c r="H41" i="611"/>
  <c r="G41" i="611"/>
  <c r="F41" i="611"/>
  <c r="E41" i="611"/>
  <c r="D41" i="611"/>
  <c r="C41" i="611"/>
  <c r="L40" i="611"/>
  <c r="K40" i="611"/>
  <c r="J40" i="611"/>
  <c r="I40" i="611"/>
  <c r="H40" i="611"/>
  <c r="G40" i="611"/>
  <c r="F40" i="611"/>
  <c r="E40" i="611"/>
  <c r="D40" i="611"/>
  <c r="C40" i="611"/>
  <c r="L39" i="611"/>
  <c r="K39" i="611"/>
  <c r="J39" i="611"/>
  <c r="I39" i="611"/>
  <c r="H39" i="611"/>
  <c r="G39" i="611"/>
  <c r="F39" i="611"/>
  <c r="E39" i="611"/>
  <c r="D39" i="611"/>
  <c r="C39" i="611"/>
  <c r="L38" i="611"/>
  <c r="K38" i="611"/>
  <c r="J38" i="611"/>
  <c r="I38" i="611"/>
  <c r="H38" i="611"/>
  <c r="G38" i="611"/>
  <c r="F38" i="611"/>
  <c r="E38" i="611"/>
  <c r="D38" i="611"/>
  <c r="C38" i="611"/>
  <c r="L37" i="611"/>
  <c r="K37" i="611"/>
  <c r="J37" i="611"/>
  <c r="I37" i="611"/>
  <c r="H37" i="611"/>
  <c r="G37" i="611"/>
  <c r="F37" i="611"/>
  <c r="E37" i="611"/>
  <c r="D37" i="611"/>
  <c r="C37" i="611"/>
  <c r="L36" i="611"/>
  <c r="K36" i="611"/>
  <c r="J36" i="611"/>
  <c r="I36" i="611"/>
  <c r="H36" i="611"/>
  <c r="G36" i="611"/>
  <c r="F36" i="611"/>
  <c r="E36" i="611"/>
  <c r="D36" i="611"/>
  <c r="C36" i="611"/>
  <c r="L35" i="611"/>
  <c r="K35" i="611"/>
  <c r="J35" i="611"/>
  <c r="I35" i="611"/>
  <c r="H35" i="611"/>
  <c r="G35" i="611"/>
  <c r="F35" i="611"/>
  <c r="E35" i="611"/>
  <c r="D35" i="611"/>
  <c r="C35" i="611"/>
  <c r="L34" i="611"/>
  <c r="K34" i="611"/>
  <c r="J34" i="611"/>
  <c r="I34" i="611"/>
  <c r="H34" i="611"/>
  <c r="G34" i="611"/>
  <c r="F34" i="611"/>
  <c r="E34" i="611"/>
  <c r="D34" i="611"/>
  <c r="C34" i="611"/>
  <c r="L29" i="611"/>
  <c r="K29" i="611"/>
  <c r="J29" i="611"/>
  <c r="I29" i="611"/>
  <c r="H29" i="611"/>
  <c r="G29" i="611"/>
  <c r="F29" i="611"/>
  <c r="E29" i="611"/>
  <c r="D29" i="611"/>
  <c r="C29" i="611"/>
  <c r="L28" i="611"/>
  <c r="K28" i="611"/>
  <c r="J28" i="611"/>
  <c r="I28" i="611"/>
  <c r="H28" i="611"/>
  <c r="G28" i="611"/>
  <c r="F28" i="611"/>
  <c r="E28" i="611"/>
  <c r="D28" i="611"/>
  <c r="C28" i="611"/>
  <c r="L27" i="611"/>
  <c r="K27" i="611"/>
  <c r="J27" i="611"/>
  <c r="I27" i="611"/>
  <c r="H27" i="611"/>
  <c r="G27" i="611"/>
  <c r="F27" i="611"/>
  <c r="E27" i="611"/>
  <c r="D27" i="611"/>
  <c r="C27" i="611"/>
  <c r="L26" i="611"/>
  <c r="K26" i="611"/>
  <c r="J26" i="611"/>
  <c r="I26" i="611"/>
  <c r="H26" i="611"/>
  <c r="G26" i="611"/>
  <c r="F26" i="611"/>
  <c r="E26" i="611"/>
  <c r="D26" i="611"/>
  <c r="C26" i="611"/>
  <c r="L25" i="611"/>
  <c r="K25" i="611"/>
  <c r="J25" i="611"/>
  <c r="I25" i="611"/>
  <c r="H25" i="611"/>
  <c r="G25" i="611"/>
  <c r="F25" i="611"/>
  <c r="E25" i="611"/>
  <c r="D25" i="611"/>
  <c r="C25" i="611"/>
  <c r="L24" i="611"/>
  <c r="K24" i="611"/>
  <c r="J24" i="611"/>
  <c r="I24" i="611"/>
  <c r="H24" i="611"/>
  <c r="G24" i="611"/>
  <c r="F24" i="611"/>
  <c r="E24" i="611"/>
  <c r="D24" i="611"/>
  <c r="C24" i="611"/>
  <c r="L23" i="611"/>
  <c r="K23" i="611"/>
  <c r="J23" i="611"/>
  <c r="I23" i="611"/>
  <c r="H23" i="611"/>
  <c r="G23" i="611"/>
  <c r="F23" i="611"/>
  <c r="E23" i="611"/>
  <c r="D23" i="611"/>
  <c r="C23" i="611"/>
  <c r="L22" i="611"/>
  <c r="K22" i="611"/>
  <c r="J22" i="611"/>
  <c r="I22" i="611"/>
  <c r="H22" i="611"/>
  <c r="G22" i="611"/>
  <c r="F22" i="611"/>
  <c r="E22" i="611"/>
  <c r="D22" i="611"/>
  <c r="C22" i="611"/>
  <c r="L21" i="611"/>
  <c r="K21" i="611"/>
  <c r="J21" i="611"/>
  <c r="I21" i="611"/>
  <c r="H21" i="611"/>
  <c r="G21" i="611"/>
  <c r="F21" i="611"/>
  <c r="E21" i="611"/>
  <c r="D21" i="611"/>
  <c r="C21" i="611"/>
  <c r="L20" i="611"/>
  <c r="K20" i="611"/>
  <c r="J20" i="611"/>
  <c r="I20" i="611"/>
  <c r="H20" i="611"/>
  <c r="G20" i="611"/>
  <c r="F20" i="611"/>
  <c r="E20" i="611"/>
  <c r="D20" i="611"/>
  <c r="C20" i="611"/>
  <c r="L19" i="611"/>
  <c r="K19" i="611"/>
  <c r="J19" i="611"/>
  <c r="I19" i="611"/>
  <c r="H19" i="611"/>
  <c r="G19" i="611"/>
  <c r="F19" i="611"/>
  <c r="E19" i="611"/>
  <c r="D19" i="611"/>
  <c r="C19" i="611"/>
  <c r="L18" i="611"/>
  <c r="K18" i="611"/>
  <c r="J18" i="611"/>
  <c r="I18" i="611"/>
  <c r="H18" i="611"/>
  <c r="G18" i="611"/>
  <c r="F18" i="611"/>
  <c r="E18" i="611"/>
  <c r="D18" i="611"/>
  <c r="C18" i="611"/>
  <c r="L17" i="611"/>
  <c r="K17" i="611"/>
  <c r="J17" i="611"/>
  <c r="I17" i="611"/>
  <c r="H17" i="611"/>
  <c r="G17" i="611"/>
  <c r="F17" i="611"/>
  <c r="E17" i="611"/>
  <c r="D17" i="611"/>
  <c r="C17" i="611"/>
  <c r="L16" i="611"/>
  <c r="K16" i="611"/>
  <c r="J16" i="611"/>
  <c r="I16" i="611"/>
  <c r="H16" i="611"/>
  <c r="G16" i="611"/>
  <c r="F16" i="611"/>
  <c r="E16" i="611"/>
  <c r="D16" i="611"/>
  <c r="C16" i="611"/>
  <c r="L15" i="611"/>
  <c r="K15" i="611"/>
  <c r="J15" i="611"/>
  <c r="I15" i="611"/>
  <c r="H15" i="611"/>
  <c r="G15" i="611"/>
  <c r="F15" i="611"/>
  <c r="E15" i="611"/>
  <c r="D15" i="611"/>
  <c r="C15" i="611"/>
  <c r="L14" i="611"/>
  <c r="K14" i="611"/>
  <c r="J14" i="611"/>
  <c r="I14" i="611"/>
  <c r="H14" i="611"/>
  <c r="G14" i="611"/>
  <c r="F14" i="611"/>
  <c r="E14" i="611"/>
  <c r="D14" i="611"/>
  <c r="C14" i="611"/>
  <c r="L13" i="611"/>
  <c r="K13" i="611"/>
  <c r="J13" i="611"/>
  <c r="I13" i="611"/>
  <c r="H13" i="611"/>
  <c r="G13" i="611"/>
  <c r="F13" i="611"/>
  <c r="E13" i="611"/>
  <c r="D13" i="611"/>
  <c r="C13" i="611"/>
  <c r="L12" i="611"/>
  <c r="K12" i="611"/>
  <c r="J12" i="611"/>
  <c r="I12" i="611"/>
  <c r="H12" i="611"/>
  <c r="G12" i="611"/>
  <c r="F12" i="611"/>
  <c r="E12" i="611"/>
  <c r="D12" i="611"/>
  <c r="C12" i="611"/>
  <c r="L11" i="611"/>
  <c r="K11" i="611"/>
  <c r="J11" i="611"/>
  <c r="I11" i="611"/>
  <c r="H11" i="611"/>
  <c r="G11" i="611"/>
  <c r="F11" i="611"/>
  <c r="E11" i="611"/>
  <c r="D11" i="611"/>
  <c r="C11" i="611"/>
  <c r="L10" i="611"/>
  <c r="K10" i="611"/>
  <c r="J10" i="611"/>
  <c r="I10" i="611"/>
  <c r="H10" i="611"/>
  <c r="G10" i="611"/>
  <c r="F10" i="611"/>
  <c r="E10" i="611"/>
  <c r="D10" i="611"/>
  <c r="C10" i="611"/>
  <c r="L9" i="611"/>
  <c r="K9" i="611"/>
  <c r="J9" i="611"/>
  <c r="I9" i="611"/>
  <c r="H9" i="611"/>
  <c r="G9" i="611"/>
  <c r="F9" i="611"/>
  <c r="E9" i="611"/>
  <c r="D9" i="611"/>
  <c r="C9" i="611"/>
  <c r="B110" i="611"/>
  <c r="L111" i="611"/>
  <c r="B109" i="611"/>
  <c r="E106" i="611"/>
  <c r="D106" i="611"/>
  <c r="C106" i="611"/>
  <c r="L106" i="611"/>
  <c r="B105" i="611"/>
  <c r="K106" i="611"/>
  <c r="F106" i="611"/>
  <c r="B104" i="611"/>
  <c r="E101" i="611"/>
  <c r="E102" i="611" s="1"/>
  <c r="D101" i="611"/>
  <c r="D102" i="611" s="1"/>
  <c r="C101" i="611"/>
  <c r="C102" i="611" s="1"/>
  <c r="B101" i="611"/>
  <c r="B100" i="611"/>
  <c r="F101" i="611"/>
  <c r="F102" i="611" s="1"/>
  <c r="B99" i="611"/>
  <c r="K99" i="601"/>
  <c r="L99" i="601" s="1"/>
  <c r="J99" i="601"/>
  <c r="F99" i="601"/>
  <c r="L95" i="601"/>
  <c r="L94" i="601"/>
  <c r="L93" i="601"/>
  <c r="L92" i="601"/>
  <c r="L91" i="601"/>
  <c r="L90" i="601"/>
  <c r="L89" i="601"/>
  <c r="L88" i="601"/>
  <c r="L87" i="601"/>
  <c r="L86" i="601"/>
  <c r="L85" i="601"/>
  <c r="L84" i="601"/>
  <c r="L83" i="601"/>
  <c r="L82" i="601"/>
  <c r="L81" i="601"/>
  <c r="L80" i="601"/>
  <c r="L79" i="601"/>
  <c r="L78" i="601"/>
  <c r="L77" i="601"/>
  <c r="L76" i="601"/>
  <c r="L75" i="601"/>
  <c r="L74" i="601"/>
  <c r="L73" i="601"/>
  <c r="L72" i="601"/>
  <c r="L71" i="601"/>
  <c r="L70" i="601"/>
  <c r="L69" i="601"/>
  <c r="L68" i="601"/>
  <c r="L67" i="601"/>
  <c r="L66" i="601"/>
  <c r="L65" i="601"/>
  <c r="L64" i="601"/>
  <c r="L63" i="601"/>
  <c r="L62" i="601"/>
  <c r="L61" i="601"/>
  <c r="L60" i="601"/>
  <c r="L59" i="601"/>
  <c r="L58" i="601"/>
  <c r="L57" i="601"/>
  <c r="L56" i="601"/>
  <c r="L55" i="601"/>
  <c r="L54" i="601"/>
  <c r="L53" i="601"/>
  <c r="L52" i="601"/>
  <c r="L51" i="601"/>
  <c r="L50" i="601"/>
  <c r="L49" i="601"/>
  <c r="L48" i="601"/>
  <c r="L47" i="601"/>
  <c r="L46" i="601"/>
  <c r="L45" i="601"/>
  <c r="L44" i="601"/>
  <c r="L43" i="601"/>
  <c r="L42" i="601"/>
  <c r="L41" i="601"/>
  <c r="L40" i="601"/>
  <c r="L39" i="601"/>
  <c r="L38" i="601"/>
  <c r="L37" i="601"/>
  <c r="L36" i="601"/>
  <c r="L35" i="601"/>
  <c r="L34" i="601"/>
  <c r="K95" i="601"/>
  <c r="K94" i="601"/>
  <c r="K93" i="601"/>
  <c r="K92" i="601"/>
  <c r="K91" i="601"/>
  <c r="K90" i="601"/>
  <c r="K89" i="601"/>
  <c r="K88" i="601"/>
  <c r="K87" i="601"/>
  <c r="K86" i="601"/>
  <c r="K85" i="601"/>
  <c r="K84" i="601"/>
  <c r="K83" i="601"/>
  <c r="K82" i="601"/>
  <c r="K81" i="601"/>
  <c r="K80" i="601"/>
  <c r="K79" i="601"/>
  <c r="K78" i="601"/>
  <c r="K77" i="601"/>
  <c r="K76" i="601"/>
  <c r="K75" i="601"/>
  <c r="K74" i="601"/>
  <c r="K73" i="601"/>
  <c r="K72" i="601"/>
  <c r="K71" i="601"/>
  <c r="K70" i="601"/>
  <c r="K69" i="601"/>
  <c r="K68" i="601"/>
  <c r="K67" i="601"/>
  <c r="K66" i="601"/>
  <c r="K65" i="601"/>
  <c r="K64" i="601"/>
  <c r="K63" i="601"/>
  <c r="K62" i="601"/>
  <c r="K61" i="601"/>
  <c r="K60" i="601"/>
  <c r="K59" i="601"/>
  <c r="K58" i="601"/>
  <c r="K57" i="601"/>
  <c r="K56" i="601"/>
  <c r="K55" i="601"/>
  <c r="K54" i="601"/>
  <c r="K53" i="601"/>
  <c r="K52" i="601"/>
  <c r="K51" i="601"/>
  <c r="K50" i="601"/>
  <c r="K49" i="601"/>
  <c r="K48" i="601"/>
  <c r="K47" i="601"/>
  <c r="K46" i="601"/>
  <c r="K45" i="601"/>
  <c r="K44" i="601"/>
  <c r="K43" i="601"/>
  <c r="K42" i="601"/>
  <c r="K41" i="601"/>
  <c r="K40" i="601"/>
  <c r="K39" i="601"/>
  <c r="K38" i="601"/>
  <c r="K37" i="601"/>
  <c r="K36" i="601"/>
  <c r="K35" i="601"/>
  <c r="K34" i="601"/>
  <c r="J95" i="601"/>
  <c r="J94" i="601"/>
  <c r="J93" i="601"/>
  <c r="J92" i="601"/>
  <c r="J91" i="601"/>
  <c r="J90" i="601"/>
  <c r="J89" i="601"/>
  <c r="J88" i="601"/>
  <c r="J87" i="601"/>
  <c r="J86" i="601"/>
  <c r="J85" i="601"/>
  <c r="J84" i="601"/>
  <c r="J83" i="601"/>
  <c r="J82" i="601"/>
  <c r="J81" i="601"/>
  <c r="J80" i="601"/>
  <c r="J79" i="601"/>
  <c r="J78" i="601"/>
  <c r="J77" i="601"/>
  <c r="J76" i="601"/>
  <c r="J75" i="601"/>
  <c r="J74" i="601"/>
  <c r="J73" i="601"/>
  <c r="J72" i="601"/>
  <c r="J71" i="601"/>
  <c r="J70" i="601"/>
  <c r="J69" i="601"/>
  <c r="J68" i="601"/>
  <c r="J67" i="601"/>
  <c r="J66" i="601"/>
  <c r="J65" i="601"/>
  <c r="J64" i="601"/>
  <c r="J63" i="601"/>
  <c r="J62" i="601"/>
  <c r="J61" i="601"/>
  <c r="J60" i="601"/>
  <c r="J59" i="601"/>
  <c r="J58" i="601"/>
  <c r="J57" i="601"/>
  <c r="J56" i="601"/>
  <c r="J55" i="601"/>
  <c r="J54" i="601"/>
  <c r="J53" i="601"/>
  <c r="J52" i="601"/>
  <c r="J51" i="601"/>
  <c r="J50" i="601"/>
  <c r="J49" i="601"/>
  <c r="J48" i="601"/>
  <c r="J47" i="601"/>
  <c r="J46" i="601"/>
  <c r="J45" i="601"/>
  <c r="J44" i="601"/>
  <c r="J43" i="601"/>
  <c r="J42" i="601"/>
  <c r="J41" i="601"/>
  <c r="J40" i="601"/>
  <c r="J39" i="601"/>
  <c r="J38" i="601"/>
  <c r="J37" i="601"/>
  <c r="J36" i="601"/>
  <c r="J35" i="601"/>
  <c r="F95" i="601"/>
  <c r="F94" i="601"/>
  <c r="F93" i="601"/>
  <c r="F92" i="601"/>
  <c r="F91" i="601"/>
  <c r="F90" i="601"/>
  <c r="F89" i="601"/>
  <c r="F88" i="601"/>
  <c r="F87" i="601"/>
  <c r="F86" i="601"/>
  <c r="F85" i="601"/>
  <c r="F84" i="601"/>
  <c r="F83" i="601"/>
  <c r="F82" i="601"/>
  <c r="F81" i="601"/>
  <c r="F80" i="601"/>
  <c r="F79" i="601"/>
  <c r="F78" i="601"/>
  <c r="F77" i="601"/>
  <c r="F76" i="601"/>
  <c r="F75" i="601"/>
  <c r="F74" i="601"/>
  <c r="F73" i="601"/>
  <c r="F72" i="601"/>
  <c r="F71" i="601"/>
  <c r="F70" i="601"/>
  <c r="F69" i="601"/>
  <c r="F68" i="601"/>
  <c r="F67" i="601"/>
  <c r="F66" i="601"/>
  <c r="F65" i="601"/>
  <c r="F64" i="601"/>
  <c r="F63" i="601"/>
  <c r="F62" i="601"/>
  <c r="F61" i="601"/>
  <c r="F60" i="601"/>
  <c r="F59" i="601"/>
  <c r="F58" i="601"/>
  <c r="F57" i="601"/>
  <c r="F56" i="601"/>
  <c r="F55" i="601"/>
  <c r="F54" i="601"/>
  <c r="F53" i="601"/>
  <c r="F52" i="601"/>
  <c r="F51" i="601"/>
  <c r="F50" i="601"/>
  <c r="F49" i="601"/>
  <c r="F48" i="601"/>
  <c r="F47" i="601"/>
  <c r="F46" i="601"/>
  <c r="F45" i="601"/>
  <c r="F44" i="601"/>
  <c r="F43" i="601"/>
  <c r="F42" i="601"/>
  <c r="F41" i="601"/>
  <c r="F40" i="601"/>
  <c r="F39" i="601"/>
  <c r="F38" i="601"/>
  <c r="F37" i="601"/>
  <c r="F36" i="601"/>
  <c r="F35" i="601"/>
  <c r="J34" i="601"/>
  <c r="F34" i="601"/>
  <c r="J110" i="601"/>
  <c r="F110" i="601"/>
  <c r="J109" i="601"/>
  <c r="F109" i="601"/>
  <c r="J105" i="601"/>
  <c r="F105" i="601"/>
  <c r="J104" i="601"/>
  <c r="F104" i="601"/>
  <c r="J100" i="601"/>
  <c r="F100" i="601"/>
  <c r="L21" i="601"/>
  <c r="L20" i="601"/>
  <c r="L19" i="601"/>
  <c r="L18" i="601"/>
  <c r="L17" i="601"/>
  <c r="L16" i="601"/>
  <c r="K21" i="601"/>
  <c r="K20" i="601"/>
  <c r="K19" i="601"/>
  <c r="K18" i="601"/>
  <c r="K17" i="601"/>
  <c r="K16" i="601"/>
  <c r="K15" i="601"/>
  <c r="L15" i="601" s="1"/>
  <c r="K14" i="601"/>
  <c r="L14" i="601" s="1"/>
  <c r="K13" i="601"/>
  <c r="L13" i="601" s="1"/>
  <c r="J25" i="601"/>
  <c r="J24" i="601"/>
  <c r="J23" i="601"/>
  <c r="J22" i="601"/>
  <c r="J21" i="601"/>
  <c r="J20" i="601"/>
  <c r="J19" i="601"/>
  <c r="J18" i="601"/>
  <c r="J17" i="601"/>
  <c r="J16" i="601"/>
  <c r="J15" i="601"/>
  <c r="J14" i="601"/>
  <c r="J13" i="601"/>
  <c r="J12" i="601"/>
  <c r="J11" i="601"/>
  <c r="J10" i="601"/>
  <c r="J9" i="601"/>
  <c r="F25" i="601"/>
  <c r="K25" i="601" s="1"/>
  <c r="L25" i="601" s="1"/>
  <c r="F24" i="601"/>
  <c r="K24" i="601" s="1"/>
  <c r="L24" i="601" s="1"/>
  <c r="F23" i="601"/>
  <c r="K23" i="601" s="1"/>
  <c r="L23" i="601" s="1"/>
  <c r="F22" i="601"/>
  <c r="K22" i="601" s="1"/>
  <c r="L22" i="601" s="1"/>
  <c r="F21" i="601"/>
  <c r="F20" i="601"/>
  <c r="F19" i="601"/>
  <c r="F18" i="601"/>
  <c r="F17" i="601"/>
  <c r="F16" i="601"/>
  <c r="F15" i="601"/>
  <c r="F14" i="601"/>
  <c r="F13" i="601"/>
  <c r="F12" i="601"/>
  <c r="K12" i="601" s="1"/>
  <c r="L12" i="601" s="1"/>
  <c r="F11" i="601"/>
  <c r="K11" i="601" s="1"/>
  <c r="L11" i="601" s="1"/>
  <c r="F10" i="601"/>
  <c r="K10" i="601" s="1"/>
  <c r="L10" i="601" s="1"/>
  <c r="F9" i="601"/>
  <c r="K9" i="601" s="1"/>
  <c r="L9" i="601" s="1"/>
  <c r="K101" i="611" l="1"/>
  <c r="K102" i="611" s="1"/>
  <c r="K111" i="611"/>
  <c r="L101" i="611"/>
  <c r="L102" i="611" s="1"/>
  <c r="C35" i="608" l="1"/>
  <c r="C35" i="332"/>
  <c r="O12" i="620"/>
  <c r="O13" i="620"/>
  <c r="O14" i="620"/>
  <c r="O15" i="620"/>
  <c r="O16" i="620"/>
  <c r="O17" i="620"/>
  <c r="O18" i="620"/>
  <c r="O19" i="620"/>
  <c r="O20" i="620"/>
  <c r="O21" i="620"/>
  <c r="O22" i="620"/>
  <c r="O23" i="620"/>
  <c r="O24" i="620"/>
  <c r="O25" i="620"/>
  <c r="O26" i="620"/>
  <c r="O27" i="620"/>
  <c r="O11" i="620"/>
  <c r="N38" i="620"/>
  <c r="N39" i="620"/>
  <c r="N40" i="620"/>
  <c r="N41" i="620"/>
  <c r="N42" i="620"/>
  <c r="N43" i="620"/>
  <c r="N44" i="620"/>
  <c r="N45" i="620"/>
  <c r="N46" i="620"/>
  <c r="N47" i="620"/>
  <c r="N48" i="620"/>
  <c r="N49" i="620"/>
  <c r="N50" i="620"/>
  <c r="N51" i="620"/>
  <c r="N52" i="620"/>
  <c r="N53" i="620"/>
  <c r="N54" i="620"/>
  <c r="N55" i="620"/>
  <c r="N56" i="620"/>
  <c r="N57" i="620"/>
  <c r="N58" i="620"/>
  <c r="N59" i="620"/>
  <c r="N60" i="620"/>
  <c r="N61" i="620"/>
  <c r="N62" i="620"/>
  <c r="N63" i="620"/>
  <c r="N64" i="620"/>
  <c r="N65" i="620"/>
  <c r="N66" i="620"/>
  <c r="N67" i="620"/>
  <c r="N68" i="620"/>
  <c r="N69" i="620"/>
  <c r="N70" i="620"/>
  <c r="N71" i="620"/>
  <c r="N72" i="620"/>
  <c r="N73" i="620"/>
  <c r="N74" i="620"/>
  <c r="N75" i="620"/>
  <c r="N76" i="620"/>
  <c r="N77" i="620"/>
  <c r="N78" i="620"/>
  <c r="N79" i="620"/>
  <c r="N80" i="620"/>
  <c r="N81" i="620"/>
  <c r="N82" i="620"/>
  <c r="N83" i="620"/>
  <c r="N84" i="620"/>
  <c r="N85" i="620"/>
  <c r="N86" i="620"/>
  <c r="N87" i="620"/>
  <c r="N88" i="620"/>
  <c r="N89" i="620"/>
  <c r="N90" i="620"/>
  <c r="N91" i="620"/>
  <c r="N92" i="620"/>
  <c r="N93" i="620"/>
  <c r="N94" i="620"/>
  <c r="N95" i="620"/>
  <c r="N96" i="620"/>
  <c r="N97" i="620"/>
  <c r="N98" i="620"/>
  <c r="N37" i="620"/>
  <c r="O12" i="604" l="1"/>
  <c r="O13" i="604"/>
  <c r="O14" i="604"/>
  <c r="O15" i="604"/>
  <c r="O16" i="604"/>
  <c r="O17" i="604"/>
  <c r="O18" i="604"/>
  <c r="O19" i="604"/>
  <c r="O20" i="604"/>
  <c r="O21" i="604"/>
  <c r="O22" i="604"/>
  <c r="O23" i="604"/>
  <c r="O24" i="604"/>
  <c r="O25" i="604"/>
  <c r="O26" i="604"/>
  <c r="O27" i="604"/>
  <c r="O11" i="604"/>
  <c r="G754" i="577" l="1"/>
  <c r="S34" i="603" l="1"/>
  <c r="M16" i="603" l="1"/>
  <c r="M17" i="603"/>
  <c r="M18" i="603"/>
  <c r="M19" i="603"/>
  <c r="M20" i="603"/>
  <c r="M21" i="603"/>
  <c r="M22" i="603"/>
  <c r="M23" i="603"/>
  <c r="M24" i="603"/>
  <c r="M25" i="603"/>
  <c r="M26" i="603"/>
  <c r="M27" i="603"/>
  <c r="L77" i="621" l="1"/>
  <c r="L80" i="621"/>
  <c r="L29" i="603" l="1"/>
  <c r="P75" i="621"/>
  <c r="I47" i="621"/>
  <c r="K47" i="621" s="1"/>
  <c r="Q47" i="621" s="1"/>
  <c r="J47" i="621"/>
  <c r="F369" i="622"/>
  <c r="E369" i="622"/>
  <c r="G9" i="622"/>
  <c r="J9" i="622" s="1"/>
  <c r="C116" i="621" l="1"/>
  <c r="D114" i="621" l="1"/>
  <c r="D116" i="621" s="1"/>
  <c r="G116" i="621" l="1"/>
  <c r="F116" i="621"/>
  <c r="E116" i="621"/>
  <c r="H116" i="621"/>
  <c r="H7" i="621" l="1"/>
  <c r="F38" i="621"/>
  <c r="D15" i="606" l="1"/>
  <c r="I73" i="621" l="1"/>
  <c r="I49" i="621"/>
  <c r="J49" i="621"/>
  <c r="I50" i="621"/>
  <c r="J50" i="621"/>
  <c r="I51" i="621"/>
  <c r="J51" i="621"/>
  <c r="I52" i="621"/>
  <c r="J52" i="621"/>
  <c r="I53" i="621"/>
  <c r="J53" i="621"/>
  <c r="I54" i="621"/>
  <c r="J54" i="621"/>
  <c r="I55" i="621"/>
  <c r="J55" i="621"/>
  <c r="I56" i="621"/>
  <c r="J56" i="621"/>
  <c r="I57" i="621"/>
  <c r="J57" i="621"/>
  <c r="I58" i="621"/>
  <c r="J58" i="621"/>
  <c r="I59" i="621"/>
  <c r="J59" i="621"/>
  <c r="I60" i="621"/>
  <c r="J60" i="621"/>
  <c r="I61" i="621"/>
  <c r="J61" i="621"/>
  <c r="I62" i="621"/>
  <c r="J62" i="621"/>
  <c r="I63" i="621"/>
  <c r="J63" i="621"/>
  <c r="I64" i="621"/>
  <c r="J64" i="621"/>
  <c r="I65" i="621"/>
  <c r="J65" i="621"/>
  <c r="I66" i="621"/>
  <c r="J66" i="621"/>
  <c r="I67" i="621"/>
  <c r="J67" i="621"/>
  <c r="I68" i="621"/>
  <c r="J68" i="621"/>
  <c r="I69" i="621"/>
  <c r="J69" i="621"/>
  <c r="I70" i="621"/>
  <c r="J70" i="621"/>
  <c r="I71" i="621"/>
  <c r="J71" i="621"/>
  <c r="I72" i="621"/>
  <c r="J72" i="621"/>
  <c r="J73" i="621"/>
  <c r="I74" i="621"/>
  <c r="J74" i="621"/>
  <c r="J48" i="621"/>
  <c r="I48" i="621"/>
  <c r="G42" i="336"/>
  <c r="D12" i="336" s="1"/>
  <c r="I75" i="621" l="1"/>
  <c r="J75" i="621"/>
  <c r="F278" i="622"/>
  <c r="E278" i="622"/>
  <c r="D278" i="622"/>
  <c r="F205" i="622"/>
  <c r="E205" i="622"/>
  <c r="D205" i="622"/>
  <c r="F146" i="622"/>
  <c r="E146" i="622"/>
  <c r="D146" i="622"/>
  <c r="F132" i="622"/>
  <c r="E132" i="622"/>
  <c r="D132" i="622"/>
  <c r="F113" i="622"/>
  <c r="E113" i="622"/>
  <c r="D113" i="622"/>
  <c r="F33" i="622"/>
  <c r="E33" i="622"/>
  <c r="D33" i="622"/>
  <c r="N361" i="622"/>
  <c r="M369" i="622"/>
  <c r="N369" i="622"/>
  <c r="N367" i="622"/>
  <c r="N365" i="622"/>
  <c r="N363" i="622"/>
  <c r="N343" i="622"/>
  <c r="M343" i="622"/>
  <c r="N278" i="622"/>
  <c r="M278" i="622"/>
  <c r="N205" i="622"/>
  <c r="M205" i="622"/>
  <c r="N146" i="622"/>
  <c r="M146" i="622"/>
  <c r="N132" i="622"/>
  <c r="M132" i="622"/>
  <c r="N113" i="622"/>
  <c r="M113" i="622"/>
  <c r="N33" i="622"/>
  <c r="M33" i="622"/>
  <c r="H369" i="622"/>
  <c r="I368" i="622"/>
  <c r="I369" i="622" s="1"/>
  <c r="I367" i="622"/>
  <c r="I365" i="622"/>
  <c r="I363" i="622"/>
  <c r="I361" i="622"/>
  <c r="H361" i="622"/>
  <c r="I343" i="622"/>
  <c r="H343" i="622"/>
  <c r="I278" i="622"/>
  <c r="H278" i="622"/>
  <c r="I205" i="622"/>
  <c r="H205" i="622"/>
  <c r="I146" i="622"/>
  <c r="H146" i="622"/>
  <c r="I132" i="622"/>
  <c r="H132" i="622"/>
  <c r="I113" i="622"/>
  <c r="H113" i="622"/>
  <c r="I33" i="622"/>
  <c r="H33" i="622"/>
  <c r="N370" i="622" l="1"/>
  <c r="I370" i="622"/>
  <c r="M370" i="622"/>
  <c r="H370" i="622"/>
  <c r="I33" i="336"/>
  <c r="I36" i="336" s="1"/>
  <c r="C96" i="601" l="1"/>
  <c r="Q16" i="604"/>
  <c r="Q17" i="604"/>
  <c r="Q18" i="604"/>
  <c r="Q19" i="604"/>
  <c r="Q20" i="604"/>
  <c r="Q21" i="604"/>
  <c r="Q22" i="604"/>
  <c r="Q23" i="604"/>
  <c r="Q24" i="604"/>
  <c r="Q25" i="604"/>
  <c r="Q26" i="604"/>
  <c r="Q11" i="604"/>
  <c r="N28" i="604"/>
  <c r="N98" i="604"/>
  <c r="Q29" i="604" l="1"/>
  <c r="Q30" i="604"/>
  <c r="Q31" i="604"/>
  <c r="P28" i="604"/>
  <c r="P29" i="604"/>
  <c r="P30" i="604"/>
  <c r="P31" i="604"/>
  <c r="O28" i="604"/>
  <c r="O29" i="604"/>
  <c r="O30" i="604"/>
  <c r="O31" i="604"/>
  <c r="N99" i="604"/>
  <c r="N29" i="604"/>
  <c r="N30" i="604"/>
  <c r="N31" i="604"/>
  <c r="F121" i="619" l="1"/>
  <c r="K121" i="619"/>
  <c r="Q121" i="619"/>
  <c r="S121" i="619"/>
  <c r="O26" i="619"/>
  <c r="Q25" i="620" s="1"/>
  <c r="I13" i="609"/>
  <c r="O13" i="619" s="1"/>
  <c r="Q12" i="620" s="1"/>
  <c r="I14" i="609"/>
  <c r="O14" i="619" s="1"/>
  <c r="Q13" i="620" s="1"/>
  <c r="I15" i="609"/>
  <c r="O15" i="619" s="1"/>
  <c r="Q14" i="620" s="1"/>
  <c r="I16" i="609"/>
  <c r="O16" i="619" s="1"/>
  <c r="Q15" i="620" s="1"/>
  <c r="I17" i="609"/>
  <c r="O17" i="619" s="1"/>
  <c r="Q16" i="620" s="1"/>
  <c r="I18" i="609"/>
  <c r="O18" i="619" s="1"/>
  <c r="Q17" i="620" s="1"/>
  <c r="I19" i="609"/>
  <c r="O19" i="619" s="1"/>
  <c r="Q18" i="620" s="1"/>
  <c r="I20" i="609"/>
  <c r="O20" i="619" s="1"/>
  <c r="Q19" i="620" s="1"/>
  <c r="I21" i="609"/>
  <c r="O21" i="619" s="1"/>
  <c r="Q20" i="620" s="1"/>
  <c r="I22" i="609"/>
  <c r="O22" i="619" s="1"/>
  <c r="Q21" i="620" s="1"/>
  <c r="I23" i="609"/>
  <c r="O23" i="619" s="1"/>
  <c r="Q22" i="620" s="1"/>
  <c r="I24" i="609"/>
  <c r="O24" i="619" s="1"/>
  <c r="Q23" i="620" s="1"/>
  <c r="I25" i="609"/>
  <c r="O25" i="619" s="1"/>
  <c r="Q24" i="620" s="1"/>
  <c r="I26" i="609"/>
  <c r="I27" i="609"/>
  <c r="O27" i="619" s="1"/>
  <c r="Q26" i="620" s="1"/>
  <c r="I28" i="609"/>
  <c r="O28" i="619" s="1"/>
  <c r="Q27" i="620" s="1"/>
  <c r="I12" i="609"/>
  <c r="O12" i="619" s="1"/>
  <c r="Q11" i="620" s="1"/>
  <c r="L100" i="603"/>
  <c r="O99" i="619"/>
  <c r="L99" i="619"/>
  <c r="N99" i="620" s="1"/>
  <c r="O99" i="603"/>
  <c r="Q12" i="604"/>
  <c r="Q13" i="604"/>
  <c r="Q14" i="604"/>
  <c r="Q15" i="604"/>
  <c r="Q27" i="604"/>
  <c r="B99" i="603"/>
  <c r="O29" i="619" l="1"/>
  <c r="Q28" i="620" s="1"/>
  <c r="Q99" i="620"/>
  <c r="Q98" i="604"/>
  <c r="Q28" i="604"/>
  <c r="R28" i="604" s="1"/>
  <c r="O33" i="619"/>
  <c r="O121" i="619" s="1"/>
  <c r="O33" i="603"/>
  <c r="J29" i="609"/>
  <c r="I33" i="609"/>
  <c r="G31" i="622" l="1"/>
  <c r="J31" i="622" s="1"/>
  <c r="G32" i="622"/>
  <c r="J32" i="622" s="1"/>
  <c r="G30" i="622"/>
  <c r="J30" i="622" s="1"/>
  <c r="G29" i="622"/>
  <c r="J29" i="622" s="1"/>
  <c r="G28" i="622"/>
  <c r="J28" i="622" s="1"/>
  <c r="G27" i="622"/>
  <c r="J27" i="622" s="1"/>
  <c r="G26" i="622"/>
  <c r="J26" i="622" s="1"/>
  <c r="G25" i="622"/>
  <c r="J25" i="622" s="1"/>
  <c r="G24" i="622"/>
  <c r="J24" i="622" s="1"/>
  <c r="G23" i="622"/>
  <c r="J23" i="622" s="1"/>
  <c r="G22" i="622"/>
  <c r="J22" i="622" s="1"/>
  <c r="G21" i="622"/>
  <c r="J21" i="622" s="1"/>
  <c r="G20" i="622"/>
  <c r="J20" i="622" s="1"/>
  <c r="G19" i="622"/>
  <c r="J19" i="622" s="1"/>
  <c r="G18" i="622"/>
  <c r="J18" i="622" s="1"/>
  <c r="G17" i="622"/>
  <c r="J17" i="622" s="1"/>
  <c r="G16" i="622"/>
  <c r="J16" i="622" s="1"/>
  <c r="G15" i="622"/>
  <c r="J15" i="622" s="1"/>
  <c r="G14" i="622"/>
  <c r="J14" i="622" s="1"/>
  <c r="G13" i="622"/>
  <c r="J13" i="622" s="1"/>
  <c r="G12" i="622"/>
  <c r="J12" i="622" s="1"/>
  <c r="G11" i="622"/>
  <c r="J11" i="622" s="1"/>
  <c r="G10" i="622"/>
  <c r="J10" i="622" s="1"/>
  <c r="L367" i="622"/>
  <c r="G367" i="622"/>
  <c r="O366" i="622"/>
  <c r="O367" i="622" s="1"/>
  <c r="J366" i="622"/>
  <c r="J367" i="622" s="1"/>
  <c r="L365" i="622"/>
  <c r="G365" i="622"/>
  <c r="O364" i="622"/>
  <c r="O365" i="622" s="1"/>
  <c r="J364" i="622"/>
  <c r="L363" i="622"/>
  <c r="G363" i="622"/>
  <c r="O362" i="622"/>
  <c r="O363" i="622" s="1"/>
  <c r="J362" i="622"/>
  <c r="J363" i="622" s="1"/>
  <c r="O360" i="622"/>
  <c r="J360" i="622"/>
  <c r="O359" i="622"/>
  <c r="J359" i="622"/>
  <c r="O358" i="622"/>
  <c r="J358" i="622"/>
  <c r="O357" i="622"/>
  <c r="J357" i="622"/>
  <c r="O356" i="622"/>
  <c r="J356" i="622"/>
  <c r="O355" i="622"/>
  <c r="J355" i="622"/>
  <c r="O354" i="622"/>
  <c r="J354" i="622"/>
  <c r="O353" i="622"/>
  <c r="J353" i="622"/>
  <c r="O352" i="622"/>
  <c r="J352" i="622"/>
  <c r="O351" i="622"/>
  <c r="J351" i="622"/>
  <c r="O350" i="622"/>
  <c r="J350" i="622"/>
  <c r="O349" i="622"/>
  <c r="J349" i="622"/>
  <c r="O348" i="622"/>
  <c r="J348" i="622"/>
  <c r="O347" i="622"/>
  <c r="J347" i="622"/>
  <c r="O346" i="622"/>
  <c r="J346" i="622"/>
  <c r="O345" i="622"/>
  <c r="J345" i="622"/>
  <c r="O342" i="622"/>
  <c r="J342" i="622"/>
  <c r="O341" i="622"/>
  <c r="J341" i="622"/>
  <c r="O340" i="622"/>
  <c r="J340" i="622"/>
  <c r="O339" i="622"/>
  <c r="J339" i="622"/>
  <c r="O338" i="622"/>
  <c r="J338" i="622"/>
  <c r="O337" i="622"/>
  <c r="J337" i="622"/>
  <c r="O336" i="622"/>
  <c r="J336" i="622"/>
  <c r="O335" i="622"/>
  <c r="J335" i="622"/>
  <c r="O334" i="622"/>
  <c r="J334" i="622"/>
  <c r="O333" i="622"/>
  <c r="J333" i="622"/>
  <c r="O332" i="622"/>
  <c r="J332" i="622"/>
  <c r="O331" i="622"/>
  <c r="J331" i="622"/>
  <c r="O330" i="622"/>
  <c r="J330" i="622"/>
  <c r="O329" i="622"/>
  <c r="J329" i="622"/>
  <c r="O328" i="622"/>
  <c r="J328" i="622"/>
  <c r="O327" i="622"/>
  <c r="J327" i="622"/>
  <c r="O326" i="622"/>
  <c r="J326" i="622"/>
  <c r="O325" i="622"/>
  <c r="J325" i="622"/>
  <c r="O324" i="622"/>
  <c r="J324" i="622"/>
  <c r="O323" i="622"/>
  <c r="J323" i="622"/>
  <c r="O322" i="622"/>
  <c r="J322" i="622"/>
  <c r="O321" i="622"/>
  <c r="J321" i="622"/>
  <c r="O320" i="622"/>
  <c r="J320" i="622"/>
  <c r="O319" i="622"/>
  <c r="J319" i="622"/>
  <c r="O318" i="622"/>
  <c r="J318" i="622"/>
  <c r="O317" i="622"/>
  <c r="J317" i="622"/>
  <c r="O316" i="622"/>
  <c r="J316" i="622"/>
  <c r="O315" i="622"/>
  <c r="J315" i="622"/>
  <c r="O314" i="622"/>
  <c r="J314" i="622"/>
  <c r="O313" i="622"/>
  <c r="J313" i="622"/>
  <c r="O312" i="622"/>
  <c r="J312" i="622"/>
  <c r="O311" i="622"/>
  <c r="J311" i="622"/>
  <c r="O310" i="622"/>
  <c r="J310" i="622"/>
  <c r="O309" i="622"/>
  <c r="J309" i="622"/>
  <c r="O308" i="622"/>
  <c r="J308" i="622"/>
  <c r="O307" i="622"/>
  <c r="J307" i="622"/>
  <c r="O306" i="622"/>
  <c r="J306" i="622"/>
  <c r="O305" i="622"/>
  <c r="J305" i="622"/>
  <c r="O304" i="622"/>
  <c r="J304" i="622"/>
  <c r="O303" i="622"/>
  <c r="J303" i="622"/>
  <c r="O302" i="622"/>
  <c r="J302" i="622"/>
  <c r="O301" i="622"/>
  <c r="J301" i="622"/>
  <c r="O300" i="622"/>
  <c r="J300" i="622"/>
  <c r="O299" i="622"/>
  <c r="J299" i="622"/>
  <c r="O298" i="622"/>
  <c r="J298" i="622"/>
  <c r="O297" i="622"/>
  <c r="J297" i="622"/>
  <c r="O296" i="622"/>
  <c r="J296" i="622"/>
  <c r="O295" i="622"/>
  <c r="J295" i="622"/>
  <c r="O294" i="622"/>
  <c r="J294" i="622"/>
  <c r="O293" i="622"/>
  <c r="J293" i="622"/>
  <c r="O292" i="622"/>
  <c r="J292" i="622"/>
  <c r="O291" i="622"/>
  <c r="J291" i="622"/>
  <c r="O290" i="622"/>
  <c r="J290" i="622"/>
  <c r="O289" i="622"/>
  <c r="J289" i="622"/>
  <c r="O288" i="622"/>
  <c r="J288" i="622"/>
  <c r="O287" i="622"/>
  <c r="J287" i="622"/>
  <c r="O286" i="622"/>
  <c r="J286" i="622"/>
  <c r="O285" i="622"/>
  <c r="J285" i="622"/>
  <c r="O284" i="622"/>
  <c r="J284" i="622"/>
  <c r="O283" i="622"/>
  <c r="J283" i="622"/>
  <c r="O282" i="622"/>
  <c r="J282" i="622"/>
  <c r="O281" i="622"/>
  <c r="J281" i="622"/>
  <c r="O280" i="622"/>
  <c r="J280" i="622"/>
  <c r="O277" i="622"/>
  <c r="J277" i="622"/>
  <c r="O276" i="622"/>
  <c r="J276" i="622"/>
  <c r="O275" i="622"/>
  <c r="J275" i="622"/>
  <c r="O274" i="622"/>
  <c r="J274" i="622"/>
  <c r="O273" i="622"/>
  <c r="J273" i="622"/>
  <c r="O272" i="622"/>
  <c r="J272" i="622"/>
  <c r="O271" i="622"/>
  <c r="J271" i="622"/>
  <c r="O270" i="622"/>
  <c r="J270" i="622"/>
  <c r="O269" i="622"/>
  <c r="J269" i="622"/>
  <c r="O268" i="622"/>
  <c r="J268" i="622"/>
  <c r="O267" i="622"/>
  <c r="J267" i="622"/>
  <c r="O266" i="622"/>
  <c r="J266" i="622"/>
  <c r="O265" i="622"/>
  <c r="J265" i="622"/>
  <c r="O264" i="622"/>
  <c r="J264" i="622"/>
  <c r="O263" i="622"/>
  <c r="J263" i="622"/>
  <c r="O262" i="622"/>
  <c r="J262" i="622"/>
  <c r="O261" i="622"/>
  <c r="J261" i="622"/>
  <c r="O260" i="622"/>
  <c r="J260" i="622"/>
  <c r="O259" i="622"/>
  <c r="J259" i="622"/>
  <c r="O258" i="622"/>
  <c r="J258" i="622"/>
  <c r="O257" i="622"/>
  <c r="J257" i="622"/>
  <c r="O256" i="622"/>
  <c r="J256" i="622"/>
  <c r="O255" i="622"/>
  <c r="J255" i="622"/>
  <c r="O254" i="622"/>
  <c r="J254" i="622"/>
  <c r="O253" i="622"/>
  <c r="J253" i="622"/>
  <c r="O252" i="622"/>
  <c r="J252" i="622"/>
  <c r="O251" i="622"/>
  <c r="J251" i="622"/>
  <c r="O250" i="622"/>
  <c r="J250" i="622"/>
  <c r="O249" i="622"/>
  <c r="J249" i="622"/>
  <c r="O248" i="622"/>
  <c r="J248" i="622"/>
  <c r="O247" i="622"/>
  <c r="J247" i="622"/>
  <c r="O246" i="622"/>
  <c r="J246" i="622"/>
  <c r="O245" i="622"/>
  <c r="J245" i="622"/>
  <c r="O244" i="622"/>
  <c r="J244" i="622"/>
  <c r="O243" i="622"/>
  <c r="J243" i="622"/>
  <c r="O242" i="622"/>
  <c r="J242" i="622"/>
  <c r="O241" i="622"/>
  <c r="J241" i="622"/>
  <c r="O240" i="622"/>
  <c r="J240" i="622"/>
  <c r="O239" i="622"/>
  <c r="J239" i="622"/>
  <c r="O238" i="622"/>
  <c r="J238" i="622"/>
  <c r="O237" i="622"/>
  <c r="J237" i="622"/>
  <c r="O236" i="622"/>
  <c r="J236" i="622"/>
  <c r="O235" i="622"/>
  <c r="J235" i="622"/>
  <c r="O234" i="622"/>
  <c r="J234" i="622"/>
  <c r="O233" i="622"/>
  <c r="J233" i="622"/>
  <c r="O232" i="622"/>
  <c r="J232" i="622"/>
  <c r="O231" i="622"/>
  <c r="J231" i="622"/>
  <c r="O230" i="622"/>
  <c r="J230" i="622"/>
  <c r="O229" i="622"/>
  <c r="J229" i="622"/>
  <c r="O228" i="622"/>
  <c r="J228" i="622"/>
  <c r="O227" i="622"/>
  <c r="J227" i="622"/>
  <c r="O226" i="622"/>
  <c r="J226" i="622"/>
  <c r="O225" i="622"/>
  <c r="J225" i="622"/>
  <c r="O224" i="622"/>
  <c r="J224" i="622"/>
  <c r="O223" i="622"/>
  <c r="J223" i="622"/>
  <c r="O222" i="622"/>
  <c r="J222" i="622"/>
  <c r="O221" i="622"/>
  <c r="J221" i="622"/>
  <c r="O220" i="622"/>
  <c r="J220" i="622"/>
  <c r="O219" i="622"/>
  <c r="J219" i="622"/>
  <c r="O218" i="622"/>
  <c r="J218" i="622"/>
  <c r="O217" i="622"/>
  <c r="J217" i="622"/>
  <c r="O216" i="622"/>
  <c r="J216" i="622"/>
  <c r="O215" i="622"/>
  <c r="J215" i="622"/>
  <c r="O214" i="622"/>
  <c r="J214" i="622"/>
  <c r="O213" i="622"/>
  <c r="J213" i="622"/>
  <c r="O212" i="622"/>
  <c r="J212" i="622"/>
  <c r="O211" i="622"/>
  <c r="J211" i="622"/>
  <c r="O210" i="622"/>
  <c r="J210" i="622"/>
  <c r="O209" i="622"/>
  <c r="J209" i="622"/>
  <c r="O208" i="622"/>
  <c r="J208" i="622"/>
  <c r="O207" i="622"/>
  <c r="J207" i="622"/>
  <c r="O204" i="622"/>
  <c r="J204" i="622"/>
  <c r="O203" i="622"/>
  <c r="J203" i="622"/>
  <c r="O202" i="622"/>
  <c r="J202" i="622"/>
  <c r="O201" i="622"/>
  <c r="J201" i="622"/>
  <c r="O200" i="622"/>
  <c r="J200" i="622"/>
  <c r="O199" i="622"/>
  <c r="J199" i="622"/>
  <c r="O198" i="622"/>
  <c r="J198" i="622"/>
  <c r="O197" i="622"/>
  <c r="J197" i="622"/>
  <c r="O196" i="622"/>
  <c r="J196" i="622"/>
  <c r="O195" i="622"/>
  <c r="J195" i="622"/>
  <c r="O194" i="622"/>
  <c r="J194" i="622"/>
  <c r="O193" i="622"/>
  <c r="J193" i="622"/>
  <c r="O192" i="622"/>
  <c r="J192" i="622"/>
  <c r="O191" i="622"/>
  <c r="J191" i="622"/>
  <c r="O190" i="622"/>
  <c r="J190" i="622"/>
  <c r="O189" i="622"/>
  <c r="J189" i="622"/>
  <c r="O188" i="622"/>
  <c r="J188" i="622"/>
  <c r="O187" i="622"/>
  <c r="J187" i="622"/>
  <c r="O186" i="622"/>
  <c r="J186" i="622"/>
  <c r="O185" i="622"/>
  <c r="J185" i="622"/>
  <c r="O184" i="622"/>
  <c r="J184" i="622"/>
  <c r="O183" i="622"/>
  <c r="J183" i="622"/>
  <c r="O182" i="622"/>
  <c r="J182" i="622"/>
  <c r="O181" i="622"/>
  <c r="J181" i="622"/>
  <c r="O180" i="622"/>
  <c r="J180" i="622"/>
  <c r="O179" i="622"/>
  <c r="J179" i="622"/>
  <c r="O178" i="622"/>
  <c r="J178" i="622"/>
  <c r="O177" i="622"/>
  <c r="J177" i="622"/>
  <c r="O176" i="622"/>
  <c r="J176" i="622"/>
  <c r="O175" i="622"/>
  <c r="J175" i="622"/>
  <c r="O174" i="622"/>
  <c r="J174" i="622"/>
  <c r="O173" i="622"/>
  <c r="J173" i="622"/>
  <c r="O172" i="622"/>
  <c r="J172" i="622"/>
  <c r="O171" i="622"/>
  <c r="J171" i="622"/>
  <c r="O170" i="622"/>
  <c r="J170" i="622"/>
  <c r="O169" i="622"/>
  <c r="J169" i="622"/>
  <c r="O168" i="622"/>
  <c r="J168" i="622"/>
  <c r="O167" i="622"/>
  <c r="J167" i="622"/>
  <c r="O166" i="622"/>
  <c r="J166" i="622"/>
  <c r="O165" i="622"/>
  <c r="J165" i="622"/>
  <c r="O164" i="622"/>
  <c r="J164" i="622"/>
  <c r="O163" i="622"/>
  <c r="J163" i="622"/>
  <c r="O162" i="622"/>
  <c r="J162" i="622"/>
  <c r="O161" i="622"/>
  <c r="J161" i="622"/>
  <c r="O160" i="622"/>
  <c r="J160" i="622"/>
  <c r="O159" i="622"/>
  <c r="J159" i="622"/>
  <c r="O158" i="622"/>
  <c r="J158" i="622"/>
  <c r="O157" i="622"/>
  <c r="J157" i="622"/>
  <c r="O156" i="622"/>
  <c r="J156" i="622"/>
  <c r="O155" i="622"/>
  <c r="J155" i="622"/>
  <c r="O154" i="622"/>
  <c r="J154" i="622"/>
  <c r="O153" i="622"/>
  <c r="J153" i="622"/>
  <c r="O152" i="622"/>
  <c r="J152" i="622"/>
  <c r="O151" i="622"/>
  <c r="J151" i="622"/>
  <c r="O150" i="622"/>
  <c r="J150" i="622"/>
  <c r="O149" i="622"/>
  <c r="J149" i="622"/>
  <c r="O148" i="622"/>
  <c r="J148" i="622"/>
  <c r="O145" i="622"/>
  <c r="J145" i="622"/>
  <c r="O144" i="622"/>
  <c r="J144" i="622"/>
  <c r="O143" i="622"/>
  <c r="J143" i="622"/>
  <c r="O142" i="622"/>
  <c r="J142" i="622"/>
  <c r="O141" i="622"/>
  <c r="J141" i="622"/>
  <c r="O140" i="622"/>
  <c r="J140" i="622"/>
  <c r="O139" i="622"/>
  <c r="J139" i="622"/>
  <c r="O138" i="622"/>
  <c r="J138" i="622"/>
  <c r="O137" i="622"/>
  <c r="J137" i="622"/>
  <c r="O136" i="622"/>
  <c r="J136" i="622"/>
  <c r="O135" i="622"/>
  <c r="J135" i="622"/>
  <c r="O134" i="622"/>
  <c r="J134" i="622"/>
  <c r="O131" i="622"/>
  <c r="J131" i="622"/>
  <c r="O130" i="622"/>
  <c r="J130" i="622"/>
  <c r="O129" i="622"/>
  <c r="J129" i="622"/>
  <c r="O128" i="622"/>
  <c r="J128" i="622"/>
  <c r="O127" i="622"/>
  <c r="J127" i="622"/>
  <c r="O126" i="622"/>
  <c r="J126" i="622"/>
  <c r="O125" i="622"/>
  <c r="J125" i="622"/>
  <c r="O124" i="622"/>
  <c r="J124" i="622"/>
  <c r="O123" i="622"/>
  <c r="J123" i="622"/>
  <c r="O122" i="622"/>
  <c r="J122" i="622"/>
  <c r="O121" i="622"/>
  <c r="J121" i="622"/>
  <c r="O120" i="622"/>
  <c r="J120" i="622"/>
  <c r="O119" i="622"/>
  <c r="J119" i="622"/>
  <c r="O118" i="622"/>
  <c r="J118" i="622"/>
  <c r="O117" i="622"/>
  <c r="J117" i="622"/>
  <c r="O116" i="622"/>
  <c r="J116" i="622"/>
  <c r="O115" i="622"/>
  <c r="J115" i="622"/>
  <c r="O112" i="622"/>
  <c r="J112" i="622"/>
  <c r="O111" i="622"/>
  <c r="J111" i="622"/>
  <c r="O110" i="622"/>
  <c r="J110" i="622"/>
  <c r="O109" i="622"/>
  <c r="J109" i="622"/>
  <c r="O108" i="622"/>
  <c r="J108" i="622"/>
  <c r="O107" i="622"/>
  <c r="J107" i="622"/>
  <c r="O106" i="622"/>
  <c r="J106" i="622"/>
  <c r="O105" i="622"/>
  <c r="J105" i="622"/>
  <c r="O104" i="622"/>
  <c r="J104" i="622"/>
  <c r="O103" i="622"/>
  <c r="J103" i="622"/>
  <c r="O102" i="622"/>
  <c r="J102" i="622"/>
  <c r="O101" i="622"/>
  <c r="J101" i="622"/>
  <c r="O100" i="622"/>
  <c r="J100" i="622"/>
  <c r="O99" i="622"/>
  <c r="J99" i="622"/>
  <c r="O98" i="622"/>
  <c r="J98" i="622"/>
  <c r="O97" i="622"/>
  <c r="J97" i="622"/>
  <c r="O96" i="622"/>
  <c r="J96" i="622"/>
  <c r="O95" i="622"/>
  <c r="J95" i="622"/>
  <c r="O94" i="622"/>
  <c r="J94" i="622"/>
  <c r="O93" i="622"/>
  <c r="J93" i="622"/>
  <c r="O92" i="622"/>
  <c r="J92" i="622"/>
  <c r="O91" i="622"/>
  <c r="J91" i="622"/>
  <c r="O90" i="622"/>
  <c r="J90" i="622"/>
  <c r="O89" i="622"/>
  <c r="J89" i="622"/>
  <c r="O88" i="622"/>
  <c r="J88" i="622"/>
  <c r="O87" i="622"/>
  <c r="J87" i="622"/>
  <c r="O86" i="622"/>
  <c r="J86" i="622"/>
  <c r="O85" i="622"/>
  <c r="J85" i="622"/>
  <c r="O84" i="622"/>
  <c r="J84" i="622"/>
  <c r="O83" i="622"/>
  <c r="J83" i="622"/>
  <c r="O82" i="622"/>
  <c r="J82" i="622"/>
  <c r="O81" i="622"/>
  <c r="J81" i="622"/>
  <c r="O80" i="622"/>
  <c r="J80" i="622"/>
  <c r="O79" i="622"/>
  <c r="J79" i="622"/>
  <c r="O78" i="622"/>
  <c r="J78" i="622"/>
  <c r="O77" i="622"/>
  <c r="J77" i="622"/>
  <c r="O76" i="622"/>
  <c r="J76" i="622"/>
  <c r="O75" i="622"/>
  <c r="J75" i="622"/>
  <c r="O74" i="622"/>
  <c r="J74" i="622"/>
  <c r="O73" i="622"/>
  <c r="J73" i="622"/>
  <c r="O72" i="622"/>
  <c r="J72" i="622"/>
  <c r="O71" i="622"/>
  <c r="J71" i="622"/>
  <c r="O70" i="622"/>
  <c r="J70" i="622"/>
  <c r="O69" i="622"/>
  <c r="J69" i="622"/>
  <c r="O68" i="622"/>
  <c r="J68" i="622"/>
  <c r="O67" i="622"/>
  <c r="J67" i="622"/>
  <c r="O66" i="622"/>
  <c r="J66" i="622"/>
  <c r="O65" i="622"/>
  <c r="J65" i="622"/>
  <c r="O64" i="622"/>
  <c r="J64" i="622"/>
  <c r="O63" i="622"/>
  <c r="J63" i="622"/>
  <c r="O62" i="622"/>
  <c r="J62" i="622"/>
  <c r="O61" i="622"/>
  <c r="J61" i="622"/>
  <c r="O60" i="622"/>
  <c r="J60" i="622"/>
  <c r="O59" i="622"/>
  <c r="J59" i="622"/>
  <c r="O58" i="622"/>
  <c r="J58" i="622"/>
  <c r="O57" i="622"/>
  <c r="J57" i="622"/>
  <c r="O56" i="622"/>
  <c r="J56" i="622"/>
  <c r="O55" i="622"/>
  <c r="J55" i="622"/>
  <c r="O54" i="622"/>
  <c r="J54" i="622"/>
  <c r="O53" i="622"/>
  <c r="J53" i="622"/>
  <c r="O52" i="622"/>
  <c r="J52" i="622"/>
  <c r="O51" i="622"/>
  <c r="J51" i="622"/>
  <c r="O50" i="622"/>
  <c r="J50" i="622"/>
  <c r="O49" i="622"/>
  <c r="J49" i="622"/>
  <c r="O48" i="622"/>
  <c r="J48" i="622"/>
  <c r="O47" i="622"/>
  <c r="J47" i="622"/>
  <c r="O46" i="622"/>
  <c r="J46" i="622"/>
  <c r="O45" i="622"/>
  <c r="J45" i="622"/>
  <c r="O44" i="622"/>
  <c r="J44" i="622"/>
  <c r="O43" i="622"/>
  <c r="J43" i="622"/>
  <c r="O42" i="622"/>
  <c r="J42" i="622"/>
  <c r="O41" i="622"/>
  <c r="J41" i="622"/>
  <c r="O40" i="622"/>
  <c r="J40" i="622"/>
  <c r="O39" i="622"/>
  <c r="J39" i="622"/>
  <c r="O38" i="622"/>
  <c r="J38" i="622"/>
  <c r="O37" i="622"/>
  <c r="J37" i="622"/>
  <c r="O36" i="622"/>
  <c r="J36" i="622"/>
  <c r="O34" i="622"/>
  <c r="J34" i="622"/>
  <c r="K1" i="622"/>
  <c r="F1" i="622"/>
  <c r="E1" i="622"/>
  <c r="P53" i="622" l="1"/>
  <c r="P63" i="622"/>
  <c r="P73" i="622"/>
  <c r="P103" i="622"/>
  <c r="P337" i="622"/>
  <c r="P111" i="622"/>
  <c r="P118" i="622"/>
  <c r="P334" i="622"/>
  <c r="P332" i="622"/>
  <c r="P128" i="622"/>
  <c r="P352" i="622"/>
  <c r="P238" i="622"/>
  <c r="P331" i="622"/>
  <c r="P336" i="622"/>
  <c r="P340" i="622"/>
  <c r="P262" i="622"/>
  <c r="P272" i="622"/>
  <c r="P318" i="622"/>
  <c r="P40" i="622"/>
  <c r="P45" i="622"/>
  <c r="P50" i="622"/>
  <c r="P54" i="622"/>
  <c r="P89" i="622"/>
  <c r="P99" i="622"/>
  <c r="P119" i="622"/>
  <c r="P295" i="622"/>
  <c r="P120" i="622"/>
  <c r="P130" i="622"/>
  <c r="P327" i="622"/>
  <c r="P353" i="622"/>
  <c r="P137" i="622"/>
  <c r="P142" i="622"/>
  <c r="P149" i="622"/>
  <c r="P159" i="622"/>
  <c r="P169" i="622"/>
  <c r="P198" i="622"/>
  <c r="P209" i="622"/>
  <c r="P345" i="622"/>
  <c r="P350" i="622"/>
  <c r="P48" i="622"/>
  <c r="P57" i="622"/>
  <c r="P67" i="622"/>
  <c r="P77" i="622"/>
  <c r="P97" i="622"/>
  <c r="P321" i="622"/>
  <c r="P330" i="622"/>
  <c r="P339" i="622"/>
  <c r="P143" i="622"/>
  <c r="P150" i="622"/>
  <c r="P155" i="622"/>
  <c r="P165" i="622"/>
  <c r="P175" i="622"/>
  <c r="P184" i="622"/>
  <c r="P194" i="622"/>
  <c r="P204" i="622"/>
  <c r="P210" i="622"/>
  <c r="P220" i="622"/>
  <c r="P225" i="622"/>
  <c r="P230" i="622"/>
  <c r="P235" i="622"/>
  <c r="P240" i="622"/>
  <c r="P244" i="622"/>
  <c r="P249" i="622"/>
  <c r="P258" i="622"/>
  <c r="P268" i="622"/>
  <c r="P273" i="622"/>
  <c r="P277" i="622"/>
  <c r="P283" i="622"/>
  <c r="P288" i="622"/>
  <c r="P293" i="622"/>
  <c r="P298" i="622"/>
  <c r="P303" i="622"/>
  <c r="P308" i="622"/>
  <c r="P312" i="622"/>
  <c r="P317" i="622"/>
  <c r="P354" i="622"/>
  <c r="P34" i="622"/>
  <c r="P156" i="622"/>
  <c r="P166" i="622"/>
  <c r="P185" i="622"/>
  <c r="P190" i="622"/>
  <c r="P294" i="622"/>
  <c r="P299" i="622"/>
  <c r="P304" i="622"/>
  <c r="P309" i="622"/>
  <c r="P347" i="622"/>
  <c r="P355" i="622"/>
  <c r="P59" i="622"/>
  <c r="P64" i="622"/>
  <c r="P79" i="622"/>
  <c r="P94" i="622"/>
  <c r="P104" i="622"/>
  <c r="P112" i="622"/>
  <c r="P144" i="622"/>
  <c r="P151" i="622"/>
  <c r="P176" i="622"/>
  <c r="P195" i="622"/>
  <c r="P200" i="622"/>
  <c r="P211" i="622"/>
  <c r="P216" i="622"/>
  <c r="P221" i="622"/>
  <c r="P226" i="622"/>
  <c r="P231" i="622"/>
  <c r="P236" i="622"/>
  <c r="P241" i="622"/>
  <c r="P245" i="622"/>
  <c r="P250" i="622"/>
  <c r="P259" i="622"/>
  <c r="P264" i="622"/>
  <c r="P269" i="622"/>
  <c r="P284" i="622"/>
  <c r="P289" i="622"/>
  <c r="P322" i="622"/>
  <c r="P78" i="622"/>
  <c r="P124" i="622"/>
  <c r="P129" i="622"/>
  <c r="P36" i="622"/>
  <c r="P41" i="622"/>
  <c r="P46" i="622"/>
  <c r="P51" i="622"/>
  <c r="P55" i="622"/>
  <c r="P60" i="622"/>
  <c r="P65" i="622"/>
  <c r="P70" i="622"/>
  <c r="P80" i="622"/>
  <c r="P85" i="622"/>
  <c r="P90" i="622"/>
  <c r="P95" i="622"/>
  <c r="P100" i="622"/>
  <c r="P105" i="622"/>
  <c r="P108" i="622"/>
  <c r="P140" i="622"/>
  <c r="P152" i="622"/>
  <c r="P157" i="622"/>
  <c r="P167" i="622"/>
  <c r="P172" i="622"/>
  <c r="P177" i="622"/>
  <c r="P181" i="622"/>
  <c r="P186" i="622"/>
  <c r="P191" i="622"/>
  <c r="P196" i="622"/>
  <c r="P201" i="622"/>
  <c r="P207" i="622"/>
  <c r="P212" i="622"/>
  <c r="P217" i="622"/>
  <c r="P222" i="622"/>
  <c r="P227" i="622"/>
  <c r="P237" i="622"/>
  <c r="P251" i="622"/>
  <c r="P256" i="622"/>
  <c r="P260" i="622"/>
  <c r="P265" i="622"/>
  <c r="P270" i="622"/>
  <c r="P274" i="622"/>
  <c r="P37" i="622"/>
  <c r="P42" i="622"/>
  <c r="P56" i="622"/>
  <c r="P66" i="622"/>
  <c r="P71" i="622"/>
  <c r="P76" i="622"/>
  <c r="P81" i="622"/>
  <c r="P86" i="622"/>
  <c r="P91" i="622"/>
  <c r="P106" i="622"/>
  <c r="P136" i="622"/>
  <c r="P141" i="622"/>
  <c r="P148" i="622"/>
  <c r="P158" i="622"/>
  <c r="P163" i="622"/>
  <c r="P168" i="622"/>
  <c r="P173" i="622"/>
  <c r="P178" i="622"/>
  <c r="P182" i="622"/>
  <c r="P192" i="622"/>
  <c r="P202" i="622"/>
  <c r="P213" i="622"/>
  <c r="P242" i="622"/>
  <c r="P252" i="622"/>
  <c r="P261" i="622"/>
  <c r="P281" i="622"/>
  <c r="P291" i="622"/>
  <c r="P324" i="622"/>
  <c r="P351" i="622"/>
  <c r="P359" i="622"/>
  <c r="P116" i="622"/>
  <c r="P121" i="622"/>
  <c r="P126" i="622"/>
  <c r="P131" i="622"/>
  <c r="P333" i="622"/>
  <c r="P341" i="622"/>
  <c r="P348" i="622"/>
  <c r="P107" i="622"/>
  <c r="P219" i="622"/>
  <c r="P239" i="622"/>
  <c r="P248" i="622"/>
  <c r="P267" i="622"/>
  <c r="P282" i="622"/>
  <c r="P287" i="622"/>
  <c r="P320" i="622"/>
  <c r="P43" i="622"/>
  <c r="P117" i="622"/>
  <c r="P127" i="622"/>
  <c r="P134" i="622"/>
  <c r="P311" i="622"/>
  <c r="P316" i="622"/>
  <c r="P162" i="622"/>
  <c r="P75" i="622"/>
  <c r="P123" i="622"/>
  <c r="P255" i="622"/>
  <c r="P342" i="622"/>
  <c r="P92" i="622"/>
  <c r="P102" i="622"/>
  <c r="P139" i="622"/>
  <c r="P170" i="622"/>
  <c r="P180" i="622"/>
  <c r="P214" i="622"/>
  <c r="P224" i="622"/>
  <c r="P280" i="622"/>
  <c r="P49" i="622"/>
  <c r="P98" i="622"/>
  <c r="P62" i="622"/>
  <c r="P110" i="622"/>
  <c r="P315" i="622"/>
  <c r="P319" i="622"/>
  <c r="P362" i="622"/>
  <c r="P363" i="622" s="1"/>
  <c r="P39" i="622"/>
  <c r="P44" i="622"/>
  <c r="P61" i="622"/>
  <c r="P84" i="622"/>
  <c r="P88" i="622"/>
  <c r="P93" i="622"/>
  <c r="P109" i="622"/>
  <c r="P171" i="622"/>
  <c r="P183" i="622"/>
  <c r="P188" i="622"/>
  <c r="P197" i="622"/>
  <c r="P215" i="622"/>
  <c r="P228" i="622"/>
  <c r="P233" i="622"/>
  <c r="P263" i="622"/>
  <c r="P275" i="622"/>
  <c r="P302" i="622"/>
  <c r="P306" i="622"/>
  <c r="P310" i="622"/>
  <c r="P314" i="622"/>
  <c r="P335" i="622"/>
  <c r="P338" i="622"/>
  <c r="P346" i="622"/>
  <c r="P356" i="622"/>
  <c r="P153" i="622"/>
  <c r="P229" i="622"/>
  <c r="P246" i="622"/>
  <c r="P276" i="622"/>
  <c r="P285" i="622"/>
  <c r="P307" i="622"/>
  <c r="P323" i="622"/>
  <c r="P193" i="622"/>
  <c r="P357" i="622"/>
  <c r="P189" i="622"/>
  <c r="G33" i="622"/>
  <c r="P115" i="622"/>
  <c r="P203" i="622"/>
  <c r="P72" i="622"/>
  <c r="P199" i="622"/>
  <c r="P243" i="622"/>
  <c r="P358" i="622"/>
  <c r="P145" i="622"/>
  <c r="P247" i="622"/>
  <c r="P68" i="622"/>
  <c r="P125" i="622"/>
  <c r="P164" i="622"/>
  <c r="P257" i="622"/>
  <c r="P325" i="622"/>
  <c r="P328" i="622"/>
  <c r="P154" i="622"/>
  <c r="P290" i="622"/>
  <c r="P38" i="622"/>
  <c r="P47" i="622"/>
  <c r="P69" i="622"/>
  <c r="P82" i="622"/>
  <c r="P87" i="622"/>
  <c r="P96" i="622"/>
  <c r="P160" i="622"/>
  <c r="P253" i="622"/>
  <c r="P292" i="622"/>
  <c r="P296" i="622"/>
  <c r="P300" i="622"/>
  <c r="P305" i="622"/>
  <c r="P326" i="622"/>
  <c r="P329" i="622"/>
  <c r="P349" i="622"/>
  <c r="P364" i="622"/>
  <c r="P365" i="622" s="1"/>
  <c r="P234" i="622"/>
  <c r="P58" i="622"/>
  <c r="P286" i="622"/>
  <c r="P52" i="622"/>
  <c r="P74" i="622"/>
  <c r="P83" i="622"/>
  <c r="P101" i="622"/>
  <c r="P122" i="622"/>
  <c r="P135" i="622"/>
  <c r="P138" i="622"/>
  <c r="P161" i="622"/>
  <c r="P174" i="622"/>
  <c r="P179" i="622"/>
  <c r="P187" i="622"/>
  <c r="P218" i="622"/>
  <c r="P223" i="622"/>
  <c r="P232" i="622"/>
  <c r="P254" i="622"/>
  <c r="P266" i="622"/>
  <c r="P271" i="622"/>
  <c r="P297" i="622"/>
  <c r="P301" i="622"/>
  <c r="P313" i="622"/>
  <c r="P360" i="622"/>
  <c r="J365" i="622"/>
  <c r="P208" i="622"/>
  <c r="P366" i="622"/>
  <c r="P367" i="622" s="1"/>
  <c r="J33" i="622" l="1"/>
  <c r="G41" i="621" l="1"/>
  <c r="F48" i="621"/>
  <c r="G48" i="621"/>
  <c r="F49" i="621"/>
  <c r="G49" i="621"/>
  <c r="F50" i="621"/>
  <c r="G50" i="621"/>
  <c r="F51" i="621"/>
  <c r="G51" i="621"/>
  <c r="F52" i="621"/>
  <c r="G52" i="621"/>
  <c r="F53" i="621"/>
  <c r="G53" i="621"/>
  <c r="F54" i="621"/>
  <c r="G54" i="621"/>
  <c r="F55" i="621"/>
  <c r="G55" i="621"/>
  <c r="F56" i="621"/>
  <c r="G56" i="621"/>
  <c r="F57" i="621"/>
  <c r="G57" i="621"/>
  <c r="F58" i="621"/>
  <c r="G58" i="621"/>
  <c r="F59" i="621"/>
  <c r="G59" i="621"/>
  <c r="F60" i="621"/>
  <c r="G60" i="621"/>
  <c r="F61" i="621"/>
  <c r="G61" i="621"/>
  <c r="F62" i="621"/>
  <c r="G62" i="621"/>
  <c r="F63" i="621"/>
  <c r="G63" i="621"/>
  <c r="F64" i="621"/>
  <c r="G64" i="621"/>
  <c r="F65" i="621"/>
  <c r="G65" i="621"/>
  <c r="F66" i="621"/>
  <c r="G66" i="621"/>
  <c r="F67" i="621"/>
  <c r="G67" i="621"/>
  <c r="F68" i="621"/>
  <c r="G68" i="621"/>
  <c r="F69" i="621"/>
  <c r="G69" i="621"/>
  <c r="F70" i="621"/>
  <c r="G70" i="621"/>
  <c r="F71" i="621"/>
  <c r="G71" i="621"/>
  <c r="F72" i="621"/>
  <c r="G72" i="621"/>
  <c r="F73" i="621"/>
  <c r="G73" i="621"/>
  <c r="F74" i="621"/>
  <c r="G74" i="621"/>
  <c r="C48" i="621"/>
  <c r="D48" i="621"/>
  <c r="C49" i="621"/>
  <c r="D49" i="621"/>
  <c r="C50" i="621"/>
  <c r="D50" i="621"/>
  <c r="C51" i="621"/>
  <c r="D51" i="621"/>
  <c r="C52" i="621"/>
  <c r="D52" i="621"/>
  <c r="C53" i="621"/>
  <c r="D53" i="621"/>
  <c r="C54" i="621"/>
  <c r="E54" i="621" s="1"/>
  <c r="D54" i="621"/>
  <c r="C55" i="621"/>
  <c r="D55" i="621"/>
  <c r="C56" i="621"/>
  <c r="D56" i="621"/>
  <c r="C57" i="621"/>
  <c r="D57" i="621"/>
  <c r="C58" i="621"/>
  <c r="D58" i="621"/>
  <c r="C59" i="621"/>
  <c r="D59" i="621"/>
  <c r="C60" i="621"/>
  <c r="D60" i="621"/>
  <c r="C61" i="621"/>
  <c r="D61" i="621"/>
  <c r="C62" i="621"/>
  <c r="D62" i="621"/>
  <c r="C63" i="621"/>
  <c r="D63" i="621"/>
  <c r="C64" i="621"/>
  <c r="D64" i="621"/>
  <c r="C65" i="621"/>
  <c r="D65" i="621"/>
  <c r="C66" i="621"/>
  <c r="D66" i="621"/>
  <c r="C67" i="621"/>
  <c r="D67" i="621"/>
  <c r="C68" i="621"/>
  <c r="D68" i="621"/>
  <c r="C69" i="621"/>
  <c r="D69" i="621"/>
  <c r="C70" i="621"/>
  <c r="D70" i="621"/>
  <c r="C71" i="621"/>
  <c r="D71" i="621"/>
  <c r="C72" i="621"/>
  <c r="D72" i="621"/>
  <c r="C73" i="621"/>
  <c r="D73" i="621"/>
  <c r="C74" i="621"/>
  <c r="D74" i="621"/>
  <c r="G47" i="621"/>
  <c r="F47" i="621"/>
  <c r="D47" i="621"/>
  <c r="C47" i="621"/>
  <c r="H41" i="621"/>
  <c r="F41" i="621"/>
  <c r="I40" i="621"/>
  <c r="L40" i="621" s="1"/>
  <c r="F40" i="621"/>
  <c r="I39" i="621"/>
  <c r="L39" i="621" s="1"/>
  <c r="F39" i="621"/>
  <c r="F37" i="621"/>
  <c r="F36" i="621"/>
  <c r="F35" i="621"/>
  <c r="F34" i="621"/>
  <c r="F33" i="621"/>
  <c r="F32" i="621"/>
  <c r="F31" i="621"/>
  <c r="F30" i="621"/>
  <c r="G26" i="621"/>
  <c r="F26" i="621"/>
  <c r="D26" i="621"/>
  <c r="C26" i="621"/>
  <c r="H25" i="621"/>
  <c r="E25" i="621"/>
  <c r="H24" i="621"/>
  <c r="E24" i="621"/>
  <c r="H23" i="621"/>
  <c r="E23" i="621"/>
  <c r="H22" i="621"/>
  <c r="E22" i="621"/>
  <c r="H21" i="621"/>
  <c r="E21" i="621"/>
  <c r="H20" i="621"/>
  <c r="E20" i="621"/>
  <c r="H19" i="621"/>
  <c r="E19" i="621"/>
  <c r="H18" i="621"/>
  <c r="E18" i="621"/>
  <c r="H17" i="621"/>
  <c r="E17" i="621"/>
  <c r="H16" i="621"/>
  <c r="E16" i="621"/>
  <c r="H15" i="621"/>
  <c r="E15" i="621"/>
  <c r="H14" i="621"/>
  <c r="E14" i="621"/>
  <c r="H13" i="621"/>
  <c r="E13" i="621"/>
  <c r="H12" i="621"/>
  <c r="E12" i="621"/>
  <c r="H11" i="621"/>
  <c r="E11" i="621"/>
  <c r="H10" i="621"/>
  <c r="E10" i="621"/>
  <c r="H9" i="621"/>
  <c r="E9" i="621"/>
  <c r="H8" i="621"/>
  <c r="E8" i="621"/>
  <c r="E7" i="621"/>
  <c r="H47" i="621" l="1"/>
  <c r="L47" i="621" s="1"/>
  <c r="H53" i="621"/>
  <c r="E56" i="621"/>
  <c r="G75" i="621"/>
  <c r="E62" i="621"/>
  <c r="E63" i="621"/>
  <c r="H67" i="621"/>
  <c r="H62" i="621"/>
  <c r="E49" i="621"/>
  <c r="E61" i="621"/>
  <c r="E60" i="621"/>
  <c r="H65" i="621"/>
  <c r="E68" i="621"/>
  <c r="H50" i="621"/>
  <c r="H55" i="621"/>
  <c r="H58" i="621"/>
  <c r="H52" i="621"/>
  <c r="E58" i="621"/>
  <c r="E71" i="621"/>
  <c r="H70" i="621"/>
  <c r="E26" i="621"/>
  <c r="K56" i="621"/>
  <c r="Q56" i="621" s="1"/>
  <c r="K58" i="621"/>
  <c r="Q58" i="621" s="1"/>
  <c r="I41" i="621"/>
  <c r="L41" i="621" s="1"/>
  <c r="H72" i="621"/>
  <c r="H57" i="621"/>
  <c r="K65" i="621"/>
  <c r="Q65" i="621" s="1"/>
  <c r="K60" i="621"/>
  <c r="Q60" i="621" s="1"/>
  <c r="E47" i="621"/>
  <c r="E53" i="621"/>
  <c r="E48" i="621"/>
  <c r="H61" i="621"/>
  <c r="E57" i="621"/>
  <c r="E72" i="621"/>
  <c r="E67" i="621"/>
  <c r="H60" i="621"/>
  <c r="E66" i="621"/>
  <c r="E51" i="621"/>
  <c r="H64" i="621"/>
  <c r="H49" i="621"/>
  <c r="E50" i="621"/>
  <c r="H48" i="621"/>
  <c r="K68" i="621"/>
  <c r="Q68" i="621" s="1"/>
  <c r="K62" i="621"/>
  <c r="Q62" i="621" s="1"/>
  <c r="K52" i="621"/>
  <c r="Q52" i="621" s="1"/>
  <c r="E65" i="621"/>
  <c r="E59" i="621"/>
  <c r="H74" i="621"/>
  <c r="H69" i="621"/>
  <c r="H63" i="621"/>
  <c r="H51" i="621"/>
  <c r="K55" i="621"/>
  <c r="Q55" i="621" s="1"/>
  <c r="K49" i="621"/>
  <c r="Q49" i="621" s="1"/>
  <c r="E70" i="621"/>
  <c r="E64" i="621"/>
  <c r="E52" i="621"/>
  <c r="H73" i="621"/>
  <c r="H68" i="621"/>
  <c r="H56" i="621"/>
  <c r="K54" i="621"/>
  <c r="Q54" i="621" s="1"/>
  <c r="K48" i="621"/>
  <c r="K59" i="621"/>
  <c r="H54" i="621"/>
  <c r="K64" i="621"/>
  <c r="Q64" i="621" s="1"/>
  <c r="H26" i="621"/>
  <c r="E55" i="621"/>
  <c r="H71" i="621"/>
  <c r="H59" i="621"/>
  <c r="K69" i="621"/>
  <c r="Q69" i="621" s="1"/>
  <c r="E69" i="621"/>
  <c r="K53" i="621"/>
  <c r="H66" i="621"/>
  <c r="K70" i="621"/>
  <c r="Q70" i="621" s="1"/>
  <c r="D75" i="621"/>
  <c r="K50" i="621"/>
  <c r="Q50" i="621" s="1"/>
  <c r="E73" i="621"/>
  <c r="K72" i="621"/>
  <c r="Q72" i="621" s="1"/>
  <c r="K51" i="621"/>
  <c r="Q51" i="621" s="1"/>
  <c r="K66" i="621"/>
  <c r="Q66" i="621" s="1"/>
  <c r="K71" i="621"/>
  <c r="Q71" i="621" s="1"/>
  <c r="K63" i="621"/>
  <c r="Q63" i="621" s="1"/>
  <c r="K61" i="621"/>
  <c r="Q61" i="621" s="1"/>
  <c r="K67" i="621"/>
  <c r="Q67" i="621" s="1"/>
  <c r="K57" i="621"/>
  <c r="Q57" i="621" s="1"/>
  <c r="K73" i="621"/>
  <c r="Q73" i="621" s="1"/>
  <c r="E74" i="621"/>
  <c r="K74" i="621"/>
  <c r="Q74" i="621" s="1"/>
  <c r="C75" i="621"/>
  <c r="F75" i="621"/>
  <c r="L79" i="621" l="1"/>
  <c r="Q48" i="621"/>
  <c r="K75" i="621"/>
  <c r="L53" i="621"/>
  <c r="Q53" i="621"/>
  <c r="Q59" i="621"/>
  <c r="L59" i="621"/>
  <c r="L74" i="621"/>
  <c r="M52" i="621"/>
  <c r="L72" i="621"/>
  <c r="L48" i="621"/>
  <c r="L67" i="621"/>
  <c r="M50" i="621"/>
  <c r="M55" i="621"/>
  <c r="L58" i="621"/>
  <c r="M58" i="621"/>
  <c r="L62" i="621"/>
  <c r="M65" i="621"/>
  <c r="M59" i="621"/>
  <c r="M70" i="621"/>
  <c r="L52" i="621"/>
  <c r="M57" i="621"/>
  <c r="L60" i="621"/>
  <c r="M66" i="621"/>
  <c r="L61" i="621"/>
  <c r="M60" i="621"/>
  <c r="L54" i="621"/>
  <c r="L56" i="621"/>
  <c r="L49" i="621"/>
  <c r="M48" i="621"/>
  <c r="L65" i="621"/>
  <c r="M56" i="621"/>
  <c r="I76" i="621"/>
  <c r="E75" i="621"/>
  <c r="L64" i="621"/>
  <c r="L70" i="621"/>
  <c r="M63" i="621"/>
  <c r="L68" i="621"/>
  <c r="L71" i="621"/>
  <c r="L69" i="621"/>
  <c r="M73" i="621"/>
  <c r="M54" i="621"/>
  <c r="H75" i="621"/>
  <c r="M62" i="621"/>
  <c r="M68" i="621"/>
  <c r="M72" i="621"/>
  <c r="M53" i="621"/>
  <c r="J76" i="621"/>
  <c r="M71" i="621"/>
  <c r="L63" i="621"/>
  <c r="L50" i="621"/>
  <c r="M74" i="621"/>
  <c r="L55" i="621"/>
  <c r="L73" i="621"/>
  <c r="M67" i="621"/>
  <c r="M51" i="621"/>
  <c r="L57" i="621"/>
  <c r="L66" i="621"/>
  <c r="L51" i="621"/>
  <c r="M47" i="621"/>
  <c r="Q75" i="621" l="1"/>
  <c r="L78" i="621"/>
  <c r="L75" i="621"/>
  <c r="M75" i="621"/>
  <c r="H53" i="617"/>
  <c r="H60" i="617"/>
  <c r="H76" i="617"/>
  <c r="H86" i="617"/>
  <c r="H93" i="617"/>
  <c r="L43" i="603"/>
  <c r="L73" i="603"/>
  <c r="L74" i="603"/>
  <c r="H58" i="343"/>
  <c r="H59" i="343"/>
  <c r="H82" i="343"/>
  <c r="H92" i="343"/>
  <c r="F145" i="609"/>
  <c r="G144" i="609"/>
  <c r="H99" i="617" s="1"/>
  <c r="G143" i="609"/>
  <c r="L97" i="619" s="1"/>
  <c r="G142" i="609"/>
  <c r="H97" i="617" s="1"/>
  <c r="G141" i="609"/>
  <c r="L95" i="619" s="1"/>
  <c r="G140" i="609"/>
  <c r="L94" i="619" s="1"/>
  <c r="G139" i="609"/>
  <c r="L93" i="619" s="1"/>
  <c r="G138" i="609"/>
  <c r="L92" i="619" s="1"/>
  <c r="G137" i="609"/>
  <c r="L91" i="619" s="1"/>
  <c r="G136" i="609"/>
  <c r="L90" i="619" s="1"/>
  <c r="G135" i="609"/>
  <c r="H90" i="617" s="1"/>
  <c r="G134" i="609"/>
  <c r="H89" i="617" s="1"/>
  <c r="G133" i="609"/>
  <c r="H88" i="617" s="1"/>
  <c r="G132" i="609"/>
  <c r="H87" i="617" s="1"/>
  <c r="G131" i="609"/>
  <c r="L85" i="619" s="1"/>
  <c r="G130" i="609"/>
  <c r="H85" i="617" s="1"/>
  <c r="G129" i="609"/>
  <c r="L83" i="619" s="1"/>
  <c r="G128" i="609"/>
  <c r="H83" i="617" s="1"/>
  <c r="G127" i="609"/>
  <c r="L81" i="619" s="1"/>
  <c r="G126" i="609"/>
  <c r="L80" i="619" s="1"/>
  <c r="G125" i="609"/>
  <c r="H80" i="617" s="1"/>
  <c r="G124" i="609"/>
  <c r="H79" i="617" s="1"/>
  <c r="G123" i="609"/>
  <c r="L77" i="619" s="1"/>
  <c r="G122" i="609"/>
  <c r="L76" i="619" s="1"/>
  <c r="G121" i="609"/>
  <c r="L75" i="619" s="1"/>
  <c r="G120" i="609"/>
  <c r="L74" i="619" s="1"/>
  <c r="G119" i="609"/>
  <c r="H74" i="617" s="1"/>
  <c r="G118" i="609"/>
  <c r="H73" i="617" s="1"/>
  <c r="G117" i="609"/>
  <c r="L71" i="619" s="1"/>
  <c r="G116" i="609"/>
  <c r="H71" i="617" s="1"/>
  <c r="G115" i="609"/>
  <c r="H70" i="617" s="1"/>
  <c r="G114" i="609"/>
  <c r="H69" i="617" s="1"/>
  <c r="G113" i="609"/>
  <c r="L67" i="619" s="1"/>
  <c r="G112" i="609"/>
  <c r="L66" i="619" s="1"/>
  <c r="G111" i="609"/>
  <c r="H66" i="617" s="1"/>
  <c r="G110" i="609"/>
  <c r="H65" i="617" s="1"/>
  <c r="G109" i="609"/>
  <c r="H64" i="617" s="1"/>
  <c r="G108" i="609"/>
  <c r="H63" i="617" s="1"/>
  <c r="G107" i="609"/>
  <c r="L61" i="619" s="1"/>
  <c r="G106" i="609"/>
  <c r="L60" i="619" s="1"/>
  <c r="G105" i="609"/>
  <c r="L59" i="619" s="1"/>
  <c r="G104" i="609"/>
  <c r="L58" i="619" s="1"/>
  <c r="G103" i="609"/>
  <c r="H58" i="617" s="1"/>
  <c r="G102" i="609"/>
  <c r="H57" i="617" s="1"/>
  <c r="G101" i="609"/>
  <c r="L55" i="619" s="1"/>
  <c r="G100" i="609"/>
  <c r="H55" i="617" s="1"/>
  <c r="G99" i="609"/>
  <c r="L53" i="619" s="1"/>
  <c r="G98" i="609"/>
  <c r="L52" i="619" s="1"/>
  <c r="G97" i="609"/>
  <c r="L51" i="619" s="1"/>
  <c r="G96" i="609"/>
  <c r="H51" i="617" s="1"/>
  <c r="G95" i="609"/>
  <c r="H50" i="617" s="1"/>
  <c r="G94" i="609"/>
  <c r="H49" i="617" s="1"/>
  <c r="G93" i="609"/>
  <c r="L47" i="619" s="1"/>
  <c r="G92" i="609"/>
  <c r="H47" i="617" s="1"/>
  <c r="G91" i="609"/>
  <c r="L45" i="619" s="1"/>
  <c r="G90" i="609"/>
  <c r="H45" i="617" s="1"/>
  <c r="G89" i="609"/>
  <c r="L43" i="619" s="1"/>
  <c r="G88" i="609"/>
  <c r="L42" i="619" s="1"/>
  <c r="G87" i="609"/>
  <c r="H42" i="617" s="1"/>
  <c r="G86" i="609"/>
  <c r="H41" i="617" s="1"/>
  <c r="G85" i="609"/>
  <c r="L39" i="619" s="1"/>
  <c r="G84" i="609"/>
  <c r="H39" i="617" s="1"/>
  <c r="G83" i="609"/>
  <c r="H38" i="617" s="1"/>
  <c r="E145" i="609"/>
  <c r="D145" i="609"/>
  <c r="C145" i="609"/>
  <c r="G85" i="336"/>
  <c r="H39" i="343" s="1"/>
  <c r="G86" i="336"/>
  <c r="L39" i="603" s="1"/>
  <c r="G87" i="336"/>
  <c r="L40" i="603" s="1"/>
  <c r="G88" i="336"/>
  <c r="H42" i="343" s="1"/>
  <c r="G89" i="336"/>
  <c r="H43" i="343" s="1"/>
  <c r="G90" i="336"/>
  <c r="H44" i="343" s="1"/>
  <c r="G91" i="336"/>
  <c r="L44" i="603" s="1"/>
  <c r="G92" i="336"/>
  <c r="L45" i="603" s="1"/>
  <c r="G93" i="336"/>
  <c r="H47" i="343" s="1"/>
  <c r="G94" i="336"/>
  <c r="H48" i="343" s="1"/>
  <c r="G95" i="336"/>
  <c r="L48" i="603" s="1"/>
  <c r="G96" i="336"/>
  <c r="L49" i="603" s="1"/>
  <c r="G97" i="336"/>
  <c r="H51" i="343" s="1"/>
  <c r="G98" i="336"/>
  <c r="H52" i="343" s="1"/>
  <c r="G99" i="336"/>
  <c r="H53" i="343" s="1"/>
  <c r="G100" i="336"/>
  <c r="L53" i="603" s="1"/>
  <c r="G101" i="336"/>
  <c r="L54" i="603" s="1"/>
  <c r="G102" i="336"/>
  <c r="H56" i="343" s="1"/>
  <c r="G103" i="336"/>
  <c r="H57" i="343" s="1"/>
  <c r="G104" i="336"/>
  <c r="L57" i="603" s="1"/>
  <c r="G105" i="336"/>
  <c r="L58" i="603" s="1"/>
  <c r="G106" i="336"/>
  <c r="H60" i="343" s="1"/>
  <c r="G107" i="336"/>
  <c r="L60" i="603" s="1"/>
  <c r="G108" i="336"/>
  <c r="L61" i="603" s="1"/>
  <c r="G109" i="336"/>
  <c r="H63" i="343" s="1"/>
  <c r="G110" i="336"/>
  <c r="H64" i="343" s="1"/>
  <c r="G111" i="336"/>
  <c r="H65" i="343" s="1"/>
  <c r="G112" i="336"/>
  <c r="L65" i="603" s="1"/>
  <c r="G113" i="336"/>
  <c r="H67" i="343" s="1"/>
  <c r="G114" i="336"/>
  <c r="H68" i="343" s="1"/>
  <c r="G115" i="336"/>
  <c r="H69" i="343" s="1"/>
  <c r="G116" i="336"/>
  <c r="H70" i="343" s="1"/>
  <c r="G117" i="336"/>
  <c r="L70" i="603" s="1"/>
  <c r="G118" i="336"/>
  <c r="L71" i="603" s="1"/>
  <c r="G119" i="336"/>
  <c r="L72" i="603" s="1"/>
  <c r="G120" i="336"/>
  <c r="H74" i="343" s="1"/>
  <c r="G121" i="336"/>
  <c r="H75" i="343" s="1"/>
  <c r="G122" i="336"/>
  <c r="L75" i="603" s="1"/>
  <c r="G123" i="336"/>
  <c r="L76" i="603" s="1"/>
  <c r="G124" i="336"/>
  <c r="L77" i="603" s="1"/>
  <c r="G125" i="336"/>
  <c r="H79" i="343" s="1"/>
  <c r="G126" i="336"/>
  <c r="H80" i="343" s="1"/>
  <c r="G127" i="336"/>
  <c r="L80" i="603" s="1"/>
  <c r="G128" i="336"/>
  <c r="L81" i="603" s="1"/>
  <c r="G129" i="336"/>
  <c r="H83" i="343" s="1"/>
  <c r="G130" i="336"/>
  <c r="H84" i="343" s="1"/>
  <c r="G131" i="336"/>
  <c r="H85" i="343" s="1"/>
  <c r="G132" i="336"/>
  <c r="H86" i="343" s="1"/>
  <c r="G133" i="336"/>
  <c r="H87" i="343" s="1"/>
  <c r="G134" i="336"/>
  <c r="H88" i="343" s="1"/>
  <c r="G135" i="336"/>
  <c r="L88" i="603" s="1"/>
  <c r="G136" i="336"/>
  <c r="L89" i="603" s="1"/>
  <c r="G137" i="336"/>
  <c r="L90" i="603" s="1"/>
  <c r="G138" i="336"/>
  <c r="L91" i="603" s="1"/>
  <c r="G139" i="336"/>
  <c r="L92" i="603" s="1"/>
  <c r="G140" i="336"/>
  <c r="L93" i="603" s="1"/>
  <c r="G141" i="336"/>
  <c r="H95" i="343" s="1"/>
  <c r="G142" i="336"/>
  <c r="H96" i="343" s="1"/>
  <c r="G143" i="336"/>
  <c r="H97" i="343" s="1"/>
  <c r="G144" i="336"/>
  <c r="L97" i="603" s="1"/>
  <c r="G145" i="336"/>
  <c r="H99" i="343" s="1"/>
  <c r="G84" i="336"/>
  <c r="H38" i="343" s="1"/>
  <c r="L41" i="619" l="1"/>
  <c r="H91" i="343"/>
  <c r="H92" i="617"/>
  <c r="L42" i="603"/>
  <c r="L89" i="619"/>
  <c r="L78" i="619"/>
  <c r="H66" i="343"/>
  <c r="L70" i="619"/>
  <c r="H54" i="617"/>
  <c r="L68" i="619"/>
  <c r="H44" i="617"/>
  <c r="L54" i="619"/>
  <c r="H77" i="343"/>
  <c r="H76" i="343"/>
  <c r="H56" i="617"/>
  <c r="L69" i="619"/>
  <c r="H50" i="343"/>
  <c r="L62" i="619"/>
  <c r="H93" i="343"/>
  <c r="L86" i="619"/>
  <c r="H75" i="617"/>
  <c r="H40" i="617"/>
  <c r="L46" i="619"/>
  <c r="H72" i="617"/>
  <c r="H77" i="617"/>
  <c r="L87" i="619"/>
  <c r="L84" i="619"/>
  <c r="L44" i="619"/>
  <c r="H68" i="617"/>
  <c r="L73" i="619"/>
  <c r="L38" i="619"/>
  <c r="H95" i="617"/>
  <c r="H61" i="617"/>
  <c r="H52" i="617"/>
  <c r="L57" i="619"/>
  <c r="H84" i="617"/>
  <c r="L37" i="619"/>
  <c r="H90" i="343"/>
  <c r="H49" i="343"/>
  <c r="L64" i="603"/>
  <c r="H46" i="343"/>
  <c r="L63" i="603"/>
  <c r="H81" i="343"/>
  <c r="H45" i="343"/>
  <c r="L59" i="603"/>
  <c r="H78" i="343"/>
  <c r="L96" i="603"/>
  <c r="L41" i="603"/>
  <c r="H98" i="343"/>
  <c r="H62" i="343"/>
  <c r="H61" i="343"/>
  <c r="L47" i="603"/>
  <c r="L95" i="603"/>
  <c r="H94" i="343"/>
  <c r="L79" i="603"/>
  <c r="L88" i="619"/>
  <c r="L72" i="619"/>
  <c r="L56" i="619"/>
  <c r="L40" i="619"/>
  <c r="L98" i="619"/>
  <c r="L82" i="619"/>
  <c r="H81" i="617"/>
  <c r="L49" i="619"/>
  <c r="H96" i="617"/>
  <c r="H48" i="617"/>
  <c r="L96" i="619"/>
  <c r="L64" i="619"/>
  <c r="L48" i="619"/>
  <c r="L79" i="619"/>
  <c r="L63" i="619"/>
  <c r="H94" i="617"/>
  <c r="H78" i="617"/>
  <c r="H62" i="617"/>
  <c r="H46" i="617"/>
  <c r="H67" i="617"/>
  <c r="H98" i="617"/>
  <c r="H82" i="617"/>
  <c r="L50" i="619"/>
  <c r="L65" i="619"/>
  <c r="H91" i="617"/>
  <c r="H59" i="617"/>
  <c r="H43" i="617"/>
  <c r="H41" i="343"/>
  <c r="L86" i="603"/>
  <c r="L38" i="603"/>
  <c r="H40" i="343"/>
  <c r="L85" i="603"/>
  <c r="L69" i="603"/>
  <c r="L68" i="603"/>
  <c r="H54" i="343"/>
  <c r="L37" i="603"/>
  <c r="L83" i="603"/>
  <c r="L67" i="603"/>
  <c r="L51" i="603"/>
  <c r="L56" i="603"/>
  <c r="L87" i="603"/>
  <c r="L55" i="603"/>
  <c r="H89" i="343"/>
  <c r="H71" i="343"/>
  <c r="H55" i="343"/>
  <c r="L84" i="603"/>
  <c r="L52" i="603"/>
  <c r="L98" i="603"/>
  <c r="L82" i="603"/>
  <c r="L66" i="603"/>
  <c r="L50" i="603"/>
  <c r="H72" i="343"/>
  <c r="H73" i="343"/>
  <c r="L94" i="603"/>
  <c r="L78" i="603"/>
  <c r="L46" i="603"/>
  <c r="L62" i="603"/>
  <c r="G145" i="609"/>
  <c r="G146" i="336"/>
  <c r="G11" i="577"/>
  <c r="E9" i="551"/>
  <c r="L368" i="622" l="1"/>
  <c r="O368" i="622" l="1"/>
  <c r="O369" i="622" s="1"/>
  <c r="L369" i="622"/>
  <c r="G23" i="577"/>
  <c r="G23" i="607" s="1"/>
  <c r="G18" i="577"/>
  <c r="G18" i="607" s="1"/>
  <c r="G15" i="577"/>
  <c r="G15" i="607" s="1"/>
  <c r="G14" i="577"/>
  <c r="G14" i="607" s="1"/>
  <c r="G13" i="577"/>
  <c r="G13" i="607" s="1"/>
  <c r="G12" i="577"/>
  <c r="G12" i="607" s="1"/>
  <c r="H30" i="607" l="1"/>
  <c r="H30" i="577"/>
  <c r="G25" i="577" l="1"/>
  <c r="G25" i="607" s="1"/>
  <c r="G24" i="577"/>
  <c r="G24" i="607" s="1"/>
  <c r="G22" i="577"/>
  <c r="G22" i="607" s="1"/>
  <c r="G21" i="577"/>
  <c r="G21" i="607" s="1"/>
  <c r="G20" i="577"/>
  <c r="G20" i="607" s="1"/>
  <c r="G19" i="577"/>
  <c r="G19" i="607" s="1"/>
  <c r="G17" i="577"/>
  <c r="G17" i="607" s="1"/>
  <c r="G16" i="577"/>
  <c r="G16" i="607" s="1"/>
  <c r="G10" i="577"/>
  <c r="G10" i="607" s="1"/>
  <c r="G9" i="577"/>
  <c r="G9" i="607" l="1"/>
  <c r="F4" i="608"/>
  <c r="G4" i="332" l="1"/>
  <c r="H4" i="332" l="1"/>
  <c r="G4" i="608"/>
  <c r="F35" i="612"/>
  <c r="G36" i="612" s="1"/>
  <c r="F35" i="337"/>
  <c r="C6" i="608" l="1"/>
  <c r="H4" i="608"/>
  <c r="D19" i="551"/>
  <c r="D16" i="551" s="1"/>
  <c r="E16" i="551" s="1"/>
  <c r="S56" i="577"/>
  <c r="T56" i="577" s="1"/>
  <c r="U50" i="577"/>
  <c r="U51" i="577"/>
  <c r="T61" i="577" s="1"/>
  <c r="U52" i="577"/>
  <c r="U53" i="577"/>
  <c r="S61" i="577" s="1"/>
  <c r="R61" i="577" s="1"/>
  <c r="U62" i="577" s="1"/>
  <c r="U49" i="577"/>
  <c r="R54" i="577"/>
  <c r="U54" i="577" l="1"/>
  <c r="G11" i="607" l="1"/>
  <c r="Q53" i="577"/>
  <c r="Q52" i="577"/>
  <c r="Q51" i="577"/>
  <c r="Q50" i="577"/>
  <c r="Q49" i="577"/>
  <c r="G96" i="577" l="1"/>
  <c r="H91" i="602"/>
  <c r="H92" i="602"/>
  <c r="H93" i="602"/>
  <c r="I96" i="577"/>
  <c r="G26" i="577" l="1"/>
  <c r="P10" i="611" l="1"/>
  <c r="P24" i="611"/>
  <c r="P20" i="611"/>
  <c r="P14" i="611"/>
  <c r="P25" i="611"/>
  <c r="P21" i="611"/>
  <c r="P19" i="611"/>
  <c r="P13" i="611"/>
  <c r="P22" i="611"/>
  <c r="P18" i="611"/>
  <c r="P16" i="611"/>
  <c r="P11" i="611"/>
  <c r="P23" i="611"/>
  <c r="P17" i="611"/>
  <c r="P15" i="611"/>
  <c r="G96" i="611"/>
  <c r="F96" i="611"/>
  <c r="D96" i="611"/>
  <c r="E96" i="611"/>
  <c r="J96" i="611"/>
  <c r="P9" i="577"/>
  <c r="O9" i="577"/>
  <c r="N9" i="577"/>
  <c r="N25" i="626"/>
  <c r="N24" i="626"/>
  <c r="N23" i="626"/>
  <c r="N26" i="626" l="1"/>
  <c r="E113" i="607" l="1"/>
  <c r="B14" i="625" l="1"/>
  <c r="C14" i="625"/>
  <c r="D14" i="625"/>
  <c r="F14" i="625"/>
  <c r="A14" i="625"/>
  <c r="H2" i="625"/>
  <c r="H14" i="625" s="1"/>
  <c r="I2" i="625"/>
  <c r="I14" i="625" s="1"/>
  <c r="G2" i="625"/>
  <c r="G14" i="625" s="1"/>
  <c r="F15" i="625"/>
  <c r="A15" i="625"/>
  <c r="D100" i="602"/>
  <c r="D105" i="602"/>
  <c r="D114" i="337"/>
  <c r="D109" i="337"/>
  <c r="G102" i="577"/>
  <c r="G115" i="577"/>
  <c r="G29" i="577" s="1"/>
  <c r="G109" i="577"/>
  <c r="G28" i="577" s="1"/>
  <c r="A36" i="608"/>
  <c r="B36" i="608"/>
  <c r="A37" i="608"/>
  <c r="B37" i="608"/>
  <c r="A38" i="608"/>
  <c r="B38" i="608"/>
  <c r="A39" i="608"/>
  <c r="B39" i="608"/>
  <c r="G27" i="577" l="1"/>
  <c r="G30" i="577" s="1"/>
  <c r="G32" i="577" s="1"/>
  <c r="G103" i="577"/>
  <c r="D31" i="551"/>
  <c r="B35" i="608"/>
  <c r="A35" i="608"/>
  <c r="G29" i="608"/>
  <c r="F2" i="608"/>
  <c r="C43" i="332"/>
  <c r="D10" i="332" s="1"/>
  <c r="V38" i="332"/>
  <c r="T38" i="332"/>
  <c r="P38" i="332"/>
  <c r="R38" i="332" s="1"/>
  <c r="O38" i="332"/>
  <c r="N38" i="332"/>
  <c r="R102" i="620"/>
  <c r="P114" i="620"/>
  <c r="P31" i="620" s="1"/>
  <c r="P115" i="620" s="1"/>
  <c r="O114" i="620"/>
  <c r="O31" i="620" s="1"/>
  <c r="O115" i="620" s="1"/>
  <c r="N114" i="620"/>
  <c r="N31" i="620" s="1"/>
  <c r="R31" i="620" s="1"/>
  <c r="R113" i="620"/>
  <c r="R112" i="620"/>
  <c r="P109" i="620"/>
  <c r="P30" i="620" s="1"/>
  <c r="P110" i="620" s="1"/>
  <c r="O109" i="620"/>
  <c r="O30" i="620" s="1"/>
  <c r="O110" i="620" s="1"/>
  <c r="N109" i="620"/>
  <c r="N30" i="620" s="1"/>
  <c r="R108" i="620"/>
  <c r="R107" i="620"/>
  <c r="L110" i="619"/>
  <c r="L31" i="619" s="1"/>
  <c r="N116" i="619"/>
  <c r="N32" i="619" s="1"/>
  <c r="M116" i="619"/>
  <c r="M32" i="619" s="1"/>
  <c r="L116" i="619"/>
  <c r="L32" i="619" s="1"/>
  <c r="B116" i="619"/>
  <c r="P115" i="619"/>
  <c r="P114" i="619"/>
  <c r="P116" i="619" s="1"/>
  <c r="N110" i="619"/>
  <c r="N31" i="619" s="1"/>
  <c r="M110" i="619"/>
  <c r="M31" i="619" s="1"/>
  <c r="B110" i="619"/>
  <c r="P109" i="619"/>
  <c r="P108" i="619"/>
  <c r="P110" i="619" s="1"/>
  <c r="V109" i="618"/>
  <c r="V110" i="618" s="1"/>
  <c r="V104" i="618"/>
  <c r="V105" i="618" s="1"/>
  <c r="D110" i="618"/>
  <c r="F110" i="618" s="1"/>
  <c r="D105" i="618"/>
  <c r="I55" i="606"/>
  <c r="V28" i="618" s="1"/>
  <c r="N54" i="606"/>
  <c r="N55" i="606"/>
  <c r="C109" i="618"/>
  <c r="C105" i="618"/>
  <c r="B105" i="618" s="1"/>
  <c r="C104" i="618"/>
  <c r="B104" i="618" s="1"/>
  <c r="H110" i="618"/>
  <c r="O110" i="618" s="1"/>
  <c r="C110" i="618"/>
  <c r="B110" i="618" s="1"/>
  <c r="H105" i="618"/>
  <c r="O105" i="618" s="1"/>
  <c r="Y95" i="526"/>
  <c r="Y25" i="526" s="1"/>
  <c r="V95" i="526"/>
  <c r="M14" i="526"/>
  <c r="M13" i="526"/>
  <c r="M8" i="526"/>
  <c r="F8" i="526"/>
  <c r="G30" i="621" l="1"/>
  <c r="P31" i="619"/>
  <c r="R30" i="620"/>
  <c r="P32" i="619"/>
  <c r="N110" i="620"/>
  <c r="C42" i="332"/>
  <c r="D7" i="333"/>
  <c r="D11" i="333" s="1"/>
  <c r="C11" i="608"/>
  <c r="C40" i="608" s="1"/>
  <c r="N7" i="333" s="1"/>
  <c r="R109" i="620"/>
  <c r="R110" i="620" s="1"/>
  <c r="N115" i="620"/>
  <c r="C111" i="618"/>
  <c r="C28" i="618" s="1"/>
  <c r="I28" i="618" s="1"/>
  <c r="B109" i="618"/>
  <c r="R114" i="620"/>
  <c r="F105" i="618"/>
  <c r="I105" i="618"/>
  <c r="C106" i="618"/>
  <c r="C27" i="618" s="1"/>
  <c r="I27" i="618" s="1"/>
  <c r="I110" i="618"/>
  <c r="K110" i="618" s="1"/>
  <c r="H33" i="617"/>
  <c r="B114" i="617"/>
  <c r="B113" i="617"/>
  <c r="B109" i="617"/>
  <c r="B108" i="617"/>
  <c r="H115" i="617"/>
  <c r="H34" i="617" s="1"/>
  <c r="C114" i="617"/>
  <c r="H110" i="617"/>
  <c r="C109" i="617"/>
  <c r="K118" i="616"/>
  <c r="K113" i="616"/>
  <c r="G118" i="616"/>
  <c r="G113" i="616"/>
  <c r="C118" i="616"/>
  <c r="C113" i="616"/>
  <c r="C115" i="615"/>
  <c r="H115" i="615" s="1"/>
  <c r="C110" i="615"/>
  <c r="H110" i="615" s="1"/>
  <c r="B114" i="615"/>
  <c r="B109" i="615"/>
  <c r="L114" i="607"/>
  <c r="E108" i="614" s="1"/>
  <c r="G108" i="614" s="1"/>
  <c r="L108" i="607"/>
  <c r="E103" i="614" s="1"/>
  <c r="G103" i="614" s="1"/>
  <c r="D690" i="607"/>
  <c r="E97" i="614"/>
  <c r="E28" i="614"/>
  <c r="D203" i="613"/>
  <c r="D199" i="613"/>
  <c r="D96" i="601"/>
  <c r="D26" i="601" s="1"/>
  <c r="E96" i="601"/>
  <c r="E26" i="601" s="1"/>
  <c r="F96" i="601"/>
  <c r="F26" i="601" s="1"/>
  <c r="G96" i="601"/>
  <c r="G26" i="601" s="1"/>
  <c r="J96" i="601"/>
  <c r="J26" i="601" s="1"/>
  <c r="P9" i="601"/>
  <c r="E98" i="504"/>
  <c r="G98" i="504" s="1"/>
  <c r="E97" i="504"/>
  <c r="G97" i="504" s="1"/>
  <c r="E7" i="504"/>
  <c r="B27" i="526"/>
  <c r="A102" i="526" s="1"/>
  <c r="B28" i="526"/>
  <c r="A107" i="526" s="1"/>
  <c r="A114" i="607"/>
  <c r="C108" i="614" s="1"/>
  <c r="B114" i="607"/>
  <c r="C114" i="607"/>
  <c r="D114" i="607"/>
  <c r="C203" i="613" s="1"/>
  <c r="E203" i="613" s="1"/>
  <c r="E114" i="607"/>
  <c r="B113" i="607"/>
  <c r="C113" i="607"/>
  <c r="D113" i="607"/>
  <c r="C202" i="613" s="1"/>
  <c r="E202" i="613" s="1"/>
  <c r="B107" i="614"/>
  <c r="A113" i="607"/>
  <c r="C107" i="614" s="1"/>
  <c r="A108" i="607"/>
  <c r="C103" i="614" s="1"/>
  <c r="B108" i="607"/>
  <c r="C108" i="607"/>
  <c r="D108" i="607"/>
  <c r="C199" i="613" s="1"/>
  <c r="E199" i="613" s="1"/>
  <c r="E108" i="607"/>
  <c r="B107" i="607"/>
  <c r="C107" i="607"/>
  <c r="D107" i="607"/>
  <c r="C198" i="613" s="1"/>
  <c r="E198" i="613" s="1"/>
  <c r="E107" i="607"/>
  <c r="A107" i="607"/>
  <c r="C102" i="614" s="1"/>
  <c r="A101" i="607"/>
  <c r="C98" i="614" s="1"/>
  <c r="I98" i="614" s="1"/>
  <c r="B101" i="607"/>
  <c r="C101" i="607"/>
  <c r="D101" i="607"/>
  <c r="E101" i="607"/>
  <c r="B104" i="617" s="1"/>
  <c r="B100" i="607"/>
  <c r="C100" i="607"/>
  <c r="D100" i="607"/>
  <c r="E100" i="607"/>
  <c r="A99" i="618" s="1"/>
  <c r="A100" i="607"/>
  <c r="C97" i="614" s="1"/>
  <c r="G119" i="607"/>
  <c r="G34" i="607"/>
  <c r="I8" i="607"/>
  <c r="K8" i="607"/>
  <c r="A10" i="607"/>
  <c r="B10" i="607"/>
  <c r="C10" i="607"/>
  <c r="D10" i="607"/>
  <c r="E10" i="607"/>
  <c r="A11" i="607"/>
  <c r="B11" i="607"/>
  <c r="C11" i="607"/>
  <c r="D11" i="607"/>
  <c r="E11" i="607"/>
  <c r="A12" i="607"/>
  <c r="B12" i="607"/>
  <c r="C12" i="607"/>
  <c r="D12" i="607"/>
  <c r="E12" i="607"/>
  <c r="A13" i="607"/>
  <c r="B13" i="607"/>
  <c r="C13" i="607"/>
  <c r="D13" i="607"/>
  <c r="E13" i="607"/>
  <c r="A14" i="607"/>
  <c r="B14" i="607"/>
  <c r="C14" i="607"/>
  <c r="D14" i="607"/>
  <c r="E14" i="607"/>
  <c r="A15" i="607"/>
  <c r="B15" i="607"/>
  <c r="C15" i="607"/>
  <c r="D15" i="607"/>
  <c r="E15" i="607"/>
  <c r="A16" i="607"/>
  <c r="B16" i="607"/>
  <c r="C16" i="607"/>
  <c r="D16" i="607"/>
  <c r="E16" i="607"/>
  <c r="A17" i="607"/>
  <c r="B17" i="607"/>
  <c r="C17" i="607"/>
  <c r="D17" i="607"/>
  <c r="E17" i="607"/>
  <c r="A18" i="607"/>
  <c r="B18" i="607"/>
  <c r="C18" i="607"/>
  <c r="D18" i="607"/>
  <c r="E18" i="607"/>
  <c r="A19" i="607"/>
  <c r="B19" i="607"/>
  <c r="C19" i="607"/>
  <c r="D19" i="607"/>
  <c r="E19" i="607"/>
  <c r="A20" i="607"/>
  <c r="B20" i="607"/>
  <c r="C20" i="607"/>
  <c r="D20" i="607"/>
  <c r="E20" i="607"/>
  <c r="A21" i="607"/>
  <c r="B21" i="607"/>
  <c r="C21" i="607"/>
  <c r="D21" i="607"/>
  <c r="E21" i="607"/>
  <c r="A22" i="607"/>
  <c r="B22" i="607"/>
  <c r="C22" i="607"/>
  <c r="D22" i="607"/>
  <c r="E22" i="607"/>
  <c r="A23" i="607"/>
  <c r="B23" i="607"/>
  <c r="C23" i="607"/>
  <c r="D23" i="607"/>
  <c r="E23" i="607"/>
  <c r="A24" i="607"/>
  <c r="B24" i="607"/>
  <c r="C24" i="607"/>
  <c r="D24" i="607"/>
  <c r="E24" i="607"/>
  <c r="A25" i="607"/>
  <c r="B25" i="607"/>
  <c r="C25" i="607"/>
  <c r="D25" i="607"/>
  <c r="E25" i="607"/>
  <c r="A26" i="607"/>
  <c r="B26" i="607"/>
  <c r="C26" i="607"/>
  <c r="D26" i="607"/>
  <c r="E26" i="607"/>
  <c r="A27" i="607"/>
  <c r="B27" i="607"/>
  <c r="C27" i="607"/>
  <c r="D27" i="607"/>
  <c r="E27" i="607"/>
  <c r="A26" i="618" s="1"/>
  <c r="A98" i="618" s="1"/>
  <c r="A28" i="607"/>
  <c r="B28" i="607"/>
  <c r="C26" i="614" s="1"/>
  <c r="C28" i="607"/>
  <c r="D28" i="607"/>
  <c r="E28" i="607"/>
  <c r="A105" i="607" s="1"/>
  <c r="A29" i="607"/>
  <c r="B29" i="607"/>
  <c r="C27" i="614" s="1"/>
  <c r="C29" i="607"/>
  <c r="D29" i="607"/>
  <c r="E29" i="607"/>
  <c r="A111" i="607" s="1"/>
  <c r="B9" i="607"/>
  <c r="C9" i="607"/>
  <c r="D9" i="607"/>
  <c r="E9" i="607"/>
  <c r="A9" i="607"/>
  <c r="B99" i="526"/>
  <c r="B109" i="526"/>
  <c r="B108" i="526"/>
  <c r="B104" i="526"/>
  <c r="B103" i="526"/>
  <c r="A98" i="577"/>
  <c r="A111" i="577"/>
  <c r="A105" i="577"/>
  <c r="B112" i="604"/>
  <c r="B111" i="604"/>
  <c r="B107" i="604"/>
  <c r="B106" i="604"/>
  <c r="P113" i="604"/>
  <c r="O113" i="604"/>
  <c r="N113" i="604"/>
  <c r="B113" i="604"/>
  <c r="R112" i="604"/>
  <c r="R111" i="604"/>
  <c r="P108" i="604"/>
  <c r="O108" i="604"/>
  <c r="N108" i="604"/>
  <c r="B108" i="604"/>
  <c r="R107" i="604"/>
  <c r="R106" i="604"/>
  <c r="B30" i="604"/>
  <c r="B31" i="604"/>
  <c r="M13" i="603"/>
  <c r="M14" i="603"/>
  <c r="M15" i="603"/>
  <c r="M28" i="603"/>
  <c r="M12" i="603"/>
  <c r="P38" i="603"/>
  <c r="P39" i="603"/>
  <c r="P40" i="603"/>
  <c r="P41" i="603"/>
  <c r="P42" i="603"/>
  <c r="P43" i="603"/>
  <c r="P44" i="603"/>
  <c r="P45" i="603"/>
  <c r="P46" i="603"/>
  <c r="P47" i="603"/>
  <c r="P48" i="603"/>
  <c r="P49" i="603"/>
  <c r="P50" i="603"/>
  <c r="P51" i="603"/>
  <c r="P52" i="603"/>
  <c r="P53" i="603"/>
  <c r="P54" i="603"/>
  <c r="P55" i="603"/>
  <c r="P56" i="603"/>
  <c r="P57" i="603"/>
  <c r="P58" i="603"/>
  <c r="P59" i="603"/>
  <c r="P60" i="603"/>
  <c r="P61" i="603"/>
  <c r="P62" i="603"/>
  <c r="P63" i="603"/>
  <c r="P64" i="603"/>
  <c r="P65" i="603"/>
  <c r="P66" i="603"/>
  <c r="P67" i="603"/>
  <c r="P68" i="603"/>
  <c r="P69" i="603"/>
  <c r="P70" i="603"/>
  <c r="P71" i="603"/>
  <c r="P72" i="603"/>
  <c r="P73" i="603"/>
  <c r="P74" i="603"/>
  <c r="P75" i="603"/>
  <c r="P76" i="603"/>
  <c r="P77" i="603"/>
  <c r="P78" i="603"/>
  <c r="P79" i="603"/>
  <c r="P80" i="603"/>
  <c r="P81" i="603"/>
  <c r="P82" i="603"/>
  <c r="P83" i="603"/>
  <c r="P84" i="603"/>
  <c r="P85" i="603"/>
  <c r="P86" i="603"/>
  <c r="P87" i="603"/>
  <c r="P88" i="603"/>
  <c r="P89" i="603"/>
  <c r="P90" i="603"/>
  <c r="P91" i="603"/>
  <c r="P92" i="603"/>
  <c r="P93" i="603"/>
  <c r="P94" i="603"/>
  <c r="P95" i="603"/>
  <c r="P96" i="603"/>
  <c r="P97" i="603"/>
  <c r="P98" i="603"/>
  <c r="L31" i="603"/>
  <c r="B101" i="601"/>
  <c r="H31" i="336"/>
  <c r="H32" i="336"/>
  <c r="K31" i="336"/>
  <c r="K32" i="336"/>
  <c r="E31" i="336"/>
  <c r="E32" i="336"/>
  <c r="B13" i="336"/>
  <c r="B14" i="336"/>
  <c r="B15" i="336"/>
  <c r="B16" i="336"/>
  <c r="B17" i="336"/>
  <c r="B18" i="336"/>
  <c r="B19" i="336"/>
  <c r="B20" i="336"/>
  <c r="B21" i="336"/>
  <c r="B22" i="336"/>
  <c r="B23" i="336"/>
  <c r="B24" i="336"/>
  <c r="B25" i="336"/>
  <c r="B26" i="336"/>
  <c r="B27" i="336"/>
  <c r="B28" i="336"/>
  <c r="B29" i="336"/>
  <c r="B30" i="336"/>
  <c r="B31" i="336"/>
  <c r="B32" i="336"/>
  <c r="B28" i="601"/>
  <c r="A103" i="601" s="1"/>
  <c r="B108" i="603"/>
  <c r="B113" i="603"/>
  <c r="B112" i="603"/>
  <c r="B107" i="603"/>
  <c r="N114" i="603"/>
  <c r="N32" i="603" s="1"/>
  <c r="M114" i="603"/>
  <c r="M32" i="603" s="1"/>
  <c r="L114" i="603"/>
  <c r="L32" i="603" s="1"/>
  <c r="B114" i="603"/>
  <c r="P113" i="603"/>
  <c r="P112" i="603"/>
  <c r="P114" i="603" s="1"/>
  <c r="P32" i="603" s="1"/>
  <c r="N109" i="603"/>
  <c r="N31" i="603" s="1"/>
  <c r="M109" i="603"/>
  <c r="M31" i="603" s="1"/>
  <c r="L109" i="603"/>
  <c r="B109" i="603"/>
  <c r="P108" i="603"/>
  <c r="P107" i="603"/>
  <c r="P109" i="603" s="1"/>
  <c r="P31" i="603" s="1"/>
  <c r="T109" i="602"/>
  <c r="T110" i="602" s="1"/>
  <c r="T104" i="602"/>
  <c r="T105" i="602" s="1"/>
  <c r="T27" i="602"/>
  <c r="Z30" i="604" s="1"/>
  <c r="T28" i="602"/>
  <c r="Z31" i="604" s="1"/>
  <c r="N54" i="551"/>
  <c r="I54" i="606" s="1"/>
  <c r="V27" i="618" s="1"/>
  <c r="D110" i="602"/>
  <c r="D109" i="602"/>
  <c r="C104" i="602"/>
  <c r="B104" i="602" s="1"/>
  <c r="D104" i="602"/>
  <c r="A110" i="602"/>
  <c r="A109" i="602"/>
  <c r="A105" i="602"/>
  <c r="A104" i="602"/>
  <c r="H110" i="602"/>
  <c r="N110" i="602" s="1"/>
  <c r="C110" i="602"/>
  <c r="B110" i="602" s="1"/>
  <c r="C109" i="602"/>
  <c r="B109" i="602" s="1"/>
  <c r="H105" i="602"/>
  <c r="N105" i="602" s="1"/>
  <c r="I105" i="602"/>
  <c r="C105" i="602"/>
  <c r="B105" i="602" s="1"/>
  <c r="L110" i="601"/>
  <c r="I114" i="343" s="1"/>
  <c r="L109" i="601"/>
  <c r="R113" i="603" s="1"/>
  <c r="L105" i="601"/>
  <c r="I109" i="343" s="1"/>
  <c r="L104" i="601"/>
  <c r="L100" i="601"/>
  <c r="R103" i="603" s="1"/>
  <c r="T102" i="604" s="1"/>
  <c r="C101" i="601"/>
  <c r="C27" i="601" s="1"/>
  <c r="D106" i="601"/>
  <c r="D28" i="601" s="1"/>
  <c r="E106" i="601"/>
  <c r="E28" i="601" s="1"/>
  <c r="F106" i="601"/>
  <c r="F28" i="601" s="1"/>
  <c r="G106" i="601"/>
  <c r="G28" i="601" s="1"/>
  <c r="J106" i="601"/>
  <c r="J28" i="601" s="1"/>
  <c r="C106" i="601"/>
  <c r="C28" i="601" s="1"/>
  <c r="H105" i="343"/>
  <c r="H32" i="343"/>
  <c r="B114" i="343"/>
  <c r="B113" i="343"/>
  <c r="B109" i="343"/>
  <c r="B108" i="343"/>
  <c r="H115" i="343"/>
  <c r="H34" i="343" s="1"/>
  <c r="H110" i="343"/>
  <c r="H33" i="343" s="1"/>
  <c r="B33" i="343"/>
  <c r="B34" i="343"/>
  <c r="K118" i="340"/>
  <c r="K117" i="340"/>
  <c r="K113" i="340"/>
  <c r="K112" i="340"/>
  <c r="G117" i="340"/>
  <c r="G113" i="340"/>
  <c r="G112" i="340"/>
  <c r="C118" i="340"/>
  <c r="C117" i="340"/>
  <c r="C113" i="340"/>
  <c r="C112" i="340"/>
  <c r="B118" i="340"/>
  <c r="B117" i="340"/>
  <c r="B113" i="340"/>
  <c r="B112" i="340"/>
  <c r="G118" i="340"/>
  <c r="B36" i="340"/>
  <c r="B37" i="340"/>
  <c r="B38" i="340"/>
  <c r="C115" i="338"/>
  <c r="C110" i="338"/>
  <c r="C114" i="338"/>
  <c r="C109" i="338"/>
  <c r="C105" i="338"/>
  <c r="H105" i="338" s="1"/>
  <c r="B115" i="338"/>
  <c r="B114" i="338"/>
  <c r="B110" i="338"/>
  <c r="B109" i="338"/>
  <c r="B105" i="338"/>
  <c r="B114" i="337"/>
  <c r="B113" i="337"/>
  <c r="B109" i="337"/>
  <c r="B108" i="337"/>
  <c r="B104" i="337"/>
  <c r="B33" i="338"/>
  <c r="B34" i="338"/>
  <c r="B35" i="338"/>
  <c r="E8" i="504"/>
  <c r="E9" i="504"/>
  <c r="E10" i="504"/>
  <c r="E11" i="504"/>
  <c r="E12" i="504"/>
  <c r="E13" i="504"/>
  <c r="E14" i="504"/>
  <c r="E15" i="504"/>
  <c r="E16" i="504"/>
  <c r="E17" i="504"/>
  <c r="E18" i="504"/>
  <c r="E19" i="504"/>
  <c r="E20" i="504"/>
  <c r="E21" i="504"/>
  <c r="E22" i="504"/>
  <c r="E23" i="504"/>
  <c r="C26" i="504"/>
  <c r="C27" i="504"/>
  <c r="E108" i="504"/>
  <c r="G108" i="504" s="1"/>
  <c r="E107" i="504"/>
  <c r="E103" i="504"/>
  <c r="G103" i="504" s="1"/>
  <c r="E102" i="504"/>
  <c r="C108" i="504"/>
  <c r="C98" i="504"/>
  <c r="I98" i="504" s="1"/>
  <c r="C97" i="504"/>
  <c r="C107" i="504"/>
  <c r="C103" i="504"/>
  <c r="C102" i="504"/>
  <c r="B108" i="504"/>
  <c r="B107" i="504"/>
  <c r="B103" i="504"/>
  <c r="B102" i="504"/>
  <c r="B98" i="504"/>
  <c r="B26" i="504"/>
  <c r="G54" i="606" s="1"/>
  <c r="B27" i="504"/>
  <c r="G55" i="606" s="1"/>
  <c r="D204" i="588"/>
  <c r="D203" i="588"/>
  <c r="D199" i="588"/>
  <c r="D198" i="588"/>
  <c r="C204" i="588"/>
  <c r="E204" i="588" s="1"/>
  <c r="C203" i="588"/>
  <c r="E203" i="588" s="1"/>
  <c r="C199" i="588"/>
  <c r="E199" i="588" s="1"/>
  <c r="C198" i="588"/>
  <c r="E198" i="588" s="1"/>
  <c r="A204" i="588"/>
  <c r="A203" i="588"/>
  <c r="A199" i="588"/>
  <c r="A198" i="588"/>
  <c r="C193" i="588"/>
  <c r="E193" i="588" s="1"/>
  <c r="B110" i="601"/>
  <c r="B109" i="601"/>
  <c r="B105" i="601"/>
  <c r="B104" i="601"/>
  <c r="B100" i="601"/>
  <c r="O30" i="601"/>
  <c r="O30" i="611"/>
  <c r="D114" i="612"/>
  <c r="D109" i="612"/>
  <c r="D108" i="337"/>
  <c r="D110" i="337" s="1"/>
  <c r="D33" i="337" s="1"/>
  <c r="D113" i="337"/>
  <c r="D115" i="337" s="1"/>
  <c r="D34" i="337" s="1"/>
  <c r="B32" i="337"/>
  <c r="A102" i="337" s="1"/>
  <c r="B33" i="337"/>
  <c r="A107" i="337" s="1"/>
  <c r="B34" i="337"/>
  <c r="A112" i="337" s="1"/>
  <c r="I113" i="343" l="1"/>
  <c r="L106" i="601"/>
  <c r="L28" i="601" s="1"/>
  <c r="P28" i="601" s="1"/>
  <c r="K96" i="601"/>
  <c r="K26" i="601" s="1"/>
  <c r="P24" i="601"/>
  <c r="I29" i="343"/>
  <c r="P23" i="601"/>
  <c r="I28" i="343"/>
  <c r="P22" i="601"/>
  <c r="I27" i="343"/>
  <c r="P21" i="601"/>
  <c r="I26" i="343"/>
  <c r="P20" i="601"/>
  <c r="I25" i="343"/>
  <c r="P19" i="601"/>
  <c r="I24" i="343"/>
  <c r="P18" i="601"/>
  <c r="I23" i="343"/>
  <c r="P17" i="601"/>
  <c r="I22" i="343"/>
  <c r="P16" i="601"/>
  <c r="I21" i="343"/>
  <c r="P15" i="601"/>
  <c r="I20" i="343"/>
  <c r="P14" i="601"/>
  <c r="I19" i="343"/>
  <c r="P13" i="601"/>
  <c r="I18" i="343"/>
  <c r="P11" i="601"/>
  <c r="I16" i="343"/>
  <c r="P10" i="601"/>
  <c r="I15" i="343"/>
  <c r="P25" i="601"/>
  <c r="I30" i="343"/>
  <c r="I14" i="343"/>
  <c r="R115" i="620"/>
  <c r="H111" i="343"/>
  <c r="H116" i="343"/>
  <c r="D205" i="588"/>
  <c r="I109" i="617"/>
  <c r="I114" i="617"/>
  <c r="L101" i="601"/>
  <c r="L27" i="601" s="1"/>
  <c r="P27" i="601" s="1"/>
  <c r="I108" i="617"/>
  <c r="K105" i="618"/>
  <c r="S105" i="618" s="1"/>
  <c r="J32" i="336"/>
  <c r="J31" i="336"/>
  <c r="C114" i="340"/>
  <c r="C37" i="340" s="1"/>
  <c r="C116" i="338"/>
  <c r="C35" i="338" s="1"/>
  <c r="C119" i="340"/>
  <c r="C38" i="340" s="1"/>
  <c r="B38" i="616"/>
  <c r="B34" i="612"/>
  <c r="A112" i="612" s="1"/>
  <c r="A201" i="613" s="1"/>
  <c r="A106" i="504"/>
  <c r="D200" i="588"/>
  <c r="B32" i="612"/>
  <c r="A102" i="612" s="1"/>
  <c r="A193" i="613" s="1"/>
  <c r="G107" i="504"/>
  <c r="G109" i="504" s="1"/>
  <c r="G27" i="504" s="1"/>
  <c r="B34" i="617"/>
  <c r="A112" i="617" s="1"/>
  <c r="C111" i="338"/>
  <c r="C34" i="338" s="1"/>
  <c r="A98" i="607"/>
  <c r="B36" i="616"/>
  <c r="G198" i="588"/>
  <c r="E109" i="338" s="1"/>
  <c r="A107" i="343"/>
  <c r="A103" i="602"/>
  <c r="A27" i="602" s="1"/>
  <c r="A108" i="338"/>
  <c r="A111" i="340"/>
  <c r="A197" i="588"/>
  <c r="A106" i="603"/>
  <c r="B31" i="603" s="1"/>
  <c r="A101" i="603"/>
  <c r="A192" i="588"/>
  <c r="A112" i="343"/>
  <c r="A116" i="340"/>
  <c r="A202" i="588"/>
  <c r="A111" i="603"/>
  <c r="B32" i="603" s="1"/>
  <c r="A108" i="602"/>
  <c r="A28" i="602" s="1"/>
  <c r="B109" i="612"/>
  <c r="B108" i="620"/>
  <c r="A105" i="618"/>
  <c r="B109" i="619"/>
  <c r="G102" i="504"/>
  <c r="A110" i="604"/>
  <c r="K55" i="606"/>
  <c r="B27" i="611"/>
  <c r="A98" i="611" s="1"/>
  <c r="B29" i="611"/>
  <c r="A108" i="611" s="1"/>
  <c r="B32" i="619"/>
  <c r="A113" i="619" s="1"/>
  <c r="B31" i="620"/>
  <c r="A111" i="620" s="1"/>
  <c r="A28" i="618"/>
  <c r="A108" i="618" s="1"/>
  <c r="A100" i="618"/>
  <c r="A109" i="618"/>
  <c r="B114" i="619"/>
  <c r="B112" i="620"/>
  <c r="B27" i="614"/>
  <c r="A106" i="614" s="1"/>
  <c r="B35" i="615"/>
  <c r="A113" i="615" s="1"/>
  <c r="B26" i="614"/>
  <c r="A101" i="614" s="1"/>
  <c r="B34" i="615"/>
  <c r="A108" i="615" s="1"/>
  <c r="A110" i="618"/>
  <c r="B115" i="619"/>
  <c r="B113" i="620"/>
  <c r="B37" i="616"/>
  <c r="G119" i="340"/>
  <c r="G38" i="340" s="1"/>
  <c r="B31" i="619"/>
  <c r="A107" i="619" s="1"/>
  <c r="B30" i="620"/>
  <c r="A106" i="620" s="1"/>
  <c r="A27" i="618"/>
  <c r="A103" i="618" s="1"/>
  <c r="B108" i="612"/>
  <c r="B107" i="620"/>
  <c r="B108" i="619"/>
  <c r="A104" i="618"/>
  <c r="A101" i="504"/>
  <c r="B33" i="612"/>
  <c r="A107" i="612" s="1"/>
  <c r="A197" i="613" s="1"/>
  <c r="B33" i="617"/>
  <c r="A107" i="617" s="1"/>
  <c r="B32" i="609"/>
  <c r="B31" i="609"/>
  <c r="B112" i="616"/>
  <c r="B30" i="609"/>
  <c r="B28" i="611"/>
  <c r="A103" i="611" s="1"/>
  <c r="A105" i="604"/>
  <c r="K54" i="606"/>
  <c r="S110" i="618"/>
  <c r="Q110" i="618"/>
  <c r="A199" i="613"/>
  <c r="A203" i="613"/>
  <c r="B108" i="614"/>
  <c r="B118" i="616"/>
  <c r="B113" i="612"/>
  <c r="A202" i="613"/>
  <c r="B117" i="616"/>
  <c r="B113" i="616"/>
  <c r="B108" i="616"/>
  <c r="A198" i="613"/>
  <c r="B102" i="614"/>
  <c r="G203" i="613"/>
  <c r="G199" i="613"/>
  <c r="E110" i="615" s="1"/>
  <c r="B114" i="612"/>
  <c r="B104" i="612"/>
  <c r="R108" i="604"/>
  <c r="R113" i="604"/>
  <c r="R108" i="603"/>
  <c r="I115" i="343"/>
  <c r="I34" i="343" s="1"/>
  <c r="D106" i="602"/>
  <c r="D27" i="602" s="1"/>
  <c r="F27" i="602" s="1"/>
  <c r="D111" i="602"/>
  <c r="D28" i="602" s="1"/>
  <c r="F28" i="602" s="1"/>
  <c r="C106" i="602"/>
  <c r="C27" i="602" s="1"/>
  <c r="I27" i="602" s="1"/>
  <c r="I110" i="602"/>
  <c r="C111" i="602"/>
  <c r="C28" i="602" s="1"/>
  <c r="I28" i="602" s="1"/>
  <c r="I108" i="343"/>
  <c r="I110" i="343" s="1"/>
  <c r="G204" i="588"/>
  <c r="E115" i="338" s="1"/>
  <c r="G114" i="340"/>
  <c r="G37" i="340" s="1"/>
  <c r="K119" i="340"/>
  <c r="K38" i="340" s="1"/>
  <c r="K114" i="340"/>
  <c r="K37" i="340" s="1"/>
  <c r="E109" i="504"/>
  <c r="E104" i="504"/>
  <c r="G199" i="588"/>
  <c r="E110" i="338" s="1"/>
  <c r="G203" i="588"/>
  <c r="P28" i="611" l="1"/>
  <c r="P29" i="611"/>
  <c r="I110" i="617"/>
  <c r="I33" i="617" s="1"/>
  <c r="R115" i="619"/>
  <c r="I113" i="617"/>
  <c r="I115" i="617" s="1"/>
  <c r="I34" i="617" s="1"/>
  <c r="Q105" i="618"/>
  <c r="E115" i="615"/>
  <c r="I111" i="343"/>
  <c r="I33" i="343"/>
  <c r="G200" i="588"/>
  <c r="E111" i="338"/>
  <c r="E34" i="338" s="1"/>
  <c r="G205" i="588"/>
  <c r="E114" i="338"/>
  <c r="G104" i="504"/>
  <c r="G26" i="504" s="1"/>
  <c r="I97" i="343"/>
  <c r="I98" i="343"/>
  <c r="J111" i="601"/>
  <c r="J29" i="601" s="1"/>
  <c r="G111" i="601"/>
  <c r="G29" i="601" s="1"/>
  <c r="F111" i="601"/>
  <c r="F29" i="601" s="1"/>
  <c r="E111" i="601"/>
  <c r="E29" i="601" s="1"/>
  <c r="D111" i="601"/>
  <c r="D29" i="601" s="1"/>
  <c r="C111" i="601"/>
  <c r="C29" i="601" s="1"/>
  <c r="K110" i="601"/>
  <c r="L111" i="601"/>
  <c r="L29" i="601" s="1"/>
  <c r="P29" i="601" s="1"/>
  <c r="K109" i="601"/>
  <c r="K105" i="601"/>
  <c r="K104" i="601"/>
  <c r="B10" i="601"/>
  <c r="B11" i="601"/>
  <c r="B12" i="601"/>
  <c r="B13" i="601"/>
  <c r="B14" i="601"/>
  <c r="B15" i="601"/>
  <c r="B16" i="601"/>
  <c r="B17" i="601"/>
  <c r="B18" i="601"/>
  <c r="B19" i="601"/>
  <c r="B20" i="601"/>
  <c r="B21" i="601"/>
  <c r="B22" i="601"/>
  <c r="B23" i="601"/>
  <c r="B24" i="601"/>
  <c r="B25" i="601"/>
  <c r="B26" i="601"/>
  <c r="B27" i="601"/>
  <c r="A98" i="601" s="1"/>
  <c r="B29" i="601"/>
  <c r="A108" i="601" s="1"/>
  <c r="P27" i="526"/>
  <c r="C110" i="526"/>
  <c r="C28" i="526" s="1"/>
  <c r="Y105" i="526"/>
  <c r="Y27" i="526" s="1"/>
  <c r="X105" i="526"/>
  <c r="X27" i="526" s="1"/>
  <c r="W105" i="526"/>
  <c r="W27" i="526" s="1"/>
  <c r="V105" i="526"/>
  <c r="V27" i="526" s="1"/>
  <c r="U105" i="526"/>
  <c r="U27" i="526" s="1"/>
  <c r="T105" i="526"/>
  <c r="T27" i="526" s="1"/>
  <c r="S105" i="526"/>
  <c r="S27" i="526" s="1"/>
  <c r="Q105" i="526"/>
  <c r="Q27" i="526" s="1"/>
  <c r="P105" i="526"/>
  <c r="O105" i="526"/>
  <c r="O27" i="526" s="1"/>
  <c r="N105" i="526"/>
  <c r="N27" i="526" s="1"/>
  <c r="J105" i="526"/>
  <c r="J27" i="526" s="1"/>
  <c r="E105" i="526"/>
  <c r="E27" i="526" s="1"/>
  <c r="D105" i="526"/>
  <c r="D27" i="526" s="1"/>
  <c r="C105" i="526"/>
  <c r="C27" i="526" s="1"/>
  <c r="Z104" i="526"/>
  <c r="M104" i="526"/>
  <c r="M103" i="526"/>
  <c r="M105" i="526" s="1"/>
  <c r="F103" i="526"/>
  <c r="H103" i="526" s="1"/>
  <c r="H104" i="618" s="1"/>
  <c r="Y110" i="526"/>
  <c r="Y28" i="526" s="1"/>
  <c r="X110" i="526"/>
  <c r="X28" i="526" s="1"/>
  <c r="W110" i="526"/>
  <c r="W28" i="526" s="1"/>
  <c r="V110" i="526"/>
  <c r="V28" i="526" s="1"/>
  <c r="U110" i="526"/>
  <c r="U28" i="526" s="1"/>
  <c r="T110" i="526"/>
  <c r="T28" i="526" s="1"/>
  <c r="S110" i="526"/>
  <c r="S28" i="526" s="1"/>
  <c r="Q110" i="526"/>
  <c r="Q28" i="526" s="1"/>
  <c r="P110" i="526"/>
  <c r="P28" i="526" s="1"/>
  <c r="O110" i="526"/>
  <c r="O28" i="526" s="1"/>
  <c r="N110" i="526"/>
  <c r="N28" i="526" s="1"/>
  <c r="J110" i="526"/>
  <c r="J28" i="526" s="1"/>
  <c r="E110" i="526"/>
  <c r="E28" i="526" s="1"/>
  <c r="D110" i="526"/>
  <c r="D28" i="526" s="1"/>
  <c r="Z109" i="526"/>
  <c r="M109" i="526"/>
  <c r="M108" i="526"/>
  <c r="F108" i="526"/>
  <c r="F110" i="526" s="1"/>
  <c r="H110" i="526" s="1"/>
  <c r="K113" i="607"/>
  <c r="J113" i="607"/>
  <c r="I113" i="607"/>
  <c r="K107" i="607"/>
  <c r="K112" i="616" s="1"/>
  <c r="K114" i="616" s="1"/>
  <c r="K37" i="616" s="1"/>
  <c r="J107" i="607"/>
  <c r="G112" i="616" s="1"/>
  <c r="G114" i="616" s="1"/>
  <c r="G37" i="616" s="1"/>
  <c r="I107" i="607"/>
  <c r="C112" i="616" s="1"/>
  <c r="C114" i="616" s="1"/>
  <c r="C37" i="616" s="1"/>
  <c r="G113" i="607"/>
  <c r="G107" i="607"/>
  <c r="G100" i="607"/>
  <c r="G97" i="614" s="1"/>
  <c r="L115" i="577"/>
  <c r="L29" i="577" s="1"/>
  <c r="E27" i="504" s="1"/>
  <c r="K115" i="577"/>
  <c r="K29" i="577" s="1"/>
  <c r="J115" i="577"/>
  <c r="J29" i="577" s="1"/>
  <c r="I115" i="577"/>
  <c r="I29" i="577" s="1"/>
  <c r="L109" i="577"/>
  <c r="L28" i="577" s="1"/>
  <c r="E26" i="504" s="1"/>
  <c r="K109" i="577"/>
  <c r="K28" i="577" s="1"/>
  <c r="J109" i="577"/>
  <c r="J28" i="577" s="1"/>
  <c r="I109" i="577"/>
  <c r="I28" i="577" s="1"/>
  <c r="H37" i="602"/>
  <c r="H39" i="602"/>
  <c r="H41" i="602"/>
  <c r="H47" i="602"/>
  <c r="H50" i="602"/>
  <c r="H54" i="602"/>
  <c r="H77" i="602"/>
  <c r="H79" i="602"/>
  <c r="H80" i="602"/>
  <c r="H83" i="602"/>
  <c r="H84" i="602"/>
  <c r="H89" i="602"/>
  <c r="I40" i="343"/>
  <c r="I41" i="343"/>
  <c r="I42" i="343"/>
  <c r="I116" i="343" s="1"/>
  <c r="I43" i="343"/>
  <c r="I44" i="343"/>
  <c r="I45" i="343"/>
  <c r="I46" i="343"/>
  <c r="I47" i="343"/>
  <c r="I48" i="343"/>
  <c r="I49" i="343"/>
  <c r="I50" i="343"/>
  <c r="I51" i="343"/>
  <c r="I52" i="343"/>
  <c r="I53" i="343"/>
  <c r="I54" i="343"/>
  <c r="I55" i="343"/>
  <c r="I56" i="343"/>
  <c r="I57" i="343"/>
  <c r="I58" i="343"/>
  <c r="I59" i="343"/>
  <c r="I60" i="343"/>
  <c r="I61" i="343"/>
  <c r="I62" i="343"/>
  <c r="I63" i="343"/>
  <c r="I64" i="343"/>
  <c r="I65" i="343"/>
  <c r="I66" i="343"/>
  <c r="I67" i="343"/>
  <c r="I68" i="343"/>
  <c r="I69" i="343"/>
  <c r="I70" i="343"/>
  <c r="I71" i="343"/>
  <c r="I72" i="343"/>
  <c r="I73" i="343"/>
  <c r="I74" i="343"/>
  <c r="I75" i="343"/>
  <c r="I76" i="343"/>
  <c r="I77" i="343"/>
  <c r="I78" i="343"/>
  <c r="I79" i="343"/>
  <c r="I80" i="343"/>
  <c r="I81" i="343"/>
  <c r="I82" i="343"/>
  <c r="I83" i="343"/>
  <c r="I84" i="343"/>
  <c r="I85" i="343"/>
  <c r="I86" i="343"/>
  <c r="I87" i="343"/>
  <c r="I88" i="343"/>
  <c r="I89" i="343"/>
  <c r="I90" i="343"/>
  <c r="I91" i="343"/>
  <c r="I92" i="343"/>
  <c r="I93" i="343"/>
  <c r="I94" i="343"/>
  <c r="I95" i="343"/>
  <c r="I96" i="343"/>
  <c r="I99" i="343"/>
  <c r="I38" i="343"/>
  <c r="G64" i="336"/>
  <c r="G65" i="336"/>
  <c r="G66" i="336"/>
  <c r="G67" i="336"/>
  <c r="G68" i="336"/>
  <c r="G69" i="336"/>
  <c r="G70" i="336"/>
  <c r="G71" i="336"/>
  <c r="G72" i="336"/>
  <c r="G73" i="336"/>
  <c r="G74" i="336"/>
  <c r="G75" i="336"/>
  <c r="G76" i="336"/>
  <c r="G77" i="336"/>
  <c r="G78" i="336"/>
  <c r="G79" i="336"/>
  <c r="G28" i="336" s="1"/>
  <c r="G63" i="336"/>
  <c r="G43" i="336"/>
  <c r="D13" i="336" s="1"/>
  <c r="G44" i="336"/>
  <c r="D14" i="336" s="1"/>
  <c r="G45" i="336"/>
  <c r="D15" i="336" s="1"/>
  <c r="G46" i="336"/>
  <c r="D16" i="336" s="1"/>
  <c r="G47" i="336"/>
  <c r="D17" i="336" s="1"/>
  <c r="G48" i="336"/>
  <c r="D18" i="336" s="1"/>
  <c r="G49" i="336"/>
  <c r="D19" i="336" s="1"/>
  <c r="G50" i="336"/>
  <c r="D20" i="336" s="1"/>
  <c r="G51" i="336"/>
  <c r="D21" i="336" s="1"/>
  <c r="G52" i="336"/>
  <c r="D22" i="336" s="1"/>
  <c r="G53" i="336"/>
  <c r="D23" i="336" s="1"/>
  <c r="G54" i="336"/>
  <c r="D24" i="336" s="1"/>
  <c r="G55" i="336"/>
  <c r="D25" i="336" s="1"/>
  <c r="G56" i="336"/>
  <c r="D26" i="336" s="1"/>
  <c r="G57" i="336"/>
  <c r="D27" i="336" s="1"/>
  <c r="G58" i="336"/>
  <c r="D28" i="336" s="1"/>
  <c r="I17" i="343" l="1"/>
  <c r="H106" i="618"/>
  <c r="O104" i="618"/>
  <c r="P29" i="577"/>
  <c r="O29" i="577"/>
  <c r="N29" i="577"/>
  <c r="P28" i="577"/>
  <c r="O28" i="577"/>
  <c r="N28" i="577"/>
  <c r="K109" i="607"/>
  <c r="K28" i="607" s="1"/>
  <c r="J109" i="607"/>
  <c r="J28" i="607" s="1"/>
  <c r="I115" i="607"/>
  <c r="I29" i="607" s="1"/>
  <c r="C117" i="616"/>
  <c r="C119" i="616" s="1"/>
  <c r="C38" i="616" s="1"/>
  <c r="J115" i="607"/>
  <c r="J29" i="607" s="1"/>
  <c r="G117" i="616"/>
  <c r="G119" i="616" s="1"/>
  <c r="G38" i="616" s="1"/>
  <c r="G109" i="607"/>
  <c r="G28" i="607" s="1"/>
  <c r="D104" i="618"/>
  <c r="D108" i="612"/>
  <c r="D110" i="612" s="1"/>
  <c r="D33" i="612" s="1"/>
  <c r="D198" i="613"/>
  <c r="L107" i="607"/>
  <c r="C109" i="615"/>
  <c r="C111" i="615" s="1"/>
  <c r="C34" i="615" s="1"/>
  <c r="K115" i="607"/>
  <c r="K29" i="607" s="1"/>
  <c r="K117" i="616"/>
  <c r="K119" i="616" s="1"/>
  <c r="K38" i="616" s="1"/>
  <c r="I109" i="607"/>
  <c r="I28" i="607" s="1"/>
  <c r="G115" i="607"/>
  <c r="G29" i="607" s="1"/>
  <c r="D109" i="618"/>
  <c r="D202" i="613"/>
  <c r="C114" i="615"/>
  <c r="C116" i="615" s="1"/>
  <c r="C35" i="615" s="1"/>
  <c r="L113" i="607"/>
  <c r="D113" i="612"/>
  <c r="D115" i="612" s="1"/>
  <c r="D34" i="612" s="1"/>
  <c r="AA27" i="526"/>
  <c r="Z103" i="526"/>
  <c r="Z105" i="526" s="1"/>
  <c r="H104" i="602"/>
  <c r="K106" i="601"/>
  <c r="K28" i="601" s="1"/>
  <c r="K111" i="601"/>
  <c r="K29" i="601" s="1"/>
  <c r="G59" i="336"/>
  <c r="G60" i="336" s="1"/>
  <c r="E116" i="338"/>
  <c r="E35" i="338" s="1"/>
  <c r="M110" i="526"/>
  <c r="M28" i="526"/>
  <c r="M27" i="526"/>
  <c r="F27" i="526"/>
  <c r="H27" i="526" s="1"/>
  <c r="Z27" i="526" s="1"/>
  <c r="AA28" i="526"/>
  <c r="F28" i="526"/>
  <c r="H28" i="526" s="1"/>
  <c r="Z28" i="526" s="1"/>
  <c r="H108" i="526"/>
  <c r="H109" i="618" s="1"/>
  <c r="F105" i="526"/>
  <c r="H105" i="526" s="1"/>
  <c r="D33" i="336" l="1"/>
  <c r="P12" i="611"/>
  <c r="O28" i="607"/>
  <c r="N28" i="607"/>
  <c r="P28" i="607"/>
  <c r="P12" i="601"/>
  <c r="H111" i="618"/>
  <c r="H28" i="618" s="1"/>
  <c r="O109" i="618"/>
  <c r="H107" i="618"/>
  <c r="H27" i="618"/>
  <c r="E102" i="614"/>
  <c r="L109" i="607"/>
  <c r="L28" i="607" s="1"/>
  <c r="D111" i="618"/>
  <c r="D28" i="618" s="1"/>
  <c r="F28" i="618" s="1"/>
  <c r="I109" i="618"/>
  <c r="E107" i="614"/>
  <c r="L115" i="607"/>
  <c r="L29" i="607" s="1"/>
  <c r="D204" i="613"/>
  <c r="G202" i="613"/>
  <c r="D200" i="613"/>
  <c r="G198" i="613"/>
  <c r="I104" i="618"/>
  <c r="D106" i="618"/>
  <c r="D27" i="618" s="1"/>
  <c r="F27" i="618" s="1"/>
  <c r="Z108" i="526"/>
  <c r="Z110" i="526" s="1"/>
  <c r="H109" i="602"/>
  <c r="H106" i="602"/>
  <c r="H27" i="602" s="1"/>
  <c r="N27" i="602" s="1"/>
  <c r="N104" i="602"/>
  <c r="I104" i="602"/>
  <c r="L711" i="577"/>
  <c r="L624" i="577"/>
  <c r="L623" i="577"/>
  <c r="L552" i="577"/>
  <c r="L534" i="577"/>
  <c r="L507" i="577"/>
  <c r="L374" i="577"/>
  <c r="L373" i="577"/>
  <c r="N29" i="607" l="1"/>
  <c r="O29" i="607"/>
  <c r="P29" i="607"/>
  <c r="E114" i="615"/>
  <c r="E116" i="615" s="1"/>
  <c r="E35" i="615" s="1"/>
  <c r="G204" i="613"/>
  <c r="E104" i="614"/>
  <c r="G102" i="614"/>
  <c r="G104" i="614" s="1"/>
  <c r="G26" i="614" s="1"/>
  <c r="E109" i="615"/>
  <c r="E111" i="615" s="1"/>
  <c r="E34" i="615" s="1"/>
  <c r="G200" i="613"/>
  <c r="E109" i="614"/>
  <c r="G107" i="614"/>
  <c r="G109" i="614" s="1"/>
  <c r="G27" i="614" s="1"/>
  <c r="I109" i="602"/>
  <c r="H111" i="602"/>
  <c r="H28" i="602" s="1"/>
  <c r="N28" i="602" s="1"/>
  <c r="N109" i="602"/>
  <c r="A745" i="607"/>
  <c r="B745" i="607"/>
  <c r="C745" i="607"/>
  <c r="D745" i="607"/>
  <c r="E745" i="607"/>
  <c r="G745" i="607"/>
  <c r="A746" i="607"/>
  <c r="B746" i="607"/>
  <c r="C746" i="607"/>
  <c r="D746" i="607"/>
  <c r="E746" i="607"/>
  <c r="G746" i="607"/>
  <c r="A747" i="607"/>
  <c r="B747" i="607"/>
  <c r="C747" i="607"/>
  <c r="D747" i="607"/>
  <c r="E747" i="607"/>
  <c r="G747" i="607"/>
  <c r="A748" i="607"/>
  <c r="B748" i="607"/>
  <c r="C748" i="607"/>
  <c r="D748" i="607"/>
  <c r="E748" i="607"/>
  <c r="G748" i="607"/>
  <c r="A749" i="607"/>
  <c r="B749" i="607"/>
  <c r="C749" i="607"/>
  <c r="D749" i="607"/>
  <c r="E749" i="607"/>
  <c r="G749" i="607"/>
  <c r="A750" i="607"/>
  <c r="B750" i="607"/>
  <c r="C750" i="607"/>
  <c r="D750" i="607"/>
  <c r="E750" i="607"/>
  <c r="G750" i="607"/>
  <c r="A751" i="607"/>
  <c r="B751" i="607"/>
  <c r="C751" i="607"/>
  <c r="D751" i="607"/>
  <c r="E751" i="607"/>
  <c r="G751" i="607"/>
  <c r="A752" i="607"/>
  <c r="B752" i="607"/>
  <c r="C752" i="607"/>
  <c r="D752" i="607"/>
  <c r="E752" i="607"/>
  <c r="G752" i="607"/>
  <c r="A753" i="607"/>
  <c r="B753" i="607"/>
  <c r="C753" i="607"/>
  <c r="D753" i="607"/>
  <c r="E753" i="607"/>
  <c r="G753" i="607"/>
  <c r="G120" i="607"/>
  <c r="G121" i="607"/>
  <c r="G122" i="607"/>
  <c r="G123" i="607"/>
  <c r="G124" i="607"/>
  <c r="G125" i="607"/>
  <c r="G126" i="607"/>
  <c r="G127" i="607"/>
  <c r="G128" i="607"/>
  <c r="G129" i="607"/>
  <c r="G130" i="607"/>
  <c r="G131" i="607"/>
  <c r="G132" i="607"/>
  <c r="G133" i="607"/>
  <c r="G134" i="607"/>
  <c r="G135" i="607"/>
  <c r="G136" i="607"/>
  <c r="G137" i="607"/>
  <c r="G138" i="607"/>
  <c r="G139" i="607"/>
  <c r="G140" i="607"/>
  <c r="G141" i="607"/>
  <c r="G142" i="607"/>
  <c r="G143" i="607"/>
  <c r="G144" i="607"/>
  <c r="G145" i="607"/>
  <c r="G146" i="607"/>
  <c r="G147" i="607"/>
  <c r="G148" i="607"/>
  <c r="G149" i="607"/>
  <c r="G150" i="607"/>
  <c r="G151" i="607"/>
  <c r="G152" i="607"/>
  <c r="G153" i="607"/>
  <c r="G154" i="607"/>
  <c r="G155" i="607"/>
  <c r="G156" i="607"/>
  <c r="G157" i="607"/>
  <c r="G158" i="607"/>
  <c r="G159" i="607"/>
  <c r="G160" i="607"/>
  <c r="G161" i="607"/>
  <c r="G162" i="607"/>
  <c r="G163" i="607"/>
  <c r="G164" i="607"/>
  <c r="G165" i="607"/>
  <c r="G166" i="607"/>
  <c r="G167" i="607"/>
  <c r="G168" i="607"/>
  <c r="G169" i="607"/>
  <c r="G170" i="607"/>
  <c r="G171" i="607"/>
  <c r="G172" i="607"/>
  <c r="G173" i="607"/>
  <c r="G174" i="607"/>
  <c r="G175" i="607"/>
  <c r="G176" i="607"/>
  <c r="G177" i="607"/>
  <c r="G178" i="607"/>
  <c r="G179" i="607"/>
  <c r="G180" i="607"/>
  <c r="G181" i="607"/>
  <c r="G182" i="607"/>
  <c r="G183" i="607"/>
  <c r="G184" i="607"/>
  <c r="G185" i="607"/>
  <c r="G186" i="607"/>
  <c r="G187" i="607"/>
  <c r="G188" i="607"/>
  <c r="G189" i="607"/>
  <c r="G190" i="607"/>
  <c r="G191" i="607"/>
  <c r="G192" i="607"/>
  <c r="G193" i="607"/>
  <c r="G194" i="607"/>
  <c r="G195" i="607"/>
  <c r="G196" i="607"/>
  <c r="G197" i="607"/>
  <c r="G198" i="607"/>
  <c r="G199" i="607"/>
  <c r="G200" i="607"/>
  <c r="G201" i="607"/>
  <c r="G202" i="607"/>
  <c r="G203" i="607"/>
  <c r="G204" i="607"/>
  <c r="G205" i="607"/>
  <c r="G206" i="607"/>
  <c r="G207" i="607"/>
  <c r="G208" i="607"/>
  <c r="G209" i="607"/>
  <c r="G210" i="607"/>
  <c r="G211" i="607"/>
  <c r="G212" i="607"/>
  <c r="G213" i="607"/>
  <c r="G214" i="607"/>
  <c r="G215" i="607"/>
  <c r="G216" i="607"/>
  <c r="G217" i="607"/>
  <c r="G218" i="607"/>
  <c r="G219" i="607"/>
  <c r="G220" i="607"/>
  <c r="G221" i="607"/>
  <c r="G222" i="607"/>
  <c r="G223" i="607"/>
  <c r="G224" i="607"/>
  <c r="G225" i="607"/>
  <c r="G226" i="607"/>
  <c r="G227" i="607"/>
  <c r="G228" i="607"/>
  <c r="G229" i="607"/>
  <c r="G230" i="607"/>
  <c r="G231" i="607"/>
  <c r="G232" i="607"/>
  <c r="G233" i="607"/>
  <c r="G234" i="607"/>
  <c r="G235" i="607"/>
  <c r="G236" i="607"/>
  <c r="G237" i="607"/>
  <c r="G238" i="607"/>
  <c r="G239" i="607"/>
  <c r="G240" i="607"/>
  <c r="G241" i="607"/>
  <c r="G242" i="607"/>
  <c r="G243" i="607"/>
  <c r="G244" i="607"/>
  <c r="G245" i="607"/>
  <c r="G246" i="607"/>
  <c r="G247" i="607"/>
  <c r="G248" i="607"/>
  <c r="G249" i="607"/>
  <c r="G250" i="607"/>
  <c r="G251" i="607"/>
  <c r="G252" i="607"/>
  <c r="G253" i="607"/>
  <c r="G254" i="607"/>
  <c r="G255" i="607"/>
  <c r="G256" i="607"/>
  <c r="G257" i="607"/>
  <c r="G258" i="607"/>
  <c r="G259" i="607"/>
  <c r="G260" i="607"/>
  <c r="G261" i="607"/>
  <c r="G262" i="607"/>
  <c r="G263" i="607"/>
  <c r="G264" i="607"/>
  <c r="G265" i="607"/>
  <c r="G266" i="607"/>
  <c r="G267" i="607"/>
  <c r="G268" i="607"/>
  <c r="G269" i="607"/>
  <c r="G270" i="607"/>
  <c r="G271" i="607"/>
  <c r="G272" i="607"/>
  <c r="G273" i="607"/>
  <c r="G274" i="607"/>
  <c r="G275" i="607"/>
  <c r="G276" i="607"/>
  <c r="G277" i="607"/>
  <c r="G278" i="607"/>
  <c r="G279" i="607"/>
  <c r="G280" i="607"/>
  <c r="G281" i="607"/>
  <c r="G282" i="607"/>
  <c r="G283" i="607"/>
  <c r="G284" i="607"/>
  <c r="G285" i="607"/>
  <c r="G286" i="607"/>
  <c r="G287" i="607"/>
  <c r="G288" i="607"/>
  <c r="G289" i="607"/>
  <c r="G290" i="607"/>
  <c r="G291" i="607"/>
  <c r="G292" i="607"/>
  <c r="G293" i="607"/>
  <c r="G294" i="607"/>
  <c r="G295" i="607"/>
  <c r="G296" i="607"/>
  <c r="G297" i="607"/>
  <c r="G298" i="607"/>
  <c r="G299" i="607"/>
  <c r="G300" i="607"/>
  <c r="G301" i="607"/>
  <c r="G302" i="607"/>
  <c r="G303" i="607"/>
  <c r="G304" i="607"/>
  <c r="G305" i="607"/>
  <c r="G306" i="607"/>
  <c r="G307" i="607"/>
  <c r="G308" i="607"/>
  <c r="G309" i="607"/>
  <c r="G310" i="607"/>
  <c r="G311" i="607"/>
  <c r="G312" i="607"/>
  <c r="G313" i="607"/>
  <c r="G314" i="607"/>
  <c r="G315" i="607"/>
  <c r="G316" i="607"/>
  <c r="G317" i="607"/>
  <c r="G318" i="607"/>
  <c r="G319" i="607"/>
  <c r="G320" i="607"/>
  <c r="G321" i="607"/>
  <c r="G322" i="607"/>
  <c r="G323" i="607"/>
  <c r="G324" i="607"/>
  <c r="G325" i="607"/>
  <c r="G326" i="607"/>
  <c r="G327" i="607"/>
  <c r="G328" i="607"/>
  <c r="G329" i="607"/>
  <c r="G330" i="607"/>
  <c r="G331" i="607"/>
  <c r="G332" i="607"/>
  <c r="G333" i="607"/>
  <c r="G334" i="607"/>
  <c r="G335" i="607"/>
  <c r="G336" i="607"/>
  <c r="G337" i="607"/>
  <c r="G338" i="607"/>
  <c r="G339" i="607"/>
  <c r="G340" i="607"/>
  <c r="G341" i="607"/>
  <c r="G342" i="607"/>
  <c r="G343" i="607"/>
  <c r="G344" i="607"/>
  <c r="G345" i="607"/>
  <c r="G346" i="607"/>
  <c r="G347" i="607"/>
  <c r="G348" i="607"/>
  <c r="G349" i="607"/>
  <c r="G350" i="607"/>
  <c r="G351" i="607"/>
  <c r="G352" i="607"/>
  <c r="G353" i="607"/>
  <c r="G354" i="607"/>
  <c r="G355" i="607"/>
  <c r="G356" i="607"/>
  <c r="G357" i="607"/>
  <c r="G358" i="607"/>
  <c r="G359" i="607"/>
  <c r="G360" i="607"/>
  <c r="G361" i="607"/>
  <c r="G362" i="607"/>
  <c r="G363" i="607"/>
  <c r="G364" i="607"/>
  <c r="G365" i="607"/>
  <c r="G366" i="607"/>
  <c r="G367" i="607"/>
  <c r="G368" i="607"/>
  <c r="G369" i="607"/>
  <c r="G370" i="607"/>
  <c r="G371" i="607"/>
  <c r="G372" i="607"/>
  <c r="G373" i="607"/>
  <c r="L373" i="607" s="1"/>
  <c r="G374" i="607"/>
  <c r="L374" i="607" s="1"/>
  <c r="G375" i="607"/>
  <c r="G376" i="607"/>
  <c r="G377" i="607"/>
  <c r="G378" i="607"/>
  <c r="G379" i="607"/>
  <c r="G380" i="607"/>
  <c r="G381" i="607"/>
  <c r="G382" i="607"/>
  <c r="G383" i="607"/>
  <c r="G384" i="607"/>
  <c r="G385" i="607"/>
  <c r="G386" i="607"/>
  <c r="G387" i="607"/>
  <c r="G388" i="607"/>
  <c r="G389" i="607"/>
  <c r="G390" i="607"/>
  <c r="G391" i="607"/>
  <c r="G392" i="607"/>
  <c r="G393" i="607"/>
  <c r="G394" i="607"/>
  <c r="G395" i="607"/>
  <c r="G396" i="607"/>
  <c r="G397" i="607"/>
  <c r="G398" i="607"/>
  <c r="G399" i="607"/>
  <c r="G400" i="607"/>
  <c r="G401" i="607"/>
  <c r="G402" i="607"/>
  <c r="G403" i="607"/>
  <c r="G404" i="607"/>
  <c r="G405" i="607"/>
  <c r="G406" i="607"/>
  <c r="G407" i="607"/>
  <c r="G408" i="607"/>
  <c r="G409" i="607"/>
  <c r="G410" i="607"/>
  <c r="G411" i="607"/>
  <c r="G412" i="607"/>
  <c r="G413" i="607"/>
  <c r="G414" i="607"/>
  <c r="G415" i="607"/>
  <c r="G416" i="607"/>
  <c r="G417" i="607"/>
  <c r="G418" i="607"/>
  <c r="G419" i="607"/>
  <c r="G420" i="607"/>
  <c r="G421" i="607"/>
  <c r="G422" i="607"/>
  <c r="G423" i="607"/>
  <c r="G424" i="607"/>
  <c r="G425" i="607"/>
  <c r="G426" i="607"/>
  <c r="G427" i="607"/>
  <c r="G428" i="607"/>
  <c r="G429" i="607"/>
  <c r="G430" i="607"/>
  <c r="G431" i="607"/>
  <c r="G432" i="607"/>
  <c r="G433" i="607"/>
  <c r="G434" i="607"/>
  <c r="G435" i="607"/>
  <c r="G436" i="607"/>
  <c r="G437" i="607"/>
  <c r="G438" i="607"/>
  <c r="G439" i="607"/>
  <c r="G440" i="607"/>
  <c r="G441" i="607"/>
  <c r="G442" i="607"/>
  <c r="G443" i="607"/>
  <c r="G444" i="607"/>
  <c r="G445" i="607"/>
  <c r="G446" i="607"/>
  <c r="G447" i="607"/>
  <c r="G448" i="607"/>
  <c r="G449" i="607"/>
  <c r="G450" i="607"/>
  <c r="G451" i="607"/>
  <c r="G452" i="607"/>
  <c r="G453" i="607"/>
  <c r="G454" i="607"/>
  <c r="G455" i="607"/>
  <c r="G456" i="607"/>
  <c r="G457" i="607"/>
  <c r="G458" i="607"/>
  <c r="G459" i="607"/>
  <c r="G460" i="607"/>
  <c r="G461" i="607"/>
  <c r="G462" i="607"/>
  <c r="G463" i="607"/>
  <c r="G464" i="607"/>
  <c r="G465" i="607"/>
  <c r="G466" i="607"/>
  <c r="G467" i="607"/>
  <c r="G468" i="607"/>
  <c r="G469" i="607"/>
  <c r="G470" i="607"/>
  <c r="G471" i="607"/>
  <c r="G472" i="607"/>
  <c r="G473" i="607"/>
  <c r="G474" i="607"/>
  <c r="G475" i="607"/>
  <c r="G476" i="607"/>
  <c r="G477" i="607"/>
  <c r="G478" i="607"/>
  <c r="G479" i="607"/>
  <c r="G480" i="607"/>
  <c r="G481" i="607"/>
  <c r="G482" i="607"/>
  <c r="G483" i="607"/>
  <c r="G484" i="607"/>
  <c r="G485" i="607"/>
  <c r="G486" i="607"/>
  <c r="G487" i="607"/>
  <c r="G488" i="607"/>
  <c r="G489" i="607"/>
  <c r="G490" i="607"/>
  <c r="G491" i="607"/>
  <c r="G492" i="607"/>
  <c r="G493" i="607"/>
  <c r="G494" i="607"/>
  <c r="G495" i="607"/>
  <c r="G496" i="607"/>
  <c r="G497" i="607"/>
  <c r="G498" i="607"/>
  <c r="G499" i="607"/>
  <c r="G500" i="607"/>
  <c r="G501" i="607"/>
  <c r="G502" i="607"/>
  <c r="G503" i="607"/>
  <c r="G504" i="607"/>
  <c r="G505" i="607"/>
  <c r="G506" i="607"/>
  <c r="G507" i="607"/>
  <c r="L507" i="607" s="1"/>
  <c r="G508" i="607"/>
  <c r="G509" i="607"/>
  <c r="G510" i="607"/>
  <c r="G511" i="607"/>
  <c r="G512" i="607"/>
  <c r="G513" i="607"/>
  <c r="G514" i="607"/>
  <c r="G515" i="607"/>
  <c r="G516" i="607"/>
  <c r="G517" i="607"/>
  <c r="G518" i="607"/>
  <c r="G519" i="607"/>
  <c r="G520" i="607"/>
  <c r="G521" i="607"/>
  <c r="G522" i="607"/>
  <c r="G523" i="607"/>
  <c r="G524" i="607"/>
  <c r="G525" i="607"/>
  <c r="G526" i="607"/>
  <c r="G527" i="607"/>
  <c r="G528" i="607"/>
  <c r="G529" i="607"/>
  <c r="G530" i="607"/>
  <c r="G531" i="607"/>
  <c r="G532" i="607"/>
  <c r="G533" i="607"/>
  <c r="G534" i="607"/>
  <c r="G535" i="607"/>
  <c r="G536" i="607"/>
  <c r="G537" i="607"/>
  <c r="G538" i="607"/>
  <c r="G539" i="607"/>
  <c r="G540" i="607"/>
  <c r="G541" i="607"/>
  <c r="G542" i="607"/>
  <c r="G543" i="607"/>
  <c r="G544" i="607"/>
  <c r="G545" i="607"/>
  <c r="G546" i="607"/>
  <c r="G547" i="607"/>
  <c r="G548" i="607"/>
  <c r="G549" i="607"/>
  <c r="G550" i="607"/>
  <c r="G551" i="607"/>
  <c r="G552" i="607"/>
  <c r="G553" i="607"/>
  <c r="G554" i="607"/>
  <c r="G555" i="607"/>
  <c r="G556" i="607"/>
  <c r="G557" i="607"/>
  <c r="G558" i="607"/>
  <c r="G559" i="607"/>
  <c r="G560" i="607"/>
  <c r="G561" i="607"/>
  <c r="G562" i="607"/>
  <c r="G563" i="607"/>
  <c r="G564" i="607"/>
  <c r="G565" i="607"/>
  <c r="G566" i="607"/>
  <c r="G567" i="607"/>
  <c r="G568" i="607"/>
  <c r="G569" i="607"/>
  <c r="G570" i="607"/>
  <c r="G571" i="607"/>
  <c r="G572" i="607"/>
  <c r="G573" i="607"/>
  <c r="G574" i="607"/>
  <c r="G575" i="607"/>
  <c r="G576" i="607"/>
  <c r="G577" i="607"/>
  <c r="G578" i="607"/>
  <c r="G579" i="607"/>
  <c r="G580" i="607"/>
  <c r="G581" i="607"/>
  <c r="G582" i="607"/>
  <c r="G583" i="607"/>
  <c r="G584" i="607"/>
  <c r="G585" i="607"/>
  <c r="G586" i="607"/>
  <c r="G587" i="607"/>
  <c r="G588" i="607"/>
  <c r="G589" i="607"/>
  <c r="G590" i="607"/>
  <c r="G591" i="607"/>
  <c r="G592" i="607"/>
  <c r="G593" i="607"/>
  <c r="G594" i="607"/>
  <c r="G595" i="607"/>
  <c r="G596" i="607"/>
  <c r="G597" i="607"/>
  <c r="G598" i="607"/>
  <c r="G599" i="607"/>
  <c r="G600" i="607"/>
  <c r="G601" i="607"/>
  <c r="G602" i="607"/>
  <c r="G603" i="607"/>
  <c r="G604" i="607"/>
  <c r="G605" i="607"/>
  <c r="G606" i="607"/>
  <c r="G607" i="607"/>
  <c r="G608" i="607"/>
  <c r="G609" i="607"/>
  <c r="G610" i="607"/>
  <c r="G611" i="607"/>
  <c r="G612" i="607"/>
  <c r="G613" i="607"/>
  <c r="G614" i="607"/>
  <c r="G615" i="607"/>
  <c r="G616" i="607"/>
  <c r="G617" i="607"/>
  <c r="G618" i="607"/>
  <c r="G619" i="607"/>
  <c r="G620" i="607"/>
  <c r="G621" i="607"/>
  <c r="G622" i="607"/>
  <c r="G623" i="607"/>
  <c r="L623" i="607" s="1"/>
  <c r="G624" i="607"/>
  <c r="L624" i="607" s="1"/>
  <c r="G625" i="607"/>
  <c r="G626" i="607"/>
  <c r="G627" i="607"/>
  <c r="G628" i="607"/>
  <c r="G629" i="607"/>
  <c r="G630" i="607"/>
  <c r="G631" i="607"/>
  <c r="G632" i="607"/>
  <c r="G633" i="607"/>
  <c r="G634" i="607"/>
  <c r="G635" i="607"/>
  <c r="G636" i="607"/>
  <c r="G637" i="607"/>
  <c r="G638" i="607"/>
  <c r="G639" i="607"/>
  <c r="G640" i="607"/>
  <c r="G641" i="607"/>
  <c r="G642" i="607"/>
  <c r="G643" i="607"/>
  <c r="G644" i="607"/>
  <c r="G645" i="607"/>
  <c r="G646" i="607"/>
  <c r="G647" i="607"/>
  <c r="G648" i="607"/>
  <c r="G649" i="607"/>
  <c r="G650" i="607"/>
  <c r="G651" i="607"/>
  <c r="G652" i="607"/>
  <c r="G653" i="607"/>
  <c r="G654" i="607"/>
  <c r="G655" i="607"/>
  <c r="G656" i="607"/>
  <c r="G657" i="607"/>
  <c r="G658" i="607"/>
  <c r="G659" i="607"/>
  <c r="G660" i="607"/>
  <c r="G661" i="607"/>
  <c r="G662" i="607"/>
  <c r="G663" i="607"/>
  <c r="G664" i="607"/>
  <c r="G665" i="607"/>
  <c r="G666" i="607"/>
  <c r="G667" i="607"/>
  <c r="G668" i="607"/>
  <c r="G669" i="607"/>
  <c r="G670" i="607"/>
  <c r="G671" i="607"/>
  <c r="G672" i="607"/>
  <c r="G673" i="607"/>
  <c r="G674" i="607"/>
  <c r="G675" i="607"/>
  <c r="G676" i="607"/>
  <c r="G677" i="607"/>
  <c r="G678" i="607"/>
  <c r="G679" i="607"/>
  <c r="G680" i="607"/>
  <c r="G681" i="607"/>
  <c r="G682" i="607"/>
  <c r="G683" i="607"/>
  <c r="G684" i="607"/>
  <c r="G685" i="607"/>
  <c r="G686" i="607"/>
  <c r="G687" i="607"/>
  <c r="G688" i="607"/>
  <c r="G689" i="607"/>
  <c r="G690" i="607"/>
  <c r="G691" i="607"/>
  <c r="G692" i="607"/>
  <c r="G693" i="607"/>
  <c r="G694" i="607"/>
  <c r="G695" i="607"/>
  <c r="G696" i="607"/>
  <c r="G697" i="607"/>
  <c r="G698" i="607"/>
  <c r="G699" i="607"/>
  <c r="G700" i="607"/>
  <c r="G701" i="607"/>
  <c r="G702" i="607"/>
  <c r="G703" i="607"/>
  <c r="G704" i="607"/>
  <c r="G705" i="607"/>
  <c r="G706" i="607"/>
  <c r="G707" i="607"/>
  <c r="G708" i="607"/>
  <c r="G709" i="607"/>
  <c r="G710" i="607"/>
  <c r="G711" i="607"/>
  <c r="L711" i="607" s="1"/>
  <c r="G712" i="607"/>
  <c r="G713" i="607"/>
  <c r="G714" i="607"/>
  <c r="G715" i="607"/>
  <c r="G716" i="607"/>
  <c r="G717" i="607"/>
  <c r="G718" i="607"/>
  <c r="G719" i="607"/>
  <c r="G720" i="607"/>
  <c r="G721" i="607"/>
  <c r="G722" i="607"/>
  <c r="G723" i="607"/>
  <c r="G724" i="607"/>
  <c r="G725" i="607"/>
  <c r="G726" i="607"/>
  <c r="G727" i="607"/>
  <c r="G728" i="607"/>
  <c r="G729" i="607"/>
  <c r="G730" i="607"/>
  <c r="G731" i="607"/>
  <c r="G732" i="607"/>
  <c r="G733" i="607"/>
  <c r="G734" i="607"/>
  <c r="G735" i="607"/>
  <c r="G736" i="607"/>
  <c r="G737" i="607"/>
  <c r="G738" i="607"/>
  <c r="G739" i="607"/>
  <c r="G740" i="607"/>
  <c r="G741" i="607"/>
  <c r="G742" i="607"/>
  <c r="G743" i="607"/>
  <c r="G744" i="607"/>
  <c r="L120" i="607"/>
  <c r="L121" i="607"/>
  <c r="L122" i="607"/>
  <c r="L123" i="607"/>
  <c r="L124" i="607"/>
  <c r="L125" i="607"/>
  <c r="L126" i="607"/>
  <c r="L127" i="607"/>
  <c r="L128" i="607"/>
  <c r="L129" i="607"/>
  <c r="L130" i="607"/>
  <c r="L131" i="607"/>
  <c r="L132" i="607"/>
  <c r="L133" i="607"/>
  <c r="L134" i="607"/>
  <c r="L135" i="607"/>
  <c r="L136" i="607"/>
  <c r="L137" i="607"/>
  <c r="L138" i="607"/>
  <c r="L139" i="607"/>
  <c r="L140" i="607"/>
  <c r="L141" i="607"/>
  <c r="L142" i="607"/>
  <c r="L143" i="607"/>
  <c r="L144" i="607"/>
  <c r="L145" i="607"/>
  <c r="L146" i="607"/>
  <c r="L147" i="607"/>
  <c r="L148" i="607"/>
  <c r="L149" i="607"/>
  <c r="L150" i="607"/>
  <c r="L151" i="607"/>
  <c r="L152" i="607"/>
  <c r="L153" i="607"/>
  <c r="L154" i="607"/>
  <c r="L155" i="607"/>
  <c r="L156" i="607"/>
  <c r="L157" i="607"/>
  <c r="L158" i="607"/>
  <c r="L159" i="607"/>
  <c r="L160" i="607"/>
  <c r="L161" i="607"/>
  <c r="L162" i="607"/>
  <c r="L163" i="607"/>
  <c r="L164" i="607"/>
  <c r="L165" i="607"/>
  <c r="L166" i="607"/>
  <c r="L167" i="607"/>
  <c r="L168" i="607"/>
  <c r="L169" i="607"/>
  <c r="L170" i="607"/>
  <c r="L171" i="607"/>
  <c r="L172" i="607"/>
  <c r="L173" i="607"/>
  <c r="L174" i="607"/>
  <c r="L175" i="607"/>
  <c r="L176" i="607"/>
  <c r="L177" i="607"/>
  <c r="L178" i="607"/>
  <c r="L179" i="607"/>
  <c r="L180" i="607"/>
  <c r="L181" i="607"/>
  <c r="L182" i="607"/>
  <c r="L183" i="607"/>
  <c r="L184" i="607"/>
  <c r="L185" i="607"/>
  <c r="L186" i="607"/>
  <c r="L187" i="607"/>
  <c r="L188" i="607"/>
  <c r="L189" i="607"/>
  <c r="L190" i="607"/>
  <c r="L191" i="607"/>
  <c r="L192" i="607"/>
  <c r="L193" i="607"/>
  <c r="L194" i="607"/>
  <c r="L195" i="607"/>
  <c r="L196" i="607"/>
  <c r="L197" i="607"/>
  <c r="L198" i="607"/>
  <c r="L199" i="607"/>
  <c r="L200" i="607"/>
  <c r="L201" i="607"/>
  <c r="L202" i="607"/>
  <c r="L203" i="607"/>
  <c r="L204" i="607"/>
  <c r="L205" i="607"/>
  <c r="L206" i="607"/>
  <c r="L207" i="607"/>
  <c r="L208" i="607"/>
  <c r="L209" i="607"/>
  <c r="L210" i="607"/>
  <c r="L211" i="607"/>
  <c r="L212" i="607"/>
  <c r="L213" i="607"/>
  <c r="L214" i="607"/>
  <c r="L215" i="607"/>
  <c r="L216" i="607"/>
  <c r="L217" i="607"/>
  <c r="L218" i="607"/>
  <c r="L219" i="607"/>
  <c r="L220" i="607"/>
  <c r="L221" i="607"/>
  <c r="L222" i="607"/>
  <c r="L223" i="607"/>
  <c r="L224" i="607"/>
  <c r="L225" i="607"/>
  <c r="L226" i="607"/>
  <c r="L227" i="607"/>
  <c r="L228" i="607"/>
  <c r="L229" i="607"/>
  <c r="L230" i="607"/>
  <c r="L231" i="607"/>
  <c r="L232" i="607"/>
  <c r="L233" i="607"/>
  <c r="L234" i="607"/>
  <c r="L235" i="607"/>
  <c r="L236" i="607"/>
  <c r="L237" i="607"/>
  <c r="L238" i="607"/>
  <c r="L239" i="607"/>
  <c r="L240" i="607"/>
  <c r="L241" i="607"/>
  <c r="L242" i="607"/>
  <c r="L243" i="607"/>
  <c r="L244" i="607"/>
  <c r="L245" i="607"/>
  <c r="L246" i="607"/>
  <c r="L247" i="607"/>
  <c r="L248" i="607"/>
  <c r="L249" i="607"/>
  <c r="L250" i="607"/>
  <c r="L251" i="607"/>
  <c r="L252" i="607"/>
  <c r="L253" i="607"/>
  <c r="L254" i="607"/>
  <c r="L255" i="607"/>
  <c r="L256" i="607"/>
  <c r="L257" i="607"/>
  <c r="L258" i="607"/>
  <c r="L259" i="607"/>
  <c r="L260" i="607"/>
  <c r="L261" i="607"/>
  <c r="L262" i="607"/>
  <c r="L263" i="607"/>
  <c r="L264" i="607"/>
  <c r="L265" i="607"/>
  <c r="L266" i="607"/>
  <c r="L267" i="607"/>
  <c r="L268" i="607"/>
  <c r="L269" i="607"/>
  <c r="L270" i="607"/>
  <c r="L271" i="607"/>
  <c r="L272" i="607"/>
  <c r="L273" i="607"/>
  <c r="L274" i="607"/>
  <c r="L275" i="607"/>
  <c r="L276" i="607"/>
  <c r="L277" i="607"/>
  <c r="L278" i="607"/>
  <c r="L279" i="607"/>
  <c r="L280" i="607"/>
  <c r="L281" i="607"/>
  <c r="L282" i="607"/>
  <c r="L283" i="607"/>
  <c r="L284" i="607"/>
  <c r="L285" i="607"/>
  <c r="L286" i="607"/>
  <c r="L287" i="607"/>
  <c r="L288" i="607"/>
  <c r="L289" i="607"/>
  <c r="L290" i="607"/>
  <c r="L291" i="607"/>
  <c r="L292" i="607"/>
  <c r="L293" i="607"/>
  <c r="L294" i="607"/>
  <c r="L295" i="607"/>
  <c r="L296" i="607"/>
  <c r="L297" i="607"/>
  <c r="L298" i="607"/>
  <c r="L299" i="607"/>
  <c r="L300" i="607"/>
  <c r="L301" i="607"/>
  <c r="L302" i="607"/>
  <c r="L303" i="607"/>
  <c r="L304" i="607"/>
  <c r="L305" i="607"/>
  <c r="L306" i="607"/>
  <c r="L307" i="607"/>
  <c r="L308" i="607"/>
  <c r="L309" i="607"/>
  <c r="L310" i="607"/>
  <c r="L311" i="607"/>
  <c r="L312" i="607"/>
  <c r="L313" i="607"/>
  <c r="L314" i="607"/>
  <c r="L315" i="607"/>
  <c r="L316" i="607"/>
  <c r="L317" i="607"/>
  <c r="L318" i="607"/>
  <c r="L319" i="607"/>
  <c r="L320" i="607"/>
  <c r="L321" i="607"/>
  <c r="L322" i="607"/>
  <c r="L323" i="607"/>
  <c r="L324" i="607"/>
  <c r="L325" i="607"/>
  <c r="L326" i="607"/>
  <c r="L327" i="607"/>
  <c r="L328" i="607"/>
  <c r="L329" i="607"/>
  <c r="L330" i="607"/>
  <c r="L331" i="607"/>
  <c r="L332" i="607"/>
  <c r="L333" i="607"/>
  <c r="L334" i="607"/>
  <c r="L335" i="607"/>
  <c r="L336" i="607"/>
  <c r="L337" i="607"/>
  <c r="L338" i="607"/>
  <c r="L339" i="607"/>
  <c r="L340" i="607"/>
  <c r="L341" i="607"/>
  <c r="L342" i="607"/>
  <c r="L343" i="607"/>
  <c r="L344" i="607"/>
  <c r="L345" i="607"/>
  <c r="L346" i="607"/>
  <c r="L347" i="607"/>
  <c r="L348" i="607"/>
  <c r="L349" i="607"/>
  <c r="L350" i="607"/>
  <c r="L351" i="607"/>
  <c r="L352" i="607"/>
  <c r="L353" i="607"/>
  <c r="L354" i="607"/>
  <c r="L355" i="607"/>
  <c r="L356" i="607"/>
  <c r="L357" i="607"/>
  <c r="L358" i="607"/>
  <c r="L359" i="607"/>
  <c r="L360" i="607"/>
  <c r="L361" i="607"/>
  <c r="L362" i="607"/>
  <c r="L363" i="607"/>
  <c r="L364" i="607"/>
  <c r="L365" i="607"/>
  <c r="L366" i="607"/>
  <c r="L367" i="607"/>
  <c r="L368" i="607"/>
  <c r="L369" i="607"/>
  <c r="L370" i="607"/>
  <c r="L371" i="607"/>
  <c r="L372" i="607"/>
  <c r="L375" i="607"/>
  <c r="L376" i="607"/>
  <c r="L377" i="607"/>
  <c r="L378" i="607"/>
  <c r="L379" i="607"/>
  <c r="L380" i="607"/>
  <c r="L381" i="607"/>
  <c r="L382" i="607"/>
  <c r="L383" i="607"/>
  <c r="L384" i="607"/>
  <c r="L385" i="607"/>
  <c r="L386" i="607"/>
  <c r="L387" i="607"/>
  <c r="L388" i="607"/>
  <c r="L389" i="607"/>
  <c r="L390" i="607"/>
  <c r="L391" i="607"/>
  <c r="L392" i="607"/>
  <c r="L393" i="607"/>
  <c r="L394" i="607"/>
  <c r="L395" i="607"/>
  <c r="L396" i="607"/>
  <c r="L397" i="607"/>
  <c r="L398" i="607"/>
  <c r="L399" i="607"/>
  <c r="L400" i="607"/>
  <c r="L401" i="607"/>
  <c r="L402" i="607"/>
  <c r="L403" i="607"/>
  <c r="L404" i="607"/>
  <c r="L405" i="607"/>
  <c r="L406" i="607"/>
  <c r="L407" i="607"/>
  <c r="L408" i="607"/>
  <c r="L409" i="607"/>
  <c r="L410" i="607"/>
  <c r="L411" i="607"/>
  <c r="L412" i="607"/>
  <c r="L413" i="607"/>
  <c r="L414" i="607"/>
  <c r="L415" i="607"/>
  <c r="L416" i="607"/>
  <c r="L417" i="607"/>
  <c r="L418" i="607"/>
  <c r="L419" i="607"/>
  <c r="L420" i="607"/>
  <c r="L421" i="607"/>
  <c r="L422" i="607"/>
  <c r="L423" i="607"/>
  <c r="L424" i="607"/>
  <c r="L425" i="607"/>
  <c r="L426" i="607"/>
  <c r="L427" i="607"/>
  <c r="L428" i="607"/>
  <c r="L429" i="607"/>
  <c r="L430" i="607"/>
  <c r="L431" i="607"/>
  <c r="L432" i="607"/>
  <c r="L433" i="607"/>
  <c r="L434" i="607"/>
  <c r="L435" i="607"/>
  <c r="L436" i="607"/>
  <c r="L437" i="607"/>
  <c r="L438" i="607"/>
  <c r="L439" i="607"/>
  <c r="L440" i="607"/>
  <c r="L441" i="607"/>
  <c r="L442" i="607"/>
  <c r="L443" i="607"/>
  <c r="L444" i="607"/>
  <c r="L445" i="607"/>
  <c r="L446" i="607"/>
  <c r="L447" i="607"/>
  <c r="L448" i="607"/>
  <c r="L449" i="607"/>
  <c r="L450" i="607"/>
  <c r="L451" i="607"/>
  <c r="L452" i="607"/>
  <c r="L453" i="607"/>
  <c r="L454" i="607"/>
  <c r="L455" i="607"/>
  <c r="L456" i="607"/>
  <c r="L457" i="607"/>
  <c r="L458" i="607"/>
  <c r="L459" i="607"/>
  <c r="L460" i="607"/>
  <c r="L461" i="607"/>
  <c r="L462" i="607"/>
  <c r="L463" i="607"/>
  <c r="L464" i="607"/>
  <c r="L465" i="607"/>
  <c r="L466" i="607"/>
  <c r="L467" i="607"/>
  <c r="L468" i="607"/>
  <c r="L469" i="607"/>
  <c r="L470" i="607"/>
  <c r="L471" i="607"/>
  <c r="L472" i="607"/>
  <c r="L473" i="607"/>
  <c r="L474" i="607"/>
  <c r="L475" i="607"/>
  <c r="L476" i="607"/>
  <c r="L477" i="607"/>
  <c r="L478" i="607"/>
  <c r="L479" i="607"/>
  <c r="L480" i="607"/>
  <c r="L481" i="607"/>
  <c r="L482" i="607"/>
  <c r="L483" i="607"/>
  <c r="L484" i="607"/>
  <c r="L485" i="607"/>
  <c r="L486" i="607"/>
  <c r="L487" i="607"/>
  <c r="L488" i="607"/>
  <c r="L489" i="607"/>
  <c r="L490" i="607"/>
  <c r="L491" i="607"/>
  <c r="L492" i="607"/>
  <c r="L493" i="607"/>
  <c r="L494" i="607"/>
  <c r="L495" i="607"/>
  <c r="L496" i="607"/>
  <c r="L497" i="607"/>
  <c r="L498" i="607"/>
  <c r="L499" i="607"/>
  <c r="L500" i="607"/>
  <c r="L501" i="607"/>
  <c r="L502" i="607"/>
  <c r="L503" i="607"/>
  <c r="L504" i="607"/>
  <c r="L505" i="607"/>
  <c r="L506" i="607"/>
  <c r="L508" i="607"/>
  <c r="L509" i="607"/>
  <c r="L510" i="607"/>
  <c r="L511" i="607"/>
  <c r="L512" i="607"/>
  <c r="L513" i="607"/>
  <c r="L514" i="607"/>
  <c r="L515" i="607"/>
  <c r="L516" i="607"/>
  <c r="L517" i="607"/>
  <c r="L518" i="607"/>
  <c r="L519" i="607"/>
  <c r="L520" i="607"/>
  <c r="L521" i="607"/>
  <c r="L522" i="607"/>
  <c r="L523" i="607"/>
  <c r="L524" i="607"/>
  <c r="L525" i="607"/>
  <c r="L526" i="607"/>
  <c r="L527" i="607"/>
  <c r="L528" i="607"/>
  <c r="L529" i="607"/>
  <c r="L530" i="607"/>
  <c r="L531" i="607"/>
  <c r="L532" i="607"/>
  <c r="L533" i="607"/>
  <c r="L534" i="607"/>
  <c r="L535" i="607"/>
  <c r="L536" i="607"/>
  <c r="L537" i="607"/>
  <c r="L538" i="607"/>
  <c r="L539" i="607"/>
  <c r="L540" i="607"/>
  <c r="L541" i="607"/>
  <c r="L542" i="607"/>
  <c r="L543" i="607"/>
  <c r="L544" i="607"/>
  <c r="L545" i="607"/>
  <c r="L546" i="607"/>
  <c r="L547" i="607"/>
  <c r="L548" i="607"/>
  <c r="L549" i="607"/>
  <c r="L550" i="607"/>
  <c r="L551" i="607"/>
  <c r="L552" i="607"/>
  <c r="L553" i="607"/>
  <c r="L554" i="607"/>
  <c r="L555" i="607"/>
  <c r="L556" i="607"/>
  <c r="L557" i="607"/>
  <c r="L558" i="607"/>
  <c r="L559" i="607"/>
  <c r="L560" i="607"/>
  <c r="L561" i="607"/>
  <c r="L562" i="607"/>
  <c r="L563" i="607"/>
  <c r="L564" i="607"/>
  <c r="L565" i="607"/>
  <c r="L566" i="607"/>
  <c r="L567" i="607"/>
  <c r="L568" i="607"/>
  <c r="L569" i="607"/>
  <c r="L570" i="607"/>
  <c r="L571" i="607"/>
  <c r="L572" i="607"/>
  <c r="L573" i="607"/>
  <c r="L574" i="607"/>
  <c r="L575" i="607"/>
  <c r="L576" i="607"/>
  <c r="L577" i="607"/>
  <c r="L578" i="607"/>
  <c r="L579" i="607"/>
  <c r="L580" i="607"/>
  <c r="L581" i="607"/>
  <c r="L582" i="607"/>
  <c r="L583" i="607"/>
  <c r="L584" i="607"/>
  <c r="L585" i="607"/>
  <c r="L586" i="607"/>
  <c r="L587" i="607"/>
  <c r="L588" i="607"/>
  <c r="L589" i="607"/>
  <c r="L590" i="607"/>
  <c r="L591" i="607"/>
  <c r="L592" i="607"/>
  <c r="L593" i="607"/>
  <c r="L594" i="607"/>
  <c r="L595" i="607"/>
  <c r="L596" i="607"/>
  <c r="L597" i="607"/>
  <c r="L598" i="607"/>
  <c r="L599" i="607"/>
  <c r="L600" i="607"/>
  <c r="L601" i="607"/>
  <c r="L602" i="607"/>
  <c r="L603" i="607"/>
  <c r="L604" i="607"/>
  <c r="L605" i="607"/>
  <c r="L606" i="607"/>
  <c r="L607" i="607"/>
  <c r="L608" i="607"/>
  <c r="L609" i="607"/>
  <c r="L610" i="607"/>
  <c r="L611" i="607"/>
  <c r="L612" i="607"/>
  <c r="L613" i="607"/>
  <c r="L614" i="607"/>
  <c r="L615" i="607"/>
  <c r="L616" i="607"/>
  <c r="L617" i="607"/>
  <c r="L618" i="607"/>
  <c r="L619" i="607"/>
  <c r="L620" i="607"/>
  <c r="L621" i="607"/>
  <c r="L622" i="607"/>
  <c r="L625" i="607"/>
  <c r="L626" i="607"/>
  <c r="L627" i="607"/>
  <c r="L628" i="607"/>
  <c r="L629" i="607"/>
  <c r="L630" i="607"/>
  <c r="L631" i="607"/>
  <c r="L632" i="607"/>
  <c r="L633" i="607"/>
  <c r="L634" i="607"/>
  <c r="L635" i="607"/>
  <c r="L636" i="607"/>
  <c r="L637" i="607"/>
  <c r="L638" i="607"/>
  <c r="L639" i="607"/>
  <c r="L640" i="607"/>
  <c r="L641" i="607"/>
  <c r="L642" i="607"/>
  <c r="L643" i="607"/>
  <c r="L644" i="607"/>
  <c r="L645" i="607"/>
  <c r="L646" i="607"/>
  <c r="L647" i="607"/>
  <c r="L648" i="607"/>
  <c r="L649" i="607"/>
  <c r="L650" i="607"/>
  <c r="L651" i="607"/>
  <c r="L652" i="607"/>
  <c r="L653" i="607"/>
  <c r="L654" i="607"/>
  <c r="L655" i="607"/>
  <c r="L656" i="607"/>
  <c r="L657" i="607"/>
  <c r="L658" i="607"/>
  <c r="L659" i="607"/>
  <c r="L660" i="607"/>
  <c r="L661" i="607"/>
  <c r="L662" i="607"/>
  <c r="L663" i="607"/>
  <c r="L664" i="607"/>
  <c r="L665" i="607"/>
  <c r="L666" i="607"/>
  <c r="L667" i="607"/>
  <c r="L668" i="607"/>
  <c r="L669" i="607"/>
  <c r="L670" i="607"/>
  <c r="L671" i="607"/>
  <c r="L672" i="607"/>
  <c r="L673" i="607"/>
  <c r="L674" i="607"/>
  <c r="L675" i="607"/>
  <c r="L676" i="607"/>
  <c r="L677" i="607"/>
  <c r="L678" i="607"/>
  <c r="L679" i="607"/>
  <c r="L680" i="607"/>
  <c r="L681" i="607"/>
  <c r="L682" i="607"/>
  <c r="L683" i="607"/>
  <c r="L684" i="607"/>
  <c r="L685" i="607"/>
  <c r="L686" i="607"/>
  <c r="L687" i="607"/>
  <c r="L688" i="607"/>
  <c r="L689" i="607"/>
  <c r="L690" i="607"/>
  <c r="L691" i="607"/>
  <c r="L692" i="607"/>
  <c r="L693" i="607"/>
  <c r="L694" i="607"/>
  <c r="L695" i="607"/>
  <c r="L696" i="607"/>
  <c r="L697" i="607"/>
  <c r="L698" i="607"/>
  <c r="L699" i="607"/>
  <c r="L700" i="607"/>
  <c r="L701" i="607"/>
  <c r="L702" i="607"/>
  <c r="L703" i="607"/>
  <c r="L704" i="607"/>
  <c r="L705" i="607"/>
  <c r="L706" i="607"/>
  <c r="L707" i="607"/>
  <c r="L708" i="607"/>
  <c r="L709" i="607"/>
  <c r="L710" i="607"/>
  <c r="L712" i="607"/>
  <c r="L713" i="607"/>
  <c r="L714" i="607"/>
  <c r="L715" i="607"/>
  <c r="L716" i="607"/>
  <c r="L717" i="607"/>
  <c r="L718" i="607"/>
  <c r="L719" i="607"/>
  <c r="L720" i="607"/>
  <c r="L721" i="607"/>
  <c r="L722" i="607"/>
  <c r="L723" i="607"/>
  <c r="L724" i="607"/>
  <c r="L725" i="607"/>
  <c r="L726" i="607"/>
  <c r="L727" i="607"/>
  <c r="L728" i="607"/>
  <c r="L729" i="607"/>
  <c r="L730" i="607"/>
  <c r="L731" i="607"/>
  <c r="L732" i="607"/>
  <c r="L733" i="607"/>
  <c r="L734" i="607"/>
  <c r="L735" i="607"/>
  <c r="L736" i="607"/>
  <c r="L737" i="607"/>
  <c r="L738" i="607"/>
  <c r="L739" i="607"/>
  <c r="L740" i="607"/>
  <c r="L741" i="607"/>
  <c r="L742" i="607"/>
  <c r="L743" i="607"/>
  <c r="L744" i="607"/>
  <c r="L745" i="607"/>
  <c r="L746" i="607"/>
  <c r="L747" i="607"/>
  <c r="L748" i="607"/>
  <c r="L749" i="607"/>
  <c r="L119" i="607"/>
  <c r="A120" i="607"/>
  <c r="B120" i="607"/>
  <c r="C120" i="607"/>
  <c r="D120" i="607"/>
  <c r="E120" i="607"/>
  <c r="A121" i="607"/>
  <c r="B121" i="607"/>
  <c r="C121" i="607"/>
  <c r="D121" i="607"/>
  <c r="E121" i="607"/>
  <c r="A122" i="607"/>
  <c r="B122" i="607"/>
  <c r="C122" i="607"/>
  <c r="D122" i="607"/>
  <c r="E122" i="607"/>
  <c r="A123" i="607"/>
  <c r="B123" i="607"/>
  <c r="C123" i="607"/>
  <c r="D123" i="607"/>
  <c r="E123" i="607"/>
  <c r="A124" i="607"/>
  <c r="B124" i="607"/>
  <c r="C124" i="607"/>
  <c r="D124" i="607"/>
  <c r="E124" i="607"/>
  <c r="A125" i="607"/>
  <c r="B125" i="607"/>
  <c r="C125" i="607"/>
  <c r="D125" i="607"/>
  <c r="E125" i="607"/>
  <c r="A126" i="607"/>
  <c r="B126" i="607"/>
  <c r="C126" i="607"/>
  <c r="D126" i="607"/>
  <c r="E126" i="607"/>
  <c r="A127" i="607"/>
  <c r="B127" i="607"/>
  <c r="C127" i="607"/>
  <c r="D127" i="607"/>
  <c r="E127" i="607"/>
  <c r="A128" i="607"/>
  <c r="B128" i="607"/>
  <c r="C128" i="607"/>
  <c r="D128" i="607"/>
  <c r="E128" i="607"/>
  <c r="A129" i="607"/>
  <c r="B129" i="607"/>
  <c r="C129" i="607"/>
  <c r="D129" i="607"/>
  <c r="E129" i="607"/>
  <c r="A130" i="607"/>
  <c r="B130" i="607"/>
  <c r="C130" i="607"/>
  <c r="D130" i="607"/>
  <c r="E130" i="607"/>
  <c r="A131" i="607"/>
  <c r="B131" i="607"/>
  <c r="C131" i="607"/>
  <c r="D131" i="607"/>
  <c r="E131" i="607"/>
  <c r="A132" i="607"/>
  <c r="B132" i="607"/>
  <c r="C132" i="607"/>
  <c r="D132" i="607"/>
  <c r="E132" i="607"/>
  <c r="A133" i="607"/>
  <c r="B133" i="607"/>
  <c r="C133" i="607"/>
  <c r="D133" i="607"/>
  <c r="E133" i="607"/>
  <c r="A134" i="607"/>
  <c r="B134" i="607"/>
  <c r="C134" i="607"/>
  <c r="D134" i="607"/>
  <c r="E134" i="607"/>
  <c r="A135" i="607"/>
  <c r="B135" i="607"/>
  <c r="C135" i="607"/>
  <c r="D135" i="607"/>
  <c r="E135" i="607"/>
  <c r="A136" i="607"/>
  <c r="B136" i="607"/>
  <c r="C136" i="607"/>
  <c r="D136" i="607"/>
  <c r="E136" i="607"/>
  <c r="A137" i="607"/>
  <c r="B137" i="607"/>
  <c r="C137" i="607"/>
  <c r="D137" i="607"/>
  <c r="E137" i="607"/>
  <c r="A138" i="607"/>
  <c r="B138" i="607"/>
  <c r="C138" i="607"/>
  <c r="D138" i="607"/>
  <c r="E138" i="607"/>
  <c r="A139" i="607"/>
  <c r="B139" i="607"/>
  <c r="C139" i="607"/>
  <c r="D139" i="607"/>
  <c r="E139" i="607"/>
  <c r="A140" i="607"/>
  <c r="B140" i="607"/>
  <c r="C140" i="607"/>
  <c r="D140" i="607"/>
  <c r="E140" i="607"/>
  <c r="A141" i="607"/>
  <c r="B141" i="607"/>
  <c r="C141" i="607"/>
  <c r="D141" i="607"/>
  <c r="E141" i="607"/>
  <c r="A142" i="607"/>
  <c r="B142" i="607"/>
  <c r="C142" i="607"/>
  <c r="D142" i="607"/>
  <c r="E142" i="607"/>
  <c r="A143" i="607"/>
  <c r="B143" i="607"/>
  <c r="C143" i="607"/>
  <c r="D143" i="607"/>
  <c r="E143" i="607"/>
  <c r="A144" i="607"/>
  <c r="B144" i="607"/>
  <c r="C144" i="607"/>
  <c r="D144" i="607"/>
  <c r="E144" i="607"/>
  <c r="A145" i="607"/>
  <c r="B145" i="607"/>
  <c r="C145" i="607"/>
  <c r="D145" i="607"/>
  <c r="E145" i="607"/>
  <c r="A146" i="607"/>
  <c r="B146" i="607"/>
  <c r="C146" i="607"/>
  <c r="D146" i="607"/>
  <c r="E146" i="607"/>
  <c r="A147" i="607"/>
  <c r="B147" i="607"/>
  <c r="C147" i="607"/>
  <c r="D147" i="607"/>
  <c r="E147" i="607"/>
  <c r="A148" i="607"/>
  <c r="B148" i="607"/>
  <c r="C148" i="607"/>
  <c r="D148" i="607"/>
  <c r="E148" i="607"/>
  <c r="A149" i="607"/>
  <c r="B149" i="607"/>
  <c r="C149" i="607"/>
  <c r="D149" i="607"/>
  <c r="E149" i="607"/>
  <c r="A150" i="607"/>
  <c r="B150" i="607"/>
  <c r="C150" i="607"/>
  <c r="D150" i="607"/>
  <c r="E150" i="607"/>
  <c r="A151" i="607"/>
  <c r="B151" i="607"/>
  <c r="C151" i="607"/>
  <c r="D151" i="607"/>
  <c r="E151" i="607"/>
  <c r="A152" i="607"/>
  <c r="B152" i="607"/>
  <c r="C152" i="607"/>
  <c r="D152" i="607"/>
  <c r="E152" i="607"/>
  <c r="A153" i="607"/>
  <c r="B153" i="607"/>
  <c r="C153" i="607"/>
  <c r="D153" i="607"/>
  <c r="E153" i="607"/>
  <c r="A154" i="607"/>
  <c r="B154" i="607"/>
  <c r="C154" i="607"/>
  <c r="D154" i="607"/>
  <c r="E154" i="607"/>
  <c r="A155" i="607"/>
  <c r="B155" i="607"/>
  <c r="C155" i="607"/>
  <c r="D155" i="607"/>
  <c r="E155" i="607"/>
  <c r="A156" i="607"/>
  <c r="B156" i="607"/>
  <c r="C156" i="607"/>
  <c r="D156" i="607"/>
  <c r="E156" i="607"/>
  <c r="A157" i="607"/>
  <c r="B157" i="607"/>
  <c r="C157" i="607"/>
  <c r="D157" i="607"/>
  <c r="E157" i="607"/>
  <c r="A158" i="607"/>
  <c r="B158" i="607"/>
  <c r="C158" i="607"/>
  <c r="D158" i="607"/>
  <c r="E158" i="607"/>
  <c r="A159" i="607"/>
  <c r="B159" i="607"/>
  <c r="C159" i="607"/>
  <c r="D159" i="607"/>
  <c r="E159" i="607"/>
  <c r="A160" i="607"/>
  <c r="B160" i="607"/>
  <c r="C160" i="607"/>
  <c r="D160" i="607"/>
  <c r="E160" i="607"/>
  <c r="A161" i="607"/>
  <c r="B161" i="607"/>
  <c r="C161" i="607"/>
  <c r="D161" i="607"/>
  <c r="E161" i="607"/>
  <c r="A162" i="607"/>
  <c r="B162" i="607"/>
  <c r="C162" i="607"/>
  <c r="D162" i="607"/>
  <c r="E162" i="607"/>
  <c r="A163" i="607"/>
  <c r="B163" i="607"/>
  <c r="C163" i="607"/>
  <c r="D163" i="607"/>
  <c r="E163" i="607"/>
  <c r="A164" i="607"/>
  <c r="B164" i="607"/>
  <c r="C164" i="607"/>
  <c r="D164" i="607"/>
  <c r="E164" i="607"/>
  <c r="A165" i="607"/>
  <c r="B165" i="607"/>
  <c r="C165" i="607"/>
  <c r="D165" i="607"/>
  <c r="E165" i="607"/>
  <c r="A166" i="607"/>
  <c r="B166" i="607"/>
  <c r="C166" i="607"/>
  <c r="D166" i="607"/>
  <c r="E166" i="607"/>
  <c r="A167" i="607"/>
  <c r="B167" i="607"/>
  <c r="C167" i="607"/>
  <c r="D167" i="607"/>
  <c r="E167" i="607"/>
  <c r="A168" i="607"/>
  <c r="B168" i="607"/>
  <c r="C168" i="607"/>
  <c r="D168" i="607"/>
  <c r="E168" i="607"/>
  <c r="A169" i="607"/>
  <c r="B169" i="607"/>
  <c r="C169" i="607"/>
  <c r="D169" i="607"/>
  <c r="E169" i="607"/>
  <c r="A170" i="607"/>
  <c r="B170" i="607"/>
  <c r="C170" i="607"/>
  <c r="D170" i="607"/>
  <c r="E170" i="607"/>
  <c r="A171" i="607"/>
  <c r="B171" i="607"/>
  <c r="C171" i="607"/>
  <c r="D171" i="607"/>
  <c r="E171" i="607"/>
  <c r="A172" i="607"/>
  <c r="B172" i="607"/>
  <c r="C172" i="607"/>
  <c r="D172" i="607"/>
  <c r="E172" i="607"/>
  <c r="A173" i="607"/>
  <c r="B173" i="607"/>
  <c r="C173" i="607"/>
  <c r="D173" i="607"/>
  <c r="E173" i="607"/>
  <c r="A174" i="607"/>
  <c r="B174" i="607"/>
  <c r="C174" i="607"/>
  <c r="D174" i="607"/>
  <c r="E174" i="607"/>
  <c r="A175" i="607"/>
  <c r="B175" i="607"/>
  <c r="C175" i="607"/>
  <c r="D175" i="607"/>
  <c r="E175" i="607"/>
  <c r="A176" i="607"/>
  <c r="B176" i="607"/>
  <c r="C176" i="607"/>
  <c r="D176" i="607"/>
  <c r="E176" i="607"/>
  <c r="A177" i="607"/>
  <c r="B177" i="607"/>
  <c r="C177" i="607"/>
  <c r="D177" i="607"/>
  <c r="E177" i="607"/>
  <c r="A178" i="607"/>
  <c r="B178" i="607"/>
  <c r="C178" i="607"/>
  <c r="D178" i="607"/>
  <c r="E178" i="607"/>
  <c r="A179" i="607"/>
  <c r="B179" i="607"/>
  <c r="C179" i="607"/>
  <c r="D179" i="607"/>
  <c r="E179" i="607"/>
  <c r="A180" i="607"/>
  <c r="B180" i="607"/>
  <c r="C180" i="607"/>
  <c r="D180" i="607"/>
  <c r="E180" i="607"/>
  <c r="A181" i="607"/>
  <c r="B181" i="607"/>
  <c r="C181" i="607"/>
  <c r="D181" i="607"/>
  <c r="E181" i="607"/>
  <c r="A182" i="607"/>
  <c r="B182" i="607"/>
  <c r="C182" i="607"/>
  <c r="D182" i="607"/>
  <c r="E182" i="607"/>
  <c r="A183" i="607"/>
  <c r="B183" i="607"/>
  <c r="C183" i="607"/>
  <c r="D183" i="607"/>
  <c r="E183" i="607"/>
  <c r="A184" i="607"/>
  <c r="B184" i="607"/>
  <c r="C184" i="607"/>
  <c r="D184" i="607"/>
  <c r="E184" i="607"/>
  <c r="A185" i="607"/>
  <c r="B185" i="607"/>
  <c r="C185" i="607"/>
  <c r="D185" i="607"/>
  <c r="E185" i="607"/>
  <c r="A186" i="607"/>
  <c r="B186" i="607"/>
  <c r="C186" i="607"/>
  <c r="D186" i="607"/>
  <c r="E186" i="607"/>
  <c r="A187" i="607"/>
  <c r="B187" i="607"/>
  <c r="C187" i="607"/>
  <c r="D187" i="607"/>
  <c r="E187" i="607"/>
  <c r="A188" i="607"/>
  <c r="B188" i="607"/>
  <c r="C188" i="607"/>
  <c r="D188" i="607"/>
  <c r="E188" i="607"/>
  <c r="A189" i="607"/>
  <c r="B189" i="607"/>
  <c r="C189" i="607"/>
  <c r="D189" i="607"/>
  <c r="E189" i="607"/>
  <c r="A190" i="607"/>
  <c r="B190" i="607"/>
  <c r="C190" i="607"/>
  <c r="D190" i="607"/>
  <c r="E190" i="607"/>
  <c r="A191" i="607"/>
  <c r="B191" i="607"/>
  <c r="C191" i="607"/>
  <c r="D191" i="607"/>
  <c r="E191" i="607"/>
  <c r="A192" i="607"/>
  <c r="B192" i="607"/>
  <c r="C192" i="607"/>
  <c r="D192" i="607"/>
  <c r="E192" i="607"/>
  <c r="A193" i="607"/>
  <c r="B193" i="607"/>
  <c r="C193" i="607"/>
  <c r="D193" i="607"/>
  <c r="E193" i="607"/>
  <c r="A194" i="607"/>
  <c r="B194" i="607"/>
  <c r="C194" i="607"/>
  <c r="D194" i="607"/>
  <c r="E194" i="607"/>
  <c r="A195" i="607"/>
  <c r="B195" i="607"/>
  <c r="C195" i="607"/>
  <c r="D195" i="607"/>
  <c r="E195" i="607"/>
  <c r="A196" i="607"/>
  <c r="B196" i="607"/>
  <c r="C196" i="607"/>
  <c r="D196" i="607"/>
  <c r="E196" i="607"/>
  <c r="A197" i="607"/>
  <c r="B197" i="607"/>
  <c r="C197" i="607"/>
  <c r="D197" i="607"/>
  <c r="E197" i="607"/>
  <c r="A198" i="607"/>
  <c r="B198" i="607"/>
  <c r="C198" i="607"/>
  <c r="D198" i="607"/>
  <c r="E198" i="607"/>
  <c r="A199" i="607"/>
  <c r="B199" i="607"/>
  <c r="C199" i="607"/>
  <c r="D199" i="607"/>
  <c r="E199" i="607"/>
  <c r="A200" i="607"/>
  <c r="B200" i="607"/>
  <c r="C200" i="607"/>
  <c r="D200" i="607"/>
  <c r="E200" i="607"/>
  <c r="A201" i="607"/>
  <c r="B201" i="607"/>
  <c r="C201" i="607"/>
  <c r="D201" i="607"/>
  <c r="E201" i="607"/>
  <c r="A202" i="607"/>
  <c r="B202" i="607"/>
  <c r="C202" i="607"/>
  <c r="D202" i="607"/>
  <c r="E202" i="607"/>
  <c r="A203" i="607"/>
  <c r="B203" i="607"/>
  <c r="C203" i="607"/>
  <c r="D203" i="607"/>
  <c r="E203" i="607"/>
  <c r="A204" i="607"/>
  <c r="B204" i="607"/>
  <c r="C204" i="607"/>
  <c r="D204" i="607"/>
  <c r="E204" i="607"/>
  <c r="A205" i="607"/>
  <c r="B205" i="607"/>
  <c r="C205" i="607"/>
  <c r="D205" i="607"/>
  <c r="E205" i="607"/>
  <c r="A206" i="607"/>
  <c r="B206" i="607"/>
  <c r="C206" i="607"/>
  <c r="D206" i="607"/>
  <c r="E206" i="607"/>
  <c r="A207" i="607"/>
  <c r="B207" i="607"/>
  <c r="C207" i="607"/>
  <c r="D207" i="607"/>
  <c r="E207" i="607"/>
  <c r="A208" i="607"/>
  <c r="B208" i="607"/>
  <c r="C208" i="607"/>
  <c r="D208" i="607"/>
  <c r="E208" i="607"/>
  <c r="A209" i="607"/>
  <c r="B209" i="607"/>
  <c r="C209" i="607"/>
  <c r="D209" i="607"/>
  <c r="E209" i="607"/>
  <c r="A210" i="607"/>
  <c r="B210" i="607"/>
  <c r="C210" i="607"/>
  <c r="D210" i="607"/>
  <c r="E210" i="607"/>
  <c r="A211" i="607"/>
  <c r="B211" i="607"/>
  <c r="C211" i="607"/>
  <c r="D211" i="607"/>
  <c r="E211" i="607"/>
  <c r="A212" i="607"/>
  <c r="B212" i="607"/>
  <c r="C212" i="607"/>
  <c r="D212" i="607"/>
  <c r="E212" i="607"/>
  <c r="A213" i="607"/>
  <c r="B213" i="607"/>
  <c r="C213" i="607"/>
  <c r="D213" i="607"/>
  <c r="E213" i="607"/>
  <c r="A214" i="607"/>
  <c r="B214" i="607"/>
  <c r="C214" i="607"/>
  <c r="D214" i="607"/>
  <c r="E214" i="607"/>
  <c r="A215" i="607"/>
  <c r="B215" i="607"/>
  <c r="C215" i="607"/>
  <c r="D215" i="607"/>
  <c r="E215" i="607"/>
  <c r="A216" i="607"/>
  <c r="B216" i="607"/>
  <c r="C216" i="607"/>
  <c r="D216" i="607"/>
  <c r="E216" i="607"/>
  <c r="A217" i="607"/>
  <c r="B217" i="607"/>
  <c r="C217" i="607"/>
  <c r="D217" i="607"/>
  <c r="E217" i="607"/>
  <c r="A218" i="607"/>
  <c r="B218" i="607"/>
  <c r="C218" i="607"/>
  <c r="D218" i="607"/>
  <c r="E218" i="607"/>
  <c r="A219" i="607"/>
  <c r="B219" i="607"/>
  <c r="C219" i="607"/>
  <c r="D219" i="607"/>
  <c r="E219" i="607"/>
  <c r="A220" i="607"/>
  <c r="B220" i="607"/>
  <c r="C220" i="607"/>
  <c r="D220" i="607"/>
  <c r="E220" i="607"/>
  <c r="A221" i="607"/>
  <c r="B221" i="607"/>
  <c r="C221" i="607"/>
  <c r="D221" i="607"/>
  <c r="E221" i="607"/>
  <c r="A222" i="607"/>
  <c r="B222" i="607"/>
  <c r="C222" i="607"/>
  <c r="D222" i="607"/>
  <c r="E222" i="607"/>
  <c r="A223" i="607"/>
  <c r="B223" i="607"/>
  <c r="C223" i="607"/>
  <c r="D223" i="607"/>
  <c r="E223" i="607"/>
  <c r="A224" i="607"/>
  <c r="B224" i="607"/>
  <c r="C224" i="607"/>
  <c r="D224" i="607"/>
  <c r="E224" i="607"/>
  <c r="A225" i="607"/>
  <c r="B225" i="607"/>
  <c r="C225" i="607"/>
  <c r="D225" i="607"/>
  <c r="E225" i="607"/>
  <c r="A226" i="607"/>
  <c r="B226" i="607"/>
  <c r="C226" i="607"/>
  <c r="D226" i="607"/>
  <c r="E226" i="607"/>
  <c r="A227" i="607"/>
  <c r="B227" i="607"/>
  <c r="C227" i="607"/>
  <c r="D227" i="607"/>
  <c r="E227" i="607"/>
  <c r="A228" i="607"/>
  <c r="B228" i="607"/>
  <c r="C228" i="607"/>
  <c r="D228" i="607"/>
  <c r="E228" i="607"/>
  <c r="A229" i="607"/>
  <c r="B229" i="607"/>
  <c r="C229" i="607"/>
  <c r="D229" i="607"/>
  <c r="E229" i="607"/>
  <c r="A230" i="607"/>
  <c r="B230" i="607"/>
  <c r="C230" i="607"/>
  <c r="D230" i="607"/>
  <c r="E230" i="607"/>
  <c r="A231" i="607"/>
  <c r="B231" i="607"/>
  <c r="C231" i="607"/>
  <c r="D231" i="607"/>
  <c r="E231" i="607"/>
  <c r="A232" i="607"/>
  <c r="B232" i="607"/>
  <c r="C232" i="607"/>
  <c r="D232" i="607"/>
  <c r="E232" i="607"/>
  <c r="A233" i="607"/>
  <c r="B233" i="607"/>
  <c r="C233" i="607"/>
  <c r="D233" i="607"/>
  <c r="E233" i="607"/>
  <c r="A234" i="607"/>
  <c r="B234" i="607"/>
  <c r="C234" i="607"/>
  <c r="D234" i="607"/>
  <c r="E234" i="607"/>
  <c r="A235" i="607"/>
  <c r="B235" i="607"/>
  <c r="C235" i="607"/>
  <c r="D235" i="607"/>
  <c r="E235" i="607"/>
  <c r="A236" i="607"/>
  <c r="B236" i="607"/>
  <c r="C236" i="607"/>
  <c r="D236" i="607"/>
  <c r="E236" i="607"/>
  <c r="A237" i="607"/>
  <c r="B237" i="607"/>
  <c r="C237" i="607"/>
  <c r="D237" i="607"/>
  <c r="E237" i="607"/>
  <c r="A238" i="607"/>
  <c r="B238" i="607"/>
  <c r="C238" i="607"/>
  <c r="D238" i="607"/>
  <c r="E238" i="607"/>
  <c r="A239" i="607"/>
  <c r="B239" i="607"/>
  <c r="C239" i="607"/>
  <c r="D239" i="607"/>
  <c r="E239" i="607"/>
  <c r="A240" i="607"/>
  <c r="B240" i="607"/>
  <c r="C240" i="607"/>
  <c r="D240" i="607"/>
  <c r="E240" i="607"/>
  <c r="A241" i="607"/>
  <c r="B241" i="607"/>
  <c r="C241" i="607"/>
  <c r="D241" i="607"/>
  <c r="E241" i="607"/>
  <c r="A242" i="607"/>
  <c r="B242" i="607"/>
  <c r="C242" i="607"/>
  <c r="D242" i="607"/>
  <c r="E242" i="607"/>
  <c r="A243" i="607"/>
  <c r="B243" i="607"/>
  <c r="C243" i="607"/>
  <c r="D243" i="607"/>
  <c r="E243" i="607"/>
  <c r="A244" i="607"/>
  <c r="B244" i="607"/>
  <c r="C244" i="607"/>
  <c r="D244" i="607"/>
  <c r="E244" i="607"/>
  <c r="A245" i="607"/>
  <c r="B245" i="607"/>
  <c r="C245" i="607"/>
  <c r="D245" i="607"/>
  <c r="E245" i="607"/>
  <c r="A246" i="607"/>
  <c r="B246" i="607"/>
  <c r="C246" i="607"/>
  <c r="D246" i="607"/>
  <c r="E246" i="607"/>
  <c r="A247" i="607"/>
  <c r="B247" i="607"/>
  <c r="C247" i="607"/>
  <c r="D247" i="607"/>
  <c r="E247" i="607"/>
  <c r="A248" i="607"/>
  <c r="B248" i="607"/>
  <c r="C248" i="607"/>
  <c r="D248" i="607"/>
  <c r="E248" i="607"/>
  <c r="A249" i="607"/>
  <c r="B249" i="607"/>
  <c r="C249" i="607"/>
  <c r="D249" i="607"/>
  <c r="E249" i="607"/>
  <c r="A250" i="607"/>
  <c r="B250" i="607"/>
  <c r="C250" i="607"/>
  <c r="D250" i="607"/>
  <c r="E250" i="607"/>
  <c r="A251" i="607"/>
  <c r="B251" i="607"/>
  <c r="C251" i="607"/>
  <c r="D251" i="607"/>
  <c r="E251" i="607"/>
  <c r="A252" i="607"/>
  <c r="B252" i="607"/>
  <c r="C252" i="607"/>
  <c r="D252" i="607"/>
  <c r="E252" i="607"/>
  <c r="A253" i="607"/>
  <c r="B253" i="607"/>
  <c r="C253" i="607"/>
  <c r="D253" i="607"/>
  <c r="E253" i="607"/>
  <c r="A254" i="607"/>
  <c r="B254" i="607"/>
  <c r="C254" i="607"/>
  <c r="D254" i="607"/>
  <c r="E254" i="607"/>
  <c r="A255" i="607"/>
  <c r="B255" i="607"/>
  <c r="C255" i="607"/>
  <c r="D255" i="607"/>
  <c r="E255" i="607"/>
  <c r="A256" i="607"/>
  <c r="B256" i="607"/>
  <c r="C256" i="607"/>
  <c r="D256" i="607"/>
  <c r="E256" i="607"/>
  <c r="A257" i="607"/>
  <c r="B257" i="607"/>
  <c r="C257" i="607"/>
  <c r="D257" i="607"/>
  <c r="E257" i="607"/>
  <c r="A258" i="607"/>
  <c r="B258" i="607"/>
  <c r="C258" i="607"/>
  <c r="D258" i="607"/>
  <c r="E258" i="607"/>
  <c r="A259" i="607"/>
  <c r="B259" i="607"/>
  <c r="C259" i="607"/>
  <c r="D259" i="607"/>
  <c r="E259" i="607"/>
  <c r="A260" i="607"/>
  <c r="B260" i="607"/>
  <c r="C260" i="607"/>
  <c r="D260" i="607"/>
  <c r="E260" i="607"/>
  <c r="A261" i="607"/>
  <c r="B261" i="607"/>
  <c r="C261" i="607"/>
  <c r="D261" i="607"/>
  <c r="E261" i="607"/>
  <c r="A262" i="607"/>
  <c r="B262" i="607"/>
  <c r="C262" i="607"/>
  <c r="D262" i="607"/>
  <c r="E262" i="607"/>
  <c r="A263" i="607"/>
  <c r="B263" i="607"/>
  <c r="C263" i="607"/>
  <c r="D263" i="607"/>
  <c r="E263" i="607"/>
  <c r="A264" i="607"/>
  <c r="B264" i="607"/>
  <c r="C264" i="607"/>
  <c r="D264" i="607"/>
  <c r="E264" i="607"/>
  <c r="A265" i="607"/>
  <c r="B265" i="607"/>
  <c r="C265" i="607"/>
  <c r="D265" i="607"/>
  <c r="E265" i="607"/>
  <c r="A266" i="607"/>
  <c r="B266" i="607"/>
  <c r="C266" i="607"/>
  <c r="D266" i="607"/>
  <c r="E266" i="607"/>
  <c r="A267" i="607"/>
  <c r="B267" i="607"/>
  <c r="C267" i="607"/>
  <c r="D267" i="607"/>
  <c r="E267" i="607"/>
  <c r="A268" i="607"/>
  <c r="B268" i="607"/>
  <c r="C268" i="607"/>
  <c r="D268" i="607"/>
  <c r="E268" i="607"/>
  <c r="A269" i="607"/>
  <c r="B269" i="607"/>
  <c r="C269" i="607"/>
  <c r="D269" i="607"/>
  <c r="E269" i="607"/>
  <c r="A270" i="607"/>
  <c r="B270" i="607"/>
  <c r="C270" i="607"/>
  <c r="D270" i="607"/>
  <c r="E270" i="607"/>
  <c r="A271" i="607"/>
  <c r="B271" i="607"/>
  <c r="C271" i="607"/>
  <c r="D271" i="607"/>
  <c r="E271" i="607"/>
  <c r="A272" i="607"/>
  <c r="B272" i="607"/>
  <c r="C272" i="607"/>
  <c r="D272" i="607"/>
  <c r="E272" i="607"/>
  <c r="A273" i="607"/>
  <c r="B273" i="607"/>
  <c r="C273" i="607"/>
  <c r="D273" i="607"/>
  <c r="E273" i="607"/>
  <c r="A274" i="607"/>
  <c r="B274" i="607"/>
  <c r="C274" i="607"/>
  <c r="D274" i="607"/>
  <c r="E274" i="607"/>
  <c r="A275" i="607"/>
  <c r="B275" i="607"/>
  <c r="C275" i="607"/>
  <c r="D275" i="607"/>
  <c r="E275" i="607"/>
  <c r="A276" i="607"/>
  <c r="B276" i="607"/>
  <c r="C276" i="607"/>
  <c r="D276" i="607"/>
  <c r="E276" i="607"/>
  <c r="A277" i="607"/>
  <c r="B277" i="607"/>
  <c r="C277" i="607"/>
  <c r="D277" i="607"/>
  <c r="E277" i="607"/>
  <c r="A278" i="607"/>
  <c r="B278" i="607"/>
  <c r="C278" i="607"/>
  <c r="D278" i="607"/>
  <c r="E278" i="607"/>
  <c r="A279" i="607"/>
  <c r="B279" i="607"/>
  <c r="C279" i="607"/>
  <c r="D279" i="607"/>
  <c r="E279" i="607"/>
  <c r="A280" i="607"/>
  <c r="B280" i="607"/>
  <c r="C280" i="607"/>
  <c r="D280" i="607"/>
  <c r="E280" i="607"/>
  <c r="A281" i="607"/>
  <c r="B281" i="607"/>
  <c r="C281" i="607"/>
  <c r="D281" i="607"/>
  <c r="E281" i="607"/>
  <c r="A282" i="607"/>
  <c r="B282" i="607"/>
  <c r="C282" i="607"/>
  <c r="D282" i="607"/>
  <c r="E282" i="607"/>
  <c r="A283" i="607"/>
  <c r="B283" i="607"/>
  <c r="C283" i="607"/>
  <c r="D283" i="607"/>
  <c r="E283" i="607"/>
  <c r="A284" i="607"/>
  <c r="B284" i="607"/>
  <c r="C284" i="607"/>
  <c r="D284" i="607"/>
  <c r="E284" i="607"/>
  <c r="A285" i="607"/>
  <c r="B285" i="607"/>
  <c r="C285" i="607"/>
  <c r="D285" i="607"/>
  <c r="E285" i="607"/>
  <c r="A286" i="607"/>
  <c r="B286" i="607"/>
  <c r="C286" i="607"/>
  <c r="D286" i="607"/>
  <c r="E286" i="607"/>
  <c r="A287" i="607"/>
  <c r="B287" i="607"/>
  <c r="C287" i="607"/>
  <c r="D287" i="607"/>
  <c r="E287" i="607"/>
  <c r="A288" i="607"/>
  <c r="B288" i="607"/>
  <c r="C288" i="607"/>
  <c r="D288" i="607"/>
  <c r="E288" i="607"/>
  <c r="A289" i="607"/>
  <c r="B289" i="607"/>
  <c r="C289" i="607"/>
  <c r="D289" i="607"/>
  <c r="E289" i="607"/>
  <c r="A290" i="607"/>
  <c r="B290" i="607"/>
  <c r="C290" i="607"/>
  <c r="D290" i="607"/>
  <c r="E290" i="607"/>
  <c r="A291" i="607"/>
  <c r="B291" i="607"/>
  <c r="C291" i="607"/>
  <c r="D291" i="607"/>
  <c r="E291" i="607"/>
  <c r="A292" i="607"/>
  <c r="B292" i="607"/>
  <c r="C292" i="607"/>
  <c r="D292" i="607"/>
  <c r="E292" i="607"/>
  <c r="A293" i="607"/>
  <c r="B293" i="607"/>
  <c r="C293" i="607"/>
  <c r="D293" i="607"/>
  <c r="E293" i="607"/>
  <c r="A294" i="607"/>
  <c r="B294" i="607"/>
  <c r="C294" i="607"/>
  <c r="D294" i="607"/>
  <c r="E294" i="607"/>
  <c r="A295" i="607"/>
  <c r="B295" i="607"/>
  <c r="C295" i="607"/>
  <c r="D295" i="607"/>
  <c r="E295" i="607"/>
  <c r="A296" i="607"/>
  <c r="B296" i="607"/>
  <c r="C296" i="607"/>
  <c r="D296" i="607"/>
  <c r="E296" i="607"/>
  <c r="A297" i="607"/>
  <c r="B297" i="607"/>
  <c r="C297" i="607"/>
  <c r="D297" i="607"/>
  <c r="E297" i="607"/>
  <c r="A298" i="607"/>
  <c r="B298" i="607"/>
  <c r="C298" i="607"/>
  <c r="D298" i="607"/>
  <c r="E298" i="607"/>
  <c r="A299" i="607"/>
  <c r="B299" i="607"/>
  <c r="C299" i="607"/>
  <c r="D299" i="607"/>
  <c r="E299" i="607"/>
  <c r="A300" i="607"/>
  <c r="B300" i="607"/>
  <c r="C300" i="607"/>
  <c r="D300" i="607"/>
  <c r="E300" i="607"/>
  <c r="A301" i="607"/>
  <c r="B301" i="607"/>
  <c r="C301" i="607"/>
  <c r="D301" i="607"/>
  <c r="E301" i="607"/>
  <c r="A302" i="607"/>
  <c r="B302" i="607"/>
  <c r="C302" i="607"/>
  <c r="D302" i="607"/>
  <c r="E302" i="607"/>
  <c r="A303" i="607"/>
  <c r="B303" i="607"/>
  <c r="C303" i="607"/>
  <c r="D303" i="607"/>
  <c r="E303" i="607"/>
  <c r="A304" i="607"/>
  <c r="B304" i="607"/>
  <c r="C304" i="607"/>
  <c r="D304" i="607"/>
  <c r="E304" i="607"/>
  <c r="A305" i="607"/>
  <c r="B305" i="607"/>
  <c r="C305" i="607"/>
  <c r="D305" i="607"/>
  <c r="E305" i="607"/>
  <c r="A306" i="607"/>
  <c r="B306" i="607"/>
  <c r="C306" i="607"/>
  <c r="D306" i="607"/>
  <c r="E306" i="607"/>
  <c r="A307" i="607"/>
  <c r="B307" i="607"/>
  <c r="C307" i="607"/>
  <c r="D307" i="607"/>
  <c r="E307" i="607"/>
  <c r="A308" i="607"/>
  <c r="B308" i="607"/>
  <c r="C308" i="607"/>
  <c r="D308" i="607"/>
  <c r="E308" i="607"/>
  <c r="A309" i="607"/>
  <c r="B309" i="607"/>
  <c r="C309" i="607"/>
  <c r="D309" i="607"/>
  <c r="E309" i="607"/>
  <c r="A310" i="607"/>
  <c r="B310" i="607"/>
  <c r="C310" i="607"/>
  <c r="D310" i="607"/>
  <c r="E310" i="607"/>
  <c r="A311" i="607"/>
  <c r="B311" i="607"/>
  <c r="C311" i="607"/>
  <c r="D311" i="607"/>
  <c r="E311" i="607"/>
  <c r="A312" i="607"/>
  <c r="B312" i="607"/>
  <c r="C312" i="607"/>
  <c r="D312" i="607"/>
  <c r="E312" i="607"/>
  <c r="A313" i="607"/>
  <c r="B313" i="607"/>
  <c r="C313" i="607"/>
  <c r="D313" i="607"/>
  <c r="E313" i="607"/>
  <c r="A314" i="607"/>
  <c r="B314" i="607"/>
  <c r="C314" i="607"/>
  <c r="D314" i="607"/>
  <c r="E314" i="607"/>
  <c r="A315" i="607"/>
  <c r="B315" i="607"/>
  <c r="C315" i="607"/>
  <c r="D315" i="607"/>
  <c r="E315" i="607"/>
  <c r="A316" i="607"/>
  <c r="B316" i="607"/>
  <c r="C316" i="607"/>
  <c r="D316" i="607"/>
  <c r="E316" i="607"/>
  <c r="A317" i="607"/>
  <c r="B317" i="607"/>
  <c r="C317" i="607"/>
  <c r="D317" i="607"/>
  <c r="E317" i="607"/>
  <c r="A318" i="607"/>
  <c r="B318" i="607"/>
  <c r="C318" i="607"/>
  <c r="D318" i="607"/>
  <c r="E318" i="607"/>
  <c r="A319" i="607"/>
  <c r="B319" i="607"/>
  <c r="C319" i="607"/>
  <c r="D319" i="607"/>
  <c r="E319" i="607"/>
  <c r="A320" i="607"/>
  <c r="B320" i="607"/>
  <c r="C320" i="607"/>
  <c r="D320" i="607"/>
  <c r="E320" i="607"/>
  <c r="A321" i="607"/>
  <c r="B321" i="607"/>
  <c r="C321" i="607"/>
  <c r="D321" i="607"/>
  <c r="E321" i="607"/>
  <c r="A322" i="607"/>
  <c r="B322" i="607"/>
  <c r="C322" i="607"/>
  <c r="D322" i="607"/>
  <c r="E322" i="607"/>
  <c r="A323" i="607"/>
  <c r="B323" i="607"/>
  <c r="C323" i="607"/>
  <c r="D323" i="607"/>
  <c r="E323" i="607"/>
  <c r="A324" i="607"/>
  <c r="B324" i="607"/>
  <c r="C324" i="607"/>
  <c r="D324" i="607"/>
  <c r="E324" i="607"/>
  <c r="A325" i="607"/>
  <c r="B325" i="607"/>
  <c r="C325" i="607"/>
  <c r="D325" i="607"/>
  <c r="E325" i="607"/>
  <c r="A326" i="607"/>
  <c r="B326" i="607"/>
  <c r="C326" i="607"/>
  <c r="D326" i="607"/>
  <c r="E326" i="607"/>
  <c r="A327" i="607"/>
  <c r="B327" i="607"/>
  <c r="C327" i="607"/>
  <c r="D327" i="607"/>
  <c r="E327" i="607"/>
  <c r="A328" i="607"/>
  <c r="B328" i="607"/>
  <c r="C328" i="607"/>
  <c r="D328" i="607"/>
  <c r="E328" i="607"/>
  <c r="A329" i="607"/>
  <c r="B329" i="607"/>
  <c r="C329" i="607"/>
  <c r="D329" i="607"/>
  <c r="E329" i="607"/>
  <c r="A330" i="607"/>
  <c r="B330" i="607"/>
  <c r="C330" i="607"/>
  <c r="D330" i="607"/>
  <c r="E330" i="607"/>
  <c r="A331" i="607"/>
  <c r="B331" i="607"/>
  <c r="C331" i="607"/>
  <c r="D331" i="607"/>
  <c r="E331" i="607"/>
  <c r="A332" i="607"/>
  <c r="B332" i="607"/>
  <c r="C332" i="607"/>
  <c r="D332" i="607"/>
  <c r="E332" i="607"/>
  <c r="A333" i="607"/>
  <c r="B333" i="607"/>
  <c r="C333" i="607"/>
  <c r="D333" i="607"/>
  <c r="E333" i="607"/>
  <c r="A334" i="607"/>
  <c r="B334" i="607"/>
  <c r="C334" i="607"/>
  <c r="D334" i="607"/>
  <c r="E334" i="607"/>
  <c r="A335" i="607"/>
  <c r="B335" i="607"/>
  <c r="C335" i="607"/>
  <c r="D335" i="607"/>
  <c r="E335" i="607"/>
  <c r="A336" i="607"/>
  <c r="B336" i="607"/>
  <c r="C336" i="607"/>
  <c r="D336" i="607"/>
  <c r="E336" i="607"/>
  <c r="A337" i="607"/>
  <c r="B337" i="607"/>
  <c r="C337" i="607"/>
  <c r="D337" i="607"/>
  <c r="E337" i="607"/>
  <c r="A338" i="607"/>
  <c r="B338" i="607"/>
  <c r="C338" i="607"/>
  <c r="D338" i="607"/>
  <c r="E338" i="607"/>
  <c r="A339" i="607"/>
  <c r="B339" i="607"/>
  <c r="C339" i="607"/>
  <c r="D339" i="607"/>
  <c r="E339" i="607"/>
  <c r="A340" i="607"/>
  <c r="B340" i="607"/>
  <c r="C340" i="607"/>
  <c r="D340" i="607"/>
  <c r="E340" i="607"/>
  <c r="A341" i="607"/>
  <c r="B341" i="607"/>
  <c r="C341" i="607"/>
  <c r="D341" i="607"/>
  <c r="E341" i="607"/>
  <c r="A342" i="607"/>
  <c r="B342" i="607"/>
  <c r="C342" i="607"/>
  <c r="D342" i="607"/>
  <c r="E342" i="607"/>
  <c r="A343" i="607"/>
  <c r="B343" i="607"/>
  <c r="C343" i="607"/>
  <c r="D343" i="607"/>
  <c r="E343" i="607"/>
  <c r="A344" i="607"/>
  <c r="B344" i="607"/>
  <c r="C344" i="607"/>
  <c r="D344" i="607"/>
  <c r="E344" i="607"/>
  <c r="A345" i="607"/>
  <c r="B345" i="607"/>
  <c r="C345" i="607"/>
  <c r="D345" i="607"/>
  <c r="E345" i="607"/>
  <c r="A346" i="607"/>
  <c r="B346" i="607"/>
  <c r="C346" i="607"/>
  <c r="D346" i="607"/>
  <c r="E346" i="607"/>
  <c r="A347" i="607"/>
  <c r="B347" i="607"/>
  <c r="C347" i="607"/>
  <c r="D347" i="607"/>
  <c r="E347" i="607"/>
  <c r="A348" i="607"/>
  <c r="B348" i="607"/>
  <c r="C348" i="607"/>
  <c r="D348" i="607"/>
  <c r="E348" i="607"/>
  <c r="A349" i="607"/>
  <c r="B349" i="607"/>
  <c r="C349" i="607"/>
  <c r="D349" i="607"/>
  <c r="E349" i="607"/>
  <c r="A350" i="607"/>
  <c r="B350" i="607"/>
  <c r="C350" i="607"/>
  <c r="D350" i="607"/>
  <c r="E350" i="607"/>
  <c r="A351" i="607"/>
  <c r="B351" i="607"/>
  <c r="C351" i="607"/>
  <c r="D351" i="607"/>
  <c r="E351" i="607"/>
  <c r="A352" i="607"/>
  <c r="B352" i="607"/>
  <c r="C352" i="607"/>
  <c r="D352" i="607"/>
  <c r="E352" i="607"/>
  <c r="A353" i="607"/>
  <c r="B353" i="607"/>
  <c r="C353" i="607"/>
  <c r="D353" i="607"/>
  <c r="E353" i="607"/>
  <c r="A354" i="607"/>
  <c r="B354" i="607"/>
  <c r="C354" i="607"/>
  <c r="D354" i="607"/>
  <c r="E354" i="607"/>
  <c r="A355" i="607"/>
  <c r="B355" i="607"/>
  <c r="C355" i="607"/>
  <c r="D355" i="607"/>
  <c r="E355" i="607"/>
  <c r="A356" i="607"/>
  <c r="B356" i="607"/>
  <c r="C356" i="607"/>
  <c r="D356" i="607"/>
  <c r="E356" i="607"/>
  <c r="A357" i="607"/>
  <c r="B357" i="607"/>
  <c r="C357" i="607"/>
  <c r="D357" i="607"/>
  <c r="E357" i="607"/>
  <c r="A358" i="607"/>
  <c r="B358" i="607"/>
  <c r="C358" i="607"/>
  <c r="D358" i="607"/>
  <c r="E358" i="607"/>
  <c r="A359" i="607"/>
  <c r="B359" i="607"/>
  <c r="C359" i="607"/>
  <c r="D359" i="607"/>
  <c r="E359" i="607"/>
  <c r="A360" i="607"/>
  <c r="B360" i="607"/>
  <c r="C360" i="607"/>
  <c r="D360" i="607"/>
  <c r="E360" i="607"/>
  <c r="A361" i="607"/>
  <c r="B361" i="607"/>
  <c r="C361" i="607"/>
  <c r="D361" i="607"/>
  <c r="E361" i="607"/>
  <c r="A362" i="607"/>
  <c r="B362" i="607"/>
  <c r="C362" i="607"/>
  <c r="D362" i="607"/>
  <c r="E362" i="607"/>
  <c r="A363" i="607"/>
  <c r="B363" i="607"/>
  <c r="C363" i="607"/>
  <c r="D363" i="607"/>
  <c r="E363" i="607"/>
  <c r="A364" i="607"/>
  <c r="B364" i="607"/>
  <c r="C364" i="607"/>
  <c r="D364" i="607"/>
  <c r="E364" i="607"/>
  <c r="A365" i="607"/>
  <c r="B365" i="607"/>
  <c r="C365" i="607"/>
  <c r="D365" i="607"/>
  <c r="E365" i="607"/>
  <c r="A366" i="607"/>
  <c r="B366" i="607"/>
  <c r="C366" i="607"/>
  <c r="D366" i="607"/>
  <c r="E366" i="607"/>
  <c r="A367" i="607"/>
  <c r="B367" i="607"/>
  <c r="C367" i="607"/>
  <c r="D367" i="607"/>
  <c r="E367" i="607"/>
  <c r="A368" i="607"/>
  <c r="B368" i="607"/>
  <c r="C368" i="607"/>
  <c r="D368" i="607"/>
  <c r="E368" i="607"/>
  <c r="A369" i="607"/>
  <c r="B369" i="607"/>
  <c r="C369" i="607"/>
  <c r="D369" i="607"/>
  <c r="E369" i="607"/>
  <c r="A370" i="607"/>
  <c r="B370" i="607"/>
  <c r="C370" i="607"/>
  <c r="D370" i="607"/>
  <c r="E370" i="607"/>
  <c r="A371" i="607"/>
  <c r="B371" i="607"/>
  <c r="C371" i="607"/>
  <c r="D371" i="607"/>
  <c r="E371" i="607"/>
  <c r="A372" i="607"/>
  <c r="B372" i="607"/>
  <c r="C372" i="607"/>
  <c r="D372" i="607"/>
  <c r="E372" i="607"/>
  <c r="A373" i="607"/>
  <c r="B373" i="607"/>
  <c r="C373" i="607"/>
  <c r="D373" i="607"/>
  <c r="E373" i="607"/>
  <c r="A374" i="607"/>
  <c r="B374" i="607"/>
  <c r="C374" i="607"/>
  <c r="D374" i="607"/>
  <c r="E374" i="607"/>
  <c r="A375" i="607"/>
  <c r="B375" i="607"/>
  <c r="C375" i="607"/>
  <c r="D375" i="607"/>
  <c r="E375" i="607"/>
  <c r="A376" i="607"/>
  <c r="B376" i="607"/>
  <c r="C376" i="607"/>
  <c r="D376" i="607"/>
  <c r="E376" i="607"/>
  <c r="A377" i="607"/>
  <c r="B377" i="607"/>
  <c r="C377" i="607"/>
  <c r="D377" i="607"/>
  <c r="E377" i="607"/>
  <c r="A378" i="607"/>
  <c r="B378" i="607"/>
  <c r="C378" i="607"/>
  <c r="D378" i="607"/>
  <c r="E378" i="607"/>
  <c r="A379" i="607"/>
  <c r="B379" i="607"/>
  <c r="C379" i="607"/>
  <c r="D379" i="607"/>
  <c r="E379" i="607"/>
  <c r="A380" i="607"/>
  <c r="B380" i="607"/>
  <c r="C380" i="607"/>
  <c r="D380" i="607"/>
  <c r="E380" i="607"/>
  <c r="A381" i="607"/>
  <c r="B381" i="607"/>
  <c r="C381" i="607"/>
  <c r="D381" i="607"/>
  <c r="E381" i="607"/>
  <c r="A382" i="607"/>
  <c r="B382" i="607"/>
  <c r="C382" i="607"/>
  <c r="D382" i="607"/>
  <c r="E382" i="607"/>
  <c r="A383" i="607"/>
  <c r="B383" i="607"/>
  <c r="C383" i="607"/>
  <c r="D383" i="607"/>
  <c r="E383" i="607"/>
  <c r="A384" i="607"/>
  <c r="B384" i="607"/>
  <c r="C384" i="607"/>
  <c r="D384" i="607"/>
  <c r="E384" i="607"/>
  <c r="A385" i="607"/>
  <c r="B385" i="607"/>
  <c r="C385" i="607"/>
  <c r="D385" i="607"/>
  <c r="E385" i="607"/>
  <c r="A386" i="607"/>
  <c r="B386" i="607"/>
  <c r="C386" i="607"/>
  <c r="D386" i="607"/>
  <c r="E386" i="607"/>
  <c r="A387" i="607"/>
  <c r="B387" i="607"/>
  <c r="C387" i="607"/>
  <c r="D387" i="607"/>
  <c r="E387" i="607"/>
  <c r="A388" i="607"/>
  <c r="B388" i="607"/>
  <c r="C388" i="607"/>
  <c r="D388" i="607"/>
  <c r="E388" i="607"/>
  <c r="A389" i="607"/>
  <c r="B389" i="607"/>
  <c r="C389" i="607"/>
  <c r="D389" i="607"/>
  <c r="E389" i="607"/>
  <c r="A390" i="607"/>
  <c r="B390" i="607"/>
  <c r="C390" i="607"/>
  <c r="D390" i="607"/>
  <c r="E390" i="607"/>
  <c r="A391" i="607"/>
  <c r="B391" i="607"/>
  <c r="C391" i="607"/>
  <c r="D391" i="607"/>
  <c r="E391" i="607"/>
  <c r="A392" i="607"/>
  <c r="B392" i="607"/>
  <c r="C392" i="607"/>
  <c r="D392" i="607"/>
  <c r="E392" i="607"/>
  <c r="A393" i="607"/>
  <c r="B393" i="607"/>
  <c r="C393" i="607"/>
  <c r="D393" i="607"/>
  <c r="E393" i="607"/>
  <c r="A394" i="607"/>
  <c r="B394" i="607"/>
  <c r="C394" i="607"/>
  <c r="D394" i="607"/>
  <c r="E394" i="607"/>
  <c r="A395" i="607"/>
  <c r="B395" i="607"/>
  <c r="C395" i="607"/>
  <c r="D395" i="607"/>
  <c r="E395" i="607"/>
  <c r="A396" i="607"/>
  <c r="B396" i="607"/>
  <c r="C396" i="607"/>
  <c r="D396" i="607"/>
  <c r="E396" i="607"/>
  <c r="A397" i="607"/>
  <c r="B397" i="607"/>
  <c r="C397" i="607"/>
  <c r="D397" i="607"/>
  <c r="E397" i="607"/>
  <c r="A398" i="607"/>
  <c r="B398" i="607"/>
  <c r="C398" i="607"/>
  <c r="D398" i="607"/>
  <c r="E398" i="607"/>
  <c r="A399" i="607"/>
  <c r="B399" i="607"/>
  <c r="C399" i="607"/>
  <c r="D399" i="607"/>
  <c r="E399" i="607"/>
  <c r="A400" i="607"/>
  <c r="B400" i="607"/>
  <c r="C400" i="607"/>
  <c r="D400" i="607"/>
  <c r="E400" i="607"/>
  <c r="A401" i="607"/>
  <c r="B401" i="607"/>
  <c r="C401" i="607"/>
  <c r="D401" i="607"/>
  <c r="E401" i="607"/>
  <c r="A402" i="607"/>
  <c r="B402" i="607"/>
  <c r="C402" i="607"/>
  <c r="D402" i="607"/>
  <c r="E402" i="607"/>
  <c r="A403" i="607"/>
  <c r="B403" i="607"/>
  <c r="C403" i="607"/>
  <c r="D403" i="607"/>
  <c r="E403" i="607"/>
  <c r="A404" i="607"/>
  <c r="B404" i="607"/>
  <c r="C404" i="607"/>
  <c r="D404" i="607"/>
  <c r="E404" i="607"/>
  <c r="A405" i="607"/>
  <c r="B405" i="607"/>
  <c r="C405" i="607"/>
  <c r="D405" i="607"/>
  <c r="E405" i="607"/>
  <c r="A406" i="607"/>
  <c r="B406" i="607"/>
  <c r="C406" i="607"/>
  <c r="D406" i="607"/>
  <c r="E406" i="607"/>
  <c r="A407" i="607"/>
  <c r="B407" i="607"/>
  <c r="C407" i="607"/>
  <c r="D407" i="607"/>
  <c r="E407" i="607"/>
  <c r="A408" i="607"/>
  <c r="B408" i="607"/>
  <c r="C408" i="607"/>
  <c r="D408" i="607"/>
  <c r="E408" i="607"/>
  <c r="A409" i="607"/>
  <c r="B409" i="607"/>
  <c r="C409" i="607"/>
  <c r="D409" i="607"/>
  <c r="E409" i="607"/>
  <c r="A410" i="607"/>
  <c r="B410" i="607"/>
  <c r="C410" i="607"/>
  <c r="D410" i="607"/>
  <c r="E410" i="607"/>
  <c r="A411" i="607"/>
  <c r="B411" i="607"/>
  <c r="C411" i="607"/>
  <c r="D411" i="607"/>
  <c r="E411" i="607"/>
  <c r="A412" i="607"/>
  <c r="B412" i="607"/>
  <c r="C412" i="607"/>
  <c r="D412" i="607"/>
  <c r="E412" i="607"/>
  <c r="A413" i="607"/>
  <c r="B413" i="607"/>
  <c r="C413" i="607"/>
  <c r="D413" i="607"/>
  <c r="E413" i="607"/>
  <c r="A414" i="607"/>
  <c r="B414" i="607"/>
  <c r="C414" i="607"/>
  <c r="D414" i="607"/>
  <c r="E414" i="607"/>
  <c r="A415" i="607"/>
  <c r="B415" i="607"/>
  <c r="C415" i="607"/>
  <c r="D415" i="607"/>
  <c r="E415" i="607"/>
  <c r="A416" i="607"/>
  <c r="B416" i="607"/>
  <c r="C416" i="607"/>
  <c r="D416" i="607"/>
  <c r="E416" i="607"/>
  <c r="A417" i="607"/>
  <c r="B417" i="607"/>
  <c r="C417" i="607"/>
  <c r="D417" i="607"/>
  <c r="E417" i="607"/>
  <c r="A418" i="607"/>
  <c r="B418" i="607"/>
  <c r="C418" i="607"/>
  <c r="D418" i="607"/>
  <c r="E418" i="607"/>
  <c r="A419" i="607"/>
  <c r="B419" i="607"/>
  <c r="C419" i="607"/>
  <c r="D419" i="607"/>
  <c r="E419" i="607"/>
  <c r="A420" i="607"/>
  <c r="B420" i="607"/>
  <c r="C420" i="607"/>
  <c r="D420" i="607"/>
  <c r="E420" i="607"/>
  <c r="A421" i="607"/>
  <c r="B421" i="607"/>
  <c r="C421" i="607"/>
  <c r="D421" i="607"/>
  <c r="E421" i="607"/>
  <c r="A422" i="607"/>
  <c r="B422" i="607"/>
  <c r="C422" i="607"/>
  <c r="D422" i="607"/>
  <c r="E422" i="607"/>
  <c r="A423" i="607"/>
  <c r="B423" i="607"/>
  <c r="C423" i="607"/>
  <c r="D423" i="607"/>
  <c r="E423" i="607"/>
  <c r="A424" i="607"/>
  <c r="B424" i="607"/>
  <c r="C424" i="607"/>
  <c r="D424" i="607"/>
  <c r="E424" i="607"/>
  <c r="A425" i="607"/>
  <c r="B425" i="607"/>
  <c r="C425" i="607"/>
  <c r="D425" i="607"/>
  <c r="E425" i="607"/>
  <c r="A426" i="607"/>
  <c r="B426" i="607"/>
  <c r="C426" i="607"/>
  <c r="D426" i="607"/>
  <c r="E426" i="607"/>
  <c r="A427" i="607"/>
  <c r="B427" i="607"/>
  <c r="C427" i="607"/>
  <c r="D427" i="607"/>
  <c r="E427" i="607"/>
  <c r="A428" i="607"/>
  <c r="B428" i="607"/>
  <c r="C428" i="607"/>
  <c r="D428" i="607"/>
  <c r="E428" i="607"/>
  <c r="A429" i="607"/>
  <c r="B429" i="607"/>
  <c r="C429" i="607"/>
  <c r="D429" i="607"/>
  <c r="E429" i="607"/>
  <c r="A430" i="607"/>
  <c r="B430" i="607"/>
  <c r="C430" i="607"/>
  <c r="D430" i="607"/>
  <c r="E430" i="607"/>
  <c r="A431" i="607"/>
  <c r="B431" i="607"/>
  <c r="C431" i="607"/>
  <c r="D431" i="607"/>
  <c r="E431" i="607"/>
  <c r="A432" i="607"/>
  <c r="B432" i="607"/>
  <c r="C432" i="607"/>
  <c r="D432" i="607"/>
  <c r="E432" i="607"/>
  <c r="A433" i="607"/>
  <c r="B433" i="607"/>
  <c r="C433" i="607"/>
  <c r="D433" i="607"/>
  <c r="E433" i="607"/>
  <c r="A434" i="607"/>
  <c r="B434" i="607"/>
  <c r="C434" i="607"/>
  <c r="D434" i="607"/>
  <c r="E434" i="607"/>
  <c r="A435" i="607"/>
  <c r="B435" i="607"/>
  <c r="C435" i="607"/>
  <c r="D435" i="607"/>
  <c r="E435" i="607"/>
  <c r="A436" i="607"/>
  <c r="B436" i="607"/>
  <c r="C436" i="607"/>
  <c r="D436" i="607"/>
  <c r="E436" i="607"/>
  <c r="A437" i="607"/>
  <c r="B437" i="607"/>
  <c r="C437" i="607"/>
  <c r="D437" i="607"/>
  <c r="E437" i="607"/>
  <c r="A438" i="607"/>
  <c r="B438" i="607"/>
  <c r="C438" i="607"/>
  <c r="D438" i="607"/>
  <c r="E438" i="607"/>
  <c r="A439" i="607"/>
  <c r="B439" i="607"/>
  <c r="C439" i="607"/>
  <c r="D439" i="607"/>
  <c r="E439" i="607"/>
  <c r="A440" i="607"/>
  <c r="B440" i="607"/>
  <c r="C440" i="607"/>
  <c r="D440" i="607"/>
  <c r="E440" i="607"/>
  <c r="A441" i="607"/>
  <c r="B441" i="607"/>
  <c r="C441" i="607"/>
  <c r="D441" i="607"/>
  <c r="E441" i="607"/>
  <c r="A442" i="607"/>
  <c r="B442" i="607"/>
  <c r="C442" i="607"/>
  <c r="D442" i="607"/>
  <c r="E442" i="607"/>
  <c r="A443" i="607"/>
  <c r="B443" i="607"/>
  <c r="C443" i="607"/>
  <c r="D443" i="607"/>
  <c r="E443" i="607"/>
  <c r="A444" i="607"/>
  <c r="B444" i="607"/>
  <c r="C444" i="607"/>
  <c r="D444" i="607"/>
  <c r="E444" i="607"/>
  <c r="A445" i="607"/>
  <c r="B445" i="607"/>
  <c r="C445" i="607"/>
  <c r="D445" i="607"/>
  <c r="E445" i="607"/>
  <c r="A446" i="607"/>
  <c r="B446" i="607"/>
  <c r="C446" i="607"/>
  <c r="D446" i="607"/>
  <c r="E446" i="607"/>
  <c r="A447" i="607"/>
  <c r="B447" i="607"/>
  <c r="C447" i="607"/>
  <c r="D447" i="607"/>
  <c r="E447" i="607"/>
  <c r="A448" i="607"/>
  <c r="B448" i="607"/>
  <c r="C448" i="607"/>
  <c r="D448" i="607"/>
  <c r="E448" i="607"/>
  <c r="A449" i="607"/>
  <c r="B449" i="607"/>
  <c r="C449" i="607"/>
  <c r="D449" i="607"/>
  <c r="E449" i="607"/>
  <c r="A450" i="607"/>
  <c r="B450" i="607"/>
  <c r="C450" i="607"/>
  <c r="D450" i="607"/>
  <c r="E450" i="607"/>
  <c r="A451" i="607"/>
  <c r="B451" i="607"/>
  <c r="C451" i="607"/>
  <c r="D451" i="607"/>
  <c r="E451" i="607"/>
  <c r="A452" i="607"/>
  <c r="B452" i="607"/>
  <c r="C452" i="607"/>
  <c r="D452" i="607"/>
  <c r="E452" i="607"/>
  <c r="A453" i="607"/>
  <c r="B453" i="607"/>
  <c r="C453" i="607"/>
  <c r="D453" i="607"/>
  <c r="E453" i="607"/>
  <c r="A454" i="607"/>
  <c r="B454" i="607"/>
  <c r="C454" i="607"/>
  <c r="D454" i="607"/>
  <c r="E454" i="607"/>
  <c r="A455" i="607"/>
  <c r="B455" i="607"/>
  <c r="C455" i="607"/>
  <c r="D455" i="607"/>
  <c r="E455" i="607"/>
  <c r="A456" i="607"/>
  <c r="B456" i="607"/>
  <c r="C456" i="607"/>
  <c r="D456" i="607"/>
  <c r="E456" i="607"/>
  <c r="A457" i="607"/>
  <c r="B457" i="607"/>
  <c r="C457" i="607"/>
  <c r="D457" i="607"/>
  <c r="E457" i="607"/>
  <c r="A458" i="607"/>
  <c r="B458" i="607"/>
  <c r="C458" i="607"/>
  <c r="D458" i="607"/>
  <c r="E458" i="607"/>
  <c r="A459" i="607"/>
  <c r="B459" i="607"/>
  <c r="C459" i="607"/>
  <c r="D459" i="607"/>
  <c r="E459" i="607"/>
  <c r="A460" i="607"/>
  <c r="B460" i="607"/>
  <c r="C460" i="607"/>
  <c r="D460" i="607"/>
  <c r="E460" i="607"/>
  <c r="A461" i="607"/>
  <c r="B461" i="607"/>
  <c r="C461" i="607"/>
  <c r="D461" i="607"/>
  <c r="E461" i="607"/>
  <c r="A462" i="607"/>
  <c r="B462" i="607"/>
  <c r="C462" i="607"/>
  <c r="D462" i="607"/>
  <c r="E462" i="607"/>
  <c r="A463" i="607"/>
  <c r="B463" i="607"/>
  <c r="C463" i="607"/>
  <c r="D463" i="607"/>
  <c r="E463" i="607"/>
  <c r="A464" i="607"/>
  <c r="B464" i="607"/>
  <c r="C464" i="607"/>
  <c r="D464" i="607"/>
  <c r="E464" i="607"/>
  <c r="A465" i="607"/>
  <c r="B465" i="607"/>
  <c r="C465" i="607"/>
  <c r="D465" i="607"/>
  <c r="E465" i="607"/>
  <c r="A466" i="607"/>
  <c r="B466" i="607"/>
  <c r="C466" i="607"/>
  <c r="D466" i="607"/>
  <c r="E466" i="607"/>
  <c r="A467" i="607"/>
  <c r="B467" i="607"/>
  <c r="C467" i="607"/>
  <c r="D467" i="607"/>
  <c r="E467" i="607"/>
  <c r="A468" i="607"/>
  <c r="B468" i="607"/>
  <c r="C468" i="607"/>
  <c r="D468" i="607"/>
  <c r="E468" i="607"/>
  <c r="A469" i="607"/>
  <c r="B469" i="607"/>
  <c r="C469" i="607"/>
  <c r="D469" i="607"/>
  <c r="E469" i="607"/>
  <c r="A470" i="607"/>
  <c r="B470" i="607"/>
  <c r="C470" i="607"/>
  <c r="D470" i="607"/>
  <c r="E470" i="607"/>
  <c r="A471" i="607"/>
  <c r="B471" i="607"/>
  <c r="C471" i="607"/>
  <c r="D471" i="607"/>
  <c r="E471" i="607"/>
  <c r="A472" i="607"/>
  <c r="B472" i="607"/>
  <c r="C472" i="607"/>
  <c r="D472" i="607"/>
  <c r="E472" i="607"/>
  <c r="A473" i="607"/>
  <c r="B473" i="607"/>
  <c r="C473" i="607"/>
  <c r="D473" i="607"/>
  <c r="E473" i="607"/>
  <c r="A474" i="607"/>
  <c r="B474" i="607"/>
  <c r="C474" i="607"/>
  <c r="D474" i="607"/>
  <c r="E474" i="607"/>
  <c r="A475" i="607"/>
  <c r="B475" i="607"/>
  <c r="C475" i="607"/>
  <c r="D475" i="607"/>
  <c r="E475" i="607"/>
  <c r="A476" i="607"/>
  <c r="B476" i="607"/>
  <c r="C476" i="607"/>
  <c r="D476" i="607"/>
  <c r="E476" i="607"/>
  <c r="A477" i="607"/>
  <c r="B477" i="607"/>
  <c r="C477" i="607"/>
  <c r="D477" i="607"/>
  <c r="E477" i="607"/>
  <c r="A478" i="607"/>
  <c r="B478" i="607"/>
  <c r="C478" i="607"/>
  <c r="D478" i="607"/>
  <c r="E478" i="607"/>
  <c r="A479" i="607"/>
  <c r="B479" i="607"/>
  <c r="C479" i="607"/>
  <c r="D479" i="607"/>
  <c r="E479" i="607"/>
  <c r="A480" i="607"/>
  <c r="B480" i="607"/>
  <c r="C480" i="607"/>
  <c r="D480" i="607"/>
  <c r="E480" i="607"/>
  <c r="A481" i="607"/>
  <c r="B481" i="607"/>
  <c r="C481" i="607"/>
  <c r="D481" i="607"/>
  <c r="E481" i="607"/>
  <c r="A482" i="607"/>
  <c r="B482" i="607"/>
  <c r="C482" i="607"/>
  <c r="D482" i="607"/>
  <c r="E482" i="607"/>
  <c r="A483" i="607"/>
  <c r="B483" i="607"/>
  <c r="C483" i="607"/>
  <c r="D483" i="607"/>
  <c r="E483" i="607"/>
  <c r="A484" i="607"/>
  <c r="B484" i="607"/>
  <c r="C484" i="607"/>
  <c r="D484" i="607"/>
  <c r="E484" i="607"/>
  <c r="A485" i="607"/>
  <c r="B485" i="607"/>
  <c r="C485" i="607"/>
  <c r="D485" i="607"/>
  <c r="E485" i="607"/>
  <c r="A486" i="607"/>
  <c r="B486" i="607"/>
  <c r="C486" i="607"/>
  <c r="D486" i="607"/>
  <c r="E486" i="607"/>
  <c r="A487" i="607"/>
  <c r="B487" i="607"/>
  <c r="C487" i="607"/>
  <c r="D487" i="607"/>
  <c r="E487" i="607"/>
  <c r="A488" i="607"/>
  <c r="B488" i="607"/>
  <c r="C488" i="607"/>
  <c r="D488" i="607"/>
  <c r="E488" i="607"/>
  <c r="A489" i="607"/>
  <c r="B489" i="607"/>
  <c r="C489" i="607"/>
  <c r="D489" i="607"/>
  <c r="E489" i="607"/>
  <c r="A490" i="607"/>
  <c r="B490" i="607"/>
  <c r="C490" i="607"/>
  <c r="D490" i="607"/>
  <c r="E490" i="607"/>
  <c r="A491" i="607"/>
  <c r="B491" i="607"/>
  <c r="C491" i="607"/>
  <c r="D491" i="607"/>
  <c r="E491" i="607"/>
  <c r="A492" i="607"/>
  <c r="B492" i="607"/>
  <c r="C492" i="607"/>
  <c r="D492" i="607"/>
  <c r="E492" i="607"/>
  <c r="A493" i="607"/>
  <c r="B493" i="607"/>
  <c r="C493" i="607"/>
  <c r="D493" i="607"/>
  <c r="E493" i="607"/>
  <c r="A494" i="607"/>
  <c r="B494" i="607"/>
  <c r="C494" i="607"/>
  <c r="D494" i="607"/>
  <c r="E494" i="607"/>
  <c r="A495" i="607"/>
  <c r="B495" i="607"/>
  <c r="C495" i="607"/>
  <c r="D495" i="607"/>
  <c r="E495" i="607"/>
  <c r="A496" i="607"/>
  <c r="B496" i="607"/>
  <c r="C496" i="607"/>
  <c r="D496" i="607"/>
  <c r="E496" i="607"/>
  <c r="A497" i="607"/>
  <c r="B497" i="607"/>
  <c r="C497" i="607"/>
  <c r="D497" i="607"/>
  <c r="E497" i="607"/>
  <c r="A498" i="607"/>
  <c r="B498" i="607"/>
  <c r="C498" i="607"/>
  <c r="D498" i="607"/>
  <c r="E498" i="607"/>
  <c r="A499" i="607"/>
  <c r="B499" i="607"/>
  <c r="C499" i="607"/>
  <c r="D499" i="607"/>
  <c r="E499" i="607"/>
  <c r="A500" i="607"/>
  <c r="B500" i="607"/>
  <c r="C500" i="607"/>
  <c r="D500" i="607"/>
  <c r="E500" i="607"/>
  <c r="A501" i="607"/>
  <c r="B501" i="607"/>
  <c r="C501" i="607"/>
  <c r="D501" i="607"/>
  <c r="E501" i="607"/>
  <c r="A502" i="607"/>
  <c r="B502" i="607"/>
  <c r="C502" i="607"/>
  <c r="D502" i="607"/>
  <c r="E502" i="607"/>
  <c r="A503" i="607"/>
  <c r="B503" i="607"/>
  <c r="C503" i="607"/>
  <c r="D503" i="607"/>
  <c r="E503" i="607"/>
  <c r="A504" i="607"/>
  <c r="B504" i="607"/>
  <c r="C504" i="607"/>
  <c r="D504" i="607"/>
  <c r="E504" i="607"/>
  <c r="A505" i="607"/>
  <c r="B505" i="607"/>
  <c r="C505" i="607"/>
  <c r="D505" i="607"/>
  <c r="E505" i="607"/>
  <c r="A506" i="607"/>
  <c r="B506" i="607"/>
  <c r="C506" i="607"/>
  <c r="D506" i="607"/>
  <c r="E506" i="607"/>
  <c r="A507" i="607"/>
  <c r="B507" i="607"/>
  <c r="C507" i="607"/>
  <c r="D507" i="607"/>
  <c r="E507" i="607"/>
  <c r="A508" i="607"/>
  <c r="B508" i="607"/>
  <c r="C508" i="607"/>
  <c r="D508" i="607"/>
  <c r="E508" i="607"/>
  <c r="A509" i="607"/>
  <c r="B509" i="607"/>
  <c r="C509" i="607"/>
  <c r="D509" i="607"/>
  <c r="E509" i="607"/>
  <c r="A510" i="607"/>
  <c r="B510" i="607"/>
  <c r="C510" i="607"/>
  <c r="D510" i="607"/>
  <c r="E510" i="607"/>
  <c r="A511" i="607"/>
  <c r="B511" i="607"/>
  <c r="C511" i="607"/>
  <c r="D511" i="607"/>
  <c r="E511" i="607"/>
  <c r="A512" i="607"/>
  <c r="B512" i="607"/>
  <c r="C512" i="607"/>
  <c r="D512" i="607"/>
  <c r="E512" i="607"/>
  <c r="A513" i="607"/>
  <c r="B513" i="607"/>
  <c r="C513" i="607"/>
  <c r="D513" i="607"/>
  <c r="E513" i="607"/>
  <c r="A514" i="607"/>
  <c r="B514" i="607"/>
  <c r="C514" i="607"/>
  <c r="D514" i="607"/>
  <c r="E514" i="607"/>
  <c r="A515" i="607"/>
  <c r="B515" i="607"/>
  <c r="C515" i="607"/>
  <c r="D515" i="607"/>
  <c r="E515" i="607"/>
  <c r="A516" i="607"/>
  <c r="B516" i="607"/>
  <c r="C516" i="607"/>
  <c r="D516" i="607"/>
  <c r="E516" i="607"/>
  <c r="A517" i="607"/>
  <c r="B517" i="607"/>
  <c r="C517" i="607"/>
  <c r="D517" i="607"/>
  <c r="E517" i="607"/>
  <c r="A518" i="607"/>
  <c r="B518" i="607"/>
  <c r="C518" i="607"/>
  <c r="D518" i="607"/>
  <c r="E518" i="607"/>
  <c r="A519" i="607"/>
  <c r="B519" i="607"/>
  <c r="C519" i="607"/>
  <c r="D519" i="607"/>
  <c r="E519" i="607"/>
  <c r="A520" i="607"/>
  <c r="B520" i="607"/>
  <c r="C520" i="607"/>
  <c r="D520" i="607"/>
  <c r="E520" i="607"/>
  <c r="A521" i="607"/>
  <c r="B521" i="607"/>
  <c r="C521" i="607"/>
  <c r="D521" i="607"/>
  <c r="E521" i="607"/>
  <c r="A522" i="607"/>
  <c r="B522" i="607"/>
  <c r="C522" i="607"/>
  <c r="D522" i="607"/>
  <c r="E522" i="607"/>
  <c r="A523" i="607"/>
  <c r="B523" i="607"/>
  <c r="C523" i="607"/>
  <c r="D523" i="607"/>
  <c r="E523" i="607"/>
  <c r="A524" i="607"/>
  <c r="B524" i="607"/>
  <c r="C524" i="607"/>
  <c r="D524" i="607"/>
  <c r="E524" i="607"/>
  <c r="A525" i="607"/>
  <c r="B525" i="607"/>
  <c r="C525" i="607"/>
  <c r="D525" i="607"/>
  <c r="E525" i="607"/>
  <c r="A526" i="607"/>
  <c r="B526" i="607"/>
  <c r="C526" i="607"/>
  <c r="D526" i="607"/>
  <c r="E526" i="607"/>
  <c r="A527" i="607"/>
  <c r="B527" i="607"/>
  <c r="C527" i="607"/>
  <c r="D527" i="607"/>
  <c r="E527" i="607"/>
  <c r="A528" i="607"/>
  <c r="B528" i="607"/>
  <c r="C528" i="607"/>
  <c r="D528" i="607"/>
  <c r="E528" i="607"/>
  <c r="A529" i="607"/>
  <c r="B529" i="607"/>
  <c r="C529" i="607"/>
  <c r="D529" i="607"/>
  <c r="E529" i="607"/>
  <c r="A530" i="607"/>
  <c r="B530" i="607"/>
  <c r="C530" i="607"/>
  <c r="D530" i="607"/>
  <c r="E530" i="607"/>
  <c r="A531" i="607"/>
  <c r="B531" i="607"/>
  <c r="C531" i="607"/>
  <c r="D531" i="607"/>
  <c r="E531" i="607"/>
  <c r="A532" i="607"/>
  <c r="B532" i="607"/>
  <c r="C532" i="607"/>
  <c r="D532" i="607"/>
  <c r="E532" i="607"/>
  <c r="A533" i="607"/>
  <c r="B533" i="607"/>
  <c r="C533" i="607"/>
  <c r="D533" i="607"/>
  <c r="E533" i="607"/>
  <c r="A534" i="607"/>
  <c r="B534" i="607"/>
  <c r="C534" i="607"/>
  <c r="D534" i="607"/>
  <c r="E534" i="607"/>
  <c r="A535" i="607"/>
  <c r="B535" i="607"/>
  <c r="C535" i="607"/>
  <c r="D535" i="607"/>
  <c r="E535" i="607"/>
  <c r="A536" i="607"/>
  <c r="B536" i="607"/>
  <c r="C536" i="607"/>
  <c r="D536" i="607"/>
  <c r="E536" i="607"/>
  <c r="A537" i="607"/>
  <c r="B537" i="607"/>
  <c r="C537" i="607"/>
  <c r="D537" i="607"/>
  <c r="E537" i="607"/>
  <c r="A538" i="607"/>
  <c r="B538" i="607"/>
  <c r="C538" i="607"/>
  <c r="D538" i="607"/>
  <c r="E538" i="607"/>
  <c r="A539" i="607"/>
  <c r="B539" i="607"/>
  <c r="C539" i="607"/>
  <c r="D539" i="607"/>
  <c r="E539" i="607"/>
  <c r="A540" i="607"/>
  <c r="B540" i="607"/>
  <c r="C540" i="607"/>
  <c r="D540" i="607"/>
  <c r="E540" i="607"/>
  <c r="A541" i="607"/>
  <c r="B541" i="607"/>
  <c r="C541" i="607"/>
  <c r="D541" i="607"/>
  <c r="E541" i="607"/>
  <c r="A542" i="607"/>
  <c r="B542" i="607"/>
  <c r="C542" i="607"/>
  <c r="D542" i="607"/>
  <c r="E542" i="607"/>
  <c r="A543" i="607"/>
  <c r="B543" i="607"/>
  <c r="C543" i="607"/>
  <c r="D543" i="607"/>
  <c r="E543" i="607"/>
  <c r="A544" i="607"/>
  <c r="B544" i="607"/>
  <c r="C544" i="607"/>
  <c r="D544" i="607"/>
  <c r="E544" i="607"/>
  <c r="A545" i="607"/>
  <c r="B545" i="607"/>
  <c r="C545" i="607"/>
  <c r="D545" i="607"/>
  <c r="E545" i="607"/>
  <c r="A546" i="607"/>
  <c r="B546" i="607"/>
  <c r="C546" i="607"/>
  <c r="D546" i="607"/>
  <c r="E546" i="607"/>
  <c r="A547" i="607"/>
  <c r="B547" i="607"/>
  <c r="C547" i="607"/>
  <c r="D547" i="607"/>
  <c r="E547" i="607"/>
  <c r="A548" i="607"/>
  <c r="B548" i="607"/>
  <c r="C548" i="607"/>
  <c r="D548" i="607"/>
  <c r="E548" i="607"/>
  <c r="A549" i="607"/>
  <c r="B549" i="607"/>
  <c r="C549" i="607"/>
  <c r="D549" i="607"/>
  <c r="E549" i="607"/>
  <c r="A550" i="607"/>
  <c r="B550" i="607"/>
  <c r="C550" i="607"/>
  <c r="D550" i="607"/>
  <c r="E550" i="607"/>
  <c r="A551" i="607"/>
  <c r="B551" i="607"/>
  <c r="C551" i="607"/>
  <c r="D551" i="607"/>
  <c r="E551" i="607"/>
  <c r="A552" i="607"/>
  <c r="B552" i="607"/>
  <c r="C552" i="607"/>
  <c r="D552" i="607"/>
  <c r="E552" i="607"/>
  <c r="A553" i="607"/>
  <c r="B553" i="607"/>
  <c r="C553" i="607"/>
  <c r="D553" i="607"/>
  <c r="E553" i="607"/>
  <c r="A554" i="607"/>
  <c r="B554" i="607"/>
  <c r="C554" i="607"/>
  <c r="D554" i="607"/>
  <c r="E554" i="607"/>
  <c r="A555" i="607"/>
  <c r="B555" i="607"/>
  <c r="C555" i="607"/>
  <c r="D555" i="607"/>
  <c r="E555" i="607"/>
  <c r="A556" i="607"/>
  <c r="B556" i="607"/>
  <c r="C556" i="607"/>
  <c r="D556" i="607"/>
  <c r="E556" i="607"/>
  <c r="A557" i="607"/>
  <c r="B557" i="607"/>
  <c r="C557" i="607"/>
  <c r="D557" i="607"/>
  <c r="E557" i="607"/>
  <c r="A558" i="607"/>
  <c r="B558" i="607"/>
  <c r="C558" i="607"/>
  <c r="D558" i="607"/>
  <c r="E558" i="607"/>
  <c r="A559" i="607"/>
  <c r="B559" i="607"/>
  <c r="C559" i="607"/>
  <c r="D559" i="607"/>
  <c r="E559" i="607"/>
  <c r="A560" i="607"/>
  <c r="B560" i="607"/>
  <c r="C560" i="607"/>
  <c r="D560" i="607"/>
  <c r="E560" i="607"/>
  <c r="A561" i="607"/>
  <c r="B561" i="607"/>
  <c r="C561" i="607"/>
  <c r="D561" i="607"/>
  <c r="E561" i="607"/>
  <c r="A562" i="607"/>
  <c r="B562" i="607"/>
  <c r="C562" i="607"/>
  <c r="D562" i="607"/>
  <c r="E562" i="607"/>
  <c r="A563" i="607"/>
  <c r="B563" i="607"/>
  <c r="C563" i="607"/>
  <c r="D563" i="607"/>
  <c r="E563" i="607"/>
  <c r="A564" i="607"/>
  <c r="B564" i="607"/>
  <c r="C564" i="607"/>
  <c r="D564" i="607"/>
  <c r="E564" i="607"/>
  <c r="A565" i="607"/>
  <c r="B565" i="607"/>
  <c r="C565" i="607"/>
  <c r="D565" i="607"/>
  <c r="E565" i="607"/>
  <c r="A566" i="607"/>
  <c r="B566" i="607"/>
  <c r="C566" i="607"/>
  <c r="D566" i="607"/>
  <c r="E566" i="607"/>
  <c r="A567" i="607"/>
  <c r="B567" i="607"/>
  <c r="C567" i="607"/>
  <c r="D567" i="607"/>
  <c r="E567" i="607"/>
  <c r="A568" i="607"/>
  <c r="B568" i="607"/>
  <c r="C568" i="607"/>
  <c r="D568" i="607"/>
  <c r="E568" i="607"/>
  <c r="A569" i="607"/>
  <c r="B569" i="607"/>
  <c r="C569" i="607"/>
  <c r="D569" i="607"/>
  <c r="E569" i="607"/>
  <c r="A570" i="607"/>
  <c r="B570" i="607"/>
  <c r="C570" i="607"/>
  <c r="D570" i="607"/>
  <c r="E570" i="607"/>
  <c r="A571" i="607"/>
  <c r="B571" i="607"/>
  <c r="C571" i="607"/>
  <c r="D571" i="607"/>
  <c r="E571" i="607"/>
  <c r="A572" i="607"/>
  <c r="B572" i="607"/>
  <c r="C572" i="607"/>
  <c r="D572" i="607"/>
  <c r="E572" i="607"/>
  <c r="A573" i="607"/>
  <c r="B573" i="607"/>
  <c r="C573" i="607"/>
  <c r="D573" i="607"/>
  <c r="E573" i="607"/>
  <c r="A574" i="607"/>
  <c r="B574" i="607"/>
  <c r="C574" i="607"/>
  <c r="D574" i="607"/>
  <c r="E574" i="607"/>
  <c r="A575" i="607"/>
  <c r="B575" i="607"/>
  <c r="C575" i="607"/>
  <c r="D575" i="607"/>
  <c r="E575" i="607"/>
  <c r="A576" i="607"/>
  <c r="B576" i="607"/>
  <c r="C576" i="607"/>
  <c r="D576" i="607"/>
  <c r="E576" i="607"/>
  <c r="A577" i="607"/>
  <c r="B577" i="607"/>
  <c r="C577" i="607"/>
  <c r="D577" i="607"/>
  <c r="E577" i="607"/>
  <c r="A578" i="607"/>
  <c r="B578" i="607"/>
  <c r="C578" i="607"/>
  <c r="D578" i="607"/>
  <c r="E578" i="607"/>
  <c r="A579" i="607"/>
  <c r="B579" i="607"/>
  <c r="C579" i="607"/>
  <c r="D579" i="607"/>
  <c r="E579" i="607"/>
  <c r="A580" i="607"/>
  <c r="B580" i="607"/>
  <c r="C580" i="607"/>
  <c r="D580" i="607"/>
  <c r="E580" i="607"/>
  <c r="A581" i="607"/>
  <c r="B581" i="607"/>
  <c r="C581" i="607"/>
  <c r="D581" i="607"/>
  <c r="E581" i="607"/>
  <c r="A582" i="607"/>
  <c r="B582" i="607"/>
  <c r="C582" i="607"/>
  <c r="D582" i="607"/>
  <c r="E582" i="607"/>
  <c r="A583" i="607"/>
  <c r="B583" i="607"/>
  <c r="C583" i="607"/>
  <c r="D583" i="607"/>
  <c r="E583" i="607"/>
  <c r="A584" i="607"/>
  <c r="B584" i="607"/>
  <c r="C584" i="607"/>
  <c r="D584" i="607"/>
  <c r="E584" i="607"/>
  <c r="A585" i="607"/>
  <c r="B585" i="607"/>
  <c r="C585" i="607"/>
  <c r="D585" i="607"/>
  <c r="E585" i="607"/>
  <c r="A586" i="607"/>
  <c r="B586" i="607"/>
  <c r="C586" i="607"/>
  <c r="D586" i="607"/>
  <c r="E586" i="607"/>
  <c r="A587" i="607"/>
  <c r="B587" i="607"/>
  <c r="C587" i="607"/>
  <c r="D587" i="607"/>
  <c r="E587" i="607"/>
  <c r="A588" i="607"/>
  <c r="B588" i="607"/>
  <c r="C588" i="607"/>
  <c r="D588" i="607"/>
  <c r="E588" i="607"/>
  <c r="A589" i="607"/>
  <c r="B589" i="607"/>
  <c r="C589" i="607"/>
  <c r="D589" i="607"/>
  <c r="E589" i="607"/>
  <c r="A590" i="607"/>
  <c r="B590" i="607"/>
  <c r="C590" i="607"/>
  <c r="D590" i="607"/>
  <c r="E590" i="607"/>
  <c r="A591" i="607"/>
  <c r="B591" i="607"/>
  <c r="C591" i="607"/>
  <c r="D591" i="607"/>
  <c r="E591" i="607"/>
  <c r="A592" i="607"/>
  <c r="B592" i="607"/>
  <c r="C592" i="607"/>
  <c r="D592" i="607"/>
  <c r="E592" i="607"/>
  <c r="A593" i="607"/>
  <c r="B593" i="607"/>
  <c r="C593" i="607"/>
  <c r="D593" i="607"/>
  <c r="E593" i="607"/>
  <c r="A594" i="607"/>
  <c r="B594" i="607"/>
  <c r="C594" i="607"/>
  <c r="D594" i="607"/>
  <c r="E594" i="607"/>
  <c r="A595" i="607"/>
  <c r="B595" i="607"/>
  <c r="C595" i="607"/>
  <c r="D595" i="607"/>
  <c r="E595" i="607"/>
  <c r="A596" i="607"/>
  <c r="B596" i="607"/>
  <c r="C596" i="607"/>
  <c r="D596" i="607"/>
  <c r="E596" i="607"/>
  <c r="A597" i="607"/>
  <c r="B597" i="607"/>
  <c r="C597" i="607"/>
  <c r="D597" i="607"/>
  <c r="E597" i="607"/>
  <c r="A598" i="607"/>
  <c r="B598" i="607"/>
  <c r="C598" i="607"/>
  <c r="D598" i="607"/>
  <c r="E598" i="607"/>
  <c r="A599" i="607"/>
  <c r="B599" i="607"/>
  <c r="C599" i="607"/>
  <c r="D599" i="607"/>
  <c r="E599" i="607"/>
  <c r="A600" i="607"/>
  <c r="B600" i="607"/>
  <c r="C600" i="607"/>
  <c r="D600" i="607"/>
  <c r="E600" i="607"/>
  <c r="A601" i="607"/>
  <c r="B601" i="607"/>
  <c r="C601" i="607"/>
  <c r="D601" i="607"/>
  <c r="E601" i="607"/>
  <c r="A602" i="607"/>
  <c r="B602" i="607"/>
  <c r="C602" i="607"/>
  <c r="D602" i="607"/>
  <c r="E602" i="607"/>
  <c r="A603" i="607"/>
  <c r="B603" i="607"/>
  <c r="C603" i="607"/>
  <c r="D603" i="607"/>
  <c r="E603" i="607"/>
  <c r="A604" i="607"/>
  <c r="B604" i="607"/>
  <c r="C604" i="607"/>
  <c r="D604" i="607"/>
  <c r="E604" i="607"/>
  <c r="A605" i="607"/>
  <c r="B605" i="607"/>
  <c r="C605" i="607"/>
  <c r="D605" i="607"/>
  <c r="E605" i="607"/>
  <c r="A606" i="607"/>
  <c r="B606" i="607"/>
  <c r="C606" i="607"/>
  <c r="D606" i="607"/>
  <c r="E606" i="607"/>
  <c r="A607" i="607"/>
  <c r="B607" i="607"/>
  <c r="C607" i="607"/>
  <c r="D607" i="607"/>
  <c r="E607" i="607"/>
  <c r="A608" i="607"/>
  <c r="B608" i="607"/>
  <c r="C608" i="607"/>
  <c r="D608" i="607"/>
  <c r="E608" i="607"/>
  <c r="A609" i="607"/>
  <c r="B609" i="607"/>
  <c r="C609" i="607"/>
  <c r="D609" i="607"/>
  <c r="E609" i="607"/>
  <c r="A610" i="607"/>
  <c r="B610" i="607"/>
  <c r="C610" i="607"/>
  <c r="D610" i="607"/>
  <c r="E610" i="607"/>
  <c r="A611" i="607"/>
  <c r="B611" i="607"/>
  <c r="C611" i="607"/>
  <c r="D611" i="607"/>
  <c r="E611" i="607"/>
  <c r="A612" i="607"/>
  <c r="B612" i="607"/>
  <c r="C612" i="607"/>
  <c r="D612" i="607"/>
  <c r="E612" i="607"/>
  <c r="A613" i="607"/>
  <c r="B613" i="607"/>
  <c r="C613" i="607"/>
  <c r="D613" i="607"/>
  <c r="E613" i="607"/>
  <c r="A614" i="607"/>
  <c r="B614" i="607"/>
  <c r="C614" i="607"/>
  <c r="D614" i="607"/>
  <c r="E614" i="607"/>
  <c r="A615" i="607"/>
  <c r="B615" i="607"/>
  <c r="C615" i="607"/>
  <c r="D615" i="607"/>
  <c r="E615" i="607"/>
  <c r="A616" i="607"/>
  <c r="B616" i="607"/>
  <c r="C616" i="607"/>
  <c r="D616" i="607"/>
  <c r="E616" i="607"/>
  <c r="A617" i="607"/>
  <c r="B617" i="607"/>
  <c r="C617" i="607"/>
  <c r="D617" i="607"/>
  <c r="E617" i="607"/>
  <c r="A618" i="607"/>
  <c r="B618" i="607"/>
  <c r="C618" i="607"/>
  <c r="D618" i="607"/>
  <c r="E618" i="607"/>
  <c r="A619" i="607"/>
  <c r="B619" i="607"/>
  <c r="C619" i="607"/>
  <c r="D619" i="607"/>
  <c r="E619" i="607"/>
  <c r="A620" i="607"/>
  <c r="B620" i="607"/>
  <c r="C620" i="607"/>
  <c r="D620" i="607"/>
  <c r="E620" i="607"/>
  <c r="A621" i="607"/>
  <c r="B621" i="607"/>
  <c r="C621" i="607"/>
  <c r="D621" i="607"/>
  <c r="E621" i="607"/>
  <c r="A622" i="607"/>
  <c r="B622" i="607"/>
  <c r="C622" i="607"/>
  <c r="D622" i="607"/>
  <c r="E622" i="607"/>
  <c r="A623" i="607"/>
  <c r="B623" i="607"/>
  <c r="C623" i="607"/>
  <c r="D623" i="607"/>
  <c r="E623" i="607"/>
  <c r="A624" i="607"/>
  <c r="B624" i="607"/>
  <c r="C624" i="607"/>
  <c r="D624" i="607"/>
  <c r="E624" i="607"/>
  <c r="A625" i="607"/>
  <c r="B625" i="607"/>
  <c r="C625" i="607"/>
  <c r="D625" i="607"/>
  <c r="E625" i="607"/>
  <c r="A626" i="607"/>
  <c r="B626" i="607"/>
  <c r="C626" i="607"/>
  <c r="D626" i="607"/>
  <c r="E626" i="607"/>
  <c r="A627" i="607"/>
  <c r="B627" i="607"/>
  <c r="C627" i="607"/>
  <c r="D627" i="607"/>
  <c r="E627" i="607"/>
  <c r="A628" i="607"/>
  <c r="B628" i="607"/>
  <c r="C628" i="607"/>
  <c r="D628" i="607"/>
  <c r="E628" i="607"/>
  <c r="A629" i="607"/>
  <c r="B629" i="607"/>
  <c r="C629" i="607"/>
  <c r="D629" i="607"/>
  <c r="E629" i="607"/>
  <c r="A630" i="607"/>
  <c r="B630" i="607"/>
  <c r="C630" i="607"/>
  <c r="D630" i="607"/>
  <c r="E630" i="607"/>
  <c r="A631" i="607"/>
  <c r="B631" i="607"/>
  <c r="C631" i="607"/>
  <c r="D631" i="607"/>
  <c r="E631" i="607"/>
  <c r="A632" i="607"/>
  <c r="B632" i="607"/>
  <c r="C632" i="607"/>
  <c r="D632" i="607"/>
  <c r="E632" i="607"/>
  <c r="A633" i="607"/>
  <c r="B633" i="607"/>
  <c r="C633" i="607"/>
  <c r="D633" i="607"/>
  <c r="E633" i="607"/>
  <c r="A634" i="607"/>
  <c r="B634" i="607"/>
  <c r="C634" i="607"/>
  <c r="D634" i="607"/>
  <c r="E634" i="607"/>
  <c r="A635" i="607"/>
  <c r="B635" i="607"/>
  <c r="C635" i="607"/>
  <c r="D635" i="607"/>
  <c r="E635" i="607"/>
  <c r="A636" i="607"/>
  <c r="B636" i="607"/>
  <c r="C636" i="607"/>
  <c r="D636" i="607"/>
  <c r="E636" i="607"/>
  <c r="A637" i="607"/>
  <c r="B637" i="607"/>
  <c r="C637" i="607"/>
  <c r="D637" i="607"/>
  <c r="E637" i="607"/>
  <c r="A638" i="607"/>
  <c r="B638" i="607"/>
  <c r="C638" i="607"/>
  <c r="D638" i="607"/>
  <c r="E638" i="607"/>
  <c r="A639" i="607"/>
  <c r="B639" i="607"/>
  <c r="C639" i="607"/>
  <c r="D639" i="607"/>
  <c r="E639" i="607"/>
  <c r="A640" i="607"/>
  <c r="B640" i="607"/>
  <c r="C640" i="607"/>
  <c r="D640" i="607"/>
  <c r="E640" i="607"/>
  <c r="A641" i="607"/>
  <c r="B641" i="607"/>
  <c r="C641" i="607"/>
  <c r="D641" i="607"/>
  <c r="E641" i="607"/>
  <c r="A642" i="607"/>
  <c r="B642" i="607"/>
  <c r="C642" i="607"/>
  <c r="D642" i="607"/>
  <c r="E642" i="607"/>
  <c r="A643" i="607"/>
  <c r="B643" i="607"/>
  <c r="C643" i="607"/>
  <c r="D643" i="607"/>
  <c r="E643" i="607"/>
  <c r="A644" i="607"/>
  <c r="B644" i="607"/>
  <c r="C644" i="607"/>
  <c r="D644" i="607"/>
  <c r="E644" i="607"/>
  <c r="A645" i="607"/>
  <c r="B645" i="607"/>
  <c r="C645" i="607"/>
  <c r="D645" i="607"/>
  <c r="E645" i="607"/>
  <c r="A646" i="607"/>
  <c r="B646" i="607"/>
  <c r="C646" i="607"/>
  <c r="D646" i="607"/>
  <c r="E646" i="607"/>
  <c r="A647" i="607"/>
  <c r="B647" i="607"/>
  <c r="C647" i="607"/>
  <c r="D647" i="607"/>
  <c r="E647" i="607"/>
  <c r="A648" i="607"/>
  <c r="B648" i="607"/>
  <c r="C648" i="607"/>
  <c r="D648" i="607"/>
  <c r="E648" i="607"/>
  <c r="A649" i="607"/>
  <c r="B649" i="607"/>
  <c r="C649" i="607"/>
  <c r="D649" i="607"/>
  <c r="E649" i="607"/>
  <c r="A650" i="607"/>
  <c r="B650" i="607"/>
  <c r="C650" i="607"/>
  <c r="D650" i="607"/>
  <c r="E650" i="607"/>
  <c r="A651" i="607"/>
  <c r="B651" i="607"/>
  <c r="C651" i="607"/>
  <c r="D651" i="607"/>
  <c r="E651" i="607"/>
  <c r="A652" i="607"/>
  <c r="B652" i="607"/>
  <c r="C652" i="607"/>
  <c r="D652" i="607"/>
  <c r="E652" i="607"/>
  <c r="A653" i="607"/>
  <c r="B653" i="607"/>
  <c r="C653" i="607"/>
  <c r="D653" i="607"/>
  <c r="E653" i="607"/>
  <c r="A654" i="607"/>
  <c r="B654" i="607"/>
  <c r="C654" i="607"/>
  <c r="D654" i="607"/>
  <c r="E654" i="607"/>
  <c r="A655" i="607"/>
  <c r="B655" i="607"/>
  <c r="C655" i="607"/>
  <c r="D655" i="607"/>
  <c r="E655" i="607"/>
  <c r="A656" i="607"/>
  <c r="B656" i="607"/>
  <c r="C656" i="607"/>
  <c r="D656" i="607"/>
  <c r="E656" i="607"/>
  <c r="A657" i="607"/>
  <c r="B657" i="607"/>
  <c r="C657" i="607"/>
  <c r="D657" i="607"/>
  <c r="E657" i="607"/>
  <c r="A658" i="607"/>
  <c r="B658" i="607"/>
  <c r="C658" i="607"/>
  <c r="D658" i="607"/>
  <c r="E658" i="607"/>
  <c r="A659" i="607"/>
  <c r="B659" i="607"/>
  <c r="C659" i="607"/>
  <c r="D659" i="607"/>
  <c r="E659" i="607"/>
  <c r="A660" i="607"/>
  <c r="B660" i="607"/>
  <c r="C660" i="607"/>
  <c r="D660" i="607"/>
  <c r="E660" i="607"/>
  <c r="A661" i="607"/>
  <c r="B661" i="607"/>
  <c r="C661" i="607"/>
  <c r="D661" i="607"/>
  <c r="E661" i="607"/>
  <c r="A662" i="607"/>
  <c r="B662" i="607"/>
  <c r="C662" i="607"/>
  <c r="D662" i="607"/>
  <c r="E662" i="607"/>
  <c r="A663" i="607"/>
  <c r="B663" i="607"/>
  <c r="C663" i="607"/>
  <c r="D663" i="607"/>
  <c r="E663" i="607"/>
  <c r="A664" i="607"/>
  <c r="B664" i="607"/>
  <c r="C664" i="607"/>
  <c r="D664" i="607"/>
  <c r="E664" i="607"/>
  <c r="A665" i="607"/>
  <c r="B665" i="607"/>
  <c r="C665" i="607"/>
  <c r="D665" i="607"/>
  <c r="E665" i="607"/>
  <c r="A666" i="607"/>
  <c r="B666" i="607"/>
  <c r="C666" i="607"/>
  <c r="D666" i="607"/>
  <c r="E666" i="607"/>
  <c r="A667" i="607"/>
  <c r="B667" i="607"/>
  <c r="C667" i="607"/>
  <c r="D667" i="607"/>
  <c r="E667" i="607"/>
  <c r="A668" i="607"/>
  <c r="B668" i="607"/>
  <c r="C668" i="607"/>
  <c r="D668" i="607"/>
  <c r="E668" i="607"/>
  <c r="A669" i="607"/>
  <c r="B669" i="607"/>
  <c r="C669" i="607"/>
  <c r="D669" i="607"/>
  <c r="E669" i="607"/>
  <c r="A670" i="607"/>
  <c r="B670" i="607"/>
  <c r="C670" i="607"/>
  <c r="D670" i="607"/>
  <c r="E670" i="607"/>
  <c r="A671" i="607"/>
  <c r="B671" i="607"/>
  <c r="C671" i="607"/>
  <c r="D671" i="607"/>
  <c r="E671" i="607"/>
  <c r="A672" i="607"/>
  <c r="B672" i="607"/>
  <c r="C672" i="607"/>
  <c r="D672" i="607"/>
  <c r="E672" i="607"/>
  <c r="A673" i="607"/>
  <c r="B673" i="607"/>
  <c r="C673" i="607"/>
  <c r="D673" i="607"/>
  <c r="E673" i="607"/>
  <c r="A674" i="607"/>
  <c r="B674" i="607"/>
  <c r="C674" i="607"/>
  <c r="D674" i="607"/>
  <c r="E674" i="607"/>
  <c r="A675" i="607"/>
  <c r="B675" i="607"/>
  <c r="C675" i="607"/>
  <c r="D675" i="607"/>
  <c r="E675" i="607"/>
  <c r="A676" i="607"/>
  <c r="B676" i="607"/>
  <c r="C676" i="607"/>
  <c r="D676" i="607"/>
  <c r="E676" i="607"/>
  <c r="A677" i="607"/>
  <c r="B677" i="607"/>
  <c r="C677" i="607"/>
  <c r="D677" i="607"/>
  <c r="E677" i="607"/>
  <c r="A678" i="607"/>
  <c r="B678" i="607"/>
  <c r="C678" i="607"/>
  <c r="D678" i="607"/>
  <c r="E678" i="607"/>
  <c r="A679" i="607"/>
  <c r="B679" i="607"/>
  <c r="C679" i="607"/>
  <c r="D679" i="607"/>
  <c r="E679" i="607"/>
  <c r="A680" i="607"/>
  <c r="B680" i="607"/>
  <c r="C680" i="607"/>
  <c r="D680" i="607"/>
  <c r="E680" i="607"/>
  <c r="A681" i="607"/>
  <c r="B681" i="607"/>
  <c r="C681" i="607"/>
  <c r="D681" i="607"/>
  <c r="E681" i="607"/>
  <c r="A682" i="607"/>
  <c r="B682" i="607"/>
  <c r="C682" i="607"/>
  <c r="D682" i="607"/>
  <c r="E682" i="607"/>
  <c r="A683" i="607"/>
  <c r="B683" i="607"/>
  <c r="C683" i="607"/>
  <c r="D683" i="607"/>
  <c r="E683" i="607"/>
  <c r="A684" i="607"/>
  <c r="B684" i="607"/>
  <c r="C684" i="607"/>
  <c r="D684" i="607"/>
  <c r="E684" i="607"/>
  <c r="A685" i="607"/>
  <c r="B685" i="607"/>
  <c r="C685" i="607"/>
  <c r="D685" i="607"/>
  <c r="E685" i="607"/>
  <c r="A686" i="607"/>
  <c r="B686" i="607"/>
  <c r="C686" i="607"/>
  <c r="D686" i="607"/>
  <c r="E686" i="607"/>
  <c r="A687" i="607"/>
  <c r="B687" i="607"/>
  <c r="C687" i="607"/>
  <c r="D687" i="607"/>
  <c r="E687" i="607"/>
  <c r="A688" i="607"/>
  <c r="B688" i="607"/>
  <c r="C688" i="607"/>
  <c r="D688" i="607"/>
  <c r="E688" i="607"/>
  <c r="A689" i="607"/>
  <c r="B689" i="607"/>
  <c r="C689" i="607"/>
  <c r="D689" i="607"/>
  <c r="E689" i="607"/>
  <c r="A690" i="607"/>
  <c r="B690" i="607"/>
  <c r="C690" i="607"/>
  <c r="E690" i="607"/>
  <c r="A691" i="607"/>
  <c r="B691" i="607"/>
  <c r="C691" i="607"/>
  <c r="D691" i="607"/>
  <c r="E691" i="607"/>
  <c r="A692" i="607"/>
  <c r="B692" i="607"/>
  <c r="C692" i="607"/>
  <c r="D692" i="607"/>
  <c r="E692" i="607"/>
  <c r="A693" i="607"/>
  <c r="B693" i="607"/>
  <c r="C693" i="607"/>
  <c r="D693" i="607"/>
  <c r="E693" i="607"/>
  <c r="A694" i="607"/>
  <c r="B694" i="607"/>
  <c r="C694" i="607"/>
  <c r="D694" i="607"/>
  <c r="E694" i="607"/>
  <c r="A695" i="607"/>
  <c r="B695" i="607"/>
  <c r="C695" i="607"/>
  <c r="D695" i="607"/>
  <c r="E695" i="607"/>
  <c r="A696" i="607"/>
  <c r="B696" i="607"/>
  <c r="C696" i="607"/>
  <c r="D696" i="607"/>
  <c r="E696" i="607"/>
  <c r="A697" i="607"/>
  <c r="B697" i="607"/>
  <c r="C697" i="607"/>
  <c r="D697" i="607"/>
  <c r="E697" i="607"/>
  <c r="A698" i="607"/>
  <c r="B698" i="607"/>
  <c r="C698" i="607"/>
  <c r="D698" i="607"/>
  <c r="E698" i="607"/>
  <c r="A699" i="607"/>
  <c r="B699" i="607"/>
  <c r="C699" i="607"/>
  <c r="D699" i="607"/>
  <c r="E699" i="607"/>
  <c r="A700" i="607"/>
  <c r="B700" i="607"/>
  <c r="C700" i="607"/>
  <c r="D700" i="607"/>
  <c r="E700" i="607"/>
  <c r="A701" i="607"/>
  <c r="B701" i="607"/>
  <c r="C701" i="607"/>
  <c r="D701" i="607"/>
  <c r="E701" i="607"/>
  <c r="A702" i="607"/>
  <c r="B702" i="607"/>
  <c r="C702" i="607"/>
  <c r="D702" i="607"/>
  <c r="E702" i="607"/>
  <c r="A703" i="607"/>
  <c r="B703" i="607"/>
  <c r="C703" i="607"/>
  <c r="D703" i="607"/>
  <c r="E703" i="607"/>
  <c r="A704" i="607"/>
  <c r="B704" i="607"/>
  <c r="C704" i="607"/>
  <c r="D704" i="607"/>
  <c r="E704" i="607"/>
  <c r="A705" i="607"/>
  <c r="B705" i="607"/>
  <c r="C705" i="607"/>
  <c r="D705" i="607"/>
  <c r="E705" i="607"/>
  <c r="A706" i="607"/>
  <c r="B706" i="607"/>
  <c r="C706" i="607"/>
  <c r="D706" i="607"/>
  <c r="E706" i="607"/>
  <c r="A707" i="607"/>
  <c r="B707" i="607"/>
  <c r="C707" i="607"/>
  <c r="D707" i="607"/>
  <c r="E707" i="607"/>
  <c r="A708" i="607"/>
  <c r="B708" i="607"/>
  <c r="C708" i="607"/>
  <c r="D708" i="607"/>
  <c r="E708" i="607"/>
  <c r="A709" i="607"/>
  <c r="B709" i="607"/>
  <c r="C709" i="607"/>
  <c r="D709" i="607"/>
  <c r="E709" i="607"/>
  <c r="A710" i="607"/>
  <c r="B710" i="607"/>
  <c r="C710" i="607"/>
  <c r="D710" i="607"/>
  <c r="E710" i="607"/>
  <c r="A711" i="607"/>
  <c r="B711" i="607"/>
  <c r="C711" i="607"/>
  <c r="D711" i="607"/>
  <c r="E711" i="607"/>
  <c r="A712" i="607"/>
  <c r="B712" i="607"/>
  <c r="C712" i="607"/>
  <c r="D712" i="607"/>
  <c r="E712" i="607"/>
  <c r="A713" i="607"/>
  <c r="B713" i="607"/>
  <c r="C713" i="607"/>
  <c r="D713" i="607"/>
  <c r="E713" i="607"/>
  <c r="A714" i="607"/>
  <c r="B714" i="607"/>
  <c r="C714" i="607"/>
  <c r="D714" i="607"/>
  <c r="E714" i="607"/>
  <c r="A715" i="607"/>
  <c r="B715" i="607"/>
  <c r="C715" i="607"/>
  <c r="D715" i="607"/>
  <c r="E715" i="607"/>
  <c r="A716" i="607"/>
  <c r="B716" i="607"/>
  <c r="C716" i="607"/>
  <c r="D716" i="607"/>
  <c r="E716" i="607"/>
  <c r="A717" i="607"/>
  <c r="B717" i="607"/>
  <c r="C717" i="607"/>
  <c r="D717" i="607"/>
  <c r="E717" i="607"/>
  <c r="A718" i="607"/>
  <c r="B718" i="607"/>
  <c r="C718" i="607"/>
  <c r="D718" i="607"/>
  <c r="E718" i="607"/>
  <c r="A719" i="607"/>
  <c r="B719" i="607"/>
  <c r="C719" i="607"/>
  <c r="D719" i="607"/>
  <c r="E719" i="607"/>
  <c r="A720" i="607"/>
  <c r="B720" i="607"/>
  <c r="C720" i="607"/>
  <c r="D720" i="607"/>
  <c r="E720" i="607"/>
  <c r="A721" i="607"/>
  <c r="B721" i="607"/>
  <c r="C721" i="607"/>
  <c r="D721" i="607"/>
  <c r="E721" i="607"/>
  <c r="A722" i="607"/>
  <c r="B722" i="607"/>
  <c r="C722" i="607"/>
  <c r="D722" i="607"/>
  <c r="E722" i="607"/>
  <c r="A723" i="607"/>
  <c r="B723" i="607"/>
  <c r="C723" i="607"/>
  <c r="D723" i="607"/>
  <c r="E723" i="607"/>
  <c r="A724" i="607"/>
  <c r="B724" i="607"/>
  <c r="C724" i="607"/>
  <c r="D724" i="607"/>
  <c r="E724" i="607"/>
  <c r="A725" i="607"/>
  <c r="B725" i="607"/>
  <c r="C725" i="607"/>
  <c r="D725" i="607"/>
  <c r="E725" i="607"/>
  <c r="A726" i="607"/>
  <c r="B726" i="607"/>
  <c r="C726" i="607"/>
  <c r="D726" i="607"/>
  <c r="E726" i="607"/>
  <c r="A727" i="607"/>
  <c r="B727" i="607"/>
  <c r="C727" i="607"/>
  <c r="D727" i="607"/>
  <c r="E727" i="607"/>
  <c r="A728" i="607"/>
  <c r="B728" i="607"/>
  <c r="C728" i="607"/>
  <c r="D728" i="607"/>
  <c r="E728" i="607"/>
  <c r="A729" i="607"/>
  <c r="B729" i="607"/>
  <c r="C729" i="607"/>
  <c r="D729" i="607"/>
  <c r="E729" i="607"/>
  <c r="A730" i="607"/>
  <c r="B730" i="607"/>
  <c r="C730" i="607"/>
  <c r="D730" i="607"/>
  <c r="E730" i="607"/>
  <c r="A731" i="607"/>
  <c r="B731" i="607"/>
  <c r="C731" i="607"/>
  <c r="D731" i="607"/>
  <c r="E731" i="607"/>
  <c r="A732" i="607"/>
  <c r="B732" i="607"/>
  <c r="C732" i="607"/>
  <c r="D732" i="607"/>
  <c r="E732" i="607"/>
  <c r="A733" i="607"/>
  <c r="B733" i="607"/>
  <c r="C733" i="607"/>
  <c r="D733" i="607"/>
  <c r="E733" i="607"/>
  <c r="A734" i="607"/>
  <c r="B734" i="607"/>
  <c r="C734" i="607"/>
  <c r="D734" i="607"/>
  <c r="E734" i="607"/>
  <c r="A735" i="607"/>
  <c r="B735" i="607"/>
  <c r="C735" i="607"/>
  <c r="D735" i="607"/>
  <c r="E735" i="607"/>
  <c r="A736" i="607"/>
  <c r="B736" i="607"/>
  <c r="C736" i="607"/>
  <c r="D736" i="607"/>
  <c r="E736" i="607"/>
  <c r="A737" i="607"/>
  <c r="B737" i="607"/>
  <c r="C737" i="607"/>
  <c r="D737" i="607"/>
  <c r="E737" i="607"/>
  <c r="A738" i="607"/>
  <c r="B738" i="607"/>
  <c r="C738" i="607"/>
  <c r="D738" i="607"/>
  <c r="E738" i="607"/>
  <c r="A739" i="607"/>
  <c r="B739" i="607"/>
  <c r="C739" i="607"/>
  <c r="D739" i="607"/>
  <c r="E739" i="607"/>
  <c r="A740" i="607"/>
  <c r="B740" i="607"/>
  <c r="C740" i="607"/>
  <c r="D740" i="607"/>
  <c r="E740" i="607"/>
  <c r="A741" i="607"/>
  <c r="B741" i="607"/>
  <c r="C741" i="607"/>
  <c r="D741" i="607"/>
  <c r="E741" i="607"/>
  <c r="A742" i="607"/>
  <c r="B742" i="607"/>
  <c r="C742" i="607"/>
  <c r="D742" i="607"/>
  <c r="E742" i="607"/>
  <c r="A743" i="607"/>
  <c r="B743" i="607"/>
  <c r="C743" i="607"/>
  <c r="D743" i="607"/>
  <c r="E743" i="607"/>
  <c r="A744" i="607"/>
  <c r="B744" i="607"/>
  <c r="C744" i="607"/>
  <c r="D744" i="607"/>
  <c r="E744" i="607"/>
  <c r="G35" i="607"/>
  <c r="G36" i="607"/>
  <c r="G37" i="607"/>
  <c r="G38" i="607"/>
  <c r="G39" i="607"/>
  <c r="G40" i="607"/>
  <c r="G41" i="607"/>
  <c r="G42" i="607"/>
  <c r="G43" i="607"/>
  <c r="G44" i="607"/>
  <c r="G45" i="607"/>
  <c r="G46" i="607"/>
  <c r="G47" i="607"/>
  <c r="G48" i="607"/>
  <c r="G49" i="607"/>
  <c r="G50" i="607"/>
  <c r="G51" i="607"/>
  <c r="G52" i="607"/>
  <c r="G53" i="607"/>
  <c r="G54" i="607"/>
  <c r="G55" i="607"/>
  <c r="G56" i="607"/>
  <c r="G57" i="607"/>
  <c r="G58" i="607"/>
  <c r="G59" i="607"/>
  <c r="G60" i="607"/>
  <c r="G61" i="607"/>
  <c r="G62" i="607"/>
  <c r="G63" i="607"/>
  <c r="G64" i="607"/>
  <c r="G65" i="607"/>
  <c r="L65" i="607" s="1"/>
  <c r="G66" i="607"/>
  <c r="G67" i="607"/>
  <c r="G68" i="607"/>
  <c r="G69" i="607"/>
  <c r="G70" i="607"/>
  <c r="G71" i="607"/>
  <c r="L71" i="607" s="1"/>
  <c r="G72" i="607"/>
  <c r="G73" i="607"/>
  <c r="G74" i="607"/>
  <c r="G75" i="607"/>
  <c r="G76" i="607"/>
  <c r="L76" i="607" s="1"/>
  <c r="G77" i="607"/>
  <c r="G78" i="607"/>
  <c r="G79" i="607"/>
  <c r="G80" i="607"/>
  <c r="G81" i="607"/>
  <c r="G82" i="607"/>
  <c r="G83" i="607"/>
  <c r="G84" i="607"/>
  <c r="G85" i="607"/>
  <c r="G86" i="607"/>
  <c r="G87" i="607"/>
  <c r="G88" i="607"/>
  <c r="G89" i="607"/>
  <c r="G90" i="607"/>
  <c r="G91" i="607"/>
  <c r="G92" i="607"/>
  <c r="G93" i="607"/>
  <c r="G94" i="607"/>
  <c r="G95" i="607"/>
  <c r="A35" i="607"/>
  <c r="B35" i="607"/>
  <c r="C35" i="607"/>
  <c r="D35" i="607"/>
  <c r="E35" i="607"/>
  <c r="A36" i="607"/>
  <c r="B36" i="607"/>
  <c r="C36" i="607"/>
  <c r="D36" i="607"/>
  <c r="E36" i="607"/>
  <c r="A37" i="607"/>
  <c r="B37" i="607"/>
  <c r="C37" i="607"/>
  <c r="D37" i="607"/>
  <c r="E37" i="607"/>
  <c r="A38" i="607"/>
  <c r="B38" i="607"/>
  <c r="C38" i="607"/>
  <c r="D38" i="607"/>
  <c r="E38" i="607"/>
  <c r="A39" i="607"/>
  <c r="B39" i="607"/>
  <c r="C39" i="607"/>
  <c r="D39" i="607"/>
  <c r="E39" i="607"/>
  <c r="A40" i="607"/>
  <c r="B40" i="607"/>
  <c r="C40" i="607"/>
  <c r="D40" i="607"/>
  <c r="E40" i="607"/>
  <c r="A41" i="607"/>
  <c r="B41" i="607"/>
  <c r="C41" i="607"/>
  <c r="D41" i="607"/>
  <c r="E41" i="607"/>
  <c r="A42" i="607"/>
  <c r="B42" i="607"/>
  <c r="C42" i="607"/>
  <c r="D42" i="607"/>
  <c r="E42" i="607"/>
  <c r="A43" i="607"/>
  <c r="B43" i="607"/>
  <c r="C43" i="607"/>
  <c r="D43" i="607"/>
  <c r="E43" i="607"/>
  <c r="A44" i="607"/>
  <c r="B44" i="607"/>
  <c r="C44" i="607"/>
  <c r="D44" i="607"/>
  <c r="E44" i="607"/>
  <c r="A45" i="607"/>
  <c r="B45" i="607"/>
  <c r="C45" i="607"/>
  <c r="D45" i="607"/>
  <c r="E45" i="607"/>
  <c r="A46" i="607"/>
  <c r="B46" i="607"/>
  <c r="C46" i="607"/>
  <c r="D46" i="607"/>
  <c r="E46" i="607"/>
  <c r="A47" i="607"/>
  <c r="B47" i="607"/>
  <c r="C47" i="607"/>
  <c r="D47" i="607"/>
  <c r="E47" i="607"/>
  <c r="A48" i="607"/>
  <c r="B48" i="607"/>
  <c r="C48" i="607"/>
  <c r="D48" i="607"/>
  <c r="E48" i="607"/>
  <c r="A49" i="607"/>
  <c r="B49" i="607"/>
  <c r="C49" i="607"/>
  <c r="D49" i="607"/>
  <c r="E49" i="607"/>
  <c r="A50" i="607"/>
  <c r="B50" i="607"/>
  <c r="C50" i="607"/>
  <c r="D50" i="607"/>
  <c r="E50" i="607"/>
  <c r="A51" i="607"/>
  <c r="B51" i="607"/>
  <c r="C51" i="607"/>
  <c r="D51" i="607"/>
  <c r="E51" i="607"/>
  <c r="A52" i="607"/>
  <c r="B52" i="607"/>
  <c r="C52" i="607"/>
  <c r="D52" i="607"/>
  <c r="E52" i="607"/>
  <c r="A53" i="607"/>
  <c r="B53" i="607"/>
  <c r="C53" i="607"/>
  <c r="D53" i="607"/>
  <c r="E53" i="607"/>
  <c r="A54" i="607"/>
  <c r="B54" i="607"/>
  <c r="C54" i="607"/>
  <c r="D54" i="607"/>
  <c r="E54" i="607"/>
  <c r="A55" i="607"/>
  <c r="B55" i="607"/>
  <c r="C55" i="607"/>
  <c r="D55" i="607"/>
  <c r="E55" i="607"/>
  <c r="A56" i="607"/>
  <c r="B56" i="607"/>
  <c r="C56" i="607"/>
  <c r="D56" i="607"/>
  <c r="E56" i="607"/>
  <c r="A57" i="607"/>
  <c r="B57" i="607"/>
  <c r="C57" i="607"/>
  <c r="D57" i="607"/>
  <c r="E57" i="607"/>
  <c r="A58" i="607"/>
  <c r="B58" i="607"/>
  <c r="C58" i="607"/>
  <c r="D58" i="607"/>
  <c r="E58" i="607"/>
  <c r="A59" i="607"/>
  <c r="B59" i="607"/>
  <c r="C59" i="607"/>
  <c r="D59" i="607"/>
  <c r="E59" i="607"/>
  <c r="A60" i="607"/>
  <c r="B60" i="607"/>
  <c r="C60" i="607"/>
  <c r="D60" i="607"/>
  <c r="E60" i="607"/>
  <c r="A61" i="607"/>
  <c r="B61" i="607"/>
  <c r="C61" i="607"/>
  <c r="D61" i="607"/>
  <c r="E61" i="607"/>
  <c r="A62" i="607"/>
  <c r="B62" i="607"/>
  <c r="C62" i="607"/>
  <c r="D62" i="607"/>
  <c r="E62" i="607"/>
  <c r="A63" i="607"/>
  <c r="B63" i="607"/>
  <c r="C63" i="607"/>
  <c r="D63" i="607"/>
  <c r="E63" i="607"/>
  <c r="A64" i="607"/>
  <c r="B64" i="607"/>
  <c r="C64" i="607"/>
  <c r="D64" i="607"/>
  <c r="E64" i="607"/>
  <c r="A65" i="607"/>
  <c r="B65" i="607"/>
  <c r="C65" i="607"/>
  <c r="D65" i="607"/>
  <c r="E65" i="607"/>
  <c r="A66" i="607"/>
  <c r="B66" i="607"/>
  <c r="C66" i="607"/>
  <c r="D66" i="607"/>
  <c r="E66" i="607"/>
  <c r="A67" i="607"/>
  <c r="B67" i="607"/>
  <c r="C67" i="607"/>
  <c r="D67" i="607"/>
  <c r="E67" i="607"/>
  <c r="A68" i="607"/>
  <c r="B68" i="607"/>
  <c r="C68" i="607"/>
  <c r="D68" i="607"/>
  <c r="E68" i="607"/>
  <c r="A69" i="607"/>
  <c r="B69" i="607"/>
  <c r="C69" i="607"/>
  <c r="D69" i="607"/>
  <c r="E69" i="607"/>
  <c r="A70" i="607"/>
  <c r="B70" i="607"/>
  <c r="C70" i="607"/>
  <c r="D70" i="607"/>
  <c r="E70" i="607"/>
  <c r="A71" i="607"/>
  <c r="B71" i="607"/>
  <c r="C71" i="607"/>
  <c r="D71" i="607"/>
  <c r="E71" i="607"/>
  <c r="A72" i="607"/>
  <c r="B72" i="607"/>
  <c r="C72" i="607"/>
  <c r="D72" i="607"/>
  <c r="E72" i="607"/>
  <c r="A73" i="607"/>
  <c r="B73" i="607"/>
  <c r="C73" i="607"/>
  <c r="D73" i="607"/>
  <c r="E73" i="607"/>
  <c r="A74" i="607"/>
  <c r="B74" i="607"/>
  <c r="C74" i="607"/>
  <c r="D74" i="607"/>
  <c r="E74" i="607"/>
  <c r="A75" i="607"/>
  <c r="B75" i="607"/>
  <c r="C75" i="607"/>
  <c r="D75" i="607"/>
  <c r="E75" i="607"/>
  <c r="A76" i="607"/>
  <c r="B76" i="607"/>
  <c r="C76" i="607"/>
  <c r="D76" i="607"/>
  <c r="E76" i="607"/>
  <c r="A77" i="607"/>
  <c r="B77" i="607"/>
  <c r="C77" i="607"/>
  <c r="D77" i="607"/>
  <c r="E77" i="607"/>
  <c r="A78" i="607"/>
  <c r="B78" i="607"/>
  <c r="C78" i="607"/>
  <c r="D78" i="607"/>
  <c r="E78" i="607"/>
  <c r="A79" i="607"/>
  <c r="B79" i="607"/>
  <c r="C79" i="607"/>
  <c r="D79" i="607"/>
  <c r="E79" i="607"/>
  <c r="A80" i="607"/>
  <c r="B80" i="607"/>
  <c r="C80" i="607"/>
  <c r="D80" i="607"/>
  <c r="E80" i="607"/>
  <c r="A81" i="607"/>
  <c r="B81" i="607"/>
  <c r="C81" i="607"/>
  <c r="D81" i="607"/>
  <c r="E81" i="607"/>
  <c r="A82" i="607"/>
  <c r="B82" i="607"/>
  <c r="C82" i="607"/>
  <c r="D82" i="607"/>
  <c r="E82" i="607"/>
  <c r="A83" i="607"/>
  <c r="B83" i="607"/>
  <c r="C83" i="607"/>
  <c r="D83" i="607"/>
  <c r="E83" i="607"/>
  <c r="A84" i="607"/>
  <c r="B84" i="607"/>
  <c r="C84" i="607"/>
  <c r="D84" i="607"/>
  <c r="E84" i="607"/>
  <c r="A85" i="607"/>
  <c r="B85" i="607"/>
  <c r="C85" i="607"/>
  <c r="D85" i="607"/>
  <c r="E85" i="607"/>
  <c r="A86" i="607"/>
  <c r="B86" i="607"/>
  <c r="C86" i="607"/>
  <c r="D86" i="607"/>
  <c r="E86" i="607"/>
  <c r="A87" i="607"/>
  <c r="B87" i="607"/>
  <c r="C87" i="607"/>
  <c r="D87" i="607"/>
  <c r="E87" i="607"/>
  <c r="A88" i="607"/>
  <c r="B88" i="607"/>
  <c r="C88" i="607"/>
  <c r="D88" i="607"/>
  <c r="E88" i="607"/>
  <c r="A89" i="607"/>
  <c r="B89" i="607"/>
  <c r="C89" i="607"/>
  <c r="D89" i="607"/>
  <c r="E89" i="607"/>
  <c r="A90" i="607"/>
  <c r="B90" i="607"/>
  <c r="C90" i="607"/>
  <c r="D90" i="607"/>
  <c r="E90" i="607"/>
  <c r="A91" i="607"/>
  <c r="B91" i="607"/>
  <c r="C91" i="607"/>
  <c r="D91" i="607"/>
  <c r="E91" i="607"/>
  <c r="A92" i="607"/>
  <c r="B92" i="607"/>
  <c r="C92" i="607"/>
  <c r="D92" i="607"/>
  <c r="E92" i="607"/>
  <c r="A93" i="607"/>
  <c r="B93" i="607"/>
  <c r="C93" i="607"/>
  <c r="D93" i="607"/>
  <c r="E93" i="607"/>
  <c r="A94" i="607"/>
  <c r="B94" i="607"/>
  <c r="C94" i="607"/>
  <c r="D94" i="607"/>
  <c r="E94" i="607"/>
  <c r="A95" i="607"/>
  <c r="B95" i="607"/>
  <c r="C95" i="607"/>
  <c r="D95" i="607"/>
  <c r="E95" i="607"/>
  <c r="R62" i="577"/>
  <c r="O14" i="577" l="1"/>
  <c r="N14" i="577"/>
  <c r="P14" i="577"/>
  <c r="P11" i="577"/>
  <c r="N11" i="577"/>
  <c r="O11" i="577"/>
  <c r="G754" i="607"/>
  <c r="C124" i="613" s="1"/>
  <c r="AB92" i="605" l="1"/>
  <c r="AA92" i="605"/>
  <c r="Z92" i="605"/>
  <c r="X92" i="605"/>
  <c r="W92" i="605"/>
  <c r="V92" i="605"/>
  <c r="P92" i="605"/>
  <c r="O92" i="605"/>
  <c r="N92" i="605"/>
  <c r="H92" i="605"/>
  <c r="G92" i="605"/>
  <c r="F92" i="605"/>
  <c r="A92" i="605"/>
  <c r="AB93" i="605"/>
  <c r="AA93" i="605"/>
  <c r="Z93" i="605"/>
  <c r="X93" i="605"/>
  <c r="W93" i="605"/>
  <c r="V93" i="605"/>
  <c r="P93" i="605"/>
  <c r="O93" i="605"/>
  <c r="N93" i="605"/>
  <c r="H93" i="605"/>
  <c r="G93" i="605"/>
  <c r="F93" i="605"/>
  <c r="A93" i="605"/>
  <c r="AB48" i="605"/>
  <c r="AA48" i="605"/>
  <c r="Z48" i="605"/>
  <c r="X48" i="605"/>
  <c r="W48" i="605"/>
  <c r="V48" i="605"/>
  <c r="P48" i="605"/>
  <c r="O48" i="605"/>
  <c r="N48" i="605"/>
  <c r="H48" i="605"/>
  <c r="G48" i="605"/>
  <c r="F48" i="605"/>
  <c r="A48" i="605"/>
  <c r="J100" i="607"/>
  <c r="K100" i="607"/>
  <c r="J101" i="607"/>
  <c r="K101" i="607"/>
  <c r="I101" i="607"/>
  <c r="I100" i="607"/>
  <c r="I35" i="607"/>
  <c r="J35" i="607"/>
  <c r="K35" i="607"/>
  <c r="L35" i="607"/>
  <c r="I36" i="607"/>
  <c r="J36" i="607"/>
  <c r="K36" i="607"/>
  <c r="L36" i="607"/>
  <c r="I37" i="607"/>
  <c r="J37" i="607"/>
  <c r="K37" i="607"/>
  <c r="L37" i="607"/>
  <c r="I38" i="607"/>
  <c r="J38" i="607"/>
  <c r="K38" i="607"/>
  <c r="L38" i="607"/>
  <c r="I39" i="607"/>
  <c r="J39" i="607"/>
  <c r="K39" i="607"/>
  <c r="L39" i="607"/>
  <c r="I40" i="607"/>
  <c r="J40" i="607"/>
  <c r="K40" i="607"/>
  <c r="L40" i="607"/>
  <c r="I41" i="607"/>
  <c r="J41" i="607"/>
  <c r="K41" i="607"/>
  <c r="L41" i="607"/>
  <c r="I42" i="607"/>
  <c r="J42" i="607"/>
  <c r="K42" i="607"/>
  <c r="L42" i="607"/>
  <c r="I43" i="607"/>
  <c r="J43" i="607"/>
  <c r="K43" i="607"/>
  <c r="L43" i="607"/>
  <c r="I44" i="607"/>
  <c r="J44" i="607"/>
  <c r="K44" i="607"/>
  <c r="L44" i="607"/>
  <c r="I45" i="607"/>
  <c r="J45" i="607"/>
  <c r="K45" i="607"/>
  <c r="L45" i="607"/>
  <c r="I46" i="607"/>
  <c r="J46" i="607"/>
  <c r="K46" i="607"/>
  <c r="L46" i="607"/>
  <c r="I47" i="607"/>
  <c r="J47" i="607"/>
  <c r="K47" i="607"/>
  <c r="L47" i="607"/>
  <c r="I48" i="607"/>
  <c r="J48" i="607"/>
  <c r="K48" i="607"/>
  <c r="L48" i="607"/>
  <c r="I49" i="607"/>
  <c r="B48" i="605" s="1"/>
  <c r="D48" i="605" s="1"/>
  <c r="J49" i="607"/>
  <c r="G57" i="616" s="1"/>
  <c r="K49" i="607"/>
  <c r="R48" i="605" s="1"/>
  <c r="T48" i="605" s="1"/>
  <c r="L49" i="607"/>
  <c r="E47" i="614" s="1"/>
  <c r="I50" i="607"/>
  <c r="J50" i="607"/>
  <c r="K50" i="607"/>
  <c r="L50" i="607"/>
  <c r="I51" i="607"/>
  <c r="J51" i="607"/>
  <c r="K51" i="607"/>
  <c r="L51" i="607"/>
  <c r="I52" i="607"/>
  <c r="J52" i="607"/>
  <c r="K52" i="607"/>
  <c r="L52" i="607"/>
  <c r="I53" i="607"/>
  <c r="J53" i="607"/>
  <c r="K53" i="607"/>
  <c r="L53" i="607"/>
  <c r="I54" i="607"/>
  <c r="J54" i="607"/>
  <c r="K54" i="607"/>
  <c r="L54" i="607"/>
  <c r="I55" i="607"/>
  <c r="J55" i="607"/>
  <c r="K55" i="607"/>
  <c r="L55" i="607"/>
  <c r="I56" i="607"/>
  <c r="J56" i="607"/>
  <c r="K56" i="607"/>
  <c r="L56" i="607"/>
  <c r="I57" i="607"/>
  <c r="J57" i="607"/>
  <c r="K57" i="607"/>
  <c r="L57" i="607"/>
  <c r="I58" i="607"/>
  <c r="J58" i="607"/>
  <c r="K58" i="607"/>
  <c r="L58" i="607"/>
  <c r="I59" i="607"/>
  <c r="J59" i="607"/>
  <c r="K59" i="607"/>
  <c r="L59" i="607"/>
  <c r="I60" i="607"/>
  <c r="J60" i="607"/>
  <c r="K60" i="607"/>
  <c r="L60" i="607"/>
  <c r="I61" i="607"/>
  <c r="J61" i="607"/>
  <c r="K61" i="607"/>
  <c r="L61" i="607"/>
  <c r="I62" i="607"/>
  <c r="J62" i="607"/>
  <c r="K62" i="607"/>
  <c r="L62" i="607"/>
  <c r="I63" i="607"/>
  <c r="J63" i="607"/>
  <c r="K63" i="607"/>
  <c r="L63" i="607"/>
  <c r="I64" i="607"/>
  <c r="J64" i="607"/>
  <c r="K64" i="607"/>
  <c r="L64" i="607"/>
  <c r="I65" i="607"/>
  <c r="J65" i="607"/>
  <c r="K65" i="607"/>
  <c r="I66" i="607"/>
  <c r="J66" i="607"/>
  <c r="K66" i="607"/>
  <c r="L66" i="607"/>
  <c r="I67" i="607"/>
  <c r="J67" i="607"/>
  <c r="K67" i="607"/>
  <c r="L67" i="607"/>
  <c r="I68" i="607"/>
  <c r="J68" i="607"/>
  <c r="K68" i="607"/>
  <c r="L68" i="607"/>
  <c r="I69" i="607"/>
  <c r="J69" i="607"/>
  <c r="K69" i="607"/>
  <c r="L69" i="607"/>
  <c r="I70" i="607"/>
  <c r="J70" i="607"/>
  <c r="K70" i="607"/>
  <c r="L70" i="607"/>
  <c r="I71" i="607"/>
  <c r="J71" i="607"/>
  <c r="K71" i="607"/>
  <c r="I72" i="607"/>
  <c r="J72" i="607"/>
  <c r="K72" i="607"/>
  <c r="L72" i="607"/>
  <c r="I73" i="607"/>
  <c r="J73" i="607"/>
  <c r="K73" i="607"/>
  <c r="L73" i="607"/>
  <c r="I74" i="607"/>
  <c r="J74" i="607"/>
  <c r="K74" i="607"/>
  <c r="L74" i="607"/>
  <c r="I75" i="607"/>
  <c r="J75" i="607"/>
  <c r="K75" i="607"/>
  <c r="L75" i="607"/>
  <c r="I76" i="607"/>
  <c r="J76" i="607"/>
  <c r="K76" i="607"/>
  <c r="I77" i="607"/>
  <c r="J77" i="607"/>
  <c r="K77" i="607"/>
  <c r="L77" i="607"/>
  <c r="I78" i="607"/>
  <c r="J78" i="607"/>
  <c r="K78" i="607"/>
  <c r="L78" i="607"/>
  <c r="I79" i="607"/>
  <c r="J79" i="607"/>
  <c r="K79" i="607"/>
  <c r="L79" i="607"/>
  <c r="I80" i="607"/>
  <c r="J80" i="607"/>
  <c r="K80" i="607"/>
  <c r="L80" i="607"/>
  <c r="I81" i="607"/>
  <c r="J81" i="607"/>
  <c r="K81" i="607"/>
  <c r="L81" i="607"/>
  <c r="I82" i="607"/>
  <c r="J82" i="607"/>
  <c r="K82" i="607"/>
  <c r="L82" i="607"/>
  <c r="I83" i="607"/>
  <c r="J83" i="607"/>
  <c r="K83" i="607"/>
  <c r="L83" i="607"/>
  <c r="I84" i="607"/>
  <c r="J84" i="607"/>
  <c r="K84" i="607"/>
  <c r="L84" i="607"/>
  <c r="I85" i="607"/>
  <c r="J85" i="607"/>
  <c r="K85" i="607"/>
  <c r="L85" i="607"/>
  <c r="I86" i="607"/>
  <c r="J86" i="607"/>
  <c r="K86" i="607"/>
  <c r="L86" i="607"/>
  <c r="I87" i="607"/>
  <c r="J87" i="607"/>
  <c r="K87" i="607"/>
  <c r="L87" i="607"/>
  <c r="I88" i="607"/>
  <c r="J88" i="607"/>
  <c r="K88" i="607"/>
  <c r="L88" i="607"/>
  <c r="I89" i="607"/>
  <c r="J89" i="607"/>
  <c r="K89" i="607"/>
  <c r="L89" i="607"/>
  <c r="I90" i="607"/>
  <c r="J90" i="607"/>
  <c r="K90" i="607"/>
  <c r="L90" i="607"/>
  <c r="I91" i="607"/>
  <c r="J91" i="607"/>
  <c r="K91" i="607"/>
  <c r="L91" i="607"/>
  <c r="I92" i="607"/>
  <c r="J92" i="607"/>
  <c r="K92" i="607"/>
  <c r="L92" i="607"/>
  <c r="I93" i="607"/>
  <c r="B92" i="605" s="1"/>
  <c r="D92" i="605" s="1"/>
  <c r="J93" i="607"/>
  <c r="J92" i="605" s="1"/>
  <c r="L92" i="605" s="1"/>
  <c r="K93" i="607"/>
  <c r="K101" i="616" s="1"/>
  <c r="L93" i="607"/>
  <c r="E91" i="614" s="1"/>
  <c r="I94" i="607"/>
  <c r="B93" i="605" s="1"/>
  <c r="D93" i="605" s="1"/>
  <c r="J94" i="607"/>
  <c r="G102" i="616" s="1"/>
  <c r="K94" i="607"/>
  <c r="K102" i="616" s="1"/>
  <c r="L94" i="607"/>
  <c r="E92" i="614" s="1"/>
  <c r="I95" i="607"/>
  <c r="J95" i="607"/>
  <c r="K95" i="607"/>
  <c r="L95" i="607"/>
  <c r="J34" i="607"/>
  <c r="K34" i="607"/>
  <c r="L34" i="607"/>
  <c r="I34" i="607"/>
  <c r="I10" i="607"/>
  <c r="J10" i="607"/>
  <c r="K10" i="607"/>
  <c r="I11" i="607"/>
  <c r="J11" i="607"/>
  <c r="K11" i="607"/>
  <c r="I12" i="607"/>
  <c r="J12" i="607"/>
  <c r="K12" i="607"/>
  <c r="I13" i="607"/>
  <c r="J13" i="607"/>
  <c r="K13" i="607"/>
  <c r="I14" i="607"/>
  <c r="J14" i="607"/>
  <c r="K14" i="607"/>
  <c r="I15" i="607"/>
  <c r="J15" i="607"/>
  <c r="K15" i="607"/>
  <c r="I16" i="607"/>
  <c r="J16" i="607"/>
  <c r="K16" i="607"/>
  <c r="I17" i="607"/>
  <c r="J17" i="607"/>
  <c r="K17" i="607"/>
  <c r="I18" i="607"/>
  <c r="J18" i="607"/>
  <c r="K18" i="607"/>
  <c r="I19" i="607"/>
  <c r="J19" i="607"/>
  <c r="K19" i="607"/>
  <c r="I20" i="607"/>
  <c r="J20" i="607"/>
  <c r="K20" i="607"/>
  <c r="I21" i="607"/>
  <c r="J21" i="607"/>
  <c r="K21" i="607"/>
  <c r="I22" i="607"/>
  <c r="J22" i="607"/>
  <c r="K22" i="607"/>
  <c r="I23" i="607"/>
  <c r="J23" i="607"/>
  <c r="K23" i="607"/>
  <c r="I25" i="607"/>
  <c r="J25" i="607"/>
  <c r="K25" i="607"/>
  <c r="J9" i="607"/>
  <c r="K9" i="607"/>
  <c r="I9" i="607"/>
  <c r="P52" i="619"/>
  <c r="P96" i="619"/>
  <c r="P97" i="619"/>
  <c r="H91" i="618"/>
  <c r="O91" i="618" s="1"/>
  <c r="C91" i="618"/>
  <c r="B91" i="618" s="1"/>
  <c r="H92" i="618"/>
  <c r="O92" i="618" s="1"/>
  <c r="C92" i="618"/>
  <c r="I92" i="618" s="1"/>
  <c r="H47" i="618"/>
  <c r="O47" i="618" s="1"/>
  <c r="C47" i="618"/>
  <c r="I47" i="618" s="1"/>
  <c r="H31" i="617"/>
  <c r="C101" i="616"/>
  <c r="C102" i="616"/>
  <c r="C57" i="616"/>
  <c r="B50" i="611"/>
  <c r="D47" i="618"/>
  <c r="F49" i="607"/>
  <c r="B47" i="614"/>
  <c r="C143" i="613"/>
  <c r="E143" i="613" s="1"/>
  <c r="C47" i="614"/>
  <c r="F35" i="607"/>
  <c r="F36" i="607"/>
  <c r="F37" i="607"/>
  <c r="F38" i="607"/>
  <c r="F39" i="607"/>
  <c r="F40" i="607"/>
  <c r="F41" i="607"/>
  <c r="F42" i="607"/>
  <c r="F43" i="607"/>
  <c r="F44" i="607"/>
  <c r="F45" i="607"/>
  <c r="F46" i="607"/>
  <c r="F47" i="607"/>
  <c r="F48" i="607"/>
  <c r="F50" i="607"/>
  <c r="F51" i="607"/>
  <c r="F52" i="607"/>
  <c r="F53" i="607"/>
  <c r="F54" i="607"/>
  <c r="F55" i="607"/>
  <c r="F56" i="607"/>
  <c r="F57" i="607"/>
  <c r="F58" i="607"/>
  <c r="F59" i="607"/>
  <c r="F60" i="607"/>
  <c r="F61" i="607"/>
  <c r="F62" i="607"/>
  <c r="F63" i="607"/>
  <c r="F64" i="607"/>
  <c r="F65" i="607"/>
  <c r="F66" i="607"/>
  <c r="F67" i="607"/>
  <c r="F68" i="607"/>
  <c r="F69" i="607"/>
  <c r="F70" i="607"/>
  <c r="F71" i="607"/>
  <c r="F72" i="607"/>
  <c r="F73" i="607"/>
  <c r="F74" i="607"/>
  <c r="F75" i="607"/>
  <c r="F76" i="607"/>
  <c r="F77" i="607"/>
  <c r="F78" i="607"/>
  <c r="F79" i="607"/>
  <c r="F80" i="607"/>
  <c r="F81" i="607"/>
  <c r="F82" i="607"/>
  <c r="F83" i="607"/>
  <c r="F84" i="607"/>
  <c r="F85" i="607"/>
  <c r="F86" i="607"/>
  <c r="F87" i="607"/>
  <c r="F88" i="607"/>
  <c r="F89" i="607"/>
  <c r="F90" i="607"/>
  <c r="F91" i="607"/>
  <c r="F92" i="607"/>
  <c r="F93" i="607"/>
  <c r="F94" i="607"/>
  <c r="F95" i="607"/>
  <c r="F34" i="607"/>
  <c r="B96" i="620"/>
  <c r="D91" i="618"/>
  <c r="C187" i="613"/>
  <c r="E187" i="613" s="1"/>
  <c r="C91" i="614"/>
  <c r="C99" i="615"/>
  <c r="B102" i="616"/>
  <c r="C188" i="613"/>
  <c r="E188" i="613" s="1"/>
  <c r="C92" i="614"/>
  <c r="B95" i="604"/>
  <c r="B96" i="604"/>
  <c r="B51" i="604"/>
  <c r="B96" i="603"/>
  <c r="B97" i="603"/>
  <c r="B52" i="603"/>
  <c r="A92" i="602"/>
  <c r="N91" i="602"/>
  <c r="D91" i="602"/>
  <c r="C91" i="602"/>
  <c r="A91" i="602"/>
  <c r="N92" i="602"/>
  <c r="D92" i="602"/>
  <c r="C92" i="602"/>
  <c r="N47" i="602"/>
  <c r="D47" i="602"/>
  <c r="C47" i="602"/>
  <c r="A47" i="602"/>
  <c r="B98" i="343"/>
  <c r="B97" i="343"/>
  <c r="B53" i="343"/>
  <c r="B103" i="340"/>
  <c r="K101" i="340"/>
  <c r="G101" i="340"/>
  <c r="C101" i="340"/>
  <c r="B101" i="340"/>
  <c r="K102" i="340"/>
  <c r="G102" i="340"/>
  <c r="C102" i="340"/>
  <c r="B102" i="340"/>
  <c r="K57" i="340"/>
  <c r="G57" i="340"/>
  <c r="C57" i="340"/>
  <c r="B57" i="340"/>
  <c r="C98" i="338"/>
  <c r="B98" i="338"/>
  <c r="C99" i="338"/>
  <c r="B99" i="338"/>
  <c r="E91" i="504"/>
  <c r="G91" i="504" s="1"/>
  <c r="C91" i="504"/>
  <c r="B91" i="504"/>
  <c r="E92" i="504"/>
  <c r="G92" i="504" s="1"/>
  <c r="C92" i="504"/>
  <c r="B92" i="504"/>
  <c r="D186" i="588"/>
  <c r="C186" i="588"/>
  <c r="E186" i="588" s="1"/>
  <c r="A186" i="588"/>
  <c r="D187" i="588"/>
  <c r="C187" i="588"/>
  <c r="E187" i="588" s="1"/>
  <c r="A187" i="588"/>
  <c r="D142" i="588"/>
  <c r="C142" i="588"/>
  <c r="E142" i="588" s="1"/>
  <c r="A142" i="588"/>
  <c r="C54" i="338"/>
  <c r="B54" i="338"/>
  <c r="C47" i="504"/>
  <c r="E47" i="504"/>
  <c r="G47" i="504" s="1"/>
  <c r="B47" i="504"/>
  <c r="D97" i="337"/>
  <c r="B97" i="337"/>
  <c r="D98" i="337"/>
  <c r="B98" i="337"/>
  <c r="D53" i="337"/>
  <c r="B53" i="337"/>
  <c r="B93" i="601"/>
  <c r="B94" i="601"/>
  <c r="B49" i="601"/>
  <c r="B93" i="526"/>
  <c r="B92" i="526"/>
  <c r="B80" i="526"/>
  <c r="B79" i="526"/>
  <c r="B47" i="526"/>
  <c r="I91" i="602" l="1"/>
  <c r="B91" i="602"/>
  <c r="I47" i="602"/>
  <c r="B47" i="602"/>
  <c r="I92" i="602"/>
  <c r="B92" i="602"/>
  <c r="P10" i="577"/>
  <c r="O10" i="577"/>
  <c r="N10" i="577"/>
  <c r="P12" i="577"/>
  <c r="O12" i="577"/>
  <c r="N12" i="577"/>
  <c r="O13" i="577"/>
  <c r="N13" i="577"/>
  <c r="P13" i="577"/>
  <c r="O15" i="577"/>
  <c r="N15" i="577"/>
  <c r="P15" i="577"/>
  <c r="O16" i="577"/>
  <c r="N16" i="577"/>
  <c r="P16" i="577"/>
  <c r="O17" i="577"/>
  <c r="N17" i="577"/>
  <c r="P17" i="577"/>
  <c r="N18" i="577"/>
  <c r="O18" i="577"/>
  <c r="P18" i="577"/>
  <c r="O19" i="577"/>
  <c r="N19" i="577"/>
  <c r="P19" i="577"/>
  <c r="N20" i="577"/>
  <c r="O20" i="577"/>
  <c r="P20" i="577"/>
  <c r="P21" i="577"/>
  <c r="O21" i="577"/>
  <c r="N21" i="577"/>
  <c r="N22" i="577"/>
  <c r="O22" i="577"/>
  <c r="P22" i="577"/>
  <c r="N23" i="577"/>
  <c r="O23" i="577"/>
  <c r="P23" i="577"/>
  <c r="N24" i="577"/>
  <c r="P24" i="577"/>
  <c r="O24" i="577"/>
  <c r="I98" i="617"/>
  <c r="I53" i="617"/>
  <c r="I97" i="617"/>
  <c r="G142" i="588"/>
  <c r="G186" i="588"/>
  <c r="E98" i="338" s="1"/>
  <c r="G187" i="588"/>
  <c r="E99" i="338" s="1"/>
  <c r="A143" i="613"/>
  <c r="B53" i="612"/>
  <c r="B49" i="611"/>
  <c r="B94" i="611"/>
  <c r="B98" i="612"/>
  <c r="B96" i="619"/>
  <c r="G101" i="616"/>
  <c r="B52" i="619"/>
  <c r="B98" i="617"/>
  <c r="A188" i="613"/>
  <c r="B52" i="620"/>
  <c r="B57" i="616"/>
  <c r="B97" i="620"/>
  <c r="K57" i="616"/>
  <c r="A92" i="618"/>
  <c r="D188" i="613"/>
  <c r="G92" i="614"/>
  <c r="A47" i="618"/>
  <c r="B92" i="614"/>
  <c r="D98" i="612"/>
  <c r="B54" i="615"/>
  <c r="C98" i="615"/>
  <c r="B97" i="612"/>
  <c r="B97" i="617"/>
  <c r="B98" i="615"/>
  <c r="B99" i="615"/>
  <c r="R92" i="605"/>
  <c r="T92" i="605" s="1"/>
  <c r="B53" i="617"/>
  <c r="B97" i="619"/>
  <c r="A187" i="613"/>
  <c r="D187" i="613"/>
  <c r="D92" i="618"/>
  <c r="J48" i="605"/>
  <c r="L48" i="605" s="1"/>
  <c r="J93" i="605"/>
  <c r="L93" i="605" s="1"/>
  <c r="B93" i="611"/>
  <c r="A91" i="618"/>
  <c r="B101" i="616"/>
  <c r="R93" i="605"/>
  <c r="T93" i="605" s="1"/>
  <c r="B91" i="614"/>
  <c r="D97" i="612"/>
  <c r="D143" i="613"/>
  <c r="C54" i="615"/>
  <c r="D53" i="612"/>
  <c r="G47" i="614"/>
  <c r="G91" i="614"/>
  <c r="B92" i="618"/>
  <c r="I91" i="618"/>
  <c r="B47" i="618"/>
  <c r="G7" i="614" l="1"/>
  <c r="G188" i="613"/>
  <c r="E99" i="615" s="1"/>
  <c r="G187" i="613"/>
  <c r="E98" i="615" s="1"/>
  <c r="G143" i="613"/>
  <c r="E54" i="615" s="1"/>
  <c r="L96" i="601" l="1"/>
  <c r="L26" i="601" s="1"/>
  <c r="C26" i="601"/>
  <c r="C30" i="601" s="1"/>
  <c r="I39" i="343" l="1"/>
  <c r="P26" i="601"/>
  <c r="L30" i="601"/>
  <c r="A15" i="551"/>
  <c r="H6" i="343"/>
  <c r="G30" i="332"/>
  <c r="A11" i="608"/>
  <c r="A12" i="608"/>
  <c r="A13" i="608"/>
  <c r="A14" i="608"/>
  <c r="A15" i="608"/>
  <c r="A16" i="608"/>
  <c r="A17" i="608"/>
  <c r="A18" i="608"/>
  <c r="A19" i="608"/>
  <c r="A20" i="608"/>
  <c r="A21" i="608"/>
  <c r="A22" i="608"/>
  <c r="A23" i="608"/>
  <c r="A24" i="608"/>
  <c r="A25" i="608"/>
  <c r="A26" i="608"/>
  <c r="A27" i="608"/>
  <c r="A28" i="608"/>
  <c r="A29" i="608"/>
  <c r="A30" i="608"/>
  <c r="A31" i="608"/>
  <c r="A32" i="608"/>
  <c r="A33" i="608"/>
  <c r="A34" i="608"/>
  <c r="B12" i="608"/>
  <c r="B13" i="608"/>
  <c r="B14" i="608"/>
  <c r="B15" i="608"/>
  <c r="B16" i="608"/>
  <c r="B17" i="608"/>
  <c r="B18" i="608"/>
  <c r="B19" i="608"/>
  <c r="B20" i="608"/>
  <c r="B21" i="608"/>
  <c r="B22" i="608"/>
  <c r="B23" i="608"/>
  <c r="B24" i="608"/>
  <c r="B25" i="608"/>
  <c r="B26" i="608"/>
  <c r="B27" i="608"/>
  <c r="B28" i="608"/>
  <c r="B29" i="608"/>
  <c r="B30" i="608"/>
  <c r="B31" i="608"/>
  <c r="B32" i="608"/>
  <c r="B33" i="608"/>
  <c r="B34" i="608"/>
  <c r="G18" i="332" l="1"/>
  <c r="G13" i="332"/>
  <c r="G22" i="332"/>
  <c r="G23" i="332"/>
  <c r="G26" i="332"/>
  <c r="G15" i="332"/>
  <c r="G17" i="332"/>
  <c r="G19" i="332"/>
  <c r="G21" i="332"/>
  <c r="G24" i="332"/>
  <c r="G25" i="332"/>
  <c r="G28" i="332"/>
  <c r="G20" i="332"/>
  <c r="G14" i="332"/>
  <c r="G27" i="332"/>
  <c r="G16" i="332"/>
  <c r="G29" i="332"/>
  <c r="Z34" i="605"/>
  <c r="Z35" i="605"/>
  <c r="Z36" i="605"/>
  <c r="Z37" i="605"/>
  <c r="Z38" i="605"/>
  <c r="Z39" i="605"/>
  <c r="Z40" i="605"/>
  <c r="Z41" i="605"/>
  <c r="Z42" i="605"/>
  <c r="Z43" i="605"/>
  <c r="Z44" i="605"/>
  <c r="Z45" i="605"/>
  <c r="Z46" i="605"/>
  <c r="Z47" i="605"/>
  <c r="Z49" i="605"/>
  <c r="Z50" i="605"/>
  <c r="Z51" i="605"/>
  <c r="Z52" i="605"/>
  <c r="Z53" i="605"/>
  <c r="Z54" i="605"/>
  <c r="Z55" i="605"/>
  <c r="Z56" i="605"/>
  <c r="Z57" i="605"/>
  <c r="Z58" i="605"/>
  <c r="Z59" i="605"/>
  <c r="Z60" i="605"/>
  <c r="Z61" i="605"/>
  <c r="Z62" i="605"/>
  <c r="Z63" i="605"/>
  <c r="Z64" i="605"/>
  <c r="Z65" i="605"/>
  <c r="Z66" i="605"/>
  <c r="Z67" i="605"/>
  <c r="Z68" i="605"/>
  <c r="Z69" i="605"/>
  <c r="Z70" i="605"/>
  <c r="Z71" i="605"/>
  <c r="Z72" i="605"/>
  <c r="Z73" i="605"/>
  <c r="Z74" i="605"/>
  <c r="Z75" i="605"/>
  <c r="Z76" i="605"/>
  <c r="Z77" i="605"/>
  <c r="Z78" i="605"/>
  <c r="Z79" i="605"/>
  <c r="Z80" i="605"/>
  <c r="Z81" i="605"/>
  <c r="Z82" i="605"/>
  <c r="Z83" i="605"/>
  <c r="Z84" i="605"/>
  <c r="Z85" i="605"/>
  <c r="Z86" i="605"/>
  <c r="Z87" i="605"/>
  <c r="Z88" i="605"/>
  <c r="Z89" i="605"/>
  <c r="Z90" i="605"/>
  <c r="Z91" i="605"/>
  <c r="Z94" i="605"/>
  <c r="Z33" i="605"/>
  <c r="Z13" i="605"/>
  <c r="Z14" i="605"/>
  <c r="Z15" i="605"/>
  <c r="Z16" i="605"/>
  <c r="Z17" i="605"/>
  <c r="Z18" i="605"/>
  <c r="Z19" i="605"/>
  <c r="Z20" i="605"/>
  <c r="Z21" i="605"/>
  <c r="Z22" i="605"/>
  <c r="Z23" i="605"/>
  <c r="Z24" i="605"/>
  <c r="Z25" i="605"/>
  <c r="Z26" i="605"/>
  <c r="Z27" i="605"/>
  <c r="Z28" i="605"/>
  <c r="Z29" i="605"/>
  <c r="AB12" i="605"/>
  <c r="AA12" i="605"/>
  <c r="Z12" i="605"/>
  <c r="A80" i="605"/>
  <c r="B80" i="605"/>
  <c r="D80" i="605" s="1"/>
  <c r="F80" i="605"/>
  <c r="G80" i="605"/>
  <c r="H80" i="605"/>
  <c r="J80" i="605"/>
  <c r="L80" i="605" s="1"/>
  <c r="N80" i="605"/>
  <c r="O80" i="605"/>
  <c r="P80" i="605"/>
  <c r="R80" i="605"/>
  <c r="T80" i="605" s="1"/>
  <c r="V80" i="605"/>
  <c r="W80" i="605"/>
  <c r="X80" i="605"/>
  <c r="AA80" i="605"/>
  <c r="AB80" i="605"/>
  <c r="P84" i="619"/>
  <c r="P85" i="619"/>
  <c r="C79" i="618"/>
  <c r="B79" i="618" s="1"/>
  <c r="C89" i="616"/>
  <c r="G89" i="616"/>
  <c r="K89" i="616"/>
  <c r="E79" i="614"/>
  <c r="C79" i="614"/>
  <c r="C175" i="613"/>
  <c r="E175" i="613" s="1"/>
  <c r="B84" i="620"/>
  <c r="D175" i="613"/>
  <c r="B85" i="619"/>
  <c r="B83" i="604"/>
  <c r="B84" i="604"/>
  <c r="B84" i="603"/>
  <c r="A79" i="602"/>
  <c r="C79" i="602"/>
  <c r="B79" i="602" s="1"/>
  <c r="D79" i="602"/>
  <c r="B85" i="343"/>
  <c r="B89" i="340"/>
  <c r="C89" i="340"/>
  <c r="G89" i="340"/>
  <c r="K89" i="340"/>
  <c r="B86" i="338"/>
  <c r="C86" i="338"/>
  <c r="E79" i="504"/>
  <c r="C79" i="504"/>
  <c r="C80" i="504"/>
  <c r="B79" i="504"/>
  <c r="B80" i="504"/>
  <c r="D174" i="588"/>
  <c r="D175" i="588"/>
  <c r="C174" i="588"/>
  <c r="E174" i="588" s="1"/>
  <c r="C175" i="588"/>
  <c r="E175" i="588" s="1"/>
  <c r="A174" i="588"/>
  <c r="A175" i="588"/>
  <c r="D85" i="337"/>
  <c r="D86" i="337"/>
  <c r="B85" i="337"/>
  <c r="B86" i="337"/>
  <c r="B87" i="337"/>
  <c r="B81" i="601"/>
  <c r="B82" i="601"/>
  <c r="H79" i="618"/>
  <c r="O79" i="618" s="1"/>
  <c r="G175" i="613" l="1"/>
  <c r="E86" i="615" s="1"/>
  <c r="I85" i="617"/>
  <c r="G175" i="588"/>
  <c r="G174" i="588"/>
  <c r="E86" i="338" s="1"/>
  <c r="N79" i="602"/>
  <c r="C86" i="615"/>
  <c r="B79" i="614"/>
  <c r="B89" i="616"/>
  <c r="B85" i="617"/>
  <c r="A175" i="613"/>
  <c r="B81" i="611"/>
  <c r="D85" i="612"/>
  <c r="I79" i="602"/>
  <c r="B85" i="612"/>
  <c r="D79" i="618"/>
  <c r="A79" i="618"/>
  <c r="B84" i="619"/>
  <c r="B86" i="615"/>
  <c r="G79" i="614"/>
  <c r="I79" i="618"/>
  <c r="G79" i="504"/>
  <c r="L9" i="577" l="1"/>
  <c r="L10" i="577"/>
  <c r="L11" i="577"/>
  <c r="L11" i="607" s="1"/>
  <c r="L12" i="577"/>
  <c r="L12" i="607" s="1"/>
  <c r="L13" i="577"/>
  <c r="L13" i="607" s="1"/>
  <c r="L14" i="577"/>
  <c r="L14" i="607" s="1"/>
  <c r="L15" i="577"/>
  <c r="L15" i="607" s="1"/>
  <c r="L16" i="577"/>
  <c r="L16" i="607" s="1"/>
  <c r="L17" i="577"/>
  <c r="L17" i="607" s="1"/>
  <c r="L18" i="577"/>
  <c r="L18" i="607" s="1"/>
  <c r="L19" i="577"/>
  <c r="L19" i="607" s="1"/>
  <c r="L9" i="607" l="1"/>
  <c r="L10" i="607"/>
  <c r="G19" i="616"/>
  <c r="G21" i="616"/>
  <c r="G22" i="616"/>
  <c r="G23" i="616"/>
  <c r="G24" i="616"/>
  <c r="G25" i="616"/>
  <c r="G26" i="616"/>
  <c r="G27" i="616"/>
  <c r="G28" i="616"/>
  <c r="G29" i="616"/>
  <c r="G30" i="616"/>
  <c r="G31" i="616"/>
  <c r="G32" i="616"/>
  <c r="G34" i="616"/>
  <c r="C9" i="602"/>
  <c r="C10" i="602"/>
  <c r="C11" i="602"/>
  <c r="C12" i="602"/>
  <c r="C13" i="602"/>
  <c r="C14" i="602"/>
  <c r="C15" i="602"/>
  <c r="C16" i="602"/>
  <c r="C17" i="602"/>
  <c r="C18" i="602"/>
  <c r="C19" i="602"/>
  <c r="C20" i="602"/>
  <c r="C21" i="602"/>
  <c r="C22" i="602"/>
  <c r="C23" i="602"/>
  <c r="C24" i="602"/>
  <c r="D14" i="602"/>
  <c r="D15" i="602"/>
  <c r="D16" i="602"/>
  <c r="D17" i="602"/>
  <c r="D18" i="602"/>
  <c r="D19" i="602"/>
  <c r="D20" i="602"/>
  <c r="D21" i="602"/>
  <c r="D22" i="602"/>
  <c r="D13" i="602"/>
  <c r="D12" i="602"/>
  <c r="D11" i="602"/>
  <c r="D9" i="602"/>
  <c r="D8" i="602"/>
  <c r="M7" i="343"/>
  <c r="H13" i="608" l="1"/>
  <c r="H14" i="608"/>
  <c r="H15" i="608"/>
  <c r="H16" i="608"/>
  <c r="H17" i="608"/>
  <c r="H18" i="608"/>
  <c r="H19" i="608"/>
  <c r="H20" i="608"/>
  <c r="H21" i="608"/>
  <c r="H22" i="608"/>
  <c r="H23" i="608"/>
  <c r="H24" i="608"/>
  <c r="H25" i="608"/>
  <c r="H26" i="608"/>
  <c r="H27" i="608"/>
  <c r="H28" i="608"/>
  <c r="H12" i="608"/>
  <c r="G12" i="608" s="1"/>
  <c r="H29" i="608" l="1"/>
  <c r="G31" i="332"/>
  <c r="E39" i="624"/>
  <c r="H38" i="624"/>
  <c r="E38" i="624"/>
  <c r="H37" i="624"/>
  <c r="E37" i="624"/>
  <c r="J36" i="624"/>
  <c r="K36" i="624" s="1"/>
  <c r="G36" i="624"/>
  <c r="J35" i="624"/>
  <c r="G35" i="624"/>
  <c r="J33" i="624"/>
  <c r="G33" i="624"/>
  <c r="J32" i="624"/>
  <c r="G32" i="624"/>
  <c r="J29" i="624"/>
  <c r="G29" i="624"/>
  <c r="J28" i="624"/>
  <c r="G28" i="624"/>
  <c r="J27" i="624"/>
  <c r="K27" i="624" s="1"/>
  <c r="G27" i="624"/>
  <c r="J26" i="624"/>
  <c r="K26" i="624" s="1"/>
  <c r="G26" i="624"/>
  <c r="J25" i="624"/>
  <c r="K25" i="624" s="1"/>
  <c r="G25" i="624"/>
  <c r="J24" i="624"/>
  <c r="G24" i="624"/>
  <c r="J23" i="624"/>
  <c r="G23" i="624"/>
  <c r="K22" i="624"/>
  <c r="J21" i="624"/>
  <c r="G21" i="624"/>
  <c r="J20" i="624"/>
  <c r="K20" i="624" s="1"/>
  <c r="G20" i="624"/>
  <c r="J19" i="624"/>
  <c r="K19" i="624" s="1"/>
  <c r="G19" i="624"/>
  <c r="J18" i="624"/>
  <c r="G18" i="624"/>
  <c r="J17" i="624"/>
  <c r="G17" i="624"/>
  <c r="K16" i="624"/>
  <c r="J15" i="624"/>
  <c r="G15" i="624"/>
  <c r="J14" i="624"/>
  <c r="K14" i="624" s="1"/>
  <c r="G14" i="624"/>
  <c r="J13" i="624"/>
  <c r="K13" i="624" s="1"/>
  <c r="G13" i="624"/>
  <c r="J12" i="624"/>
  <c r="G12" i="624"/>
  <c r="I11" i="624"/>
  <c r="J11" i="624" s="1"/>
  <c r="H11" i="624"/>
  <c r="H39" i="624" s="1"/>
  <c r="F11" i="624"/>
  <c r="F37" i="624" s="1"/>
  <c r="J10" i="624"/>
  <c r="G10" i="624"/>
  <c r="J9" i="624"/>
  <c r="G9" i="624"/>
  <c r="J8" i="624"/>
  <c r="G8" i="624"/>
  <c r="J7" i="624"/>
  <c r="K7" i="624" s="1"/>
  <c r="G7" i="624"/>
  <c r="K6" i="624"/>
  <c r="J6" i="624"/>
  <c r="G6" i="624"/>
  <c r="K28" i="624" l="1"/>
  <c r="I37" i="624"/>
  <c r="J37" i="624" s="1"/>
  <c r="K37" i="624" s="1"/>
  <c r="K23" i="624"/>
  <c r="K8" i="624"/>
  <c r="K32" i="624"/>
  <c r="K9" i="624"/>
  <c r="K33" i="624"/>
  <c r="I39" i="624"/>
  <c r="K15" i="624"/>
  <c r="K35" i="624"/>
  <c r="K17" i="624"/>
  <c r="K12" i="624"/>
  <c r="K18" i="624"/>
  <c r="K24" i="624"/>
  <c r="K29" i="624"/>
  <c r="I38" i="624"/>
  <c r="J38" i="624" s="1"/>
  <c r="K10" i="624"/>
  <c r="G37" i="624"/>
  <c r="J39" i="624"/>
  <c r="K21" i="624"/>
  <c r="G32" i="332"/>
  <c r="G11" i="624"/>
  <c r="K11" i="624" s="1"/>
  <c r="F39" i="624"/>
  <c r="G39" i="624" s="1"/>
  <c r="F38" i="624"/>
  <c r="G38" i="624" s="1"/>
  <c r="K38" i="624" l="1"/>
  <c r="K39" i="624"/>
  <c r="H30" i="332"/>
  <c r="D10" i="602"/>
  <c r="G20" i="616" l="1"/>
  <c r="G101" i="607"/>
  <c r="I103" i="343"/>
  <c r="R103" i="619" l="1"/>
  <c r="L101" i="607"/>
  <c r="E98" i="614" s="1"/>
  <c r="C105" i="615"/>
  <c r="H105" i="615" s="1"/>
  <c r="AB89" i="605"/>
  <c r="AA89" i="605"/>
  <c r="X89" i="605"/>
  <c r="W89" i="605"/>
  <c r="V89" i="605"/>
  <c r="R89" i="605"/>
  <c r="T89" i="605" s="1"/>
  <c r="P89" i="605"/>
  <c r="O89" i="605"/>
  <c r="N89" i="605"/>
  <c r="J89" i="605"/>
  <c r="L89" i="605" s="1"/>
  <c r="H89" i="605"/>
  <c r="G89" i="605"/>
  <c r="F89" i="605"/>
  <c r="B89" i="605"/>
  <c r="D89" i="605" s="1"/>
  <c r="A89" i="605"/>
  <c r="AB83" i="605"/>
  <c r="AA83" i="605"/>
  <c r="X83" i="605"/>
  <c r="W83" i="605"/>
  <c r="V83" i="605"/>
  <c r="R83" i="605"/>
  <c r="T83" i="605" s="1"/>
  <c r="P83" i="605"/>
  <c r="O83" i="605"/>
  <c r="N83" i="605"/>
  <c r="J83" i="605"/>
  <c r="L83" i="605" s="1"/>
  <c r="H83" i="605"/>
  <c r="G83" i="605"/>
  <c r="F83" i="605"/>
  <c r="B83" i="605"/>
  <c r="D83" i="605" s="1"/>
  <c r="A83" i="605"/>
  <c r="P93" i="619"/>
  <c r="P87" i="619"/>
  <c r="D88" i="618"/>
  <c r="C88" i="618"/>
  <c r="I88" i="618" s="1"/>
  <c r="D82" i="618"/>
  <c r="C82" i="618"/>
  <c r="I82" i="618" s="1"/>
  <c r="K98" i="616"/>
  <c r="G98" i="616"/>
  <c r="C98" i="616"/>
  <c r="K92" i="616"/>
  <c r="G92" i="616"/>
  <c r="C92" i="616"/>
  <c r="C95" i="615"/>
  <c r="C89" i="615"/>
  <c r="E88" i="614"/>
  <c r="G88" i="614" s="1"/>
  <c r="E82" i="614"/>
  <c r="G82" i="614" s="1"/>
  <c r="D184" i="613"/>
  <c r="D178" i="613"/>
  <c r="D94" i="612"/>
  <c r="D88" i="612"/>
  <c r="B88" i="614"/>
  <c r="C184" i="613"/>
  <c r="E184" i="613" s="1"/>
  <c r="C88" i="614"/>
  <c r="B88" i="617"/>
  <c r="C178" i="613"/>
  <c r="E178" i="613" s="1"/>
  <c r="C82" i="614"/>
  <c r="B92" i="604"/>
  <c r="B86" i="604"/>
  <c r="B93" i="603"/>
  <c r="B87" i="603"/>
  <c r="D88" i="602"/>
  <c r="C88" i="602"/>
  <c r="B88" i="602" s="1"/>
  <c r="A88" i="602"/>
  <c r="D82" i="602"/>
  <c r="C82" i="602"/>
  <c r="B82" i="602" s="1"/>
  <c r="A82" i="602"/>
  <c r="B94" i="343"/>
  <c r="B88" i="343"/>
  <c r="K98" i="340"/>
  <c r="G98" i="340"/>
  <c r="C98" i="340"/>
  <c r="B98" i="340"/>
  <c r="K92" i="340"/>
  <c r="G92" i="340"/>
  <c r="C92" i="340"/>
  <c r="B92" i="340"/>
  <c r="C95" i="338"/>
  <c r="B95" i="338"/>
  <c r="C89" i="338"/>
  <c r="B89" i="338"/>
  <c r="E88" i="504"/>
  <c r="G88" i="504" s="1"/>
  <c r="C88" i="504"/>
  <c r="B88" i="504"/>
  <c r="E82" i="504"/>
  <c r="G82" i="504" s="1"/>
  <c r="C82" i="504"/>
  <c r="B82" i="504"/>
  <c r="D183" i="588"/>
  <c r="C183" i="588"/>
  <c r="E183" i="588" s="1"/>
  <c r="A183" i="588"/>
  <c r="C177" i="588"/>
  <c r="E177" i="588" s="1"/>
  <c r="D177" i="588"/>
  <c r="A177" i="588"/>
  <c r="D94" i="337"/>
  <c r="B94" i="337"/>
  <c r="D88" i="337"/>
  <c r="B88" i="337"/>
  <c r="B90" i="601"/>
  <c r="B84" i="601"/>
  <c r="B89" i="526"/>
  <c r="B83" i="526"/>
  <c r="G98" i="614" l="1"/>
  <c r="E99" i="614"/>
  <c r="G178" i="613"/>
  <c r="E89" i="615" s="1"/>
  <c r="G184" i="613"/>
  <c r="E95" i="615" s="1"/>
  <c r="I94" i="617"/>
  <c r="G177" i="588"/>
  <c r="E89" i="338" s="1"/>
  <c r="G183" i="588"/>
  <c r="E95" i="338" s="1"/>
  <c r="I88" i="617"/>
  <c r="H88" i="618"/>
  <c r="O88" i="618" s="1"/>
  <c r="I82" i="602"/>
  <c r="I88" i="602"/>
  <c r="B82" i="618"/>
  <c r="B95" i="615"/>
  <c r="B90" i="611"/>
  <c r="A184" i="613"/>
  <c r="B94" i="612"/>
  <c r="A88" i="618"/>
  <c r="B98" i="616"/>
  <c r="A178" i="613"/>
  <c r="B87" i="620"/>
  <c r="B89" i="615"/>
  <c r="B84" i="611"/>
  <c r="B93" i="620"/>
  <c r="B88" i="612"/>
  <c r="B94" i="617"/>
  <c r="A82" i="618"/>
  <c r="B93" i="619"/>
  <c r="H82" i="618"/>
  <c r="O82" i="618" s="1"/>
  <c r="B88" i="618"/>
  <c r="B82" i="614"/>
  <c r="B87" i="619"/>
  <c r="B92" i="616"/>
  <c r="F30" i="611" l="1"/>
  <c r="F97" i="601"/>
  <c r="F97" i="611"/>
  <c r="C32" i="602"/>
  <c r="T33" i="608" l="1"/>
  <c r="U33" i="608" s="1"/>
  <c r="O33" i="608"/>
  <c r="Q33" i="608" s="1"/>
  <c r="T32" i="608"/>
  <c r="U32" i="608" s="1"/>
  <c r="O32" i="608"/>
  <c r="Q32" i="608" s="1"/>
  <c r="G17" i="608" l="1"/>
  <c r="M13" i="618" s="1"/>
  <c r="G25" i="608"/>
  <c r="M21" i="618" s="1"/>
  <c r="G28" i="608"/>
  <c r="M24" i="618" s="1"/>
  <c r="G21" i="608"/>
  <c r="M17" i="618" s="1"/>
  <c r="M8" i="618"/>
  <c r="G22" i="608"/>
  <c r="M18" i="618" s="1"/>
  <c r="G15" i="608"/>
  <c r="M11" i="618" s="1"/>
  <c r="G24" i="608"/>
  <c r="M20" i="618" s="1"/>
  <c r="G18" i="608"/>
  <c r="M14" i="618" s="1"/>
  <c r="G26" i="608"/>
  <c r="M22" i="618" s="1"/>
  <c r="G27" i="608"/>
  <c r="M23" i="618" s="1"/>
  <c r="G13" i="608"/>
  <c r="M9" i="618" s="1"/>
  <c r="G14" i="608"/>
  <c r="M10" i="618" s="1"/>
  <c r="G23" i="608"/>
  <c r="M19" i="618" s="1"/>
  <c r="G16" i="608"/>
  <c r="M12" i="618" s="1"/>
  <c r="G19" i="608"/>
  <c r="M15" i="618" s="1"/>
  <c r="G20" i="608"/>
  <c r="M16" i="618" s="1"/>
  <c r="M29" i="618" l="1"/>
  <c r="F101" i="601"/>
  <c r="F27" i="601" l="1"/>
  <c r="F30" i="601" s="1"/>
  <c r="F102" i="601"/>
  <c r="D180" i="613"/>
  <c r="F11" i="623"/>
  <c r="E39" i="623" l="1"/>
  <c r="A10" i="551"/>
  <c r="I43" i="623" l="1"/>
  <c r="H43" i="623"/>
  <c r="J43" i="623" s="1"/>
  <c r="F43" i="623"/>
  <c r="E43" i="623"/>
  <c r="G43" i="623" s="1"/>
  <c r="J42" i="623"/>
  <c r="G42" i="623"/>
  <c r="J41" i="623"/>
  <c r="G41" i="623"/>
  <c r="E38" i="623"/>
  <c r="E37" i="623"/>
  <c r="G36" i="623"/>
  <c r="J35" i="623"/>
  <c r="G35" i="623"/>
  <c r="I33" i="623"/>
  <c r="H33" i="623"/>
  <c r="F33" i="623"/>
  <c r="G33" i="623" s="1"/>
  <c r="J32" i="623"/>
  <c r="G32" i="623"/>
  <c r="J29" i="623"/>
  <c r="G29" i="623"/>
  <c r="J28" i="623"/>
  <c r="G28" i="623"/>
  <c r="J27" i="623"/>
  <c r="G27" i="623"/>
  <c r="I26" i="623"/>
  <c r="H26" i="623"/>
  <c r="F26" i="623"/>
  <c r="J25" i="623"/>
  <c r="G25" i="623"/>
  <c r="J24" i="623"/>
  <c r="G24" i="623"/>
  <c r="J23" i="623"/>
  <c r="G23" i="623"/>
  <c r="K22" i="623"/>
  <c r="J21" i="623"/>
  <c r="G21" i="623"/>
  <c r="J20" i="623"/>
  <c r="G20" i="623"/>
  <c r="J19" i="623"/>
  <c r="G19" i="623"/>
  <c r="J18" i="623"/>
  <c r="G18" i="623"/>
  <c r="J17" i="623"/>
  <c r="G17" i="623"/>
  <c r="K16" i="623"/>
  <c r="J15" i="623"/>
  <c r="G15" i="623"/>
  <c r="J14" i="623"/>
  <c r="K14" i="623" s="1"/>
  <c r="G14" i="623"/>
  <c r="J13" i="623"/>
  <c r="G13" i="623"/>
  <c r="J12" i="623"/>
  <c r="G12" i="623"/>
  <c r="I11" i="623"/>
  <c r="H11" i="623"/>
  <c r="J10" i="623"/>
  <c r="G10" i="623"/>
  <c r="J9" i="623"/>
  <c r="G9" i="623"/>
  <c r="J8" i="623"/>
  <c r="G8" i="623"/>
  <c r="J7" i="623"/>
  <c r="G7" i="623"/>
  <c r="J6" i="623"/>
  <c r="G6" i="623"/>
  <c r="G26" i="623" l="1"/>
  <c r="F37" i="623"/>
  <c r="K7" i="623"/>
  <c r="H38" i="623"/>
  <c r="K42" i="623"/>
  <c r="K25" i="623"/>
  <c r="K6" i="623"/>
  <c r="K20" i="623"/>
  <c r="K35" i="623"/>
  <c r="K17" i="623"/>
  <c r="K13" i="623"/>
  <c r="J33" i="623"/>
  <c r="K33" i="623" s="1"/>
  <c r="K21" i="623"/>
  <c r="K29" i="623"/>
  <c r="K18" i="623"/>
  <c r="I36" i="623"/>
  <c r="I37" i="623" s="1"/>
  <c r="H36" i="623"/>
  <c r="J36" i="623" s="1"/>
  <c r="K36" i="623" s="1"/>
  <c r="K8" i="623"/>
  <c r="K27" i="623"/>
  <c r="K24" i="623"/>
  <c r="K41" i="623"/>
  <c r="K10" i="623"/>
  <c r="G37" i="623"/>
  <c r="F39" i="623"/>
  <c r="K32" i="623"/>
  <c r="K19" i="623"/>
  <c r="K23" i="623"/>
  <c r="K15" i="623"/>
  <c r="K12" i="623"/>
  <c r="K9" i="623"/>
  <c r="K28" i="623"/>
  <c r="K43" i="623"/>
  <c r="I38" i="623"/>
  <c r="J38" i="623" s="1"/>
  <c r="J26" i="623"/>
  <c r="K26" i="623" s="1"/>
  <c r="G11" i="623"/>
  <c r="J11" i="623"/>
  <c r="F38" i="623"/>
  <c r="G38" i="623" s="1"/>
  <c r="H39" i="623" l="1"/>
  <c r="K11" i="623"/>
  <c r="I39" i="623"/>
  <c r="I45" i="623" s="1"/>
  <c r="H37" i="623"/>
  <c r="H47" i="623"/>
  <c r="G39" i="623"/>
  <c r="J37" i="623"/>
  <c r="K37" i="623" s="1"/>
  <c r="H45" i="623"/>
  <c r="J39" i="623"/>
  <c r="K38" i="623"/>
  <c r="E19" i="551"/>
  <c r="K39" i="623" l="1"/>
  <c r="AA8" i="526"/>
  <c r="D129" i="613" l="1"/>
  <c r="D130" i="613"/>
  <c r="D131" i="613"/>
  <c r="D132" i="613"/>
  <c r="D133" i="613"/>
  <c r="D134" i="613"/>
  <c r="D135" i="613"/>
  <c r="D136" i="613"/>
  <c r="D137" i="613"/>
  <c r="D138" i="613"/>
  <c r="D139" i="613"/>
  <c r="D140" i="613"/>
  <c r="D141" i="613"/>
  <c r="D142" i="613"/>
  <c r="D144" i="613"/>
  <c r="D145" i="613"/>
  <c r="D146" i="613"/>
  <c r="D147" i="613"/>
  <c r="D148" i="613"/>
  <c r="D149" i="613"/>
  <c r="D150" i="613"/>
  <c r="D151" i="613"/>
  <c r="D152" i="613"/>
  <c r="D153" i="613"/>
  <c r="D154" i="613"/>
  <c r="D155" i="613"/>
  <c r="D156" i="613"/>
  <c r="D157" i="613"/>
  <c r="D158" i="613"/>
  <c r="D159" i="613"/>
  <c r="D160" i="613"/>
  <c r="D161" i="613"/>
  <c r="D162" i="613"/>
  <c r="D163" i="613"/>
  <c r="D164" i="613"/>
  <c r="D165" i="613"/>
  <c r="D166" i="613"/>
  <c r="D167" i="613"/>
  <c r="D169" i="613"/>
  <c r="D170" i="613"/>
  <c r="D171" i="613"/>
  <c r="D172" i="613"/>
  <c r="D173" i="613"/>
  <c r="D174" i="613"/>
  <c r="D176" i="613"/>
  <c r="D177" i="613"/>
  <c r="D179" i="613"/>
  <c r="D181" i="613"/>
  <c r="D182" i="613"/>
  <c r="D183" i="613"/>
  <c r="D185" i="613"/>
  <c r="D186" i="613"/>
  <c r="D189" i="613"/>
  <c r="D128" i="613"/>
  <c r="G7" i="504"/>
  <c r="C21" i="588"/>
  <c r="C22" i="588"/>
  <c r="C23" i="588"/>
  <c r="C24" i="588"/>
  <c r="C25" i="588"/>
  <c r="C26" i="588"/>
  <c r="C27" i="588"/>
  <c r="C28" i="588"/>
  <c r="C29" i="588"/>
  <c r="C30" i="588"/>
  <c r="C20" i="588"/>
  <c r="C18" i="588"/>
  <c r="C16" i="588"/>
  <c r="C109" i="588"/>
  <c r="D130" i="588"/>
  <c r="D131" i="588"/>
  <c r="D132" i="588"/>
  <c r="D133" i="588"/>
  <c r="D134" i="588"/>
  <c r="D135" i="588"/>
  <c r="D136" i="588"/>
  <c r="D137" i="588"/>
  <c r="D138" i="588"/>
  <c r="D139" i="588"/>
  <c r="D140" i="588"/>
  <c r="D141" i="588"/>
  <c r="D143" i="588"/>
  <c r="D144" i="588"/>
  <c r="D145" i="588"/>
  <c r="D146" i="588"/>
  <c r="D147" i="588"/>
  <c r="D148" i="588"/>
  <c r="D149" i="588"/>
  <c r="D150" i="588"/>
  <c r="D151" i="588"/>
  <c r="D152" i="588"/>
  <c r="D153" i="588"/>
  <c r="D154" i="588"/>
  <c r="D155" i="588"/>
  <c r="D156" i="588"/>
  <c r="D157" i="588"/>
  <c r="D158" i="588"/>
  <c r="D159" i="588"/>
  <c r="D160" i="588"/>
  <c r="D161" i="588"/>
  <c r="D162" i="588"/>
  <c r="D163" i="588"/>
  <c r="D164" i="588"/>
  <c r="D165" i="588"/>
  <c r="D166" i="588"/>
  <c r="D168" i="588"/>
  <c r="D169" i="588"/>
  <c r="D170" i="588"/>
  <c r="D171" i="588"/>
  <c r="D172" i="588"/>
  <c r="D173" i="588"/>
  <c r="D176" i="588"/>
  <c r="D178" i="588"/>
  <c r="D179" i="588"/>
  <c r="D180" i="588"/>
  <c r="D181" i="588"/>
  <c r="D182" i="588"/>
  <c r="D184" i="588"/>
  <c r="D185" i="588"/>
  <c r="D188" i="588"/>
  <c r="D127" i="588"/>
  <c r="D128" i="588"/>
  <c r="D129" i="588"/>
  <c r="C118" i="588"/>
  <c r="C117" i="588"/>
  <c r="C116" i="588"/>
  <c r="C115" i="588"/>
  <c r="C112" i="588"/>
  <c r="C111" i="588"/>
  <c r="C110" i="588"/>
  <c r="C108" i="588"/>
  <c r="C107" i="588"/>
  <c r="C106" i="588"/>
  <c r="C105" i="588"/>
  <c r="C102" i="588"/>
  <c r="C101" i="588"/>
  <c r="C98" i="588"/>
  <c r="C97" i="588"/>
  <c r="C94" i="588"/>
  <c r="C93" i="588"/>
  <c r="C92" i="588"/>
  <c r="C91" i="588"/>
  <c r="C90" i="588"/>
  <c r="C89" i="588"/>
  <c r="C86" i="588"/>
  <c r="C85" i="588"/>
  <c r="C82" i="588"/>
  <c r="C81" i="588"/>
  <c r="C80" i="588"/>
  <c r="C79" i="588"/>
  <c r="C78" i="588"/>
  <c r="C75" i="588"/>
  <c r="C74" i="588"/>
  <c r="C73" i="588"/>
  <c r="C72" i="588"/>
  <c r="C69" i="588"/>
  <c r="C68" i="588"/>
  <c r="C65" i="588"/>
  <c r="C64" i="588"/>
  <c r="C63" i="588"/>
  <c r="C62" i="588"/>
  <c r="C61" i="588"/>
  <c r="C60" i="588"/>
  <c r="C57" i="588"/>
  <c r="C56" i="588"/>
  <c r="C53" i="588"/>
  <c r="C52" i="588"/>
  <c r="C51" i="588"/>
  <c r="C48" i="588"/>
  <c r="C47" i="588"/>
  <c r="C46" i="588"/>
  <c r="C45" i="588"/>
  <c r="C44" i="588"/>
  <c r="C43" i="588"/>
  <c r="C42" i="588"/>
  <c r="C41" i="588"/>
  <c r="C40" i="588"/>
  <c r="C39" i="588"/>
  <c r="C38" i="588"/>
  <c r="C35" i="588"/>
  <c r="C34" i="588"/>
  <c r="C33" i="588"/>
  <c r="H6" i="617" l="1"/>
  <c r="L8" i="607" l="1"/>
  <c r="J8" i="607"/>
  <c r="G6" i="617"/>
  <c r="D27" i="606"/>
  <c r="D27" i="551"/>
  <c r="A28" i="606"/>
  <c r="A26" i="606"/>
  <c r="H35" i="606"/>
  <c r="H36" i="606"/>
  <c r="H37" i="606"/>
  <c r="AA22" i="526" l="1"/>
  <c r="AA14" i="526"/>
  <c r="AA13" i="526"/>
  <c r="AA9" i="526"/>
  <c r="AA10" i="526"/>
  <c r="AA11" i="526"/>
  <c r="AA12" i="526"/>
  <c r="AA15" i="526"/>
  <c r="AA16" i="526"/>
  <c r="AA17" i="526"/>
  <c r="AA18" i="526"/>
  <c r="AA19" i="526"/>
  <c r="AA20" i="526"/>
  <c r="AA21" i="526"/>
  <c r="AA23" i="526"/>
  <c r="AA24" i="526"/>
  <c r="F13" i="526"/>
  <c r="H13" i="526" s="1"/>
  <c r="Z13" i="526" s="1"/>
  <c r="A28" i="551"/>
  <c r="A46" i="551"/>
  <c r="A26" i="551"/>
  <c r="A35" i="551"/>
  <c r="A34" i="551"/>
  <c r="A21" i="551"/>
  <c r="A22" i="551"/>
  <c r="H13" i="618" l="1"/>
  <c r="H13" i="602"/>
  <c r="K13" i="526"/>
  <c r="D62" i="609" l="1"/>
  <c r="E62" i="609"/>
  <c r="F62" i="609"/>
  <c r="D63" i="609"/>
  <c r="E63" i="609"/>
  <c r="F63" i="609"/>
  <c r="D64" i="609"/>
  <c r="E64" i="609"/>
  <c r="F64" i="609"/>
  <c r="D65" i="609"/>
  <c r="E65" i="609"/>
  <c r="F65" i="609"/>
  <c r="D66" i="609"/>
  <c r="E66" i="609"/>
  <c r="F66" i="609"/>
  <c r="D67" i="609"/>
  <c r="E67" i="609"/>
  <c r="F67" i="609"/>
  <c r="D68" i="609"/>
  <c r="E68" i="609"/>
  <c r="F68" i="609"/>
  <c r="D69" i="609"/>
  <c r="E69" i="609"/>
  <c r="F69" i="609"/>
  <c r="D70" i="609"/>
  <c r="E70" i="609"/>
  <c r="F70" i="609"/>
  <c r="D71" i="609"/>
  <c r="E71" i="609"/>
  <c r="F71" i="609"/>
  <c r="D72" i="609"/>
  <c r="E72" i="609"/>
  <c r="F72" i="609"/>
  <c r="D73" i="609"/>
  <c r="E73" i="609"/>
  <c r="F73" i="609"/>
  <c r="D74" i="609"/>
  <c r="E74" i="609"/>
  <c r="F74" i="609"/>
  <c r="D75" i="609"/>
  <c r="E75" i="609"/>
  <c r="F75" i="609"/>
  <c r="D76" i="609"/>
  <c r="E76" i="609"/>
  <c r="F76" i="609"/>
  <c r="D77" i="609"/>
  <c r="E77" i="609"/>
  <c r="F77" i="609"/>
  <c r="D78" i="609"/>
  <c r="E78" i="609"/>
  <c r="F78" i="609"/>
  <c r="C64" i="609"/>
  <c r="C65" i="609"/>
  <c r="C66" i="609"/>
  <c r="C67" i="609"/>
  <c r="C68" i="609"/>
  <c r="C69" i="609"/>
  <c r="C70" i="609"/>
  <c r="C71" i="609"/>
  <c r="C72" i="609"/>
  <c r="C73" i="609"/>
  <c r="C74" i="609"/>
  <c r="C75" i="609"/>
  <c r="C76" i="609"/>
  <c r="C77" i="609"/>
  <c r="C78" i="609"/>
  <c r="C63" i="609"/>
  <c r="C62" i="609"/>
  <c r="D41" i="609"/>
  <c r="E41" i="609"/>
  <c r="F41" i="609"/>
  <c r="D42" i="609"/>
  <c r="E42" i="609"/>
  <c r="F42" i="609"/>
  <c r="D43" i="609"/>
  <c r="E43" i="609"/>
  <c r="F43" i="609"/>
  <c r="D44" i="609"/>
  <c r="E44" i="609"/>
  <c r="F44" i="609"/>
  <c r="D45" i="609"/>
  <c r="E45" i="609"/>
  <c r="F45" i="609"/>
  <c r="D46" i="609"/>
  <c r="E46" i="609"/>
  <c r="F46" i="609"/>
  <c r="D47" i="609"/>
  <c r="E47" i="609"/>
  <c r="F47" i="609"/>
  <c r="D48" i="609"/>
  <c r="E48" i="609"/>
  <c r="F48" i="609"/>
  <c r="D49" i="609"/>
  <c r="E49" i="609"/>
  <c r="F49" i="609"/>
  <c r="D50" i="609"/>
  <c r="E50" i="609"/>
  <c r="F50" i="609"/>
  <c r="D51" i="609"/>
  <c r="E51" i="609"/>
  <c r="F51" i="609"/>
  <c r="D52" i="609"/>
  <c r="E52" i="609"/>
  <c r="F52" i="609"/>
  <c r="D53" i="609"/>
  <c r="E53" i="609"/>
  <c r="F53" i="609"/>
  <c r="D54" i="609"/>
  <c r="E54" i="609"/>
  <c r="F54" i="609"/>
  <c r="D55" i="609"/>
  <c r="E55" i="609"/>
  <c r="F55" i="609"/>
  <c r="D56" i="609"/>
  <c r="E56" i="609"/>
  <c r="F56" i="609"/>
  <c r="D57" i="609"/>
  <c r="E57" i="609"/>
  <c r="F57" i="609"/>
  <c r="C41" i="609"/>
  <c r="G41" i="609" s="1"/>
  <c r="C42" i="609"/>
  <c r="C43" i="609"/>
  <c r="C44" i="609"/>
  <c r="C45" i="609"/>
  <c r="C46" i="609"/>
  <c r="C47" i="609"/>
  <c r="C48" i="609"/>
  <c r="C49" i="609"/>
  <c r="C50" i="609"/>
  <c r="C51" i="609"/>
  <c r="C52" i="609"/>
  <c r="C53" i="609"/>
  <c r="C54" i="609"/>
  <c r="C55" i="609"/>
  <c r="C56" i="609"/>
  <c r="C57" i="609"/>
  <c r="D39" i="609"/>
  <c r="E39" i="609"/>
  <c r="F39" i="609"/>
  <c r="D40" i="609"/>
  <c r="E40" i="609"/>
  <c r="F40" i="609"/>
  <c r="C40" i="609"/>
  <c r="C39" i="609"/>
  <c r="G69" i="609" l="1"/>
  <c r="G68" i="609"/>
  <c r="G56" i="609"/>
  <c r="G74" i="609"/>
  <c r="G57" i="609"/>
  <c r="G73" i="609"/>
  <c r="G67" i="609"/>
  <c r="G75" i="609"/>
  <c r="G55" i="609"/>
  <c r="G44" i="609"/>
  <c r="G70" i="609"/>
  <c r="G54" i="609"/>
  <c r="G42" i="609"/>
  <c r="G49" i="609"/>
  <c r="G72" i="609"/>
  <c r="G53" i="609"/>
  <c r="G43" i="609"/>
  <c r="G66" i="609"/>
  <c r="G62" i="609"/>
  <c r="G63" i="609"/>
  <c r="G47" i="609"/>
  <c r="G78" i="609"/>
  <c r="G71" i="609"/>
  <c r="G52" i="609"/>
  <c r="G50" i="609"/>
  <c r="G48" i="609"/>
  <c r="G46" i="609"/>
  <c r="G77" i="609"/>
  <c r="G51" i="609"/>
  <c r="G65" i="609"/>
  <c r="G64" i="609"/>
  <c r="G45" i="609"/>
  <c r="G76" i="609"/>
  <c r="B36" i="609"/>
  <c r="B35" i="609"/>
  <c r="D5" i="614" l="1"/>
  <c r="T35" i="619"/>
  <c r="R35" i="619"/>
  <c r="P35" i="619"/>
  <c r="N35" i="619"/>
  <c r="M35" i="619"/>
  <c r="L35" i="619"/>
  <c r="J35" i="619"/>
  <c r="I35" i="619"/>
  <c r="H35" i="619"/>
  <c r="G35" i="619"/>
  <c r="E35" i="619"/>
  <c r="D35" i="619"/>
  <c r="G12" i="605"/>
  <c r="X35" i="620"/>
  <c r="V35" i="620"/>
  <c r="T35" i="620"/>
  <c r="R35" i="620"/>
  <c r="P35" i="620"/>
  <c r="O35" i="620"/>
  <c r="N35" i="620"/>
  <c r="L35" i="620"/>
  <c r="K35" i="620"/>
  <c r="J35" i="620"/>
  <c r="I35" i="620"/>
  <c r="G35" i="620"/>
  <c r="F35" i="620"/>
  <c r="J31" i="614"/>
  <c r="D31" i="614"/>
  <c r="E31" i="614"/>
  <c r="F31" i="614"/>
  <c r="G31" i="614"/>
  <c r="H31" i="614"/>
  <c r="C31" i="614"/>
  <c r="D20" i="551" l="1"/>
  <c r="E20" i="551" s="1"/>
  <c r="L754" i="607"/>
  <c r="G5" i="617"/>
  <c r="M11" i="551"/>
  <c r="M9" i="551"/>
  <c r="D21" i="551" l="1"/>
  <c r="D1" i="625"/>
  <c r="F5" i="332"/>
  <c r="D30" i="614"/>
  <c r="G14" i="614"/>
  <c r="G15" i="614"/>
  <c r="E33" i="614"/>
  <c r="G33" i="614" s="1"/>
  <c r="E34" i="614"/>
  <c r="G34" i="614" s="1"/>
  <c r="E35" i="614"/>
  <c r="G35" i="614" s="1"/>
  <c r="E36" i="614"/>
  <c r="G36" i="614" s="1"/>
  <c r="E37" i="614"/>
  <c r="G37" i="614" s="1"/>
  <c r="E38" i="614"/>
  <c r="G38" i="614" s="1"/>
  <c r="E39" i="614"/>
  <c r="G39" i="614" s="1"/>
  <c r="E40" i="614"/>
  <c r="G40" i="614" s="1"/>
  <c r="E41" i="614"/>
  <c r="G41" i="614" s="1"/>
  <c r="E42" i="614"/>
  <c r="G42" i="614" s="1"/>
  <c r="E43" i="614"/>
  <c r="G43" i="614" s="1"/>
  <c r="E44" i="614"/>
  <c r="G44" i="614" s="1"/>
  <c r="E45" i="614"/>
  <c r="G45" i="614" s="1"/>
  <c r="E46" i="614"/>
  <c r="G46" i="614" s="1"/>
  <c r="E48" i="614"/>
  <c r="G48" i="614" s="1"/>
  <c r="E49" i="614"/>
  <c r="G49" i="614" s="1"/>
  <c r="E50" i="614"/>
  <c r="G50" i="614" s="1"/>
  <c r="E51" i="614"/>
  <c r="G51" i="614" s="1"/>
  <c r="E52" i="614"/>
  <c r="G52" i="614" s="1"/>
  <c r="E53" i="614"/>
  <c r="G53" i="614" s="1"/>
  <c r="E54" i="614"/>
  <c r="G54" i="614" s="1"/>
  <c r="E55" i="614"/>
  <c r="G55" i="614" s="1"/>
  <c r="E56" i="614"/>
  <c r="G56" i="614" s="1"/>
  <c r="E57" i="614"/>
  <c r="G57" i="614" s="1"/>
  <c r="E58" i="614"/>
  <c r="G58" i="614" s="1"/>
  <c r="E59" i="614"/>
  <c r="G59" i="614" s="1"/>
  <c r="E60" i="614"/>
  <c r="G60" i="614" s="1"/>
  <c r="E61" i="614"/>
  <c r="G61" i="614" s="1"/>
  <c r="E62" i="614"/>
  <c r="G62" i="614" s="1"/>
  <c r="E63" i="614"/>
  <c r="E64" i="614"/>
  <c r="G64" i="614" s="1"/>
  <c r="E65" i="614"/>
  <c r="G65" i="614" s="1"/>
  <c r="E66" i="614"/>
  <c r="G66" i="614" s="1"/>
  <c r="E67" i="614"/>
  <c r="G67" i="614" s="1"/>
  <c r="E68" i="614"/>
  <c r="G68" i="614" s="1"/>
  <c r="E69" i="614"/>
  <c r="G69" i="614" s="1"/>
  <c r="E70" i="614"/>
  <c r="G70" i="614" s="1"/>
  <c r="E71" i="614"/>
  <c r="G71" i="614" s="1"/>
  <c r="E72" i="614"/>
  <c r="E73" i="614"/>
  <c r="G73" i="614" s="1"/>
  <c r="E74" i="614"/>
  <c r="E75" i="614"/>
  <c r="G75" i="614" s="1"/>
  <c r="E76" i="614"/>
  <c r="G76" i="614" s="1"/>
  <c r="E77" i="614"/>
  <c r="G77" i="614" s="1"/>
  <c r="E78" i="614"/>
  <c r="G78" i="614" s="1"/>
  <c r="E80" i="614"/>
  <c r="G80" i="614" s="1"/>
  <c r="E81" i="614"/>
  <c r="G81" i="614" s="1"/>
  <c r="E83" i="614"/>
  <c r="G83" i="614" s="1"/>
  <c r="E84" i="614"/>
  <c r="G84" i="614" s="1"/>
  <c r="E85" i="614"/>
  <c r="G85" i="614" s="1"/>
  <c r="E86" i="614"/>
  <c r="G86" i="614" s="1"/>
  <c r="E87" i="614"/>
  <c r="G87" i="614" s="1"/>
  <c r="E89" i="614"/>
  <c r="G89" i="614" s="1"/>
  <c r="E90" i="614"/>
  <c r="E93" i="614"/>
  <c r="G93" i="614" s="1"/>
  <c r="E32" i="614"/>
  <c r="G32" i="614" s="1"/>
  <c r="G8" i="614"/>
  <c r="G9" i="614"/>
  <c r="G11" i="614"/>
  <c r="G13" i="614"/>
  <c r="G16" i="614"/>
  <c r="G17" i="614"/>
  <c r="G18" i="614"/>
  <c r="G19" i="614"/>
  <c r="G20" i="614"/>
  <c r="G21" i="614"/>
  <c r="E5" i="614"/>
  <c r="E30" i="614" s="1"/>
  <c r="F5" i="614"/>
  <c r="F30" i="614" s="1"/>
  <c r="G5" i="614"/>
  <c r="G30" i="614" s="1"/>
  <c r="H5" i="614"/>
  <c r="H30" i="614" s="1"/>
  <c r="I5" i="614"/>
  <c r="I30" i="614" s="1"/>
  <c r="J5" i="614"/>
  <c r="J30" i="614" s="1"/>
  <c r="C13" i="613"/>
  <c r="L96" i="607"/>
  <c r="K2" i="616"/>
  <c r="K6" i="616"/>
  <c r="F8" i="332" l="1"/>
  <c r="C44" i="332"/>
  <c r="D26" i="551"/>
  <c r="E21" i="551"/>
  <c r="F5" i="608"/>
  <c r="G10" i="614"/>
  <c r="G90" i="614"/>
  <c r="G74" i="614"/>
  <c r="E94" i="614"/>
  <c r="G63" i="614"/>
  <c r="E22" i="551" l="1"/>
  <c r="E23" i="551" s="1"/>
  <c r="D28" i="551"/>
  <c r="J96" i="577"/>
  <c r="K96" i="577"/>
  <c r="E31" i="551" l="1"/>
  <c r="E28" i="551"/>
  <c r="D167" i="588"/>
  <c r="E39" i="551"/>
  <c r="E41" i="551"/>
  <c r="E40" i="551"/>
  <c r="E11" i="588"/>
  <c r="C126" i="588"/>
  <c r="D96" i="504"/>
  <c r="D101" i="504" s="1"/>
  <c r="D106" i="504" s="1"/>
  <c r="E96" i="504"/>
  <c r="E101" i="504" s="1"/>
  <c r="E106" i="504" s="1"/>
  <c r="F96" i="504"/>
  <c r="F101" i="504" s="1"/>
  <c r="F106" i="504" s="1"/>
  <c r="G96" i="504"/>
  <c r="G101" i="504" s="1"/>
  <c r="G106" i="504" s="1"/>
  <c r="H96" i="504"/>
  <c r="H101" i="504" s="1"/>
  <c r="H106" i="504" s="1"/>
  <c r="I96" i="504"/>
  <c r="I101" i="504" s="1"/>
  <c r="I106" i="504" s="1"/>
  <c r="J96" i="504"/>
  <c r="J101" i="504" s="1"/>
  <c r="J106" i="504" s="1"/>
  <c r="C96" i="504"/>
  <c r="C101" i="504" s="1"/>
  <c r="C106" i="504" s="1"/>
  <c r="E30" i="504"/>
  <c r="F30" i="504"/>
  <c r="G30" i="504"/>
  <c r="H30" i="504"/>
  <c r="I30" i="504"/>
  <c r="J30" i="504"/>
  <c r="D30" i="504"/>
  <c r="D31" i="504"/>
  <c r="E31" i="504"/>
  <c r="F31" i="504"/>
  <c r="G31" i="504"/>
  <c r="H31" i="504"/>
  <c r="I31" i="504"/>
  <c r="J31" i="504"/>
  <c r="C31" i="504"/>
  <c r="E80" i="504"/>
  <c r="G80" i="504" s="1"/>
  <c r="E81" i="504"/>
  <c r="G81" i="504" s="1"/>
  <c r="E83" i="504"/>
  <c r="G83" i="504" s="1"/>
  <c r="E84" i="504"/>
  <c r="G84" i="504" s="1"/>
  <c r="E85" i="504"/>
  <c r="G85" i="504" s="1"/>
  <c r="E86" i="504"/>
  <c r="G86" i="504" s="1"/>
  <c r="E87" i="504"/>
  <c r="G87" i="504" s="1"/>
  <c r="E89" i="504"/>
  <c r="G89" i="504" s="1"/>
  <c r="E90" i="504"/>
  <c r="G90" i="504" s="1"/>
  <c r="E93" i="504"/>
  <c r="G93" i="504" s="1"/>
  <c r="E65" i="504"/>
  <c r="G65" i="504" s="1"/>
  <c r="E66" i="504"/>
  <c r="G66" i="504" s="1"/>
  <c r="E67" i="504"/>
  <c r="G67" i="504" s="1"/>
  <c r="E68" i="504"/>
  <c r="G68" i="504" s="1"/>
  <c r="E69" i="504"/>
  <c r="G69" i="504" s="1"/>
  <c r="E70" i="504"/>
  <c r="G70" i="504" s="1"/>
  <c r="E71" i="504"/>
  <c r="G71" i="504" s="1"/>
  <c r="E72" i="504"/>
  <c r="G72" i="504" s="1"/>
  <c r="E73" i="504"/>
  <c r="G73" i="504" s="1"/>
  <c r="E74" i="504"/>
  <c r="G74" i="504" s="1"/>
  <c r="E75" i="504"/>
  <c r="G75" i="504" s="1"/>
  <c r="E76" i="504"/>
  <c r="G76" i="504" s="1"/>
  <c r="E77" i="504"/>
  <c r="G77" i="504" s="1"/>
  <c r="E78" i="504"/>
  <c r="G78" i="504" s="1"/>
  <c r="E53" i="504"/>
  <c r="G53" i="504" s="1"/>
  <c r="E54" i="504"/>
  <c r="G54" i="504" s="1"/>
  <c r="E55" i="504"/>
  <c r="G55" i="504" s="1"/>
  <c r="E56" i="504"/>
  <c r="G56" i="504" s="1"/>
  <c r="E57" i="504"/>
  <c r="G57" i="504" s="1"/>
  <c r="E58" i="504"/>
  <c r="G58" i="504" s="1"/>
  <c r="E59" i="504"/>
  <c r="G59" i="504" s="1"/>
  <c r="E60" i="504"/>
  <c r="G60" i="504" s="1"/>
  <c r="E61" i="504"/>
  <c r="G61" i="504" s="1"/>
  <c r="E62" i="504"/>
  <c r="G62" i="504" s="1"/>
  <c r="E63" i="504"/>
  <c r="G63" i="504" s="1"/>
  <c r="E64" i="504"/>
  <c r="G64" i="504" s="1"/>
  <c r="E33" i="504"/>
  <c r="G33" i="504" s="1"/>
  <c r="E34" i="504"/>
  <c r="G34" i="504" s="1"/>
  <c r="E35" i="504"/>
  <c r="G35" i="504" s="1"/>
  <c r="E36" i="504"/>
  <c r="G36" i="504" s="1"/>
  <c r="E37" i="504"/>
  <c r="G37" i="504" s="1"/>
  <c r="E38" i="504"/>
  <c r="G38" i="504" s="1"/>
  <c r="E39" i="504"/>
  <c r="G39" i="504" s="1"/>
  <c r="E40" i="504"/>
  <c r="G40" i="504" s="1"/>
  <c r="E41" i="504"/>
  <c r="G41" i="504" s="1"/>
  <c r="E42" i="504"/>
  <c r="G42" i="504" s="1"/>
  <c r="E43" i="504"/>
  <c r="G43" i="504" s="1"/>
  <c r="E44" i="504"/>
  <c r="G44" i="504" s="1"/>
  <c r="E45" i="504"/>
  <c r="G45" i="504" s="1"/>
  <c r="E46" i="504"/>
  <c r="G46" i="504" s="1"/>
  <c r="E48" i="504"/>
  <c r="G48" i="504" s="1"/>
  <c r="E49" i="504"/>
  <c r="G49" i="504" s="1"/>
  <c r="E50" i="504"/>
  <c r="G50" i="504" s="1"/>
  <c r="E51" i="504"/>
  <c r="G51" i="504" s="1"/>
  <c r="E52" i="504"/>
  <c r="G52" i="504" s="1"/>
  <c r="E32" i="504"/>
  <c r="G11" i="504"/>
  <c r="I7" i="504"/>
  <c r="G96" i="607" l="1"/>
  <c r="D168" i="613"/>
  <c r="G72" i="614"/>
  <c r="G94" i="614" s="1"/>
  <c r="G24" i="614" s="1"/>
  <c r="C31" i="588"/>
  <c r="E94" i="504"/>
  <c r="G32" i="504"/>
  <c r="G94" i="504" s="1"/>
  <c r="G24" i="504" s="1"/>
  <c r="C12" i="336"/>
  <c r="G26" i="607" l="1"/>
  <c r="P32" i="607" s="1"/>
  <c r="D190" i="613"/>
  <c r="G95" i="614"/>
  <c r="P41" i="332"/>
  <c r="T41" i="332"/>
  <c r="L25" i="577"/>
  <c r="L25" i="607" s="1"/>
  <c r="L24" i="577"/>
  <c r="L23" i="577"/>
  <c r="L23" i="607" s="1"/>
  <c r="L22" i="577"/>
  <c r="L22" i="607" s="1"/>
  <c r="L21" i="577"/>
  <c r="L21" i="607" s="1"/>
  <c r="L20" i="577"/>
  <c r="T16" i="608"/>
  <c r="U16" i="608" s="1"/>
  <c r="T17" i="608"/>
  <c r="U17" i="608" s="1"/>
  <c r="T18" i="608"/>
  <c r="U18" i="608" s="1"/>
  <c r="T19" i="608"/>
  <c r="U19" i="608" s="1"/>
  <c r="T20" i="608"/>
  <c r="U20" i="608" s="1"/>
  <c r="T21" i="608"/>
  <c r="U21" i="608" s="1"/>
  <c r="T22" i="608"/>
  <c r="U22" i="608" s="1"/>
  <c r="T23" i="608"/>
  <c r="U23" i="608" s="1"/>
  <c r="T24" i="608"/>
  <c r="U24" i="608" s="1"/>
  <c r="T25" i="608"/>
  <c r="U25" i="608" s="1"/>
  <c r="T26" i="608"/>
  <c r="U26" i="608" s="1"/>
  <c r="T27" i="608"/>
  <c r="U27" i="608" s="1"/>
  <c r="T28" i="608"/>
  <c r="U28" i="608" s="1"/>
  <c r="T29" i="608"/>
  <c r="U29" i="608" s="1"/>
  <c r="T30" i="608"/>
  <c r="U30" i="608" s="1"/>
  <c r="T31" i="608"/>
  <c r="U31" i="608" s="1"/>
  <c r="T34" i="608"/>
  <c r="U34" i="608" s="1"/>
  <c r="T35" i="608"/>
  <c r="U35" i="608" s="1"/>
  <c r="T40" i="608"/>
  <c r="U40" i="608" s="1"/>
  <c r="T41" i="608"/>
  <c r="U41" i="608" s="1"/>
  <c r="T42" i="608"/>
  <c r="U42" i="608" s="1"/>
  <c r="V39" i="332"/>
  <c r="T39" i="332"/>
  <c r="T40" i="332"/>
  <c r="L20" i="607" l="1"/>
  <c r="M7" i="551"/>
  <c r="G12" i="614" l="1"/>
  <c r="A70" i="606"/>
  <c r="A71" i="606"/>
  <c r="A72" i="606"/>
  <c r="A73" i="606"/>
  <c r="A69" i="606"/>
  <c r="O16" i="608" l="1"/>
  <c r="Q16" i="608" s="1"/>
  <c r="O17" i="608"/>
  <c r="Q17" i="608" s="1"/>
  <c r="O18" i="608"/>
  <c r="D126" i="588" l="1"/>
  <c r="E12" i="336"/>
  <c r="D62" i="336"/>
  <c r="E62" i="336"/>
  <c r="F62" i="336"/>
  <c r="C62" i="336"/>
  <c r="D61" i="336"/>
  <c r="E61" i="336"/>
  <c r="F61" i="336"/>
  <c r="C61" i="336"/>
  <c r="N100" i="526"/>
  <c r="O100" i="526"/>
  <c r="P100" i="526"/>
  <c r="Q100" i="526"/>
  <c r="S100" i="526"/>
  <c r="H38" i="606"/>
  <c r="H39" i="606"/>
  <c r="H40" i="606"/>
  <c r="H41" i="606"/>
  <c r="H42" i="606"/>
  <c r="H43" i="606"/>
  <c r="H44" i="606"/>
  <c r="H45" i="606"/>
  <c r="H46" i="606"/>
  <c r="H47" i="606"/>
  <c r="H48" i="606"/>
  <c r="H49" i="606"/>
  <c r="H50" i="606"/>
  <c r="H51" i="606"/>
  <c r="C60" i="609" l="1"/>
  <c r="C82" i="336"/>
  <c r="D60" i="609"/>
  <c r="D82" i="336"/>
  <c r="F61" i="609"/>
  <c r="F82" i="609" s="1"/>
  <c r="F83" i="336"/>
  <c r="F146" i="336" s="1"/>
  <c r="D61" i="609"/>
  <c r="D82" i="609" s="1"/>
  <c r="D83" i="336"/>
  <c r="D146" i="336" s="1"/>
  <c r="F60" i="609"/>
  <c r="F82" i="336"/>
  <c r="E60" i="609"/>
  <c r="E82" i="336"/>
  <c r="C61" i="609"/>
  <c r="C82" i="609" s="1"/>
  <c r="C83" i="336"/>
  <c r="C146" i="336" s="1"/>
  <c r="E61" i="609"/>
  <c r="E82" i="609" s="1"/>
  <c r="E83" i="336"/>
  <c r="E146" i="336" s="1"/>
  <c r="M34" i="551"/>
  <c r="H34" i="551"/>
  <c r="A31" i="551"/>
  <c r="G192" i="588" l="1"/>
  <c r="E192" i="588"/>
  <c r="P42" i="608"/>
  <c r="O26" i="608" l="1"/>
  <c r="A2" i="607" l="1"/>
  <c r="B119" i="607"/>
  <c r="C119" i="607"/>
  <c r="D119" i="607"/>
  <c r="E119" i="607"/>
  <c r="A119" i="607"/>
  <c r="S42" i="608"/>
  <c r="S28" i="608"/>
  <c r="S25" i="608"/>
  <c r="C86" i="613" l="1"/>
  <c r="C79" i="613"/>
  <c r="C89" i="613"/>
  <c r="C53" i="613"/>
  <c r="C48" i="613"/>
  <c r="C64" i="613"/>
  <c r="C60" i="613"/>
  <c r="C33" i="613"/>
  <c r="C28" i="613"/>
  <c r="C94" i="613"/>
  <c r="C38" i="613"/>
  <c r="C74" i="613"/>
  <c r="C16" i="613"/>
  <c r="C81" i="613"/>
  <c r="C69" i="613"/>
  <c r="C118" i="613"/>
  <c r="C63" i="613"/>
  <c r="C108" i="613"/>
  <c r="C22" i="613"/>
  <c r="C73" i="613"/>
  <c r="C41" i="613"/>
  <c r="C56" i="613"/>
  <c r="C75" i="613"/>
  <c r="C80" i="613"/>
  <c r="C106" i="613"/>
  <c r="C47" i="613"/>
  <c r="C21" i="613"/>
  <c r="C68" i="613"/>
  <c r="C78" i="613"/>
  <c r="C85" i="613"/>
  <c r="C27" i="613"/>
  <c r="C25" i="613"/>
  <c r="C90" i="613"/>
  <c r="C35" i="613"/>
  <c r="C52" i="613"/>
  <c r="C43" i="613"/>
  <c r="C93" i="613"/>
  <c r="C57" i="613"/>
  <c r="C30" i="613"/>
  <c r="C117" i="613"/>
  <c r="C62" i="613"/>
  <c r="C45" i="613"/>
  <c r="C72" i="613"/>
  <c r="C40" i="613"/>
  <c r="C42" i="613"/>
  <c r="C46" i="613"/>
  <c r="C20" i="613"/>
  <c r="C34" i="613"/>
  <c r="C98" i="613"/>
  <c r="C105" i="613"/>
  <c r="C115" i="613"/>
  <c r="C26" i="613"/>
  <c r="C61" i="613"/>
  <c r="C24" i="613"/>
  <c r="C111" i="613"/>
  <c r="C18" i="613"/>
  <c r="C101" i="613"/>
  <c r="C82" i="613"/>
  <c r="C116" i="613"/>
  <c r="C39" i="613"/>
  <c r="C102" i="613"/>
  <c r="C51" i="613"/>
  <c r="C112" i="613"/>
  <c r="C97" i="613"/>
  <c r="C29" i="613"/>
  <c r="C109" i="613"/>
  <c r="C92" i="613"/>
  <c r="C107" i="613"/>
  <c r="C91" i="613"/>
  <c r="C44" i="613"/>
  <c r="C23" i="613"/>
  <c r="C65" i="613"/>
  <c r="C110" i="613"/>
  <c r="N39" i="332"/>
  <c r="O39" i="332"/>
  <c r="P39" i="332"/>
  <c r="R39" i="332" s="1"/>
  <c r="P40" i="332"/>
  <c r="R40" i="332" s="1"/>
  <c r="C54" i="613" l="1"/>
  <c r="C76" i="613"/>
  <c r="C103" i="613"/>
  <c r="C99" i="613"/>
  <c r="C70" i="613"/>
  <c r="C87" i="613"/>
  <c r="C83" i="613"/>
  <c r="C49" i="613"/>
  <c r="C36" i="613"/>
  <c r="C66" i="613"/>
  <c r="C58" i="613"/>
  <c r="C119" i="613"/>
  <c r="C95" i="613"/>
  <c r="C113" i="613"/>
  <c r="D25" i="602"/>
  <c r="O19" i="608"/>
  <c r="Q19" i="608" s="1"/>
  <c r="O20" i="608"/>
  <c r="Q20" i="608" s="1"/>
  <c r="O21" i="608"/>
  <c r="Q21" i="608" s="1"/>
  <c r="O22" i="608"/>
  <c r="Q22" i="608" s="1"/>
  <c r="O23" i="608"/>
  <c r="Q23" i="608" s="1"/>
  <c r="O24" i="608"/>
  <c r="Q24" i="608" s="1"/>
  <c r="O25" i="608"/>
  <c r="Q25" i="608" s="1"/>
  <c r="Q26" i="608"/>
  <c r="O27" i="608"/>
  <c r="Q27" i="608" s="1"/>
  <c r="O28" i="608"/>
  <c r="Q28" i="608" s="1"/>
  <c r="O29" i="608"/>
  <c r="Q29" i="608" s="1"/>
  <c r="O30" i="608"/>
  <c r="Q30" i="608" s="1"/>
  <c r="O31" i="608"/>
  <c r="Q31" i="608" s="1"/>
  <c r="O34" i="608"/>
  <c r="Q34" i="608" s="1"/>
  <c r="O35" i="608"/>
  <c r="Q35" i="608" s="1"/>
  <c r="O40" i="608"/>
  <c r="Q40" i="608" s="1"/>
  <c r="O41" i="608"/>
  <c r="Q41" i="608" s="1"/>
  <c r="Q18" i="608"/>
  <c r="A63" i="551" l="1"/>
  <c r="A62" i="551"/>
  <c r="A60" i="551"/>
  <c r="A59" i="551"/>
  <c r="A57" i="551"/>
  <c r="A56" i="551"/>
  <c r="A54" i="551"/>
  <c r="A53" i="551"/>
  <c r="P9" i="611" l="1"/>
  <c r="L96" i="611"/>
  <c r="C96" i="611"/>
  <c r="I81" i="617"/>
  <c r="I89" i="617"/>
  <c r="I71" i="617"/>
  <c r="I55" i="617"/>
  <c r="I41" i="617"/>
  <c r="I96" i="617"/>
  <c r="I80" i="617"/>
  <c r="I47" i="617"/>
  <c r="I70" i="617"/>
  <c r="I91" i="617"/>
  <c r="I76" i="617"/>
  <c r="I60" i="617"/>
  <c r="I43" i="617"/>
  <c r="I83" i="617"/>
  <c r="I63" i="617"/>
  <c r="I46" i="617"/>
  <c r="I49" i="617"/>
  <c r="I95" i="617"/>
  <c r="I79" i="617"/>
  <c r="I66" i="617"/>
  <c r="I86" i="617"/>
  <c r="I78" i="617"/>
  <c r="I62" i="617"/>
  <c r="I65" i="617"/>
  <c r="I48" i="617"/>
  <c r="I84" i="617"/>
  <c r="I68" i="617"/>
  <c r="I51" i="617"/>
  <c r="I92" i="617"/>
  <c r="I74" i="617"/>
  <c r="I58" i="617"/>
  <c r="I64" i="617"/>
  <c r="I67" i="617"/>
  <c r="I50" i="617"/>
  <c r="I87" i="617"/>
  <c r="I54" i="617"/>
  <c r="I73" i="617"/>
  <c r="I57" i="617"/>
  <c r="I40" i="617"/>
  <c r="I82" i="617"/>
  <c r="I99" i="617"/>
  <c r="I69" i="617"/>
  <c r="I52" i="617"/>
  <c r="I90" i="617"/>
  <c r="I72" i="617"/>
  <c r="I56" i="617"/>
  <c r="I39" i="617"/>
  <c r="I61" i="617"/>
  <c r="I44" i="617"/>
  <c r="I93" i="617"/>
  <c r="I59" i="617"/>
  <c r="I42" i="617"/>
  <c r="I77" i="617"/>
  <c r="I45" i="617"/>
  <c r="I75" i="617"/>
  <c r="D40" i="606"/>
  <c r="M9" i="606" s="1"/>
  <c r="D41" i="606"/>
  <c r="D39" i="606"/>
  <c r="M7" i="606" s="1"/>
  <c r="D5" i="606"/>
  <c r="P26" i="611" l="1"/>
  <c r="C97" i="601"/>
  <c r="K96" i="611"/>
  <c r="L97" i="611"/>
  <c r="C97" i="611"/>
  <c r="I38" i="617"/>
  <c r="I100" i="617" s="1"/>
  <c r="I31" i="617" s="1"/>
  <c r="L97" i="601"/>
  <c r="I17" i="617"/>
  <c r="I24" i="617"/>
  <c r="I28" i="617"/>
  <c r="I23" i="617"/>
  <c r="I22" i="617"/>
  <c r="I25" i="617"/>
  <c r="I19" i="617"/>
  <c r="I27" i="617"/>
  <c r="I30" i="617"/>
  <c r="I16" i="617"/>
  <c r="I20" i="617"/>
  <c r="I29" i="617"/>
  <c r="I21" i="617"/>
  <c r="I18" i="617"/>
  <c r="I26" i="617"/>
  <c r="I15" i="617"/>
  <c r="A10" i="606"/>
  <c r="A15" i="606"/>
  <c r="I14" i="617"/>
  <c r="A35" i="606"/>
  <c r="A34" i="606"/>
  <c r="A23" i="606"/>
  <c r="A22" i="606"/>
  <c r="A46" i="606"/>
  <c r="M11" i="606"/>
  <c r="H34" i="606"/>
  <c r="G34" i="606"/>
  <c r="A21" i="606"/>
  <c r="A19" i="606"/>
  <c r="A32" i="606"/>
  <c r="M34" i="606"/>
  <c r="A54" i="606"/>
  <c r="A63" i="606"/>
  <c r="A62" i="606"/>
  <c r="A60" i="606"/>
  <c r="A59" i="606"/>
  <c r="A57" i="606"/>
  <c r="A56" i="606"/>
  <c r="A53" i="606"/>
  <c r="K97" i="611" l="1"/>
  <c r="K97" i="601"/>
  <c r="D99" i="618"/>
  <c r="S18" i="608" l="1"/>
  <c r="S19" i="608"/>
  <c r="S20" i="608"/>
  <c r="S21" i="608"/>
  <c r="S22" i="608"/>
  <c r="S23" i="608"/>
  <c r="S24" i="608"/>
  <c r="S26" i="608"/>
  <c r="S27" i="608"/>
  <c r="S17" i="608"/>
  <c r="S16" i="608"/>
  <c r="S29" i="608"/>
  <c r="S30" i="608"/>
  <c r="S33" i="608"/>
  <c r="S34" i="608"/>
  <c r="S35" i="608"/>
  <c r="S40" i="608"/>
  <c r="S41" i="608"/>
  <c r="B9" i="608"/>
  <c r="S15" i="608" s="1"/>
  <c r="A9" i="608"/>
  <c r="L9" i="622" s="1"/>
  <c r="O9" i="622" s="1"/>
  <c r="L29" i="622" l="1"/>
  <c r="O29" i="622" s="1"/>
  <c r="P29" i="622" s="1"/>
  <c r="L23" i="622"/>
  <c r="O23" i="622" s="1"/>
  <c r="P23" i="622" s="1"/>
  <c r="L15" i="622"/>
  <c r="O15" i="622" s="1"/>
  <c r="P15" i="622" s="1"/>
  <c r="L26" i="622"/>
  <c r="O26" i="622" s="1"/>
  <c r="P26" i="622" s="1"/>
  <c r="L14" i="622"/>
  <c r="O14" i="622" s="1"/>
  <c r="P14" i="622" s="1"/>
  <c r="L25" i="622"/>
  <c r="O25" i="622" s="1"/>
  <c r="P25" i="622" s="1"/>
  <c r="L13" i="622"/>
  <c r="O13" i="622" s="1"/>
  <c r="P13" i="622" s="1"/>
  <c r="L17" i="622"/>
  <c r="O17" i="622" s="1"/>
  <c r="P17" i="622" s="1"/>
  <c r="L11" i="622"/>
  <c r="O11" i="622" s="1"/>
  <c r="P11" i="622" s="1"/>
  <c r="L16" i="622"/>
  <c r="O16" i="622" s="1"/>
  <c r="P16" i="622" s="1"/>
  <c r="L27" i="622"/>
  <c r="O27" i="622" s="1"/>
  <c r="P27" i="622" s="1"/>
  <c r="L20" i="622"/>
  <c r="O20" i="622" s="1"/>
  <c r="P20" i="622" s="1"/>
  <c r="L32" i="622"/>
  <c r="O32" i="622" s="1"/>
  <c r="P32" i="622" s="1"/>
  <c r="L31" i="622"/>
  <c r="O31" i="622" s="1"/>
  <c r="P31" i="622" s="1"/>
  <c r="L30" i="622"/>
  <c r="O30" i="622" s="1"/>
  <c r="P30" i="622" s="1"/>
  <c r="L19" i="622"/>
  <c r="O19" i="622" s="1"/>
  <c r="P19" i="622" s="1"/>
  <c r="L24" i="622"/>
  <c r="O24" i="622" s="1"/>
  <c r="P24" i="622" s="1"/>
  <c r="L12" i="622"/>
  <c r="O12" i="622" s="1"/>
  <c r="P12" i="622" s="1"/>
  <c r="L28" i="622"/>
  <c r="O28" i="622" s="1"/>
  <c r="P28" i="622" s="1"/>
  <c r="L10" i="622"/>
  <c r="L22" i="622"/>
  <c r="O22" i="622" s="1"/>
  <c r="P22" i="622" s="1"/>
  <c r="L21" i="622"/>
  <c r="O21" i="622" s="1"/>
  <c r="P21" i="622" s="1"/>
  <c r="L18" i="622"/>
  <c r="O18" i="622" s="1"/>
  <c r="P18" i="622" s="1"/>
  <c r="S31" i="608"/>
  <c r="S32" i="608"/>
  <c r="A41" i="605"/>
  <c r="B41" i="605"/>
  <c r="D41" i="605" s="1"/>
  <c r="F41" i="605"/>
  <c r="G41" i="605"/>
  <c r="H41" i="605" s="1"/>
  <c r="J41" i="605"/>
  <c r="L41" i="605" s="1"/>
  <c r="N41" i="605"/>
  <c r="O41" i="605"/>
  <c r="R41" i="605"/>
  <c r="T41" i="605" s="1"/>
  <c r="V41" i="605"/>
  <c r="W41" i="605"/>
  <c r="A42" i="605"/>
  <c r="B42" i="605"/>
  <c r="D42" i="605" s="1"/>
  <c r="F42" i="605"/>
  <c r="G42" i="605"/>
  <c r="H42" i="605" s="1"/>
  <c r="J42" i="605"/>
  <c r="L42" i="605" s="1"/>
  <c r="N42" i="605"/>
  <c r="O42" i="605"/>
  <c r="R42" i="605"/>
  <c r="T42" i="605" s="1"/>
  <c r="V42" i="605"/>
  <c r="W42" i="605"/>
  <c r="A43" i="605"/>
  <c r="B43" i="605"/>
  <c r="D43" i="605" s="1"/>
  <c r="F43" i="605"/>
  <c r="G43" i="605"/>
  <c r="H43" i="605"/>
  <c r="J43" i="605"/>
  <c r="L43" i="605" s="1"/>
  <c r="N43" i="605"/>
  <c r="O43" i="605"/>
  <c r="R43" i="605"/>
  <c r="T43" i="605" s="1"/>
  <c r="V43" i="605"/>
  <c r="W43" i="605"/>
  <c r="A44" i="605"/>
  <c r="B44" i="605"/>
  <c r="D44" i="605" s="1"/>
  <c r="F44" i="605"/>
  <c r="G44" i="605"/>
  <c r="H44" i="605" s="1"/>
  <c r="J44" i="605"/>
  <c r="L44" i="605" s="1"/>
  <c r="N44" i="605"/>
  <c r="O44" i="605"/>
  <c r="R44" i="605"/>
  <c r="T44" i="605" s="1"/>
  <c r="V44" i="605"/>
  <c r="W44" i="605"/>
  <c r="A45" i="605"/>
  <c r="B45" i="605"/>
  <c r="D45" i="605" s="1"/>
  <c r="F45" i="605"/>
  <c r="G45" i="605"/>
  <c r="H45" i="605" s="1"/>
  <c r="J45" i="605"/>
  <c r="L45" i="605" s="1"/>
  <c r="N45" i="605"/>
  <c r="O45" i="605"/>
  <c r="R45" i="605"/>
  <c r="T45" i="605" s="1"/>
  <c r="V45" i="605"/>
  <c r="W45" i="605"/>
  <c r="A46" i="605"/>
  <c r="B46" i="605"/>
  <c r="D46" i="605" s="1"/>
  <c r="F46" i="605"/>
  <c r="G46" i="605"/>
  <c r="H46" i="605" s="1"/>
  <c r="J46" i="605"/>
  <c r="L46" i="605" s="1"/>
  <c r="N46" i="605"/>
  <c r="O46" i="605"/>
  <c r="R46" i="605"/>
  <c r="T46" i="605" s="1"/>
  <c r="V46" i="605"/>
  <c r="W46" i="605"/>
  <c r="A47" i="605"/>
  <c r="B47" i="605"/>
  <c r="D47" i="605" s="1"/>
  <c r="F47" i="605"/>
  <c r="G47" i="605"/>
  <c r="H47" i="605"/>
  <c r="J47" i="605"/>
  <c r="L47" i="605" s="1"/>
  <c r="N47" i="605"/>
  <c r="O47" i="605"/>
  <c r="R47" i="605"/>
  <c r="T47" i="605" s="1"/>
  <c r="V47" i="605"/>
  <c r="W47" i="605"/>
  <c r="A49" i="605"/>
  <c r="B49" i="605"/>
  <c r="D49" i="605" s="1"/>
  <c r="F49" i="605"/>
  <c r="G49" i="605"/>
  <c r="H49" i="605" s="1"/>
  <c r="J49" i="605"/>
  <c r="L49" i="605" s="1"/>
  <c r="N49" i="605"/>
  <c r="O49" i="605"/>
  <c r="R49" i="605"/>
  <c r="T49" i="605" s="1"/>
  <c r="V49" i="605"/>
  <c r="W49" i="605"/>
  <c r="A50" i="605"/>
  <c r="B50" i="605"/>
  <c r="D50" i="605" s="1"/>
  <c r="F50" i="605"/>
  <c r="G50" i="605"/>
  <c r="H50" i="605" s="1"/>
  <c r="J50" i="605"/>
  <c r="L50" i="605" s="1"/>
  <c r="N50" i="605"/>
  <c r="O50" i="605"/>
  <c r="R50" i="605"/>
  <c r="T50" i="605" s="1"/>
  <c r="V50" i="605"/>
  <c r="W50" i="605"/>
  <c r="A51" i="605"/>
  <c r="B51" i="605"/>
  <c r="D51" i="605" s="1"/>
  <c r="F51" i="605"/>
  <c r="G51" i="605"/>
  <c r="H51" i="605" s="1"/>
  <c r="J51" i="605"/>
  <c r="L51" i="605" s="1"/>
  <c r="N51" i="605"/>
  <c r="O51" i="605"/>
  <c r="R51" i="605"/>
  <c r="T51" i="605" s="1"/>
  <c r="V51" i="605"/>
  <c r="W51" i="605"/>
  <c r="A52" i="605"/>
  <c r="B52" i="605"/>
  <c r="D52" i="605" s="1"/>
  <c r="F52" i="605"/>
  <c r="G52" i="605"/>
  <c r="H52" i="605" s="1"/>
  <c r="J52" i="605"/>
  <c r="L52" i="605" s="1"/>
  <c r="N52" i="605"/>
  <c r="O52" i="605"/>
  <c r="R52" i="605"/>
  <c r="T52" i="605" s="1"/>
  <c r="V52" i="605"/>
  <c r="W52" i="605"/>
  <c r="A53" i="605"/>
  <c r="B53" i="605"/>
  <c r="D53" i="605" s="1"/>
  <c r="F53" i="605"/>
  <c r="G53" i="605"/>
  <c r="H53" i="605" s="1"/>
  <c r="J53" i="605"/>
  <c r="L53" i="605" s="1"/>
  <c r="N53" i="605"/>
  <c r="O53" i="605"/>
  <c r="R53" i="605"/>
  <c r="T53" i="605" s="1"/>
  <c r="V53" i="605"/>
  <c r="W53" i="605"/>
  <c r="A54" i="605"/>
  <c r="B54" i="605"/>
  <c r="D54" i="605" s="1"/>
  <c r="F54" i="605"/>
  <c r="G54" i="605"/>
  <c r="H54" i="605" s="1"/>
  <c r="J54" i="605"/>
  <c r="L54" i="605" s="1"/>
  <c r="N54" i="605"/>
  <c r="O54" i="605"/>
  <c r="R54" i="605"/>
  <c r="T54" i="605" s="1"/>
  <c r="V54" i="605"/>
  <c r="W54" i="605"/>
  <c r="A55" i="605"/>
  <c r="B55" i="605"/>
  <c r="D55" i="605" s="1"/>
  <c r="F55" i="605"/>
  <c r="G55" i="605"/>
  <c r="H55" i="605" s="1"/>
  <c r="J55" i="605"/>
  <c r="L55" i="605" s="1"/>
  <c r="N55" i="605"/>
  <c r="O55" i="605"/>
  <c r="R55" i="605"/>
  <c r="T55" i="605" s="1"/>
  <c r="V55" i="605"/>
  <c r="W55" i="605"/>
  <c r="A56" i="605"/>
  <c r="B56" i="605"/>
  <c r="D56" i="605" s="1"/>
  <c r="F56" i="605"/>
  <c r="G56" i="605"/>
  <c r="H56" i="605" s="1"/>
  <c r="J56" i="605"/>
  <c r="L56" i="605" s="1"/>
  <c r="N56" i="605"/>
  <c r="O56" i="605"/>
  <c r="R56" i="605"/>
  <c r="T56" i="605" s="1"/>
  <c r="V56" i="605"/>
  <c r="W56" i="605"/>
  <c r="A57" i="605"/>
  <c r="B57" i="605"/>
  <c r="D57" i="605" s="1"/>
  <c r="F57" i="605"/>
  <c r="G57" i="605"/>
  <c r="H57" i="605" s="1"/>
  <c r="J57" i="605"/>
  <c r="L57" i="605" s="1"/>
  <c r="N57" i="605"/>
  <c r="O57" i="605"/>
  <c r="R57" i="605"/>
  <c r="T57" i="605" s="1"/>
  <c r="V57" i="605"/>
  <c r="W57" i="605"/>
  <c r="A58" i="605"/>
  <c r="B58" i="605"/>
  <c r="D58" i="605" s="1"/>
  <c r="F58" i="605"/>
  <c r="G58" i="605"/>
  <c r="H58" i="605" s="1"/>
  <c r="J58" i="605"/>
  <c r="L58" i="605" s="1"/>
  <c r="N58" i="605"/>
  <c r="O58" i="605"/>
  <c r="R58" i="605"/>
  <c r="T58" i="605" s="1"/>
  <c r="V58" i="605"/>
  <c r="W58" i="605"/>
  <c r="A59" i="605"/>
  <c r="B59" i="605"/>
  <c r="D59" i="605" s="1"/>
  <c r="F59" i="605"/>
  <c r="G59" i="605"/>
  <c r="H59" i="605" s="1"/>
  <c r="J59" i="605"/>
  <c r="L59" i="605" s="1"/>
  <c r="N59" i="605"/>
  <c r="O59" i="605"/>
  <c r="R59" i="605"/>
  <c r="T59" i="605" s="1"/>
  <c r="V59" i="605"/>
  <c r="W59" i="605"/>
  <c r="A60" i="605"/>
  <c r="B60" i="605"/>
  <c r="D60" i="605" s="1"/>
  <c r="F60" i="605"/>
  <c r="G60" i="605"/>
  <c r="H60" i="605" s="1"/>
  <c r="J60" i="605"/>
  <c r="L60" i="605" s="1"/>
  <c r="N60" i="605"/>
  <c r="O60" i="605"/>
  <c r="R60" i="605"/>
  <c r="T60" i="605" s="1"/>
  <c r="V60" i="605"/>
  <c r="W60" i="605"/>
  <c r="A61" i="605"/>
  <c r="B61" i="605"/>
  <c r="D61" i="605" s="1"/>
  <c r="F61" i="605"/>
  <c r="G61" i="605"/>
  <c r="H61" i="605" s="1"/>
  <c r="J61" i="605"/>
  <c r="L61" i="605" s="1"/>
  <c r="N61" i="605"/>
  <c r="O61" i="605"/>
  <c r="R61" i="605"/>
  <c r="T61" i="605" s="1"/>
  <c r="V61" i="605"/>
  <c r="W61" i="605"/>
  <c r="A62" i="605"/>
  <c r="B62" i="605"/>
  <c r="D62" i="605" s="1"/>
  <c r="F62" i="605"/>
  <c r="G62" i="605"/>
  <c r="H62" i="605" s="1"/>
  <c r="J62" i="605"/>
  <c r="L62" i="605" s="1"/>
  <c r="N62" i="605"/>
  <c r="O62" i="605"/>
  <c r="R62" i="605"/>
  <c r="T62" i="605" s="1"/>
  <c r="V62" i="605"/>
  <c r="W62" i="605"/>
  <c r="A63" i="605"/>
  <c r="B63" i="605"/>
  <c r="D63" i="605" s="1"/>
  <c r="F63" i="605"/>
  <c r="G63" i="605"/>
  <c r="H63" i="605"/>
  <c r="J63" i="605"/>
  <c r="L63" i="605" s="1"/>
  <c r="N63" i="605"/>
  <c r="O63" i="605"/>
  <c r="R63" i="605"/>
  <c r="T63" i="605" s="1"/>
  <c r="V63" i="605"/>
  <c r="W63" i="605"/>
  <c r="A64" i="605"/>
  <c r="B64" i="605"/>
  <c r="D64" i="605" s="1"/>
  <c r="F64" i="605"/>
  <c r="G64" i="605"/>
  <c r="H64" i="605" s="1"/>
  <c r="J64" i="605"/>
  <c r="L64" i="605" s="1"/>
  <c r="N64" i="605"/>
  <c r="O64" i="605"/>
  <c r="R64" i="605"/>
  <c r="T64" i="605" s="1"/>
  <c r="V64" i="605"/>
  <c r="W64" i="605"/>
  <c r="A65" i="605"/>
  <c r="B65" i="605"/>
  <c r="D65" i="605" s="1"/>
  <c r="F65" i="605"/>
  <c r="G65" i="605"/>
  <c r="H65" i="605" s="1"/>
  <c r="J65" i="605"/>
  <c r="L65" i="605" s="1"/>
  <c r="N65" i="605"/>
  <c r="O65" i="605"/>
  <c r="R65" i="605"/>
  <c r="T65" i="605" s="1"/>
  <c r="V65" i="605"/>
  <c r="W65" i="605"/>
  <c r="A66" i="605"/>
  <c r="B66" i="605"/>
  <c r="D66" i="605" s="1"/>
  <c r="F66" i="605"/>
  <c r="G66" i="605"/>
  <c r="H66" i="605" s="1"/>
  <c r="J66" i="605"/>
  <c r="L66" i="605" s="1"/>
  <c r="N66" i="605"/>
  <c r="O66" i="605"/>
  <c r="R66" i="605"/>
  <c r="T66" i="605" s="1"/>
  <c r="V66" i="605"/>
  <c r="W66" i="605"/>
  <c r="A67" i="605"/>
  <c r="B67" i="605"/>
  <c r="D67" i="605" s="1"/>
  <c r="F67" i="605"/>
  <c r="G67" i="605"/>
  <c r="H67" i="605" s="1"/>
  <c r="J67" i="605"/>
  <c r="L67" i="605" s="1"/>
  <c r="N67" i="605"/>
  <c r="O67" i="605"/>
  <c r="R67" i="605"/>
  <c r="T67" i="605" s="1"/>
  <c r="V67" i="605"/>
  <c r="W67" i="605"/>
  <c r="A68" i="605"/>
  <c r="B68" i="605"/>
  <c r="D68" i="605" s="1"/>
  <c r="F68" i="605"/>
  <c r="G68" i="605"/>
  <c r="H68" i="605" s="1"/>
  <c r="J68" i="605"/>
  <c r="L68" i="605" s="1"/>
  <c r="N68" i="605"/>
  <c r="O68" i="605"/>
  <c r="R68" i="605"/>
  <c r="T68" i="605" s="1"/>
  <c r="V68" i="605"/>
  <c r="W68" i="605"/>
  <c r="A69" i="605"/>
  <c r="B69" i="605"/>
  <c r="D69" i="605" s="1"/>
  <c r="F69" i="605"/>
  <c r="G69" i="605"/>
  <c r="H69" i="605" s="1"/>
  <c r="J69" i="605"/>
  <c r="L69" i="605" s="1"/>
  <c r="N69" i="605"/>
  <c r="O69" i="605"/>
  <c r="R69" i="605"/>
  <c r="T69" i="605" s="1"/>
  <c r="V69" i="605"/>
  <c r="W69" i="605"/>
  <c r="A70" i="605"/>
  <c r="B70" i="605"/>
  <c r="D70" i="605" s="1"/>
  <c r="F70" i="605"/>
  <c r="G70" i="605"/>
  <c r="H70" i="605" s="1"/>
  <c r="J70" i="605"/>
  <c r="L70" i="605" s="1"/>
  <c r="N70" i="605"/>
  <c r="O70" i="605"/>
  <c r="R70" i="605"/>
  <c r="T70" i="605" s="1"/>
  <c r="V70" i="605"/>
  <c r="W70" i="605"/>
  <c r="A71" i="605"/>
  <c r="B71" i="605"/>
  <c r="D71" i="605" s="1"/>
  <c r="F71" i="605"/>
  <c r="G71" i="605"/>
  <c r="H71" i="605" s="1"/>
  <c r="J71" i="605"/>
  <c r="L71" i="605" s="1"/>
  <c r="N71" i="605"/>
  <c r="O71" i="605"/>
  <c r="R71" i="605"/>
  <c r="T71" i="605" s="1"/>
  <c r="V71" i="605"/>
  <c r="W71" i="605"/>
  <c r="A72" i="605"/>
  <c r="B72" i="605"/>
  <c r="D72" i="605" s="1"/>
  <c r="F72" i="605"/>
  <c r="G72" i="605"/>
  <c r="H72" i="605" s="1"/>
  <c r="J72" i="605"/>
  <c r="L72" i="605" s="1"/>
  <c r="N72" i="605"/>
  <c r="O72" i="605"/>
  <c r="R72" i="605"/>
  <c r="T72" i="605" s="1"/>
  <c r="V72" i="605"/>
  <c r="W72" i="605"/>
  <c r="A73" i="605"/>
  <c r="B73" i="605"/>
  <c r="D73" i="605" s="1"/>
  <c r="F73" i="605"/>
  <c r="G73" i="605"/>
  <c r="H73" i="605" s="1"/>
  <c r="J73" i="605"/>
  <c r="L73" i="605" s="1"/>
  <c r="N73" i="605"/>
  <c r="O73" i="605"/>
  <c r="R73" i="605"/>
  <c r="T73" i="605" s="1"/>
  <c r="V73" i="605"/>
  <c r="W73" i="605"/>
  <c r="A74" i="605"/>
  <c r="B74" i="605"/>
  <c r="D74" i="605" s="1"/>
  <c r="F74" i="605"/>
  <c r="G74" i="605"/>
  <c r="H74" i="605" s="1"/>
  <c r="J74" i="605"/>
  <c r="L74" i="605" s="1"/>
  <c r="N74" i="605"/>
  <c r="O74" i="605"/>
  <c r="R74" i="605"/>
  <c r="T74" i="605" s="1"/>
  <c r="V74" i="605"/>
  <c r="W74" i="605"/>
  <c r="A75" i="605"/>
  <c r="B75" i="605"/>
  <c r="D75" i="605" s="1"/>
  <c r="F75" i="605"/>
  <c r="G75" i="605"/>
  <c r="H75" i="605" s="1"/>
  <c r="J75" i="605"/>
  <c r="L75" i="605" s="1"/>
  <c r="N75" i="605"/>
  <c r="O75" i="605"/>
  <c r="R75" i="605"/>
  <c r="T75" i="605" s="1"/>
  <c r="V75" i="605"/>
  <c r="W75" i="605"/>
  <c r="A76" i="605"/>
  <c r="B76" i="605"/>
  <c r="D76" i="605" s="1"/>
  <c r="F76" i="605"/>
  <c r="G76" i="605"/>
  <c r="H76" i="605" s="1"/>
  <c r="J76" i="605"/>
  <c r="L76" i="605" s="1"/>
  <c r="N76" i="605"/>
  <c r="O76" i="605"/>
  <c r="R76" i="605"/>
  <c r="T76" i="605" s="1"/>
  <c r="V76" i="605"/>
  <c r="W76" i="605"/>
  <c r="A77" i="605"/>
  <c r="B77" i="605"/>
  <c r="D77" i="605" s="1"/>
  <c r="F77" i="605"/>
  <c r="G77" i="605"/>
  <c r="H77" i="605" s="1"/>
  <c r="J77" i="605"/>
  <c r="L77" i="605" s="1"/>
  <c r="N77" i="605"/>
  <c r="O77" i="605"/>
  <c r="R77" i="605"/>
  <c r="T77" i="605" s="1"/>
  <c r="V77" i="605"/>
  <c r="W77" i="605"/>
  <c r="A78" i="605"/>
  <c r="B78" i="605"/>
  <c r="D78" i="605" s="1"/>
  <c r="F78" i="605"/>
  <c r="G78" i="605"/>
  <c r="H78" i="605"/>
  <c r="J78" i="605"/>
  <c r="L78" i="605" s="1"/>
  <c r="N78" i="605"/>
  <c r="O78" i="605"/>
  <c r="R78" i="605"/>
  <c r="T78" i="605" s="1"/>
  <c r="V78" i="605"/>
  <c r="W78" i="605"/>
  <c r="A79" i="605"/>
  <c r="B79" i="605"/>
  <c r="D79" i="605" s="1"/>
  <c r="F79" i="605"/>
  <c r="G79" i="605"/>
  <c r="H79" i="605" s="1"/>
  <c r="J79" i="605"/>
  <c r="L79" i="605" s="1"/>
  <c r="N79" i="605"/>
  <c r="O79" i="605"/>
  <c r="R79" i="605"/>
  <c r="T79" i="605" s="1"/>
  <c r="V79" i="605"/>
  <c r="W79" i="605"/>
  <c r="A81" i="605"/>
  <c r="B81" i="605"/>
  <c r="D81" i="605" s="1"/>
  <c r="F81" i="605"/>
  <c r="G81" i="605"/>
  <c r="H81" i="605" s="1"/>
  <c r="J81" i="605"/>
  <c r="L81" i="605" s="1"/>
  <c r="N81" i="605"/>
  <c r="O81" i="605"/>
  <c r="R81" i="605"/>
  <c r="T81" i="605" s="1"/>
  <c r="V81" i="605"/>
  <c r="W81" i="605"/>
  <c r="A82" i="605"/>
  <c r="B82" i="605"/>
  <c r="D82" i="605" s="1"/>
  <c r="F82" i="605"/>
  <c r="G82" i="605"/>
  <c r="H82" i="605" s="1"/>
  <c r="J82" i="605"/>
  <c r="L82" i="605" s="1"/>
  <c r="N82" i="605"/>
  <c r="O82" i="605"/>
  <c r="R82" i="605"/>
  <c r="T82" i="605" s="1"/>
  <c r="V82" i="605"/>
  <c r="W82" i="605"/>
  <c r="A84" i="605"/>
  <c r="B84" i="605"/>
  <c r="D84" i="605" s="1"/>
  <c r="F84" i="605"/>
  <c r="G84" i="605"/>
  <c r="H84" i="605" s="1"/>
  <c r="J84" i="605"/>
  <c r="L84" i="605" s="1"/>
  <c r="N84" i="605"/>
  <c r="O84" i="605"/>
  <c r="R84" i="605"/>
  <c r="T84" i="605" s="1"/>
  <c r="V84" i="605"/>
  <c r="W84" i="605"/>
  <c r="A85" i="605"/>
  <c r="B85" i="605"/>
  <c r="D85" i="605" s="1"/>
  <c r="F85" i="605"/>
  <c r="G85" i="605"/>
  <c r="H85" i="605" s="1"/>
  <c r="J85" i="605"/>
  <c r="L85" i="605" s="1"/>
  <c r="N85" i="605"/>
  <c r="O85" i="605"/>
  <c r="R85" i="605"/>
  <c r="T85" i="605" s="1"/>
  <c r="V85" i="605"/>
  <c r="W85" i="605"/>
  <c r="A86" i="605"/>
  <c r="B86" i="605"/>
  <c r="D86" i="605" s="1"/>
  <c r="F86" i="605"/>
  <c r="G86" i="605"/>
  <c r="H86" i="605" s="1"/>
  <c r="J86" i="605"/>
  <c r="L86" i="605" s="1"/>
  <c r="N86" i="605"/>
  <c r="O86" i="605"/>
  <c r="R86" i="605"/>
  <c r="T86" i="605" s="1"/>
  <c r="V86" i="605"/>
  <c r="W86" i="605"/>
  <c r="A87" i="605"/>
  <c r="B87" i="605"/>
  <c r="D87" i="605" s="1"/>
  <c r="F87" i="605"/>
  <c r="G87" i="605"/>
  <c r="H87" i="605" s="1"/>
  <c r="J87" i="605"/>
  <c r="L87" i="605" s="1"/>
  <c r="N87" i="605"/>
  <c r="O87" i="605"/>
  <c r="R87" i="605"/>
  <c r="T87" i="605" s="1"/>
  <c r="V87" i="605"/>
  <c r="W87" i="605"/>
  <c r="A88" i="605"/>
  <c r="B88" i="605"/>
  <c r="D88" i="605" s="1"/>
  <c r="F88" i="605"/>
  <c r="G88" i="605"/>
  <c r="H88" i="605"/>
  <c r="J88" i="605"/>
  <c r="L88" i="605" s="1"/>
  <c r="N88" i="605"/>
  <c r="O88" i="605"/>
  <c r="R88" i="605"/>
  <c r="T88" i="605" s="1"/>
  <c r="V88" i="605"/>
  <c r="W88" i="605"/>
  <c r="A90" i="605"/>
  <c r="B90" i="605"/>
  <c r="D90" i="605" s="1"/>
  <c r="F90" i="605"/>
  <c r="G90" i="605"/>
  <c r="H90" i="605" s="1"/>
  <c r="J90" i="605"/>
  <c r="L90" i="605" s="1"/>
  <c r="N90" i="605"/>
  <c r="O90" i="605"/>
  <c r="R90" i="605"/>
  <c r="T90" i="605" s="1"/>
  <c r="V90" i="605"/>
  <c r="W90" i="605"/>
  <c r="A91" i="605"/>
  <c r="B91" i="605"/>
  <c r="D91" i="605" s="1"/>
  <c r="F91" i="605"/>
  <c r="G91" i="605"/>
  <c r="H91" i="605" s="1"/>
  <c r="J91" i="605"/>
  <c r="L91" i="605" s="1"/>
  <c r="N91" i="605"/>
  <c r="O91" i="605"/>
  <c r="R91" i="605"/>
  <c r="T91" i="605" s="1"/>
  <c r="V91" i="605"/>
  <c r="W91" i="605"/>
  <c r="A94" i="605"/>
  <c r="B94" i="605"/>
  <c r="D94" i="605" s="1"/>
  <c r="F94" i="605"/>
  <c r="G94" i="605"/>
  <c r="H94" i="605" s="1"/>
  <c r="J94" i="605"/>
  <c r="L94" i="605" s="1"/>
  <c r="N94" i="605"/>
  <c r="O94" i="605"/>
  <c r="R94" i="605"/>
  <c r="T94" i="605" s="1"/>
  <c r="V94" i="605"/>
  <c r="W94" i="605"/>
  <c r="A34" i="605"/>
  <c r="B34" i="605"/>
  <c r="D34" i="605" s="1"/>
  <c r="F34" i="605"/>
  <c r="G34" i="605"/>
  <c r="H34" i="605" s="1"/>
  <c r="J34" i="605"/>
  <c r="L34" i="605" s="1"/>
  <c r="N34" i="605"/>
  <c r="O34" i="605"/>
  <c r="R34" i="605"/>
  <c r="T34" i="605" s="1"/>
  <c r="V34" i="605"/>
  <c r="W34" i="605"/>
  <c r="A35" i="605"/>
  <c r="B35" i="605"/>
  <c r="D35" i="605" s="1"/>
  <c r="F35" i="605"/>
  <c r="G35" i="605"/>
  <c r="H35" i="605" s="1"/>
  <c r="J35" i="605"/>
  <c r="L35" i="605" s="1"/>
  <c r="N35" i="605"/>
  <c r="O35" i="605"/>
  <c r="R35" i="605"/>
  <c r="T35" i="605" s="1"/>
  <c r="V35" i="605"/>
  <c r="W35" i="605"/>
  <c r="A36" i="605"/>
  <c r="B36" i="605"/>
  <c r="D36" i="605" s="1"/>
  <c r="F36" i="605"/>
  <c r="G36" i="605"/>
  <c r="H36" i="605"/>
  <c r="J36" i="605"/>
  <c r="L36" i="605" s="1"/>
  <c r="N36" i="605"/>
  <c r="O36" i="605"/>
  <c r="R36" i="605"/>
  <c r="T36" i="605" s="1"/>
  <c r="V36" i="605"/>
  <c r="W36" i="605"/>
  <c r="A37" i="605"/>
  <c r="B37" i="605"/>
  <c r="D37" i="605" s="1"/>
  <c r="F37" i="605"/>
  <c r="G37" i="605"/>
  <c r="H37" i="605"/>
  <c r="J37" i="605"/>
  <c r="L37" i="605" s="1"/>
  <c r="N37" i="605"/>
  <c r="O37" i="605"/>
  <c r="R37" i="605"/>
  <c r="T37" i="605" s="1"/>
  <c r="V37" i="605"/>
  <c r="W37" i="605"/>
  <c r="A38" i="605"/>
  <c r="B38" i="605"/>
  <c r="D38" i="605" s="1"/>
  <c r="F38" i="605"/>
  <c r="G38" i="605"/>
  <c r="H38" i="605"/>
  <c r="J38" i="605"/>
  <c r="L38" i="605" s="1"/>
  <c r="N38" i="605"/>
  <c r="O38" i="605"/>
  <c r="R38" i="605"/>
  <c r="T38" i="605" s="1"/>
  <c r="V38" i="605"/>
  <c r="W38" i="605"/>
  <c r="A39" i="605"/>
  <c r="B39" i="605"/>
  <c r="D39" i="605" s="1"/>
  <c r="F39" i="605"/>
  <c r="G39" i="605"/>
  <c r="H39" i="605" s="1"/>
  <c r="J39" i="605"/>
  <c r="L39" i="605" s="1"/>
  <c r="N39" i="605"/>
  <c r="O39" i="605"/>
  <c r="R39" i="605"/>
  <c r="T39" i="605" s="1"/>
  <c r="V39" i="605"/>
  <c r="W39" i="605"/>
  <c r="A40" i="605"/>
  <c r="B40" i="605"/>
  <c r="D40" i="605" s="1"/>
  <c r="F40" i="605"/>
  <c r="G40" i="605"/>
  <c r="H40" i="605" s="1"/>
  <c r="J40" i="605"/>
  <c r="L40" i="605" s="1"/>
  <c r="N40" i="605"/>
  <c r="O40" i="605"/>
  <c r="R40" i="605"/>
  <c r="T40" i="605" s="1"/>
  <c r="V40" i="605"/>
  <c r="W40" i="605"/>
  <c r="P38" i="619"/>
  <c r="P39" i="619"/>
  <c r="P40" i="619"/>
  <c r="P41" i="619"/>
  <c r="P42" i="619"/>
  <c r="P43" i="619"/>
  <c r="P44" i="619"/>
  <c r="P45" i="619"/>
  <c r="P46" i="619"/>
  <c r="P47" i="619"/>
  <c r="P48" i="619"/>
  <c r="P49" i="619"/>
  <c r="P50" i="619"/>
  <c r="P51" i="619"/>
  <c r="P53" i="619"/>
  <c r="P54" i="619"/>
  <c r="P55" i="619"/>
  <c r="P56" i="619"/>
  <c r="P57" i="619"/>
  <c r="P58" i="619"/>
  <c r="P59" i="619"/>
  <c r="P60" i="619"/>
  <c r="P61" i="619"/>
  <c r="P62" i="619"/>
  <c r="P63" i="619"/>
  <c r="P64" i="619"/>
  <c r="P65" i="619"/>
  <c r="P66" i="619"/>
  <c r="P67" i="619"/>
  <c r="P68" i="619"/>
  <c r="P69" i="619"/>
  <c r="P70" i="619"/>
  <c r="P71" i="619"/>
  <c r="P72" i="619"/>
  <c r="P73" i="619"/>
  <c r="P74" i="619"/>
  <c r="P75" i="619"/>
  <c r="P76" i="619"/>
  <c r="P77" i="619"/>
  <c r="P78" i="619"/>
  <c r="P79" i="619"/>
  <c r="P80" i="619"/>
  <c r="P81" i="619"/>
  <c r="P82" i="619"/>
  <c r="P83" i="619"/>
  <c r="P86" i="619"/>
  <c r="P88" i="619"/>
  <c r="P89" i="619"/>
  <c r="P90" i="619"/>
  <c r="P91" i="619"/>
  <c r="P92" i="619"/>
  <c r="P94" i="619"/>
  <c r="P95" i="619"/>
  <c r="P98" i="619"/>
  <c r="C93" i="618"/>
  <c r="I93" i="618" s="1"/>
  <c r="D93" i="618"/>
  <c r="C46" i="618"/>
  <c r="D46" i="618"/>
  <c r="C48" i="618"/>
  <c r="B48" i="618" s="1"/>
  <c r="D48" i="618"/>
  <c r="C49" i="618"/>
  <c r="D49" i="618"/>
  <c r="C50" i="618"/>
  <c r="I50" i="618" s="1"/>
  <c r="D50" i="618"/>
  <c r="C51" i="618"/>
  <c r="D51" i="618"/>
  <c r="C52" i="618"/>
  <c r="D52" i="618"/>
  <c r="C53" i="618"/>
  <c r="D53" i="618"/>
  <c r="C54" i="618"/>
  <c r="I54" i="618" s="1"/>
  <c r="D54" i="618"/>
  <c r="C55" i="618"/>
  <c r="D55" i="618"/>
  <c r="C56" i="618"/>
  <c r="D56" i="618"/>
  <c r="C57" i="618"/>
  <c r="D57" i="618"/>
  <c r="C58" i="618"/>
  <c r="D58" i="618"/>
  <c r="C59" i="618"/>
  <c r="D59" i="618"/>
  <c r="C60" i="618"/>
  <c r="D60" i="618"/>
  <c r="C61" i="618"/>
  <c r="D61" i="618"/>
  <c r="C62" i="618"/>
  <c r="D62" i="618"/>
  <c r="C63" i="618"/>
  <c r="D63" i="618"/>
  <c r="C64" i="618"/>
  <c r="D64" i="618"/>
  <c r="C65" i="618"/>
  <c r="D65" i="618"/>
  <c r="C66" i="618"/>
  <c r="D66" i="618"/>
  <c r="C67" i="618"/>
  <c r="D67" i="618"/>
  <c r="C68" i="618"/>
  <c r="D68" i="618"/>
  <c r="C69" i="618"/>
  <c r="D69" i="618"/>
  <c r="C70" i="618"/>
  <c r="D70" i="618"/>
  <c r="C71" i="618"/>
  <c r="D71" i="618"/>
  <c r="C72" i="618"/>
  <c r="D72" i="618"/>
  <c r="C73" i="618"/>
  <c r="D73" i="618"/>
  <c r="C74" i="618"/>
  <c r="D74" i="618"/>
  <c r="C75" i="618"/>
  <c r="D75" i="618"/>
  <c r="C76" i="618"/>
  <c r="D76" i="618"/>
  <c r="C77" i="618"/>
  <c r="I77" i="618" s="1"/>
  <c r="D77" i="618"/>
  <c r="C78" i="618"/>
  <c r="D78" i="618"/>
  <c r="C80" i="618"/>
  <c r="D80" i="618"/>
  <c r="C81" i="618"/>
  <c r="D81" i="618"/>
  <c r="C83" i="618"/>
  <c r="I83" i="618" s="1"/>
  <c r="D83" i="618"/>
  <c r="C84" i="618"/>
  <c r="D84" i="618"/>
  <c r="C85" i="618"/>
  <c r="D85" i="618"/>
  <c r="C86" i="618"/>
  <c r="D86" i="618"/>
  <c r="C87" i="618"/>
  <c r="D87" i="618"/>
  <c r="C89" i="618"/>
  <c r="D89" i="618"/>
  <c r="C90" i="618"/>
  <c r="I90" i="618" s="1"/>
  <c r="D90" i="618"/>
  <c r="C34" i="618"/>
  <c r="D34" i="618"/>
  <c r="C35" i="618"/>
  <c r="D35" i="618"/>
  <c r="C36" i="618"/>
  <c r="D36" i="618"/>
  <c r="C37" i="618"/>
  <c r="I37" i="618" s="1"/>
  <c r="D37" i="618"/>
  <c r="H37" i="618"/>
  <c r="O37" i="618" s="1"/>
  <c r="C38" i="618"/>
  <c r="D38" i="618"/>
  <c r="C39" i="618"/>
  <c r="I39" i="618" s="1"/>
  <c r="D39" i="618"/>
  <c r="H39" i="618"/>
  <c r="O39" i="618" s="1"/>
  <c r="C40" i="618"/>
  <c r="D40" i="618"/>
  <c r="C41" i="618"/>
  <c r="I41" i="618" s="1"/>
  <c r="D41" i="618"/>
  <c r="C42" i="618"/>
  <c r="D42" i="618"/>
  <c r="C43" i="618"/>
  <c r="D43" i="618"/>
  <c r="C44" i="618"/>
  <c r="D44" i="618"/>
  <c r="C45" i="618"/>
  <c r="D45" i="618"/>
  <c r="C51" i="616"/>
  <c r="G51" i="616"/>
  <c r="K51" i="616"/>
  <c r="C52" i="616"/>
  <c r="G52" i="616"/>
  <c r="K52" i="616"/>
  <c r="C53" i="616"/>
  <c r="G53" i="616"/>
  <c r="K53" i="616"/>
  <c r="C54" i="616"/>
  <c r="G54" i="616"/>
  <c r="K54" i="616"/>
  <c r="C55" i="616"/>
  <c r="G55" i="616"/>
  <c r="K55" i="616"/>
  <c r="C56" i="616"/>
  <c r="G56" i="616"/>
  <c r="K56" i="616"/>
  <c r="C58" i="616"/>
  <c r="G58" i="616"/>
  <c r="K58" i="616"/>
  <c r="C59" i="616"/>
  <c r="G59" i="616"/>
  <c r="K59" i="616"/>
  <c r="C60" i="616"/>
  <c r="G60" i="616"/>
  <c r="K60" i="616"/>
  <c r="C61" i="616"/>
  <c r="G61" i="616"/>
  <c r="K61" i="616"/>
  <c r="C62" i="616"/>
  <c r="G62" i="616"/>
  <c r="K62" i="616"/>
  <c r="C63" i="616"/>
  <c r="G63" i="616"/>
  <c r="K63" i="616"/>
  <c r="C64" i="616"/>
  <c r="G64" i="616"/>
  <c r="K64" i="616"/>
  <c r="C65" i="616"/>
  <c r="G65" i="616"/>
  <c r="K65" i="616"/>
  <c r="C66" i="616"/>
  <c r="G66" i="616"/>
  <c r="K66" i="616"/>
  <c r="C67" i="616"/>
  <c r="G67" i="616"/>
  <c r="K67" i="616"/>
  <c r="C68" i="616"/>
  <c r="G68" i="616"/>
  <c r="K68" i="616"/>
  <c r="C69" i="616"/>
  <c r="G69" i="616"/>
  <c r="K69" i="616"/>
  <c r="C70" i="616"/>
  <c r="G70" i="616"/>
  <c r="K70" i="616"/>
  <c r="C71" i="616"/>
  <c r="G71" i="616"/>
  <c r="K71" i="616"/>
  <c r="C72" i="616"/>
  <c r="G72" i="616"/>
  <c r="K72" i="616"/>
  <c r="C73" i="616"/>
  <c r="G73" i="616"/>
  <c r="K73" i="616"/>
  <c r="C74" i="616"/>
  <c r="G74" i="616"/>
  <c r="K74" i="616"/>
  <c r="C75" i="616"/>
  <c r="G75" i="616"/>
  <c r="K75" i="616"/>
  <c r="C76" i="616"/>
  <c r="G76" i="616"/>
  <c r="K76" i="616"/>
  <c r="C77" i="616"/>
  <c r="G77" i="616"/>
  <c r="K77" i="616"/>
  <c r="C78" i="616"/>
  <c r="G78" i="616"/>
  <c r="K78" i="616"/>
  <c r="C79" i="616"/>
  <c r="G79" i="616"/>
  <c r="K79" i="616"/>
  <c r="C80" i="616"/>
  <c r="G80" i="616"/>
  <c r="K80" i="616"/>
  <c r="C81" i="616"/>
  <c r="G81" i="616"/>
  <c r="K81" i="616"/>
  <c r="C82" i="616"/>
  <c r="G82" i="616"/>
  <c r="K82" i="616"/>
  <c r="C83" i="616"/>
  <c r="G83" i="616"/>
  <c r="K83" i="616"/>
  <c r="C84" i="616"/>
  <c r="G84" i="616"/>
  <c r="K84" i="616"/>
  <c r="C85" i="616"/>
  <c r="G85" i="616"/>
  <c r="K85" i="616"/>
  <c r="C86" i="616"/>
  <c r="G86" i="616"/>
  <c r="K86" i="616"/>
  <c r="C87" i="616"/>
  <c r="G87" i="616"/>
  <c r="K87" i="616"/>
  <c r="C88" i="616"/>
  <c r="G88" i="616"/>
  <c r="K88" i="616"/>
  <c r="C90" i="616"/>
  <c r="G90" i="616"/>
  <c r="K90" i="616"/>
  <c r="C91" i="616"/>
  <c r="G91" i="616"/>
  <c r="K91" i="616"/>
  <c r="C93" i="616"/>
  <c r="G93" i="616"/>
  <c r="K93" i="616"/>
  <c r="C94" i="616"/>
  <c r="G94" i="616"/>
  <c r="K94" i="616"/>
  <c r="C95" i="616"/>
  <c r="G95" i="616"/>
  <c r="K95" i="616"/>
  <c r="C96" i="616"/>
  <c r="G96" i="616"/>
  <c r="K96" i="616"/>
  <c r="C97" i="616"/>
  <c r="G97" i="616"/>
  <c r="K97" i="616"/>
  <c r="C99" i="616"/>
  <c r="G99" i="616"/>
  <c r="K99" i="616"/>
  <c r="C100" i="616"/>
  <c r="G100" i="616"/>
  <c r="K100" i="616"/>
  <c r="C48" i="616"/>
  <c r="G48" i="616"/>
  <c r="K48" i="616"/>
  <c r="C49" i="616"/>
  <c r="G49" i="616"/>
  <c r="K49" i="616"/>
  <c r="C50" i="616"/>
  <c r="G50" i="616"/>
  <c r="K50" i="616"/>
  <c r="C44" i="616"/>
  <c r="G44" i="616"/>
  <c r="K44" i="616"/>
  <c r="C45" i="616"/>
  <c r="G45" i="616"/>
  <c r="K45" i="616"/>
  <c r="C46" i="616"/>
  <c r="G46" i="616"/>
  <c r="K46" i="616"/>
  <c r="C47" i="616"/>
  <c r="G47" i="616"/>
  <c r="K47" i="616"/>
  <c r="C66" i="615"/>
  <c r="C67" i="615"/>
  <c r="C68" i="615"/>
  <c r="C69" i="615"/>
  <c r="C70" i="615"/>
  <c r="C71" i="615"/>
  <c r="C72" i="615"/>
  <c r="C73" i="615"/>
  <c r="C74" i="615"/>
  <c r="C75" i="615"/>
  <c r="C76" i="615"/>
  <c r="C77" i="615"/>
  <c r="C78" i="615"/>
  <c r="C79" i="615"/>
  <c r="C80" i="615"/>
  <c r="C81" i="615"/>
  <c r="C82" i="615"/>
  <c r="C83" i="615"/>
  <c r="C84" i="615"/>
  <c r="C85" i="615"/>
  <c r="C87" i="615"/>
  <c r="C88" i="615"/>
  <c r="C90" i="615"/>
  <c r="C91" i="615"/>
  <c r="C92" i="615"/>
  <c r="C93" i="615"/>
  <c r="C94" i="615"/>
  <c r="C96" i="615"/>
  <c r="C97" i="615"/>
  <c r="C47" i="615"/>
  <c r="C48" i="615"/>
  <c r="C49" i="615"/>
  <c r="C50" i="615"/>
  <c r="C51" i="615"/>
  <c r="C52" i="615"/>
  <c r="C53" i="615"/>
  <c r="C55" i="615"/>
  <c r="C56" i="615"/>
  <c r="C57" i="615"/>
  <c r="C58" i="615"/>
  <c r="C59" i="615"/>
  <c r="C60" i="615"/>
  <c r="C61" i="615"/>
  <c r="C62" i="615"/>
  <c r="C63" i="615"/>
  <c r="C64" i="615"/>
  <c r="C65" i="615"/>
  <c r="C41" i="615"/>
  <c r="C42" i="615"/>
  <c r="C43" i="615"/>
  <c r="C44" i="615"/>
  <c r="C45" i="615"/>
  <c r="C46" i="615"/>
  <c r="D99" i="612"/>
  <c r="D46" i="612"/>
  <c r="D47" i="612"/>
  <c r="D48" i="612"/>
  <c r="D49" i="612"/>
  <c r="D50" i="612"/>
  <c r="D51" i="612"/>
  <c r="D52" i="612"/>
  <c r="D54" i="612"/>
  <c r="D55" i="612"/>
  <c r="D56" i="612"/>
  <c r="D57" i="612"/>
  <c r="D58" i="612"/>
  <c r="D59" i="612"/>
  <c r="D60" i="612"/>
  <c r="D61" i="612"/>
  <c r="D62" i="612"/>
  <c r="D63" i="612"/>
  <c r="D64" i="612"/>
  <c r="D65" i="612"/>
  <c r="D66" i="612"/>
  <c r="D67" i="612"/>
  <c r="D68" i="612"/>
  <c r="D69" i="612"/>
  <c r="D70" i="612"/>
  <c r="D71" i="612"/>
  <c r="D72" i="612"/>
  <c r="D73" i="612"/>
  <c r="D74" i="612"/>
  <c r="D75" i="612"/>
  <c r="D76" i="612"/>
  <c r="D77" i="612"/>
  <c r="D78" i="612"/>
  <c r="D79" i="612"/>
  <c r="D80" i="612"/>
  <c r="D81" i="612"/>
  <c r="D82" i="612"/>
  <c r="D83" i="612"/>
  <c r="D84" i="612"/>
  <c r="D86" i="612"/>
  <c r="D87" i="612"/>
  <c r="D89" i="612"/>
  <c r="D90" i="612"/>
  <c r="D91" i="612"/>
  <c r="D92" i="612"/>
  <c r="D93" i="612"/>
  <c r="D95" i="612"/>
  <c r="D96" i="612"/>
  <c r="D39" i="612"/>
  <c r="D40" i="612"/>
  <c r="D41" i="612"/>
  <c r="D42" i="612"/>
  <c r="D43" i="612"/>
  <c r="D44" i="612"/>
  <c r="D45" i="612"/>
  <c r="C52" i="614"/>
  <c r="C148" i="613"/>
  <c r="E148" i="613" s="1"/>
  <c r="G148" i="613" s="1"/>
  <c r="C53" i="614"/>
  <c r="C149" i="613"/>
  <c r="E149" i="613" s="1"/>
  <c r="G149" i="613" s="1"/>
  <c r="C54" i="614"/>
  <c r="C150" i="613"/>
  <c r="E150" i="613" s="1"/>
  <c r="G150" i="613" s="1"/>
  <c r="C55" i="614"/>
  <c r="C151" i="613"/>
  <c r="C56" i="614"/>
  <c r="C152" i="613"/>
  <c r="E152" i="613" s="1"/>
  <c r="G152" i="613" s="1"/>
  <c r="C57" i="614"/>
  <c r="C153" i="613"/>
  <c r="E153" i="613" s="1"/>
  <c r="G153" i="613" s="1"/>
  <c r="C58" i="614"/>
  <c r="C154" i="613"/>
  <c r="E154" i="613" s="1"/>
  <c r="G154" i="613" s="1"/>
  <c r="C59" i="614"/>
  <c r="C155" i="613"/>
  <c r="E155" i="613" s="1"/>
  <c r="G155" i="613" s="1"/>
  <c r="C60" i="614"/>
  <c r="C156" i="613"/>
  <c r="E156" i="613" s="1"/>
  <c r="G156" i="613" s="1"/>
  <c r="C61" i="614"/>
  <c r="C157" i="613"/>
  <c r="E157" i="613" s="1"/>
  <c r="G157" i="613" s="1"/>
  <c r="C62" i="614"/>
  <c r="C158" i="613"/>
  <c r="C63" i="614"/>
  <c r="C159" i="613"/>
  <c r="C64" i="614"/>
  <c r="C160" i="613"/>
  <c r="C65" i="614"/>
  <c r="C161" i="613"/>
  <c r="E161" i="613" s="1"/>
  <c r="G161" i="613" s="1"/>
  <c r="C66" i="614"/>
  <c r="C162" i="613"/>
  <c r="E162" i="613" s="1"/>
  <c r="G162" i="613" s="1"/>
  <c r="C67" i="614"/>
  <c r="C163" i="613"/>
  <c r="E163" i="613" s="1"/>
  <c r="G163" i="613" s="1"/>
  <c r="C68" i="614"/>
  <c r="C164" i="613"/>
  <c r="E164" i="613" s="1"/>
  <c r="G164" i="613" s="1"/>
  <c r="C69" i="614"/>
  <c r="C165" i="613"/>
  <c r="E165" i="613" s="1"/>
  <c r="G165" i="613" s="1"/>
  <c r="C70" i="614"/>
  <c r="C166" i="613"/>
  <c r="C71" i="614"/>
  <c r="C167" i="613"/>
  <c r="E167" i="613" s="1"/>
  <c r="G167" i="613" s="1"/>
  <c r="C72" i="614"/>
  <c r="C168" i="613"/>
  <c r="E168" i="613" s="1"/>
  <c r="G168" i="613" s="1"/>
  <c r="C73" i="614"/>
  <c r="C169" i="613"/>
  <c r="E169" i="613" s="1"/>
  <c r="G169" i="613" s="1"/>
  <c r="C74" i="614"/>
  <c r="C170" i="613"/>
  <c r="A170" i="613"/>
  <c r="C75" i="614"/>
  <c r="C171" i="613"/>
  <c r="C76" i="614"/>
  <c r="C172" i="613"/>
  <c r="E172" i="613" s="1"/>
  <c r="G172" i="613" s="1"/>
  <c r="C77" i="614"/>
  <c r="C173" i="613"/>
  <c r="C78" i="614"/>
  <c r="C174" i="613"/>
  <c r="E174" i="613" s="1"/>
  <c r="G174" i="613" s="1"/>
  <c r="C80" i="614"/>
  <c r="C176" i="613"/>
  <c r="E176" i="613" s="1"/>
  <c r="G176" i="613" s="1"/>
  <c r="C81" i="614"/>
  <c r="C177" i="613"/>
  <c r="E177" i="613" s="1"/>
  <c r="G177" i="613" s="1"/>
  <c r="C83" i="614"/>
  <c r="C179" i="613"/>
  <c r="E179" i="613" s="1"/>
  <c r="G179" i="613" s="1"/>
  <c r="C84" i="614"/>
  <c r="C180" i="613"/>
  <c r="C85" i="614"/>
  <c r="C181" i="613"/>
  <c r="E181" i="613" s="1"/>
  <c r="G181" i="613" s="1"/>
  <c r="C86" i="614"/>
  <c r="C182" i="613"/>
  <c r="E182" i="613" s="1"/>
  <c r="G182" i="613" s="1"/>
  <c r="C87" i="614"/>
  <c r="C183" i="613"/>
  <c r="C89" i="614"/>
  <c r="C185" i="613"/>
  <c r="E185" i="613" s="1"/>
  <c r="G185" i="613" s="1"/>
  <c r="C90" i="614"/>
  <c r="C186" i="613"/>
  <c r="E186" i="613" s="1"/>
  <c r="G186" i="613" s="1"/>
  <c r="C43" i="614"/>
  <c r="C139" i="613"/>
  <c r="E139" i="613" s="1"/>
  <c r="G139" i="613" s="1"/>
  <c r="C44" i="614"/>
  <c r="C140" i="613"/>
  <c r="E140" i="613" s="1"/>
  <c r="G140" i="613" s="1"/>
  <c r="C45" i="614"/>
  <c r="C141" i="613"/>
  <c r="E141" i="613" s="1"/>
  <c r="G141" i="613" s="1"/>
  <c r="C46" i="614"/>
  <c r="C142" i="613"/>
  <c r="C48" i="614"/>
  <c r="C144" i="613"/>
  <c r="E144" i="613" s="1"/>
  <c r="G144" i="613" s="1"/>
  <c r="C49" i="614"/>
  <c r="C145" i="613"/>
  <c r="E145" i="613" s="1"/>
  <c r="G145" i="613" s="1"/>
  <c r="C50" i="614"/>
  <c r="C146" i="613"/>
  <c r="E146" i="613" s="1"/>
  <c r="G146" i="613" s="1"/>
  <c r="C51" i="614"/>
  <c r="C147" i="613"/>
  <c r="C36" i="614"/>
  <c r="C132" i="613"/>
  <c r="E132" i="613" s="1"/>
  <c r="G132" i="613" s="1"/>
  <c r="C37" i="614"/>
  <c r="C133" i="613"/>
  <c r="E133" i="613" s="1"/>
  <c r="G133" i="613" s="1"/>
  <c r="C38" i="614"/>
  <c r="C134" i="613"/>
  <c r="E134" i="613" s="1"/>
  <c r="G134" i="613" s="1"/>
  <c r="C39" i="614"/>
  <c r="C135" i="613"/>
  <c r="E135" i="613" s="1"/>
  <c r="G135" i="613" s="1"/>
  <c r="C40" i="614"/>
  <c r="C136" i="613"/>
  <c r="C41" i="614"/>
  <c r="C137" i="613"/>
  <c r="E137" i="613" s="1"/>
  <c r="G137" i="613" s="1"/>
  <c r="C42" i="614"/>
  <c r="C138" i="613"/>
  <c r="E138" i="613" s="1"/>
  <c r="G138" i="613" s="1"/>
  <c r="C35" i="614"/>
  <c r="C131" i="613"/>
  <c r="E131" i="613" s="1"/>
  <c r="G131" i="613" s="1"/>
  <c r="C34" i="614"/>
  <c r="C130" i="613"/>
  <c r="E130" i="613" s="1"/>
  <c r="G130" i="613" s="1"/>
  <c r="C129" i="613"/>
  <c r="E129" i="613" s="1"/>
  <c r="G129" i="613" s="1"/>
  <c r="B34" i="607"/>
  <c r="C34" i="607"/>
  <c r="D34" i="607"/>
  <c r="E34" i="607"/>
  <c r="A34" i="607"/>
  <c r="B97" i="604"/>
  <c r="B37" i="604"/>
  <c r="B38" i="604"/>
  <c r="B39" i="604"/>
  <c r="B40" i="604"/>
  <c r="B41" i="604"/>
  <c r="B42" i="604"/>
  <c r="B43" i="604"/>
  <c r="B44" i="604"/>
  <c r="B45" i="604"/>
  <c r="B46" i="604"/>
  <c r="B47" i="604"/>
  <c r="B48" i="604"/>
  <c r="B49" i="604"/>
  <c r="B50" i="604"/>
  <c r="B52" i="604"/>
  <c r="B53" i="604"/>
  <c r="B54" i="604"/>
  <c r="B55" i="604"/>
  <c r="B56" i="604"/>
  <c r="B57" i="604"/>
  <c r="B58" i="604"/>
  <c r="B59" i="604"/>
  <c r="B60" i="604"/>
  <c r="B61" i="604"/>
  <c r="B62" i="604"/>
  <c r="B63" i="604"/>
  <c r="B64" i="604"/>
  <c r="B65" i="604"/>
  <c r="B66" i="604"/>
  <c r="B67" i="604"/>
  <c r="B68" i="604"/>
  <c r="B69" i="604"/>
  <c r="B70" i="604"/>
  <c r="B71" i="604"/>
  <c r="B72" i="604"/>
  <c r="B73" i="604"/>
  <c r="B74" i="604"/>
  <c r="B75" i="604"/>
  <c r="B76" i="604"/>
  <c r="B77" i="604"/>
  <c r="B78" i="604"/>
  <c r="B79" i="604"/>
  <c r="B80" i="604"/>
  <c r="B81" i="604"/>
  <c r="B82" i="604"/>
  <c r="B85" i="604"/>
  <c r="B87" i="604"/>
  <c r="B88" i="604"/>
  <c r="B89" i="604"/>
  <c r="B90" i="604"/>
  <c r="B91" i="604"/>
  <c r="B93" i="604"/>
  <c r="B94" i="604"/>
  <c r="B45" i="603"/>
  <c r="B46" i="603"/>
  <c r="B47" i="603"/>
  <c r="B48" i="603"/>
  <c r="B49" i="603"/>
  <c r="B50" i="603"/>
  <c r="B51" i="603"/>
  <c r="B53" i="603"/>
  <c r="B54" i="603"/>
  <c r="B55" i="603"/>
  <c r="B56" i="603"/>
  <c r="B57" i="603"/>
  <c r="B58" i="603"/>
  <c r="B59" i="603"/>
  <c r="B60" i="603"/>
  <c r="B61" i="603"/>
  <c r="B62" i="603"/>
  <c r="B63" i="603"/>
  <c r="B64" i="603"/>
  <c r="B65" i="603"/>
  <c r="B66" i="603"/>
  <c r="B67" i="603"/>
  <c r="B68" i="603"/>
  <c r="B69" i="603"/>
  <c r="B70" i="603"/>
  <c r="B71" i="603"/>
  <c r="B72" i="603"/>
  <c r="B73" i="603"/>
  <c r="B74" i="603"/>
  <c r="B75" i="603"/>
  <c r="B76" i="603"/>
  <c r="B77" i="603"/>
  <c r="B78" i="603"/>
  <c r="B79" i="603"/>
  <c r="B80" i="603"/>
  <c r="B81" i="603"/>
  <c r="B82" i="603"/>
  <c r="B83" i="603"/>
  <c r="B85" i="603"/>
  <c r="B86" i="603"/>
  <c r="B88" i="603"/>
  <c r="B89" i="603"/>
  <c r="B90" i="603"/>
  <c r="B91" i="603"/>
  <c r="B92" i="603"/>
  <c r="B94" i="603"/>
  <c r="B95" i="603"/>
  <c r="B38" i="603"/>
  <c r="B39" i="603"/>
  <c r="B40" i="603"/>
  <c r="B41" i="603"/>
  <c r="B42" i="603"/>
  <c r="B43" i="603"/>
  <c r="B44" i="603"/>
  <c r="C45" i="602"/>
  <c r="B45" i="602" s="1"/>
  <c r="D45" i="602"/>
  <c r="C46" i="602"/>
  <c r="B46" i="602" s="1"/>
  <c r="D46" i="602"/>
  <c r="C48" i="602"/>
  <c r="B48" i="602" s="1"/>
  <c r="D48" i="602"/>
  <c r="C49" i="602"/>
  <c r="B49" i="602" s="1"/>
  <c r="D49" i="602"/>
  <c r="C50" i="602"/>
  <c r="B50" i="602" s="1"/>
  <c r="D50" i="602"/>
  <c r="C51" i="602"/>
  <c r="B51" i="602" s="1"/>
  <c r="D51" i="602"/>
  <c r="C52" i="602"/>
  <c r="B52" i="602" s="1"/>
  <c r="D52" i="602"/>
  <c r="C53" i="602"/>
  <c r="B53" i="602" s="1"/>
  <c r="D53" i="602"/>
  <c r="C54" i="602"/>
  <c r="B54" i="602" s="1"/>
  <c r="D54" i="602"/>
  <c r="C55" i="602"/>
  <c r="B55" i="602" s="1"/>
  <c r="D55" i="602"/>
  <c r="C56" i="602"/>
  <c r="B56" i="602" s="1"/>
  <c r="D56" i="602"/>
  <c r="C57" i="602"/>
  <c r="B57" i="602" s="1"/>
  <c r="D57" i="602"/>
  <c r="C58" i="602"/>
  <c r="B58" i="602" s="1"/>
  <c r="D58" i="602"/>
  <c r="C59" i="602"/>
  <c r="B59" i="602" s="1"/>
  <c r="D59" i="602"/>
  <c r="C60" i="602"/>
  <c r="B60" i="602" s="1"/>
  <c r="D60" i="602"/>
  <c r="C61" i="602"/>
  <c r="B61" i="602" s="1"/>
  <c r="D61" i="602"/>
  <c r="C62" i="602"/>
  <c r="B62" i="602" s="1"/>
  <c r="D62" i="602"/>
  <c r="C63" i="602"/>
  <c r="B63" i="602" s="1"/>
  <c r="D63" i="602"/>
  <c r="C64" i="602"/>
  <c r="B64" i="602" s="1"/>
  <c r="D64" i="602"/>
  <c r="C65" i="602"/>
  <c r="B65" i="602" s="1"/>
  <c r="D65" i="602"/>
  <c r="C66" i="602"/>
  <c r="B66" i="602" s="1"/>
  <c r="D66" i="602"/>
  <c r="C67" i="602"/>
  <c r="B67" i="602" s="1"/>
  <c r="D67" i="602"/>
  <c r="C68" i="602"/>
  <c r="B68" i="602" s="1"/>
  <c r="D68" i="602"/>
  <c r="C69" i="602"/>
  <c r="B69" i="602" s="1"/>
  <c r="D69" i="602"/>
  <c r="C70" i="602"/>
  <c r="B70" i="602" s="1"/>
  <c r="D70" i="602"/>
  <c r="C71" i="602"/>
  <c r="B71" i="602" s="1"/>
  <c r="D71" i="602"/>
  <c r="C72" i="602"/>
  <c r="B72" i="602" s="1"/>
  <c r="D72" i="602"/>
  <c r="C73" i="602"/>
  <c r="B73" i="602" s="1"/>
  <c r="D73" i="602"/>
  <c r="C74" i="602"/>
  <c r="B74" i="602" s="1"/>
  <c r="D74" i="602"/>
  <c r="C75" i="602"/>
  <c r="B75" i="602" s="1"/>
  <c r="D75" i="602"/>
  <c r="C76" i="602"/>
  <c r="B76" i="602" s="1"/>
  <c r="D76" i="602"/>
  <c r="C77" i="602"/>
  <c r="B77" i="602" s="1"/>
  <c r="D77" i="602"/>
  <c r="C78" i="602"/>
  <c r="B78" i="602" s="1"/>
  <c r="D78" i="602"/>
  <c r="C80" i="602"/>
  <c r="B80" i="602" s="1"/>
  <c r="D80" i="602"/>
  <c r="C81" i="602"/>
  <c r="B81" i="602" s="1"/>
  <c r="D81" i="602"/>
  <c r="C83" i="602"/>
  <c r="B83" i="602" s="1"/>
  <c r="D83" i="602"/>
  <c r="C84" i="602"/>
  <c r="B84" i="602" s="1"/>
  <c r="D84" i="602"/>
  <c r="C85" i="602"/>
  <c r="B85" i="602" s="1"/>
  <c r="D85" i="602"/>
  <c r="C86" i="602"/>
  <c r="B86" i="602" s="1"/>
  <c r="D86" i="602"/>
  <c r="C87" i="602"/>
  <c r="B87" i="602" s="1"/>
  <c r="D87" i="602"/>
  <c r="C89" i="602"/>
  <c r="B89" i="602" s="1"/>
  <c r="D89" i="602"/>
  <c r="C90" i="602"/>
  <c r="B90" i="602" s="1"/>
  <c r="D90" i="602"/>
  <c r="C33" i="602"/>
  <c r="B33" i="602" s="1"/>
  <c r="D33" i="602"/>
  <c r="C34" i="602"/>
  <c r="B34" i="602" s="1"/>
  <c r="D34" i="602"/>
  <c r="C35" i="602"/>
  <c r="B35" i="602" s="1"/>
  <c r="D35" i="602"/>
  <c r="C36" i="602"/>
  <c r="B36" i="602" s="1"/>
  <c r="D36" i="602"/>
  <c r="C37" i="602"/>
  <c r="B37" i="602" s="1"/>
  <c r="D37" i="602"/>
  <c r="N37" i="602"/>
  <c r="C38" i="602"/>
  <c r="B38" i="602" s="1"/>
  <c r="D38" i="602"/>
  <c r="C39" i="602"/>
  <c r="B39" i="602" s="1"/>
  <c r="D39" i="602"/>
  <c r="N39" i="602"/>
  <c r="C40" i="602"/>
  <c r="B40" i="602" s="1"/>
  <c r="D40" i="602"/>
  <c r="C41" i="602"/>
  <c r="B41" i="602" s="1"/>
  <c r="D41" i="602"/>
  <c r="C42" i="602"/>
  <c r="B42" i="602" s="1"/>
  <c r="D42" i="602"/>
  <c r="C43" i="602"/>
  <c r="B43" i="602" s="1"/>
  <c r="D43" i="602"/>
  <c r="C44" i="602"/>
  <c r="B44" i="602" s="1"/>
  <c r="D44" i="602"/>
  <c r="A45" i="602"/>
  <c r="A46" i="602"/>
  <c r="A48" i="602"/>
  <c r="A49" i="602"/>
  <c r="A50" i="602"/>
  <c r="A51" i="602"/>
  <c r="A52" i="602"/>
  <c r="A53" i="602"/>
  <c r="A54" i="602"/>
  <c r="A55" i="602"/>
  <c r="A56" i="602"/>
  <c r="A57" i="602"/>
  <c r="A58" i="602"/>
  <c r="A59" i="602"/>
  <c r="A60" i="602"/>
  <c r="A61" i="602"/>
  <c r="A62" i="602"/>
  <c r="A63" i="602"/>
  <c r="A64" i="602"/>
  <c r="A65" i="602"/>
  <c r="A66" i="602"/>
  <c r="A67" i="602"/>
  <c r="A68" i="602"/>
  <c r="A69" i="602"/>
  <c r="A70" i="602"/>
  <c r="A71" i="602"/>
  <c r="A72" i="602"/>
  <c r="A73" i="602"/>
  <c r="A74" i="602"/>
  <c r="A75" i="602"/>
  <c r="A76" i="602"/>
  <c r="A77" i="602"/>
  <c r="A78" i="602"/>
  <c r="A80" i="602"/>
  <c r="A81" i="602"/>
  <c r="A83" i="602"/>
  <c r="A84" i="602"/>
  <c r="A85" i="602"/>
  <c r="A86" i="602"/>
  <c r="A87" i="602"/>
  <c r="A89" i="602"/>
  <c r="A90" i="602"/>
  <c r="A36" i="602"/>
  <c r="A37" i="602"/>
  <c r="A38" i="602"/>
  <c r="A39" i="602"/>
  <c r="A40" i="602"/>
  <c r="A41" i="602"/>
  <c r="A42" i="602"/>
  <c r="A43" i="602"/>
  <c r="A44" i="602"/>
  <c r="B40" i="343"/>
  <c r="B41" i="343"/>
  <c r="B42" i="343"/>
  <c r="B43" i="343"/>
  <c r="B44" i="343"/>
  <c r="B45" i="343"/>
  <c r="B46" i="343"/>
  <c r="B47" i="343"/>
  <c r="B48" i="343"/>
  <c r="B49" i="343"/>
  <c r="B50" i="343"/>
  <c r="B51" i="343"/>
  <c r="B52" i="343"/>
  <c r="B54" i="343"/>
  <c r="B55" i="343"/>
  <c r="B56" i="343"/>
  <c r="B57" i="343"/>
  <c r="B58" i="343"/>
  <c r="B59" i="343"/>
  <c r="B60" i="343"/>
  <c r="B61" i="343"/>
  <c r="B62" i="343"/>
  <c r="B63" i="343"/>
  <c r="B64" i="343"/>
  <c r="B65" i="343"/>
  <c r="B66" i="343"/>
  <c r="B67" i="343"/>
  <c r="B68" i="343"/>
  <c r="B69" i="343"/>
  <c r="B70" i="343"/>
  <c r="B71" i="343"/>
  <c r="B72" i="343"/>
  <c r="B73" i="343"/>
  <c r="B74" i="343"/>
  <c r="B75" i="343"/>
  <c r="B76" i="343"/>
  <c r="B77" i="343"/>
  <c r="B78" i="343"/>
  <c r="B79" i="343"/>
  <c r="B80" i="343"/>
  <c r="B81" i="343"/>
  <c r="B82" i="343"/>
  <c r="B83" i="343"/>
  <c r="B84" i="343"/>
  <c r="B86" i="343"/>
  <c r="B87" i="343"/>
  <c r="B89" i="343"/>
  <c r="B90" i="343"/>
  <c r="B91" i="343"/>
  <c r="B92" i="343"/>
  <c r="B93" i="343"/>
  <c r="B95" i="343"/>
  <c r="B96" i="343"/>
  <c r="B44" i="340"/>
  <c r="C44" i="340"/>
  <c r="G44" i="340"/>
  <c r="K44" i="340"/>
  <c r="B45" i="340"/>
  <c r="C45" i="340"/>
  <c r="G45" i="340"/>
  <c r="K45" i="340"/>
  <c r="B46" i="340"/>
  <c r="C46" i="340"/>
  <c r="G46" i="340"/>
  <c r="K46" i="340"/>
  <c r="B47" i="340"/>
  <c r="C47" i="340"/>
  <c r="G47" i="340"/>
  <c r="K47" i="340"/>
  <c r="B48" i="340"/>
  <c r="C48" i="340"/>
  <c r="G48" i="340"/>
  <c r="K48" i="340"/>
  <c r="B49" i="340"/>
  <c r="C49" i="340"/>
  <c r="G49" i="340"/>
  <c r="K49" i="340"/>
  <c r="B50" i="340"/>
  <c r="C50" i="340"/>
  <c r="G50" i="340"/>
  <c r="K50" i="340"/>
  <c r="B51" i="340"/>
  <c r="C51" i="340"/>
  <c r="G51" i="340"/>
  <c r="K51" i="340"/>
  <c r="B52" i="340"/>
  <c r="C52" i="340"/>
  <c r="G52" i="340"/>
  <c r="K52" i="340"/>
  <c r="B53" i="340"/>
  <c r="C53" i="340"/>
  <c r="G53" i="340"/>
  <c r="K53" i="340"/>
  <c r="B54" i="340"/>
  <c r="C54" i="340"/>
  <c r="G54" i="340"/>
  <c r="K54" i="340"/>
  <c r="B55" i="340"/>
  <c r="C55" i="340"/>
  <c r="G55" i="340"/>
  <c r="K55" i="340"/>
  <c r="B56" i="340"/>
  <c r="C56" i="340"/>
  <c r="G56" i="340"/>
  <c r="K56" i="340"/>
  <c r="B58" i="340"/>
  <c r="C58" i="340"/>
  <c r="G58" i="340"/>
  <c r="K58" i="340"/>
  <c r="B59" i="340"/>
  <c r="C59" i="340"/>
  <c r="G59" i="340"/>
  <c r="K59" i="340"/>
  <c r="B60" i="340"/>
  <c r="C60" i="340"/>
  <c r="G60" i="340"/>
  <c r="K60" i="340"/>
  <c r="B61" i="340"/>
  <c r="C61" i="340"/>
  <c r="G61" i="340"/>
  <c r="K61" i="340"/>
  <c r="B62" i="340"/>
  <c r="C62" i="340"/>
  <c r="G62" i="340"/>
  <c r="K62" i="340"/>
  <c r="B63" i="340"/>
  <c r="C63" i="340"/>
  <c r="G63" i="340"/>
  <c r="K63" i="340"/>
  <c r="B64" i="340"/>
  <c r="C64" i="340"/>
  <c r="G64" i="340"/>
  <c r="K64" i="340"/>
  <c r="B65" i="340"/>
  <c r="C65" i="340"/>
  <c r="G65" i="340"/>
  <c r="K65" i="340"/>
  <c r="B66" i="340"/>
  <c r="C66" i="340"/>
  <c r="G66" i="340"/>
  <c r="K66" i="340"/>
  <c r="B67" i="340"/>
  <c r="C67" i="340"/>
  <c r="G67" i="340"/>
  <c r="K67" i="340"/>
  <c r="B68" i="340"/>
  <c r="C68" i="340"/>
  <c r="G68" i="340"/>
  <c r="K68" i="340"/>
  <c r="B69" i="340"/>
  <c r="C69" i="340"/>
  <c r="G69" i="340"/>
  <c r="K69" i="340"/>
  <c r="B70" i="340"/>
  <c r="C70" i="340"/>
  <c r="G70" i="340"/>
  <c r="K70" i="340"/>
  <c r="B71" i="340"/>
  <c r="C71" i="340"/>
  <c r="G71" i="340"/>
  <c r="K71" i="340"/>
  <c r="B72" i="340"/>
  <c r="C72" i="340"/>
  <c r="G72" i="340"/>
  <c r="K72" i="340"/>
  <c r="B73" i="340"/>
  <c r="C73" i="340"/>
  <c r="G73" i="340"/>
  <c r="K73" i="340"/>
  <c r="B74" i="340"/>
  <c r="C74" i="340"/>
  <c r="G74" i="340"/>
  <c r="K74" i="340"/>
  <c r="B75" i="340"/>
  <c r="C75" i="340"/>
  <c r="G75" i="340"/>
  <c r="K75" i="340"/>
  <c r="B76" i="340"/>
  <c r="C76" i="340"/>
  <c r="G76" i="340"/>
  <c r="K76" i="340"/>
  <c r="B77" i="340"/>
  <c r="C77" i="340"/>
  <c r="G77" i="340"/>
  <c r="K77" i="340"/>
  <c r="B78" i="340"/>
  <c r="C78" i="340"/>
  <c r="G78" i="340"/>
  <c r="K78" i="340"/>
  <c r="B79" i="340"/>
  <c r="C79" i="340"/>
  <c r="G79" i="340"/>
  <c r="K79" i="340"/>
  <c r="B80" i="340"/>
  <c r="C80" i="340"/>
  <c r="G80" i="340"/>
  <c r="K80" i="340"/>
  <c r="B81" i="340"/>
  <c r="C81" i="340"/>
  <c r="G81" i="340"/>
  <c r="K81" i="340"/>
  <c r="B82" i="340"/>
  <c r="C82" i="340"/>
  <c r="G82" i="340"/>
  <c r="K82" i="340"/>
  <c r="B83" i="340"/>
  <c r="C83" i="340"/>
  <c r="G83" i="340"/>
  <c r="K83" i="340"/>
  <c r="B84" i="340"/>
  <c r="C84" i="340"/>
  <c r="G84" i="340"/>
  <c r="K84" i="340"/>
  <c r="B85" i="340"/>
  <c r="C85" i="340"/>
  <c r="G85" i="340"/>
  <c r="K85" i="340"/>
  <c r="B86" i="340"/>
  <c r="C86" i="340"/>
  <c r="G86" i="340"/>
  <c r="K86" i="340"/>
  <c r="B87" i="340"/>
  <c r="C87" i="340"/>
  <c r="G87" i="340"/>
  <c r="K87" i="340"/>
  <c r="B88" i="340"/>
  <c r="C88" i="340"/>
  <c r="G88" i="340"/>
  <c r="K88" i="340"/>
  <c r="B90" i="340"/>
  <c r="C90" i="340"/>
  <c r="G90" i="340"/>
  <c r="K90" i="340"/>
  <c r="B91" i="340"/>
  <c r="C91" i="340"/>
  <c r="G91" i="340"/>
  <c r="K91" i="340"/>
  <c r="B93" i="340"/>
  <c r="C93" i="340"/>
  <c r="G93" i="340"/>
  <c r="K93" i="340"/>
  <c r="B94" i="340"/>
  <c r="C94" i="340"/>
  <c r="G94" i="340"/>
  <c r="K94" i="340"/>
  <c r="B95" i="340"/>
  <c r="C95" i="340"/>
  <c r="G95" i="340"/>
  <c r="K95" i="340"/>
  <c r="B96" i="340"/>
  <c r="C96" i="340"/>
  <c r="G96" i="340"/>
  <c r="K96" i="340"/>
  <c r="B97" i="340"/>
  <c r="C97" i="340"/>
  <c r="G97" i="340"/>
  <c r="K97" i="340"/>
  <c r="B99" i="340"/>
  <c r="C99" i="340"/>
  <c r="G99" i="340"/>
  <c r="K99" i="340"/>
  <c r="B100" i="340"/>
  <c r="C100" i="340"/>
  <c r="G100" i="340"/>
  <c r="K100" i="340"/>
  <c r="B48" i="338"/>
  <c r="C48" i="338"/>
  <c r="B49" i="338"/>
  <c r="C49" i="338"/>
  <c r="B50" i="338"/>
  <c r="C50" i="338"/>
  <c r="B51" i="338"/>
  <c r="C51" i="338"/>
  <c r="B52" i="338"/>
  <c r="C52" i="338"/>
  <c r="B53" i="338"/>
  <c r="C53" i="338"/>
  <c r="B55" i="338"/>
  <c r="C55" i="338"/>
  <c r="B56" i="338"/>
  <c r="C56" i="338"/>
  <c r="B57" i="338"/>
  <c r="C57" i="338"/>
  <c r="B58" i="338"/>
  <c r="C58" i="338"/>
  <c r="B59" i="338"/>
  <c r="C59" i="338"/>
  <c r="B60" i="338"/>
  <c r="C60" i="338"/>
  <c r="B61" i="338"/>
  <c r="C61" i="338"/>
  <c r="B62" i="338"/>
  <c r="C62" i="338"/>
  <c r="B63" i="338"/>
  <c r="C63" i="338"/>
  <c r="B64" i="338"/>
  <c r="C64" i="338"/>
  <c r="B65" i="338"/>
  <c r="C65" i="338"/>
  <c r="B66" i="338"/>
  <c r="C66" i="338"/>
  <c r="B67" i="338"/>
  <c r="C67" i="338"/>
  <c r="B68" i="338"/>
  <c r="C68" i="338"/>
  <c r="B69" i="338"/>
  <c r="C69" i="338"/>
  <c r="B70" i="338"/>
  <c r="C70" i="338"/>
  <c r="B71" i="338"/>
  <c r="C71" i="338"/>
  <c r="B72" i="338"/>
  <c r="C72" i="338"/>
  <c r="B73" i="338"/>
  <c r="C73" i="338"/>
  <c r="B74" i="338"/>
  <c r="C74" i="338"/>
  <c r="B75" i="338"/>
  <c r="C75" i="338"/>
  <c r="B76" i="338"/>
  <c r="C76" i="338"/>
  <c r="B77" i="338"/>
  <c r="C77" i="338"/>
  <c r="B78" i="338"/>
  <c r="C78" i="338"/>
  <c r="B79" i="338"/>
  <c r="C79" i="338"/>
  <c r="B80" i="338"/>
  <c r="C80" i="338"/>
  <c r="B81" i="338"/>
  <c r="C81" i="338"/>
  <c r="B82" i="338"/>
  <c r="C82" i="338"/>
  <c r="B83" i="338"/>
  <c r="C83" i="338"/>
  <c r="B84" i="338"/>
  <c r="C84" i="338"/>
  <c r="B85" i="338"/>
  <c r="C85" i="338"/>
  <c r="B87" i="338"/>
  <c r="C87" i="338"/>
  <c r="B88" i="338"/>
  <c r="C88" i="338"/>
  <c r="B90" i="338"/>
  <c r="C90" i="338"/>
  <c r="B91" i="338"/>
  <c r="C91" i="338"/>
  <c r="B92" i="338"/>
  <c r="C92" i="338"/>
  <c r="B93" i="338"/>
  <c r="C93" i="338"/>
  <c r="B94" i="338"/>
  <c r="C94" i="338"/>
  <c r="B96" i="338"/>
  <c r="C96" i="338"/>
  <c r="B97" i="338"/>
  <c r="C97" i="338"/>
  <c r="B41" i="338"/>
  <c r="C41" i="338"/>
  <c r="B42" i="338"/>
  <c r="C42" i="338"/>
  <c r="B43" i="338"/>
  <c r="C43" i="338"/>
  <c r="B44" i="338"/>
  <c r="C44" i="338"/>
  <c r="B45" i="338"/>
  <c r="C45" i="338"/>
  <c r="B46" i="338"/>
  <c r="C46" i="338"/>
  <c r="B47" i="338"/>
  <c r="C47" i="338"/>
  <c r="B40" i="504"/>
  <c r="C40" i="504"/>
  <c r="B41" i="504"/>
  <c r="C41" i="504"/>
  <c r="B42" i="504"/>
  <c r="C42" i="504"/>
  <c r="B43" i="504"/>
  <c r="C43" i="504"/>
  <c r="B44" i="504"/>
  <c r="C44" i="504"/>
  <c r="B45" i="504"/>
  <c r="C45" i="504"/>
  <c r="B46" i="504"/>
  <c r="C46" i="504"/>
  <c r="B48" i="504"/>
  <c r="C48" i="504"/>
  <c r="B49" i="504"/>
  <c r="C49" i="504"/>
  <c r="B50" i="504"/>
  <c r="C50" i="504"/>
  <c r="B51" i="504"/>
  <c r="C51" i="504"/>
  <c r="B52" i="504"/>
  <c r="C52" i="504"/>
  <c r="B53" i="504"/>
  <c r="C53" i="504"/>
  <c r="B54" i="504"/>
  <c r="C54" i="504"/>
  <c r="B55" i="504"/>
  <c r="C55" i="504"/>
  <c r="B56" i="504"/>
  <c r="C56" i="504"/>
  <c r="B57" i="504"/>
  <c r="C57" i="504"/>
  <c r="B58" i="504"/>
  <c r="C58" i="504"/>
  <c r="B59" i="504"/>
  <c r="C59" i="504"/>
  <c r="B60" i="504"/>
  <c r="C60" i="504"/>
  <c r="B61" i="504"/>
  <c r="C61" i="504"/>
  <c r="B62" i="504"/>
  <c r="C62" i="504"/>
  <c r="B63" i="504"/>
  <c r="C63" i="504"/>
  <c r="B64" i="504"/>
  <c r="C64" i="504"/>
  <c r="B65" i="504"/>
  <c r="C65" i="504"/>
  <c r="B66" i="504"/>
  <c r="C66" i="504"/>
  <c r="B67" i="504"/>
  <c r="C67" i="504"/>
  <c r="B68" i="504"/>
  <c r="C68" i="504"/>
  <c r="B69" i="504"/>
  <c r="C69" i="504"/>
  <c r="B70" i="504"/>
  <c r="C70" i="504"/>
  <c r="B71" i="504"/>
  <c r="C71" i="504"/>
  <c r="B72" i="504"/>
  <c r="C72" i="504"/>
  <c r="B73" i="504"/>
  <c r="C73" i="504"/>
  <c r="B74" i="504"/>
  <c r="C74" i="504"/>
  <c r="B75" i="504"/>
  <c r="C75" i="504"/>
  <c r="B76" i="504"/>
  <c r="C76" i="504"/>
  <c r="B77" i="504"/>
  <c r="C77" i="504"/>
  <c r="B78" i="504"/>
  <c r="C78" i="504"/>
  <c r="B81" i="504"/>
  <c r="C81" i="504"/>
  <c r="B83" i="504"/>
  <c r="C83" i="504"/>
  <c r="B84" i="504"/>
  <c r="C84" i="504"/>
  <c r="B85" i="504"/>
  <c r="C85" i="504"/>
  <c r="B86" i="504"/>
  <c r="C86" i="504"/>
  <c r="B87" i="504"/>
  <c r="C87" i="504"/>
  <c r="B89" i="504"/>
  <c r="C89" i="504"/>
  <c r="B90" i="504"/>
  <c r="C90" i="504"/>
  <c r="B33" i="504"/>
  <c r="C33" i="504"/>
  <c r="B34" i="504"/>
  <c r="C34" i="504"/>
  <c r="B35" i="504"/>
  <c r="C35" i="504"/>
  <c r="B36" i="504"/>
  <c r="C36" i="504"/>
  <c r="B37" i="504"/>
  <c r="C37" i="504"/>
  <c r="B38" i="504"/>
  <c r="C38" i="504"/>
  <c r="B39" i="504"/>
  <c r="C39" i="504"/>
  <c r="A136" i="588"/>
  <c r="C136" i="588"/>
  <c r="E136" i="588" s="1"/>
  <c r="G136" i="588" s="1"/>
  <c r="A137" i="588"/>
  <c r="C137" i="588"/>
  <c r="E137" i="588" s="1"/>
  <c r="G137" i="588" s="1"/>
  <c r="A138" i="588"/>
  <c r="C138" i="588"/>
  <c r="E138" i="588" s="1"/>
  <c r="G138" i="588" s="1"/>
  <c r="A139" i="588"/>
  <c r="C139" i="588"/>
  <c r="E139" i="588" s="1"/>
  <c r="G139" i="588" s="1"/>
  <c r="A140" i="588"/>
  <c r="C140" i="588"/>
  <c r="E140" i="588" s="1"/>
  <c r="G140" i="588" s="1"/>
  <c r="A141" i="588"/>
  <c r="C141" i="588"/>
  <c r="E141" i="588" s="1"/>
  <c r="G141" i="588" s="1"/>
  <c r="A143" i="588"/>
  <c r="C143" i="588"/>
  <c r="E143" i="588" s="1"/>
  <c r="G143" i="588" s="1"/>
  <c r="A144" i="588"/>
  <c r="C144" i="588"/>
  <c r="E144" i="588" s="1"/>
  <c r="G144" i="588" s="1"/>
  <c r="A145" i="588"/>
  <c r="C145" i="588"/>
  <c r="E145" i="588" s="1"/>
  <c r="G145" i="588" s="1"/>
  <c r="A146" i="588"/>
  <c r="C146" i="588"/>
  <c r="A147" i="588"/>
  <c r="C147" i="588"/>
  <c r="E147" i="588" s="1"/>
  <c r="G147" i="588" s="1"/>
  <c r="A148" i="588"/>
  <c r="C148" i="588"/>
  <c r="E148" i="588" s="1"/>
  <c r="G148" i="588" s="1"/>
  <c r="A149" i="588"/>
  <c r="C149" i="588"/>
  <c r="E149" i="588" s="1"/>
  <c r="G149" i="588" s="1"/>
  <c r="A150" i="588"/>
  <c r="C150" i="588"/>
  <c r="E150" i="588" s="1"/>
  <c r="G150" i="588" s="1"/>
  <c r="A151" i="588"/>
  <c r="C151" i="588"/>
  <c r="E151" i="588" s="1"/>
  <c r="G151" i="588" s="1"/>
  <c r="A152" i="588"/>
  <c r="C152" i="588"/>
  <c r="E152" i="588" s="1"/>
  <c r="G152" i="588" s="1"/>
  <c r="A153" i="588"/>
  <c r="C153" i="588"/>
  <c r="E153" i="588" s="1"/>
  <c r="G153" i="588" s="1"/>
  <c r="A154" i="588"/>
  <c r="C154" i="588"/>
  <c r="E154" i="588" s="1"/>
  <c r="G154" i="588" s="1"/>
  <c r="A155" i="588"/>
  <c r="C155" i="588"/>
  <c r="E155" i="588" s="1"/>
  <c r="G155" i="588" s="1"/>
  <c r="A156" i="588"/>
  <c r="C156" i="588"/>
  <c r="E156" i="588" s="1"/>
  <c r="G156" i="588" s="1"/>
  <c r="A157" i="588"/>
  <c r="C157" i="588"/>
  <c r="E157" i="588" s="1"/>
  <c r="G157" i="588" s="1"/>
  <c r="A158" i="588"/>
  <c r="C158" i="588"/>
  <c r="E158" i="588" s="1"/>
  <c r="G158" i="588" s="1"/>
  <c r="A159" i="588"/>
  <c r="C159" i="588"/>
  <c r="A160" i="588"/>
  <c r="C160" i="588"/>
  <c r="E160" i="588" s="1"/>
  <c r="G160" i="588" s="1"/>
  <c r="A161" i="588"/>
  <c r="C161" i="588"/>
  <c r="E161" i="588" s="1"/>
  <c r="G161" i="588" s="1"/>
  <c r="A162" i="588"/>
  <c r="C162" i="588"/>
  <c r="E162" i="588" s="1"/>
  <c r="G162" i="588" s="1"/>
  <c r="A163" i="588"/>
  <c r="C163" i="588"/>
  <c r="E163" i="588" s="1"/>
  <c r="G163" i="588" s="1"/>
  <c r="A164" i="588"/>
  <c r="C164" i="588"/>
  <c r="E164" i="588" s="1"/>
  <c r="G164" i="588" s="1"/>
  <c r="A165" i="588"/>
  <c r="C165" i="588"/>
  <c r="E165" i="588" s="1"/>
  <c r="G165" i="588" s="1"/>
  <c r="A166" i="588"/>
  <c r="C166" i="588"/>
  <c r="E166" i="588" s="1"/>
  <c r="G166" i="588" s="1"/>
  <c r="A167" i="588"/>
  <c r="C167" i="588"/>
  <c r="E167" i="588" s="1"/>
  <c r="G167" i="588" s="1"/>
  <c r="A168" i="588"/>
  <c r="C168" i="588"/>
  <c r="E168" i="588" s="1"/>
  <c r="G168" i="588" s="1"/>
  <c r="A169" i="588"/>
  <c r="C169" i="588"/>
  <c r="E169" i="588" s="1"/>
  <c r="G169" i="588" s="1"/>
  <c r="A170" i="588"/>
  <c r="C170" i="588"/>
  <c r="A171" i="588"/>
  <c r="C171" i="588"/>
  <c r="E171" i="588" s="1"/>
  <c r="G171" i="588" s="1"/>
  <c r="A172" i="588"/>
  <c r="C172" i="588"/>
  <c r="E172" i="588" s="1"/>
  <c r="G172" i="588" s="1"/>
  <c r="A173" i="588"/>
  <c r="C173" i="588"/>
  <c r="E173" i="588" s="1"/>
  <c r="G173" i="588" s="1"/>
  <c r="A176" i="588"/>
  <c r="C176" i="588"/>
  <c r="E176" i="588" s="1"/>
  <c r="G176" i="588" s="1"/>
  <c r="A178" i="588"/>
  <c r="C178" i="588"/>
  <c r="E178" i="588" s="1"/>
  <c r="G178" i="588" s="1"/>
  <c r="A179" i="588"/>
  <c r="C179" i="588"/>
  <c r="A180" i="588"/>
  <c r="C180" i="588"/>
  <c r="E180" i="588" s="1"/>
  <c r="G180" i="588" s="1"/>
  <c r="A181" i="588"/>
  <c r="C181" i="588"/>
  <c r="E181" i="588" s="1"/>
  <c r="G181" i="588" s="1"/>
  <c r="A182" i="588"/>
  <c r="C182" i="588"/>
  <c r="E182" i="588" s="1"/>
  <c r="G182" i="588" s="1"/>
  <c r="A184" i="588"/>
  <c r="C184" i="588"/>
  <c r="E184" i="588" s="1"/>
  <c r="G184" i="588" s="1"/>
  <c r="A185" i="588"/>
  <c r="C185" i="588"/>
  <c r="E185" i="588" s="1"/>
  <c r="G185" i="588" s="1"/>
  <c r="A128" i="588"/>
  <c r="C128" i="588"/>
  <c r="E128" i="588" s="1"/>
  <c r="G128" i="588" s="1"/>
  <c r="A129" i="588"/>
  <c r="C129" i="588"/>
  <c r="E129" i="588" s="1"/>
  <c r="G129" i="588" s="1"/>
  <c r="A130" i="588"/>
  <c r="C130" i="588"/>
  <c r="E130" i="588" s="1"/>
  <c r="G130" i="588" s="1"/>
  <c r="A131" i="588"/>
  <c r="C131" i="588"/>
  <c r="E131" i="588" s="1"/>
  <c r="G131" i="588" s="1"/>
  <c r="A132" i="588"/>
  <c r="C132" i="588"/>
  <c r="E132" i="588" s="1"/>
  <c r="G132" i="588" s="1"/>
  <c r="A133" i="588"/>
  <c r="C133" i="588"/>
  <c r="E133" i="588" s="1"/>
  <c r="G133" i="588" s="1"/>
  <c r="A134" i="588"/>
  <c r="C134" i="588"/>
  <c r="E134" i="588" s="1"/>
  <c r="G134" i="588" s="1"/>
  <c r="A135" i="588"/>
  <c r="C135" i="588"/>
  <c r="B82" i="337"/>
  <c r="D82" i="337"/>
  <c r="B83" i="337"/>
  <c r="D83" i="337"/>
  <c r="B84" i="337"/>
  <c r="D84" i="337"/>
  <c r="D87" i="337"/>
  <c r="B89" i="337"/>
  <c r="D89" i="337"/>
  <c r="B90" i="337"/>
  <c r="D90" i="337"/>
  <c r="B91" i="337"/>
  <c r="D91" i="337"/>
  <c r="B92" i="337"/>
  <c r="D92" i="337"/>
  <c r="B93" i="337"/>
  <c r="D93" i="337"/>
  <c r="B95" i="337"/>
  <c r="D95" i="337"/>
  <c r="B96" i="337"/>
  <c r="D96" i="337"/>
  <c r="B63" i="337"/>
  <c r="D63" i="337"/>
  <c r="B64" i="337"/>
  <c r="D64" i="337"/>
  <c r="B65" i="337"/>
  <c r="D65" i="337"/>
  <c r="B66" i="337"/>
  <c r="D66" i="337"/>
  <c r="B67" i="337"/>
  <c r="D67" i="337"/>
  <c r="B68" i="337"/>
  <c r="D68" i="337"/>
  <c r="B69" i="337"/>
  <c r="D69" i="337"/>
  <c r="B70" i="337"/>
  <c r="D70" i="337"/>
  <c r="B71" i="337"/>
  <c r="D71" i="337"/>
  <c r="B72" i="337"/>
  <c r="D72" i="337"/>
  <c r="B73" i="337"/>
  <c r="D73" i="337"/>
  <c r="B74" i="337"/>
  <c r="D74" i="337"/>
  <c r="B75" i="337"/>
  <c r="D75" i="337"/>
  <c r="B76" i="337"/>
  <c r="D76" i="337"/>
  <c r="B77" i="337"/>
  <c r="D77" i="337"/>
  <c r="B78" i="337"/>
  <c r="D78" i="337"/>
  <c r="B79" i="337"/>
  <c r="D79" i="337"/>
  <c r="B80" i="337"/>
  <c r="D80" i="337"/>
  <c r="B81" i="337"/>
  <c r="D81" i="337"/>
  <c r="B46" i="337"/>
  <c r="D46" i="337"/>
  <c r="B47" i="337"/>
  <c r="D47" i="337"/>
  <c r="B48" i="337"/>
  <c r="D48" i="337"/>
  <c r="B49" i="337"/>
  <c r="D49" i="337"/>
  <c r="B50" i="337"/>
  <c r="D50" i="337"/>
  <c r="B51" i="337"/>
  <c r="D51" i="337"/>
  <c r="B52" i="337"/>
  <c r="D52" i="337"/>
  <c r="B54" i="337"/>
  <c r="D54" i="337"/>
  <c r="B55" i="337"/>
  <c r="D55" i="337"/>
  <c r="B56" i="337"/>
  <c r="D56" i="337"/>
  <c r="B57" i="337"/>
  <c r="D57" i="337"/>
  <c r="B58" i="337"/>
  <c r="D58" i="337"/>
  <c r="B59" i="337"/>
  <c r="D59" i="337"/>
  <c r="B60" i="337"/>
  <c r="D60" i="337"/>
  <c r="B61" i="337"/>
  <c r="D61" i="337"/>
  <c r="B62" i="337"/>
  <c r="D62" i="337"/>
  <c r="B39" i="337"/>
  <c r="D39" i="337"/>
  <c r="B40" i="337"/>
  <c r="D40" i="337"/>
  <c r="B41" i="337"/>
  <c r="D41" i="337"/>
  <c r="B42" i="337"/>
  <c r="D42" i="337"/>
  <c r="B43" i="337"/>
  <c r="D43" i="337"/>
  <c r="B44" i="337"/>
  <c r="D44" i="337"/>
  <c r="B45" i="337"/>
  <c r="D45" i="337"/>
  <c r="B46" i="601"/>
  <c r="B47" i="601"/>
  <c r="B48" i="601"/>
  <c r="B50" i="601"/>
  <c r="B51" i="601"/>
  <c r="B52" i="601"/>
  <c r="B53" i="601"/>
  <c r="B54" i="601"/>
  <c r="B55" i="601"/>
  <c r="B56" i="601"/>
  <c r="B57" i="601"/>
  <c r="B58" i="601"/>
  <c r="B59" i="601"/>
  <c r="B60" i="601"/>
  <c r="B61" i="601"/>
  <c r="B62" i="601"/>
  <c r="B63" i="601"/>
  <c r="B64" i="601"/>
  <c r="B65" i="601"/>
  <c r="B66" i="601"/>
  <c r="B67" i="601"/>
  <c r="B68" i="601"/>
  <c r="B69" i="601"/>
  <c r="B70" i="601"/>
  <c r="B71" i="601"/>
  <c r="B72" i="601"/>
  <c r="B73" i="601"/>
  <c r="B74" i="601"/>
  <c r="B75" i="601"/>
  <c r="B76" i="601"/>
  <c r="B77" i="601"/>
  <c r="B78" i="601"/>
  <c r="B79" i="601"/>
  <c r="B80" i="601"/>
  <c r="B83" i="601"/>
  <c r="B85" i="601"/>
  <c r="B86" i="601"/>
  <c r="B87" i="601"/>
  <c r="B88" i="601"/>
  <c r="B89" i="601"/>
  <c r="B91" i="601"/>
  <c r="B92" i="601"/>
  <c r="B95" i="601"/>
  <c r="B36" i="601"/>
  <c r="B37" i="601"/>
  <c r="B38" i="601"/>
  <c r="B39" i="601"/>
  <c r="B40" i="601"/>
  <c r="B41" i="601"/>
  <c r="B42" i="601"/>
  <c r="B43" i="601"/>
  <c r="B44" i="601"/>
  <c r="B45" i="601"/>
  <c r="B35" i="601"/>
  <c r="B33" i="526"/>
  <c r="B34" i="526"/>
  <c r="B35" i="526"/>
  <c r="B36" i="526"/>
  <c r="B37" i="526"/>
  <c r="B38" i="526"/>
  <c r="B39" i="526"/>
  <c r="B40" i="526"/>
  <c r="B41" i="526"/>
  <c r="B42" i="526"/>
  <c r="B43" i="526"/>
  <c r="B44" i="526"/>
  <c r="B45" i="526"/>
  <c r="B46" i="526"/>
  <c r="B48" i="526"/>
  <c r="B49" i="526"/>
  <c r="B50" i="526"/>
  <c r="B51" i="526"/>
  <c r="B52" i="526"/>
  <c r="B53" i="526"/>
  <c r="B91" i="526"/>
  <c r="B54" i="526"/>
  <c r="B55" i="526"/>
  <c r="B56" i="526"/>
  <c r="B57" i="526"/>
  <c r="B58" i="526"/>
  <c r="B59" i="526"/>
  <c r="B60" i="526"/>
  <c r="B61" i="526"/>
  <c r="B62" i="526"/>
  <c r="B63" i="526"/>
  <c r="B64" i="526"/>
  <c r="B65" i="526"/>
  <c r="B66" i="526"/>
  <c r="B67" i="526"/>
  <c r="B68" i="526"/>
  <c r="B69" i="526"/>
  <c r="B70" i="526"/>
  <c r="B71" i="526"/>
  <c r="B72" i="526"/>
  <c r="B73" i="526"/>
  <c r="B74" i="526"/>
  <c r="B75" i="526"/>
  <c r="B76" i="526"/>
  <c r="B77" i="526"/>
  <c r="B78" i="526"/>
  <c r="B81" i="526"/>
  <c r="B82" i="526"/>
  <c r="B84" i="526"/>
  <c r="B85" i="526"/>
  <c r="B86" i="526"/>
  <c r="B87" i="526"/>
  <c r="B88" i="526"/>
  <c r="B90" i="526"/>
  <c r="B94" i="526"/>
  <c r="G368" i="622" l="1"/>
  <c r="J368" i="622" s="1"/>
  <c r="J369" i="622" s="1"/>
  <c r="O10" i="622"/>
  <c r="P10" i="622" s="1"/>
  <c r="I37" i="602"/>
  <c r="I83" i="602"/>
  <c r="I77" i="602"/>
  <c r="I54" i="602"/>
  <c r="I50" i="602"/>
  <c r="I39" i="602"/>
  <c r="I90" i="602"/>
  <c r="I41" i="602"/>
  <c r="E142" i="613"/>
  <c r="E183" i="613"/>
  <c r="E173" i="613"/>
  <c r="E166" i="613"/>
  <c r="E158" i="613"/>
  <c r="E151" i="613"/>
  <c r="H90" i="618"/>
  <c r="O90" i="618" s="1"/>
  <c r="E51" i="615"/>
  <c r="E92" i="615"/>
  <c r="E75" i="615"/>
  <c r="E45" i="615"/>
  <c r="E44" i="615"/>
  <c r="E42" i="615"/>
  <c r="E56" i="615"/>
  <c r="E97" i="615"/>
  <c r="E87" i="615"/>
  <c r="E79" i="615"/>
  <c r="E64" i="615"/>
  <c r="B40" i="619"/>
  <c r="B89" i="612"/>
  <c r="B73" i="615"/>
  <c r="B58" i="611"/>
  <c r="B43" i="620"/>
  <c r="B92" i="612"/>
  <c r="B67" i="612"/>
  <c r="B47" i="617"/>
  <c r="B54" i="620"/>
  <c r="B96" i="617"/>
  <c r="A80" i="618"/>
  <c r="B77" i="620"/>
  <c r="B70" i="617"/>
  <c r="A57" i="618"/>
  <c r="A89" i="618"/>
  <c r="B83" i="620"/>
  <c r="B45" i="612"/>
  <c r="A70" i="618"/>
  <c r="B73" i="611"/>
  <c r="B65" i="611"/>
  <c r="B51" i="612"/>
  <c r="A138" i="613"/>
  <c r="B52" i="611"/>
  <c r="B86" i="620"/>
  <c r="B78" i="619"/>
  <c r="B65" i="614"/>
  <c r="B60" i="611"/>
  <c r="B82" i="612"/>
  <c r="B75" i="612"/>
  <c r="B60" i="612"/>
  <c r="B38" i="620"/>
  <c r="B37" i="614"/>
  <c r="A181" i="613"/>
  <c r="E57" i="615"/>
  <c r="E88" i="615"/>
  <c r="E80" i="615"/>
  <c r="E72" i="615"/>
  <c r="E55" i="615"/>
  <c r="E85" i="615"/>
  <c r="E78" i="615"/>
  <c r="E63" i="615"/>
  <c r="E43" i="615"/>
  <c r="E42" i="338"/>
  <c r="B42" i="611"/>
  <c r="A133" i="613"/>
  <c r="E61" i="338"/>
  <c r="B66" i="619"/>
  <c r="A40" i="618"/>
  <c r="B69" i="620"/>
  <c r="B82" i="611"/>
  <c r="B51" i="616"/>
  <c r="B46" i="620"/>
  <c r="B66" i="611"/>
  <c r="B51" i="611"/>
  <c r="A55" i="618"/>
  <c r="E52" i="338"/>
  <c r="E43" i="338"/>
  <c r="B86" i="614"/>
  <c r="A48" i="618"/>
  <c r="B56" i="615"/>
  <c r="E80" i="338"/>
  <c r="E83" i="338"/>
  <c r="B76" i="614"/>
  <c r="E76" i="338"/>
  <c r="E64" i="338"/>
  <c r="B74" i="611"/>
  <c r="B55" i="615"/>
  <c r="B79" i="616"/>
  <c r="B78" i="617"/>
  <c r="E66" i="338"/>
  <c r="B96" i="616"/>
  <c r="B59" i="619"/>
  <c r="B68" i="611"/>
  <c r="B60" i="615"/>
  <c r="B90" i="615"/>
  <c r="B64" i="616"/>
  <c r="B63" i="617"/>
  <c r="E93" i="338"/>
  <c r="E87" i="338"/>
  <c r="B35" i="611"/>
  <c r="A90" i="618"/>
  <c r="E72" i="338"/>
  <c r="B92" i="611"/>
  <c r="B59" i="611"/>
  <c r="B44" i="612"/>
  <c r="B54" i="614"/>
  <c r="A72" i="618"/>
  <c r="B94" i="620"/>
  <c r="B85" i="611"/>
  <c r="B53" i="611"/>
  <c r="A168" i="613"/>
  <c r="B91" i="619"/>
  <c r="B85" i="620"/>
  <c r="E97" i="338"/>
  <c r="E60" i="338"/>
  <c r="B40" i="617"/>
  <c r="B39" i="619"/>
  <c r="A34" i="618"/>
  <c r="B39" i="620"/>
  <c r="B34" i="614"/>
  <c r="B41" i="615"/>
  <c r="A130" i="613"/>
  <c r="B42" i="617"/>
  <c r="A36" i="618"/>
  <c r="B41" i="620"/>
  <c r="B41" i="619"/>
  <c r="B49" i="617"/>
  <c r="A139" i="613"/>
  <c r="B48" i="620"/>
  <c r="B48" i="619"/>
  <c r="A43" i="618"/>
  <c r="B90" i="617"/>
  <c r="B91" i="615"/>
  <c r="B89" i="620"/>
  <c r="B89" i="619"/>
  <c r="A84" i="618"/>
  <c r="B84" i="614"/>
  <c r="A180" i="613"/>
  <c r="B80" i="617"/>
  <c r="B81" i="615"/>
  <c r="B79" i="620"/>
  <c r="B79" i="619"/>
  <c r="A74" i="618"/>
  <c r="B74" i="614"/>
  <c r="B73" i="617"/>
  <c r="B74" i="615"/>
  <c r="B72" i="620"/>
  <c r="B72" i="619"/>
  <c r="A67" i="618"/>
  <c r="B67" i="614"/>
  <c r="A163" i="613"/>
  <c r="B65" i="617"/>
  <c r="B66" i="615"/>
  <c r="A155" i="613"/>
  <c r="B64" i="620"/>
  <c r="B64" i="619"/>
  <c r="A59" i="618"/>
  <c r="B59" i="614"/>
  <c r="B58" i="617"/>
  <c r="B57" i="620"/>
  <c r="B57" i="619"/>
  <c r="A52" i="618"/>
  <c r="A148" i="613"/>
  <c r="B44" i="611"/>
  <c r="A177" i="613"/>
  <c r="B50" i="615"/>
  <c r="E75" i="338"/>
  <c r="B44" i="619"/>
  <c r="B39" i="614"/>
  <c r="B45" i="617"/>
  <c r="B46" i="615"/>
  <c r="B51" i="619"/>
  <c r="B52" i="617"/>
  <c r="B56" i="616"/>
  <c r="B53" i="615"/>
  <c r="B51" i="620"/>
  <c r="B46" i="614"/>
  <c r="A142" i="613"/>
  <c r="B92" i="619"/>
  <c r="B87" i="614"/>
  <c r="B93" i="617"/>
  <c r="B97" i="616"/>
  <c r="B92" i="620"/>
  <c r="B82" i="619"/>
  <c r="B77" i="614"/>
  <c r="B83" i="617"/>
  <c r="B87" i="616"/>
  <c r="A173" i="613"/>
  <c r="B82" i="620"/>
  <c r="B75" i="619"/>
  <c r="B70" i="614"/>
  <c r="A166" i="613"/>
  <c r="B76" i="617"/>
  <c r="B80" i="616"/>
  <c r="B75" i="620"/>
  <c r="B67" i="619"/>
  <c r="B62" i="614"/>
  <c r="B68" i="617"/>
  <c r="B72" i="616"/>
  <c r="B67" i="620"/>
  <c r="A158" i="613"/>
  <c r="B60" i="619"/>
  <c r="B55" i="614"/>
  <c r="A151" i="613"/>
  <c r="B61" i="617"/>
  <c r="B65" i="616"/>
  <c r="B62" i="615"/>
  <c r="B60" i="620"/>
  <c r="B43" i="611"/>
  <c r="B83" i="611"/>
  <c r="B75" i="611"/>
  <c r="B67" i="611"/>
  <c r="B40" i="612"/>
  <c r="B95" i="612"/>
  <c r="B90" i="612"/>
  <c r="B84" i="612"/>
  <c r="B80" i="612"/>
  <c r="B77" i="612"/>
  <c r="B73" i="612"/>
  <c r="B69" i="612"/>
  <c r="B65" i="612"/>
  <c r="B62" i="612"/>
  <c r="B58" i="612"/>
  <c r="B54" i="612"/>
  <c r="B49" i="612"/>
  <c r="A137" i="613"/>
  <c r="B48" i="614"/>
  <c r="B69" i="615"/>
  <c r="B99" i="616"/>
  <c r="B81" i="616"/>
  <c r="B66" i="616"/>
  <c r="B79" i="617"/>
  <c r="B57" i="617"/>
  <c r="A39" i="618"/>
  <c r="A71" i="618"/>
  <c r="A49" i="618"/>
  <c r="B46" i="619"/>
  <c r="B68" i="620"/>
  <c r="B45" i="620"/>
  <c r="B47" i="620"/>
  <c r="B47" i="619"/>
  <c r="A42" i="618"/>
  <c r="B52" i="616"/>
  <c r="B49" i="615"/>
  <c r="B42" i="614"/>
  <c r="A50" i="618"/>
  <c r="B57" i="615"/>
  <c r="B50" i="614"/>
  <c r="A81" i="618"/>
  <c r="B88" i="615"/>
  <c r="A73" i="618"/>
  <c r="A169" i="613"/>
  <c r="B80" i="615"/>
  <c r="A65" i="618"/>
  <c r="B72" i="615"/>
  <c r="A58" i="618"/>
  <c r="B65" i="615"/>
  <c r="A154" i="613"/>
  <c r="B83" i="616"/>
  <c r="B68" i="616"/>
  <c r="B56" i="617"/>
  <c r="B63" i="620"/>
  <c r="E74" i="338"/>
  <c r="E59" i="338"/>
  <c r="B44" i="615"/>
  <c r="B43" i="617"/>
  <c r="B47" i="616"/>
  <c r="A37" i="618"/>
  <c r="B42" i="620"/>
  <c r="B44" i="614"/>
  <c r="B50" i="617"/>
  <c r="B49" i="620"/>
  <c r="A44" i="618"/>
  <c r="B54" i="616"/>
  <c r="B49" i="619"/>
  <c r="A140" i="613"/>
  <c r="B91" i="617"/>
  <c r="B90" i="620"/>
  <c r="B92" i="615"/>
  <c r="A85" i="618"/>
  <c r="B95" i="616"/>
  <c r="B90" i="619"/>
  <c r="B85" i="614"/>
  <c r="B81" i="617"/>
  <c r="B80" i="620"/>
  <c r="B82" i="615"/>
  <c r="A75" i="618"/>
  <c r="B85" i="616"/>
  <c r="B80" i="619"/>
  <c r="B75" i="614"/>
  <c r="A171" i="613"/>
  <c r="A164" i="613"/>
  <c r="B74" i="617"/>
  <c r="B73" i="620"/>
  <c r="B75" i="615"/>
  <c r="A68" i="618"/>
  <c r="B78" i="616"/>
  <c r="B73" i="619"/>
  <c r="B68" i="614"/>
  <c r="B66" i="617"/>
  <c r="B65" i="620"/>
  <c r="B67" i="615"/>
  <c r="A60" i="618"/>
  <c r="B70" i="616"/>
  <c r="B65" i="619"/>
  <c r="B60" i="614"/>
  <c r="A156" i="613"/>
  <c r="B53" i="614"/>
  <c r="A149" i="613"/>
  <c r="B59" i="617"/>
  <c r="B58" i="620"/>
  <c r="A53" i="618"/>
  <c r="B63" i="616"/>
  <c r="B58" i="619"/>
  <c r="B41" i="611"/>
  <c r="B91" i="611"/>
  <c r="B80" i="611"/>
  <c r="B39" i="612"/>
  <c r="B93" i="612"/>
  <c r="B83" i="612"/>
  <c r="B76" i="612"/>
  <c r="B72" i="612"/>
  <c r="B68" i="612"/>
  <c r="B61" i="612"/>
  <c r="B57" i="612"/>
  <c r="B52" i="612"/>
  <c r="B48" i="612"/>
  <c r="A186" i="613"/>
  <c r="A174" i="613"/>
  <c r="B73" i="614"/>
  <c r="B94" i="615"/>
  <c r="B49" i="616"/>
  <c r="B84" i="616"/>
  <c r="B69" i="616"/>
  <c r="B53" i="616"/>
  <c r="B72" i="617"/>
  <c r="B55" i="617"/>
  <c r="A64" i="618"/>
  <c r="A46" i="618"/>
  <c r="B70" i="619"/>
  <c r="B38" i="619"/>
  <c r="B62" i="620"/>
  <c r="E56" i="338"/>
  <c r="B40" i="614"/>
  <c r="A136" i="613"/>
  <c r="B50" i="616"/>
  <c r="B45" i="619"/>
  <c r="A144" i="613"/>
  <c r="B53" i="619"/>
  <c r="B54" i="617"/>
  <c r="B96" i="615"/>
  <c r="B94" i="619"/>
  <c r="B89" i="614"/>
  <c r="A185" i="613"/>
  <c r="B95" i="617"/>
  <c r="B85" i="615"/>
  <c r="B83" i="619"/>
  <c r="B78" i="614"/>
  <c r="B84" i="617"/>
  <c r="B78" i="615"/>
  <c r="B76" i="619"/>
  <c r="B71" i="614"/>
  <c r="B77" i="617"/>
  <c r="A167" i="613"/>
  <c r="B70" i="615"/>
  <c r="A159" i="613"/>
  <c r="B68" i="619"/>
  <c r="B63" i="614"/>
  <c r="B69" i="617"/>
  <c r="B61" i="619"/>
  <c r="B56" i="614"/>
  <c r="B62" i="617"/>
  <c r="A152" i="613"/>
  <c r="B40" i="611"/>
  <c r="B89" i="611"/>
  <c r="B79" i="611"/>
  <c r="B72" i="611"/>
  <c r="B64" i="611"/>
  <c r="B57" i="611"/>
  <c r="B48" i="611"/>
  <c r="B43" i="612"/>
  <c r="A146" i="613"/>
  <c r="B36" i="614"/>
  <c r="B43" i="614"/>
  <c r="B61" i="614"/>
  <c r="B64" i="615"/>
  <c r="B59" i="615"/>
  <c r="B47" i="615"/>
  <c r="B44" i="616"/>
  <c r="B86" i="616"/>
  <c r="B71" i="616"/>
  <c r="B55" i="616"/>
  <c r="B71" i="617"/>
  <c r="B48" i="617"/>
  <c r="A87" i="618"/>
  <c r="A63" i="618"/>
  <c r="B81" i="619"/>
  <c r="B50" i="619"/>
  <c r="B44" i="620"/>
  <c r="B78" i="620"/>
  <c r="B61" i="620"/>
  <c r="B56" i="620"/>
  <c r="B56" i="619"/>
  <c r="A51" i="618"/>
  <c r="A147" i="613"/>
  <c r="B61" i="616"/>
  <c r="B58" i="615"/>
  <c r="B51" i="614"/>
  <c r="B98" i="620"/>
  <c r="B98" i="619"/>
  <c r="B88" i="620"/>
  <c r="B88" i="619"/>
  <c r="B83" i="614"/>
  <c r="A179" i="613"/>
  <c r="A83" i="618"/>
  <c r="B93" i="616"/>
  <c r="B71" i="620"/>
  <c r="B71" i="619"/>
  <c r="B66" i="614"/>
  <c r="A66" i="618"/>
  <c r="A162" i="613"/>
  <c r="B76" i="616"/>
  <c r="B47" i="611"/>
  <c r="B39" i="611"/>
  <c r="B88" i="611"/>
  <c r="B78" i="611"/>
  <c r="B71" i="611"/>
  <c r="B63" i="611"/>
  <c r="B56" i="611"/>
  <c r="B87" i="612"/>
  <c r="B79" i="612"/>
  <c r="B71" i="612"/>
  <c r="B64" i="612"/>
  <c r="B56" i="612"/>
  <c r="B47" i="612"/>
  <c r="A132" i="613"/>
  <c r="A135" i="613"/>
  <c r="B81" i="614"/>
  <c r="B84" i="615"/>
  <c r="B46" i="616"/>
  <c r="B88" i="616"/>
  <c r="B73" i="616"/>
  <c r="B58" i="616"/>
  <c r="B89" i="617"/>
  <c r="A62" i="618"/>
  <c r="B63" i="619"/>
  <c r="B55" i="620"/>
  <c r="E92" i="338"/>
  <c r="E81" i="338"/>
  <c r="E50" i="338"/>
  <c r="B43" i="619"/>
  <c r="B38" i="614"/>
  <c r="B45" i="615"/>
  <c r="B44" i="617"/>
  <c r="B48" i="616"/>
  <c r="A38" i="618"/>
  <c r="A134" i="613"/>
  <c r="A141" i="613"/>
  <c r="B52" i="615"/>
  <c r="B51" i="617"/>
  <c r="B45" i="614"/>
  <c r="B50" i="620"/>
  <c r="A45" i="618"/>
  <c r="B92" i="617"/>
  <c r="B91" i="620"/>
  <c r="A182" i="613"/>
  <c r="A86" i="618"/>
  <c r="B93" i="615"/>
  <c r="B82" i="617"/>
  <c r="B81" i="620"/>
  <c r="A76" i="618"/>
  <c r="B83" i="615"/>
  <c r="B75" i="617"/>
  <c r="B74" i="620"/>
  <c r="A69" i="618"/>
  <c r="B76" i="615"/>
  <c r="A165" i="613"/>
  <c r="A157" i="613"/>
  <c r="B67" i="617"/>
  <c r="B66" i="620"/>
  <c r="A61" i="618"/>
  <c r="B68" i="615"/>
  <c r="B61" i="615"/>
  <c r="B60" i="617"/>
  <c r="B59" i="620"/>
  <c r="A54" i="618"/>
  <c r="A150" i="613"/>
  <c r="B46" i="611"/>
  <c r="B38" i="611"/>
  <c r="B87" i="611"/>
  <c r="B77" i="611"/>
  <c r="B70" i="611"/>
  <c r="B62" i="611"/>
  <c r="B55" i="611"/>
  <c r="B42" i="612"/>
  <c r="A129" i="613"/>
  <c r="A183" i="613"/>
  <c r="A161" i="613"/>
  <c r="A153" i="613"/>
  <c r="B52" i="614"/>
  <c r="B69" i="614"/>
  <c r="B63" i="615"/>
  <c r="B51" i="615"/>
  <c r="B91" i="616"/>
  <c r="B75" i="616"/>
  <c r="B60" i="616"/>
  <c r="B87" i="617"/>
  <c r="B46" i="617"/>
  <c r="A78" i="618"/>
  <c r="B74" i="619"/>
  <c r="B42" i="619"/>
  <c r="B76" i="620"/>
  <c r="B48" i="615"/>
  <c r="B41" i="614"/>
  <c r="B49" i="614"/>
  <c r="B59" i="616"/>
  <c r="A145" i="613"/>
  <c r="B54" i="619"/>
  <c r="B97" i="615"/>
  <c r="B100" i="616"/>
  <c r="B95" i="619"/>
  <c r="B90" i="614"/>
  <c r="B87" i="615"/>
  <c r="A176" i="613"/>
  <c r="B90" i="616"/>
  <c r="B80" i="614"/>
  <c r="B79" i="615"/>
  <c r="B82" i="616"/>
  <c r="B77" i="619"/>
  <c r="B72" i="614"/>
  <c r="B71" i="615"/>
  <c r="B74" i="616"/>
  <c r="A160" i="613"/>
  <c r="B69" i="619"/>
  <c r="B64" i="614"/>
  <c r="B67" i="616"/>
  <c r="B62" i="619"/>
  <c r="B57" i="614"/>
  <c r="B45" i="611"/>
  <c r="B36" i="611"/>
  <c r="B86" i="611"/>
  <c r="B76" i="611"/>
  <c r="B69" i="611"/>
  <c r="B61" i="611"/>
  <c r="B54" i="611"/>
  <c r="B96" i="612"/>
  <c r="B91" i="612"/>
  <c r="B86" i="612"/>
  <c r="B81" i="612"/>
  <c r="B78" i="612"/>
  <c r="B74" i="612"/>
  <c r="B70" i="612"/>
  <c r="B66" i="612"/>
  <c r="B63" i="612"/>
  <c r="B59" i="612"/>
  <c r="B55" i="612"/>
  <c r="B50" i="612"/>
  <c r="B46" i="612"/>
  <c r="A172" i="613"/>
  <c r="B58" i="614"/>
  <c r="B43" i="615"/>
  <c r="B77" i="615"/>
  <c r="B94" i="616"/>
  <c r="B77" i="616"/>
  <c r="B62" i="616"/>
  <c r="B86" i="617"/>
  <c r="B64" i="617"/>
  <c r="A41" i="618"/>
  <c r="A77" i="618"/>
  <c r="A56" i="618"/>
  <c r="B86" i="619"/>
  <c r="B55" i="619"/>
  <c r="B95" i="620"/>
  <c r="B70" i="620"/>
  <c r="B53" i="620"/>
  <c r="B41" i="612"/>
  <c r="B40" i="620"/>
  <c r="B35" i="614"/>
  <c r="B42" i="615"/>
  <c r="A131" i="613"/>
  <c r="B45" i="616"/>
  <c r="B37" i="611"/>
  <c r="B41" i="617"/>
  <c r="A35" i="618"/>
  <c r="E48" i="615"/>
  <c r="E96" i="615"/>
  <c r="E65" i="615"/>
  <c r="E79" i="338"/>
  <c r="E88" i="338"/>
  <c r="E67" i="338"/>
  <c r="E68" i="338"/>
  <c r="E51" i="338"/>
  <c r="E85" i="338"/>
  <c r="E83" i="615"/>
  <c r="E68" i="615"/>
  <c r="E66" i="615"/>
  <c r="E60" i="615"/>
  <c r="E52" i="615"/>
  <c r="E50" i="615"/>
  <c r="E41" i="615"/>
  <c r="E46" i="615"/>
  <c r="E93" i="615"/>
  <c r="E76" i="615"/>
  <c r="E74" i="615"/>
  <c r="E67" i="615"/>
  <c r="E61" i="615"/>
  <c r="E59" i="615"/>
  <c r="E90" i="615"/>
  <c r="E73" i="615"/>
  <c r="E49" i="615"/>
  <c r="E55" i="338"/>
  <c r="E73" i="338"/>
  <c r="E65" i="338"/>
  <c r="E45" i="338"/>
  <c r="E77" i="338"/>
  <c r="E90" i="338"/>
  <c r="E84" i="338"/>
  <c r="E48" i="338"/>
  <c r="E94" i="338"/>
  <c r="E57" i="338"/>
  <c r="E69" i="338"/>
  <c r="E49" i="338"/>
  <c r="E44" i="338"/>
  <c r="E46" i="338"/>
  <c r="E41" i="338"/>
  <c r="E96" i="338"/>
  <c r="E63" i="338"/>
  <c r="E70" i="338"/>
  <c r="E62" i="338"/>
  <c r="E78" i="338"/>
  <c r="G369" i="622" l="1"/>
  <c r="G151" i="613"/>
  <c r="E62" i="615" s="1"/>
  <c r="G158" i="613"/>
  <c r="E69" i="615" s="1"/>
  <c r="G166" i="613"/>
  <c r="E77" i="615" s="1"/>
  <c r="G173" i="613"/>
  <c r="E84" i="615" s="1"/>
  <c r="G183" i="613"/>
  <c r="E94" i="615" s="1"/>
  <c r="G142" i="613"/>
  <c r="E53" i="615" s="1"/>
  <c r="E53" i="338"/>
  <c r="E54" i="338"/>
  <c r="H105" i="617"/>
  <c r="H32" i="617" s="1"/>
  <c r="L34" i="333"/>
  <c r="P368" i="622" l="1"/>
  <c r="P369" i="622" s="1"/>
  <c r="R33" i="605"/>
  <c r="R13" i="605"/>
  <c r="R14" i="605"/>
  <c r="R15" i="605"/>
  <c r="R16" i="605"/>
  <c r="R17" i="605"/>
  <c r="R18" i="605"/>
  <c r="R19" i="605"/>
  <c r="R20" i="605"/>
  <c r="R21" i="605"/>
  <c r="R22" i="605"/>
  <c r="R23" i="605"/>
  <c r="R24" i="605"/>
  <c r="R25" i="605"/>
  <c r="R26" i="605"/>
  <c r="R28" i="605"/>
  <c r="R12" i="605"/>
  <c r="J33" i="605"/>
  <c r="J13" i="605"/>
  <c r="J14" i="605"/>
  <c r="J15" i="605"/>
  <c r="J16" i="605"/>
  <c r="J17" i="605"/>
  <c r="J18" i="605"/>
  <c r="J19" i="605"/>
  <c r="J20" i="605"/>
  <c r="J21" i="605"/>
  <c r="J22" i="605"/>
  <c r="J23" i="605"/>
  <c r="J24" i="605"/>
  <c r="J25" i="605"/>
  <c r="J26" i="605"/>
  <c r="J28" i="605"/>
  <c r="J12" i="605"/>
  <c r="A33" i="605"/>
  <c r="B33" i="605"/>
  <c r="B13" i="605"/>
  <c r="B14" i="605"/>
  <c r="B15" i="605"/>
  <c r="B16" i="605"/>
  <c r="B17" i="605"/>
  <c r="B18" i="605"/>
  <c r="B19" i="605"/>
  <c r="B20" i="605"/>
  <c r="B21" i="605"/>
  <c r="B22" i="605"/>
  <c r="B23" i="605"/>
  <c r="B24" i="605"/>
  <c r="B25" i="605"/>
  <c r="B26" i="605"/>
  <c r="B28" i="605"/>
  <c r="B12" i="605"/>
  <c r="D12" i="605" s="1"/>
  <c r="D39" i="401"/>
  <c r="D38" i="401"/>
  <c r="D37" i="401"/>
  <c r="D14" i="401"/>
  <c r="D15" i="401"/>
  <c r="D16" i="401"/>
  <c r="A9" i="606" l="1"/>
  <c r="C13" i="336" l="1"/>
  <c r="C14" i="336"/>
  <c r="C15" i="336"/>
  <c r="C16" i="336"/>
  <c r="C17" i="336"/>
  <c r="C18" i="336"/>
  <c r="C19" i="336"/>
  <c r="C20" i="336"/>
  <c r="C21" i="336"/>
  <c r="C22" i="336"/>
  <c r="C23" i="336"/>
  <c r="C24" i="336"/>
  <c r="C25" i="336"/>
  <c r="C26" i="336"/>
  <c r="B103" i="620" l="1"/>
  <c r="B102" i="620"/>
  <c r="B37" i="620"/>
  <c r="B12" i="620"/>
  <c r="B13" i="620"/>
  <c r="B14" i="620"/>
  <c r="B15" i="620"/>
  <c r="B16" i="620"/>
  <c r="B17" i="620"/>
  <c r="B18" i="620"/>
  <c r="B19" i="620"/>
  <c r="B20" i="620"/>
  <c r="B21" i="620"/>
  <c r="B22" i="620"/>
  <c r="B23" i="620"/>
  <c r="B24" i="620"/>
  <c r="B25" i="620"/>
  <c r="B26" i="620"/>
  <c r="B27" i="620"/>
  <c r="B28" i="620"/>
  <c r="B29" i="620"/>
  <c r="B11" i="620"/>
  <c r="B12" i="604"/>
  <c r="K36" i="551" s="1"/>
  <c r="B13" i="604"/>
  <c r="K37" i="551" s="1"/>
  <c r="B14" i="604"/>
  <c r="K38" i="551" s="1"/>
  <c r="B15" i="604"/>
  <c r="K39" i="551" s="1"/>
  <c r="B16" i="604"/>
  <c r="K40" i="551" s="1"/>
  <c r="B17" i="604"/>
  <c r="K41" i="551" s="1"/>
  <c r="B18" i="604"/>
  <c r="K42" i="551" s="1"/>
  <c r="B19" i="604"/>
  <c r="K43" i="551" s="1"/>
  <c r="B20" i="604"/>
  <c r="K44" i="551" s="1"/>
  <c r="B21" i="604"/>
  <c r="K45" i="551" s="1"/>
  <c r="B22" i="604"/>
  <c r="K46" i="551" s="1"/>
  <c r="B23" i="604"/>
  <c r="K47" i="551" s="1"/>
  <c r="B24" i="604"/>
  <c r="K48" i="551" s="1"/>
  <c r="B25" i="604"/>
  <c r="K49" i="551" s="1"/>
  <c r="B26" i="604"/>
  <c r="K50" i="551" s="1"/>
  <c r="B27" i="604"/>
  <c r="B28" i="604"/>
  <c r="B29" i="604"/>
  <c r="K53" i="606" s="1"/>
  <c r="B11" i="604"/>
  <c r="A2" i="620"/>
  <c r="P104" i="620"/>
  <c r="P29" i="620" s="1"/>
  <c r="P105" i="620" s="1"/>
  <c r="O104" i="620"/>
  <c r="N104" i="620"/>
  <c r="R103" i="620"/>
  <c r="P99" i="620"/>
  <c r="O99" i="620"/>
  <c r="B99" i="620"/>
  <c r="G6" i="620"/>
  <c r="P103" i="604"/>
  <c r="O103" i="604"/>
  <c r="N103" i="604"/>
  <c r="B103" i="604"/>
  <c r="B102" i="604"/>
  <c r="B101" i="604"/>
  <c r="B98" i="604"/>
  <c r="B36" i="604"/>
  <c r="R102" i="604"/>
  <c r="R101" i="604"/>
  <c r="M13" i="619"/>
  <c r="M14" i="619"/>
  <c r="M15" i="619"/>
  <c r="M16" i="619"/>
  <c r="M17" i="619"/>
  <c r="M18" i="619"/>
  <c r="M19" i="619"/>
  <c r="M20" i="619"/>
  <c r="M21" i="619"/>
  <c r="M22" i="619"/>
  <c r="M23" i="619"/>
  <c r="M24" i="619"/>
  <c r="M25" i="619"/>
  <c r="M26" i="619"/>
  <c r="M27" i="619"/>
  <c r="M28" i="619"/>
  <c r="B28" i="609"/>
  <c r="E28" i="609"/>
  <c r="H28" i="609"/>
  <c r="B29" i="609"/>
  <c r="M12" i="619"/>
  <c r="B103" i="619"/>
  <c r="B102" i="619"/>
  <c r="B37" i="619"/>
  <c r="B13" i="619"/>
  <c r="B14" i="619"/>
  <c r="B15" i="619"/>
  <c r="B16" i="619"/>
  <c r="B17" i="619"/>
  <c r="B18" i="619"/>
  <c r="B19" i="619"/>
  <c r="B20" i="619"/>
  <c r="B21" i="619"/>
  <c r="B22" i="619"/>
  <c r="B23" i="619"/>
  <c r="B24" i="619"/>
  <c r="B25" i="619"/>
  <c r="B26" i="619"/>
  <c r="B27" i="619"/>
  <c r="B28" i="619"/>
  <c r="B29" i="619"/>
  <c r="B30" i="619"/>
  <c r="A101" i="619" s="1"/>
  <c r="B12" i="619"/>
  <c r="A2" i="619"/>
  <c r="N104" i="619"/>
  <c r="N30" i="619" s="1"/>
  <c r="M104" i="619"/>
  <c r="M30" i="619" s="1"/>
  <c r="L104" i="619"/>
  <c r="L30" i="619" s="1"/>
  <c r="P30" i="619" s="1"/>
  <c r="B104" i="619"/>
  <c r="P103" i="619"/>
  <c r="P102" i="619"/>
  <c r="N99" i="619"/>
  <c r="N29" i="619" s="1"/>
  <c r="M99" i="619"/>
  <c r="L29" i="619"/>
  <c r="B99" i="619"/>
  <c r="P37" i="619"/>
  <c r="K29" i="336"/>
  <c r="K30" i="336"/>
  <c r="H29" i="336"/>
  <c r="E29" i="336"/>
  <c r="J29" i="336" s="1"/>
  <c r="H100" i="343" s="1"/>
  <c r="H28" i="336"/>
  <c r="E28" i="336"/>
  <c r="N104" i="603"/>
  <c r="N30" i="603" s="1"/>
  <c r="M104" i="603"/>
  <c r="M30" i="603" s="1"/>
  <c r="L104" i="603"/>
  <c r="L30" i="603" s="1"/>
  <c r="B103" i="603"/>
  <c r="B102" i="603"/>
  <c r="B104" i="603"/>
  <c r="P103" i="603"/>
  <c r="P102" i="603"/>
  <c r="B98" i="603"/>
  <c r="B37" i="603"/>
  <c r="B29" i="603"/>
  <c r="B30" i="603"/>
  <c r="D33" i="618"/>
  <c r="D32" i="618"/>
  <c r="A33" i="618"/>
  <c r="A93" i="618"/>
  <c r="A32" i="618"/>
  <c r="D9" i="618"/>
  <c r="D10" i="618"/>
  <c r="D11" i="618"/>
  <c r="D12" i="618"/>
  <c r="D13" i="618"/>
  <c r="D14" i="618"/>
  <c r="D15" i="618"/>
  <c r="D16" i="618"/>
  <c r="D17" i="618"/>
  <c r="D18" i="618"/>
  <c r="D19" i="618"/>
  <c r="D20" i="618"/>
  <c r="D21" i="618"/>
  <c r="D22" i="618"/>
  <c r="D8" i="618"/>
  <c r="A9" i="618"/>
  <c r="F13" i="608" s="1"/>
  <c r="A10" i="618"/>
  <c r="F14" i="608" s="1"/>
  <c r="A11" i="618"/>
  <c r="F15" i="608" s="1"/>
  <c r="A12" i="618"/>
  <c r="F16" i="608" s="1"/>
  <c r="A13" i="618"/>
  <c r="F17" i="608" s="1"/>
  <c r="A14" i="618"/>
  <c r="F18" i="608" s="1"/>
  <c r="A15" i="618"/>
  <c r="F19" i="608" s="1"/>
  <c r="A16" i="618"/>
  <c r="F20" i="608" s="1"/>
  <c r="A17" i="618"/>
  <c r="F21" i="608" s="1"/>
  <c r="A18" i="618"/>
  <c r="F22" i="608" s="1"/>
  <c r="A19" i="618"/>
  <c r="F23" i="608" s="1"/>
  <c r="A20" i="618"/>
  <c r="F24" i="608" s="1"/>
  <c r="A21" i="618"/>
  <c r="F25" i="608" s="1"/>
  <c r="A22" i="618"/>
  <c r="F26" i="608" s="1"/>
  <c r="A23" i="618"/>
  <c r="F27" i="608" s="1"/>
  <c r="A24" i="618"/>
  <c r="F28" i="608" s="1"/>
  <c r="A25" i="618"/>
  <c r="A8" i="618"/>
  <c r="F12" i="608" s="1"/>
  <c r="A2" i="618"/>
  <c r="H100" i="618"/>
  <c r="O100" i="618" s="1"/>
  <c r="D100" i="618"/>
  <c r="C100" i="618"/>
  <c r="B100" i="618" s="1"/>
  <c r="V99" i="618"/>
  <c r="V100" i="618" s="1"/>
  <c r="C99" i="618"/>
  <c r="B99" i="618" s="1"/>
  <c r="B93" i="618"/>
  <c r="B89" i="618"/>
  <c r="B87" i="618"/>
  <c r="B86" i="618"/>
  <c r="B85" i="618"/>
  <c r="B84" i="618"/>
  <c r="B83" i="618"/>
  <c r="B81" i="618"/>
  <c r="B80" i="618"/>
  <c r="B78" i="618"/>
  <c r="B77" i="618"/>
  <c r="B76" i="618"/>
  <c r="B75" i="618"/>
  <c r="B74" i="618"/>
  <c r="B73" i="618"/>
  <c r="B72" i="618"/>
  <c r="B71" i="618"/>
  <c r="B70" i="618"/>
  <c r="B69" i="618"/>
  <c r="B68" i="618"/>
  <c r="B67" i="618"/>
  <c r="B66" i="618"/>
  <c r="B65" i="618"/>
  <c r="B64" i="618"/>
  <c r="B63" i="618"/>
  <c r="B62" i="618"/>
  <c r="B61" i="618"/>
  <c r="B60" i="618"/>
  <c r="B59" i="618"/>
  <c r="B58" i="618"/>
  <c r="B57" i="618"/>
  <c r="B56" i="618"/>
  <c r="B55" i="618"/>
  <c r="B54" i="618"/>
  <c r="B53" i="618"/>
  <c r="B52" i="618"/>
  <c r="B51" i="618"/>
  <c r="B50" i="618"/>
  <c r="B49" i="618"/>
  <c r="B46" i="618"/>
  <c r="B45" i="618"/>
  <c r="B44" i="618"/>
  <c r="B43" i="618"/>
  <c r="B42" i="618"/>
  <c r="B41" i="618"/>
  <c r="B40" i="618"/>
  <c r="B38" i="618"/>
  <c r="B36" i="618"/>
  <c r="B35" i="618"/>
  <c r="B34" i="618"/>
  <c r="C33" i="618"/>
  <c r="C32" i="618"/>
  <c r="C24" i="618"/>
  <c r="C23" i="618"/>
  <c r="C22" i="618"/>
  <c r="C21" i="618"/>
  <c r="C20" i="618"/>
  <c r="C19" i="618"/>
  <c r="C18" i="618"/>
  <c r="C17" i="618"/>
  <c r="C16" i="618"/>
  <c r="C15" i="618"/>
  <c r="C14" i="618"/>
  <c r="C13" i="618"/>
  <c r="I13" i="618" s="1"/>
  <c r="J13" i="618" s="1"/>
  <c r="C12" i="618"/>
  <c r="C11" i="618"/>
  <c r="C10" i="618"/>
  <c r="C9" i="618"/>
  <c r="C8" i="618"/>
  <c r="T25" i="602"/>
  <c r="T26" i="602"/>
  <c r="Z29" i="604" s="1"/>
  <c r="T99" i="602"/>
  <c r="T100" i="602" s="1"/>
  <c r="H100" i="602"/>
  <c r="N100" i="602" s="1"/>
  <c r="C100" i="602"/>
  <c r="B100" i="602" s="1"/>
  <c r="I100" i="602"/>
  <c r="D99" i="602"/>
  <c r="C99" i="602"/>
  <c r="A100" i="602"/>
  <c r="A99" i="602"/>
  <c r="D93" i="602"/>
  <c r="D32" i="602"/>
  <c r="C93" i="602"/>
  <c r="B93" i="602" s="1"/>
  <c r="A33" i="602"/>
  <c r="A34" i="602"/>
  <c r="A35" i="602"/>
  <c r="A93" i="602"/>
  <c r="A32" i="602"/>
  <c r="A9" i="602"/>
  <c r="A10" i="602"/>
  <c r="A11" i="602"/>
  <c r="A12" i="602"/>
  <c r="A13" i="602"/>
  <c r="A14" i="602"/>
  <c r="A15" i="602"/>
  <c r="A16" i="602"/>
  <c r="A17" i="602"/>
  <c r="A18" i="602"/>
  <c r="A19" i="602"/>
  <c r="A20" i="602"/>
  <c r="A21" i="602"/>
  <c r="A22" i="602"/>
  <c r="A23" i="602"/>
  <c r="A24" i="602"/>
  <c r="A25" i="602"/>
  <c r="A26" i="602"/>
  <c r="C104" i="617"/>
  <c r="B103" i="617"/>
  <c r="B39" i="617"/>
  <c r="B99" i="617"/>
  <c r="B38" i="617"/>
  <c r="B15" i="617"/>
  <c r="B16" i="617"/>
  <c r="B17" i="617"/>
  <c r="B18" i="617"/>
  <c r="B19" i="617"/>
  <c r="B20" i="617"/>
  <c r="B21" i="617"/>
  <c r="B22" i="617"/>
  <c r="B23" i="617"/>
  <c r="B24" i="617"/>
  <c r="B25" i="617"/>
  <c r="B26" i="617"/>
  <c r="B27" i="617"/>
  <c r="B28" i="617"/>
  <c r="B29" i="617"/>
  <c r="B30" i="617"/>
  <c r="B31" i="617"/>
  <c r="B32" i="617"/>
  <c r="A102" i="617" s="1"/>
  <c r="B14" i="617"/>
  <c r="A2" i="617"/>
  <c r="B104" i="343"/>
  <c r="B103" i="343"/>
  <c r="B39" i="343"/>
  <c r="B99" i="343"/>
  <c r="B38" i="343"/>
  <c r="B31" i="343"/>
  <c r="B32" i="343"/>
  <c r="K108" i="616"/>
  <c r="K107" i="616"/>
  <c r="G108" i="616"/>
  <c r="G107" i="616"/>
  <c r="C108" i="616"/>
  <c r="C107" i="616"/>
  <c r="B107" i="616"/>
  <c r="B43" i="616"/>
  <c r="B103" i="616"/>
  <c r="G43" i="616"/>
  <c r="G103" i="616"/>
  <c r="K43" i="616"/>
  <c r="K103" i="616"/>
  <c r="K42" i="616"/>
  <c r="G42" i="616"/>
  <c r="C42" i="616"/>
  <c r="B42" i="616"/>
  <c r="K19" i="616"/>
  <c r="K20" i="616"/>
  <c r="K21" i="616"/>
  <c r="K22" i="616"/>
  <c r="K23" i="616"/>
  <c r="K24" i="616"/>
  <c r="K25" i="616"/>
  <c r="K26" i="616"/>
  <c r="K27" i="616"/>
  <c r="K28" i="616"/>
  <c r="K29" i="616"/>
  <c r="K30" i="616"/>
  <c r="K31" i="616"/>
  <c r="K32" i="616"/>
  <c r="K34" i="616"/>
  <c r="K18" i="616"/>
  <c r="G18" i="616"/>
  <c r="C19" i="616"/>
  <c r="C20" i="616"/>
  <c r="C21" i="616"/>
  <c r="C22" i="616"/>
  <c r="C23" i="616"/>
  <c r="C24" i="616"/>
  <c r="C25" i="616"/>
  <c r="C26" i="616"/>
  <c r="C27" i="616"/>
  <c r="C28" i="616"/>
  <c r="C29" i="616"/>
  <c r="C30" i="616"/>
  <c r="C31" i="616"/>
  <c r="C32" i="616"/>
  <c r="C34" i="616"/>
  <c r="C18" i="616"/>
  <c r="B19" i="616"/>
  <c r="B20" i="616"/>
  <c r="B21" i="616"/>
  <c r="B22" i="616"/>
  <c r="B23" i="616"/>
  <c r="B24" i="616"/>
  <c r="B25" i="616"/>
  <c r="B26" i="616"/>
  <c r="B27" i="616"/>
  <c r="B28" i="616"/>
  <c r="B29" i="616"/>
  <c r="B30" i="616"/>
  <c r="B31" i="616"/>
  <c r="B32" i="616"/>
  <c r="B33" i="616"/>
  <c r="B34" i="616"/>
  <c r="B35" i="616"/>
  <c r="B18" i="616"/>
  <c r="L11" i="616"/>
  <c r="H11" i="616"/>
  <c r="D11" i="616"/>
  <c r="I4" i="616" s="1"/>
  <c r="A2" i="616"/>
  <c r="C103" i="616"/>
  <c r="C43" i="616"/>
  <c r="K108" i="340"/>
  <c r="K107" i="340"/>
  <c r="G108" i="340"/>
  <c r="G107" i="340"/>
  <c r="C108" i="340"/>
  <c r="C107" i="340"/>
  <c r="B108" i="340"/>
  <c r="B107" i="340"/>
  <c r="K43" i="340"/>
  <c r="K103" i="340"/>
  <c r="K42" i="340"/>
  <c r="G43" i="340"/>
  <c r="G103" i="340"/>
  <c r="G42" i="340"/>
  <c r="C43" i="340"/>
  <c r="C103" i="340"/>
  <c r="C42" i="340"/>
  <c r="B43" i="340"/>
  <c r="B42" i="340"/>
  <c r="B35" i="340"/>
  <c r="C104" i="615"/>
  <c r="C106" i="615" s="1"/>
  <c r="C33" i="615" s="1"/>
  <c r="B104" i="615"/>
  <c r="B40" i="615"/>
  <c r="C40" i="615"/>
  <c r="B100" i="615"/>
  <c r="C100" i="615"/>
  <c r="C39" i="615"/>
  <c r="B39" i="615"/>
  <c r="B16" i="615"/>
  <c r="B17" i="615"/>
  <c r="B18" i="615"/>
  <c r="B19" i="615"/>
  <c r="B20" i="615"/>
  <c r="B21" i="615"/>
  <c r="B22" i="615"/>
  <c r="B23" i="615"/>
  <c r="B24" i="615"/>
  <c r="B25" i="615"/>
  <c r="B26" i="615"/>
  <c r="B27" i="615"/>
  <c r="B28" i="615"/>
  <c r="B29" i="615"/>
  <c r="B30" i="615"/>
  <c r="B31" i="615"/>
  <c r="B32" i="615"/>
  <c r="B33" i="615"/>
  <c r="A103" i="615" s="1"/>
  <c r="C16" i="615"/>
  <c r="C17" i="615"/>
  <c r="C18" i="615"/>
  <c r="C19" i="615"/>
  <c r="C20" i="615"/>
  <c r="C21" i="615"/>
  <c r="C22" i="615"/>
  <c r="C23" i="615"/>
  <c r="C24" i="615"/>
  <c r="C25" i="615"/>
  <c r="C26" i="615"/>
  <c r="C27" i="615"/>
  <c r="C28" i="615"/>
  <c r="C29" i="615"/>
  <c r="C15" i="615"/>
  <c r="B15" i="615"/>
  <c r="A2" i="615"/>
  <c r="C104" i="338"/>
  <c r="B104" i="338"/>
  <c r="C40" i="338"/>
  <c r="C100" i="338"/>
  <c r="C39" i="338"/>
  <c r="B40" i="338"/>
  <c r="B100" i="338"/>
  <c r="B39" i="338"/>
  <c r="B32" i="338"/>
  <c r="B97" i="614"/>
  <c r="B94" i="614"/>
  <c r="B33" i="614"/>
  <c r="C33" i="614"/>
  <c r="B93" i="614"/>
  <c r="C93" i="614"/>
  <c r="C32" i="614"/>
  <c r="B32" i="614"/>
  <c r="C8" i="614"/>
  <c r="C9" i="614"/>
  <c r="C10" i="614"/>
  <c r="C11" i="614"/>
  <c r="C12" i="614"/>
  <c r="C13" i="614"/>
  <c r="C14" i="614"/>
  <c r="C15" i="614"/>
  <c r="C16" i="614"/>
  <c r="C17" i="614"/>
  <c r="C18" i="614"/>
  <c r="C19" i="614"/>
  <c r="C20" i="614"/>
  <c r="C21" i="614"/>
  <c r="C22" i="614"/>
  <c r="C23" i="614"/>
  <c r="C24" i="614"/>
  <c r="C25" i="614"/>
  <c r="C7" i="614"/>
  <c r="B8" i="614"/>
  <c r="B9" i="614"/>
  <c r="B10" i="614"/>
  <c r="B11" i="614"/>
  <c r="B12" i="614"/>
  <c r="B13" i="614"/>
  <c r="B14" i="614"/>
  <c r="B15" i="614"/>
  <c r="B16" i="614"/>
  <c r="B17" i="614"/>
  <c r="B18" i="614"/>
  <c r="B19" i="614"/>
  <c r="B20" i="614"/>
  <c r="B21" i="614"/>
  <c r="B22" i="614"/>
  <c r="B23" i="614"/>
  <c r="B24" i="614"/>
  <c r="B25" i="614"/>
  <c r="A96" i="614" s="1"/>
  <c r="B7" i="614"/>
  <c r="B2" i="614"/>
  <c r="A30" i="614"/>
  <c r="A5" i="614"/>
  <c r="B24" i="504"/>
  <c r="G52" i="606" s="1"/>
  <c r="C24" i="504"/>
  <c r="B25" i="504"/>
  <c r="C25" i="504"/>
  <c r="B97" i="504"/>
  <c r="C93" i="504"/>
  <c r="C32" i="504"/>
  <c r="B93" i="504"/>
  <c r="B32" i="504"/>
  <c r="A195" i="613"/>
  <c r="A194" i="613"/>
  <c r="C195" i="613"/>
  <c r="E195" i="613" s="1"/>
  <c r="C194" i="613"/>
  <c r="E194" i="613" s="1"/>
  <c r="D195" i="613"/>
  <c r="D194" i="613"/>
  <c r="A189" i="613"/>
  <c r="C189" i="613"/>
  <c r="C128" i="613"/>
  <c r="E128" i="613" s="1"/>
  <c r="G128" i="613" s="1"/>
  <c r="A128" i="613"/>
  <c r="A2" i="613"/>
  <c r="D126" i="613"/>
  <c r="C126" i="613"/>
  <c r="D9" i="613"/>
  <c r="C9" i="613"/>
  <c r="D8" i="613"/>
  <c r="C7" i="613"/>
  <c r="D194" i="588"/>
  <c r="C194" i="588"/>
  <c r="E194" i="588" s="1"/>
  <c r="D193" i="588"/>
  <c r="G193" i="588" s="1"/>
  <c r="E104" i="338" s="1"/>
  <c r="A194" i="588"/>
  <c r="A193" i="588"/>
  <c r="C188" i="588"/>
  <c r="E188" i="588" s="1"/>
  <c r="G188" i="588" s="1"/>
  <c r="C127" i="588"/>
  <c r="A188" i="588"/>
  <c r="A127" i="588"/>
  <c r="B8" i="612"/>
  <c r="D104" i="612"/>
  <c r="D103" i="612"/>
  <c r="B103" i="612"/>
  <c r="B99" i="612"/>
  <c r="D38" i="612"/>
  <c r="B38" i="612"/>
  <c r="B15" i="612"/>
  <c r="D15" i="612"/>
  <c r="B16" i="612"/>
  <c r="D16" i="612"/>
  <c r="B17" i="612"/>
  <c r="D17" i="612"/>
  <c r="B18" i="612"/>
  <c r="D18" i="612"/>
  <c r="B19" i="612"/>
  <c r="D19" i="612"/>
  <c r="B20" i="612"/>
  <c r="D20" i="612"/>
  <c r="B21" i="612"/>
  <c r="D21" i="612"/>
  <c r="B22" i="612"/>
  <c r="D22" i="612"/>
  <c r="B23" i="612"/>
  <c r="D23" i="612"/>
  <c r="B24" i="612"/>
  <c r="D24" i="612"/>
  <c r="B25" i="612"/>
  <c r="D25" i="612"/>
  <c r="B26" i="612"/>
  <c r="D26" i="612"/>
  <c r="B27" i="612"/>
  <c r="D27" i="612"/>
  <c r="B28" i="612"/>
  <c r="D28" i="612"/>
  <c r="B29" i="612"/>
  <c r="B30" i="612"/>
  <c r="B31" i="612"/>
  <c r="D14" i="612"/>
  <c r="B14" i="612"/>
  <c r="A2" i="612"/>
  <c r="D103" i="337"/>
  <c r="B103" i="337"/>
  <c r="D99" i="337"/>
  <c r="D38" i="337"/>
  <c r="B99" i="337"/>
  <c r="B38" i="337"/>
  <c r="B31" i="337"/>
  <c r="A2" i="611"/>
  <c r="B95" i="611"/>
  <c r="B34" i="611"/>
  <c r="B10" i="611"/>
  <c r="B11" i="611"/>
  <c r="B12" i="611"/>
  <c r="B13" i="611"/>
  <c r="B14" i="611"/>
  <c r="B15" i="611"/>
  <c r="B16" i="611"/>
  <c r="B17" i="611"/>
  <c r="B18" i="611"/>
  <c r="B19" i="611"/>
  <c r="B20" i="611"/>
  <c r="B21" i="611"/>
  <c r="B22" i="611"/>
  <c r="B23" i="611"/>
  <c r="B24" i="611"/>
  <c r="B25" i="611"/>
  <c r="B26" i="611"/>
  <c r="B9" i="611"/>
  <c r="I104" i="617"/>
  <c r="B96" i="611"/>
  <c r="D101" i="601"/>
  <c r="D27" i="601" s="1"/>
  <c r="D30" i="601" s="1"/>
  <c r="E101" i="601"/>
  <c r="E27" i="601" s="1"/>
  <c r="G101" i="601"/>
  <c r="G27" i="601" s="1"/>
  <c r="J101" i="601"/>
  <c r="J27" i="601" s="1"/>
  <c r="K100" i="601"/>
  <c r="I104" i="343"/>
  <c r="I105" i="343" s="1"/>
  <c r="I32" i="343" s="1"/>
  <c r="B99" i="601"/>
  <c r="B96" i="601"/>
  <c r="B34" i="601"/>
  <c r="C13" i="609"/>
  <c r="C14" i="609"/>
  <c r="C15" i="609"/>
  <c r="C16" i="609"/>
  <c r="C17" i="609"/>
  <c r="C18" i="609"/>
  <c r="C19" i="609"/>
  <c r="C20" i="609"/>
  <c r="C21" i="609"/>
  <c r="C22" i="609"/>
  <c r="C23" i="609"/>
  <c r="C24" i="609"/>
  <c r="C25" i="609"/>
  <c r="C26" i="609"/>
  <c r="C12" i="609"/>
  <c r="B98" i="526"/>
  <c r="B95" i="526"/>
  <c r="B32" i="526"/>
  <c r="K754" i="577"/>
  <c r="J754" i="577"/>
  <c r="I754" i="577"/>
  <c r="L754" i="577"/>
  <c r="D118" i="577"/>
  <c r="C118" i="577"/>
  <c r="B118" i="577"/>
  <c r="A118" i="577"/>
  <c r="L102" i="577"/>
  <c r="L27" i="577" s="1"/>
  <c r="K102" i="577"/>
  <c r="K27" i="577" s="1"/>
  <c r="J102" i="577"/>
  <c r="J27" i="577" s="1"/>
  <c r="I102" i="577"/>
  <c r="I27" i="577" s="1"/>
  <c r="K26" i="577"/>
  <c r="P26" i="577" s="1"/>
  <c r="J26" i="577"/>
  <c r="O26" i="577" s="1"/>
  <c r="I26" i="577"/>
  <c r="N26" i="577" s="1"/>
  <c r="P32" i="577"/>
  <c r="D33" i="577"/>
  <c r="C33" i="577"/>
  <c r="B33" i="577"/>
  <c r="A33" i="577"/>
  <c r="K7" i="577"/>
  <c r="J7" i="577"/>
  <c r="I7" i="577"/>
  <c r="K6" i="577"/>
  <c r="J6" i="577"/>
  <c r="I6" i="577"/>
  <c r="A2" i="577"/>
  <c r="K754" i="607"/>
  <c r="J754" i="607"/>
  <c r="I754" i="607"/>
  <c r="D118" i="607"/>
  <c r="C118" i="607"/>
  <c r="B118" i="607"/>
  <c r="A118" i="607"/>
  <c r="K96" i="607"/>
  <c r="J96" i="607"/>
  <c r="I96" i="607"/>
  <c r="I26" i="607" s="1"/>
  <c r="N26" i="607" s="1"/>
  <c r="D191" i="613"/>
  <c r="D33" i="607"/>
  <c r="C33" i="607"/>
  <c r="B33" i="607"/>
  <c r="A33" i="607"/>
  <c r="L102" i="607"/>
  <c r="L27" i="607" s="1"/>
  <c r="K102" i="607"/>
  <c r="K27" i="607" s="1"/>
  <c r="J102" i="607"/>
  <c r="J27" i="607" s="1"/>
  <c r="I102" i="607"/>
  <c r="I27" i="607" s="1"/>
  <c r="G102" i="607"/>
  <c r="G27" i="607" s="1"/>
  <c r="P23" i="607"/>
  <c r="O23" i="607"/>
  <c r="N23" i="607"/>
  <c r="P22" i="607"/>
  <c r="O22" i="607"/>
  <c r="N22" i="607"/>
  <c r="P21" i="607"/>
  <c r="O21" i="607"/>
  <c r="N21" i="607"/>
  <c r="P20" i="607"/>
  <c r="O20" i="607"/>
  <c r="N20" i="607"/>
  <c r="P19" i="607"/>
  <c r="O19" i="607"/>
  <c r="N19" i="607"/>
  <c r="P18" i="607"/>
  <c r="O18" i="607"/>
  <c r="N18" i="607"/>
  <c r="P17" i="607"/>
  <c r="O17" i="607"/>
  <c r="N17" i="607"/>
  <c r="P16" i="607"/>
  <c r="O16" i="607"/>
  <c r="N16" i="607"/>
  <c r="P15" i="607"/>
  <c r="O15" i="607"/>
  <c r="N15" i="607"/>
  <c r="P14" i="607"/>
  <c r="O14" i="607"/>
  <c r="N14" i="607"/>
  <c r="P13" i="607"/>
  <c r="O13" i="607"/>
  <c r="N13" i="607"/>
  <c r="P12" i="607"/>
  <c r="O12" i="607"/>
  <c r="N12" i="607"/>
  <c r="P11" i="607"/>
  <c r="O11" i="607"/>
  <c r="N11" i="607"/>
  <c r="P10" i="607"/>
  <c r="O10" i="607"/>
  <c r="N10" i="607"/>
  <c r="P9" i="607"/>
  <c r="O9" i="607"/>
  <c r="N9" i="607"/>
  <c r="T100" i="526"/>
  <c r="T26" i="526" s="1"/>
  <c r="U100" i="526"/>
  <c r="U26" i="526" s="1"/>
  <c r="V100" i="526"/>
  <c r="V26" i="526" s="1"/>
  <c r="W100" i="526"/>
  <c r="W26" i="526" s="1"/>
  <c r="W29" i="526" s="1"/>
  <c r="X100" i="526"/>
  <c r="X26" i="526" s="1"/>
  <c r="X29" i="526" s="1"/>
  <c r="Y100" i="526"/>
  <c r="Y26" i="526" s="1"/>
  <c r="Y29" i="526" s="1"/>
  <c r="S26" i="526"/>
  <c r="J100" i="526"/>
  <c r="J26" i="526" s="1"/>
  <c r="Z99" i="526"/>
  <c r="M99" i="526"/>
  <c r="C100" i="526"/>
  <c r="C26" i="526" s="1"/>
  <c r="D100" i="526"/>
  <c r="D26" i="526" s="1"/>
  <c r="E100" i="526"/>
  <c r="E26" i="526" s="1"/>
  <c r="B26" i="526"/>
  <c r="A97" i="526" s="1"/>
  <c r="B25" i="526"/>
  <c r="Q26" i="526"/>
  <c r="P26" i="526"/>
  <c r="O26" i="526"/>
  <c r="N26" i="526"/>
  <c r="B9" i="526"/>
  <c r="B10" i="526"/>
  <c r="B11" i="526"/>
  <c r="B12" i="526"/>
  <c r="B13" i="526"/>
  <c r="B14" i="526"/>
  <c r="B15" i="526"/>
  <c r="B16" i="526"/>
  <c r="B17" i="526"/>
  <c r="B18" i="526"/>
  <c r="B19" i="526"/>
  <c r="B20" i="526"/>
  <c r="B21" i="526"/>
  <c r="B22" i="526"/>
  <c r="B23" i="526"/>
  <c r="B24" i="526"/>
  <c r="B8" i="526"/>
  <c r="M36" i="606"/>
  <c r="I8" i="614" s="1"/>
  <c r="M37" i="606"/>
  <c r="I9" i="614" s="1"/>
  <c r="M38" i="606"/>
  <c r="I10" i="614" s="1"/>
  <c r="M39" i="606"/>
  <c r="I11" i="614" s="1"/>
  <c r="M40" i="606"/>
  <c r="I12" i="614" s="1"/>
  <c r="M41" i="606"/>
  <c r="I13" i="614" s="1"/>
  <c r="M42" i="606"/>
  <c r="I14" i="614" s="1"/>
  <c r="M43" i="606"/>
  <c r="I15" i="614" s="1"/>
  <c r="M44" i="606"/>
  <c r="I16" i="614" s="1"/>
  <c r="M45" i="606"/>
  <c r="I17" i="614" s="1"/>
  <c r="M46" i="606"/>
  <c r="I18" i="614" s="1"/>
  <c r="M47" i="606"/>
  <c r="I19" i="614" s="1"/>
  <c r="M48" i="606"/>
  <c r="I20" i="614" s="1"/>
  <c r="M49" i="606"/>
  <c r="I21" i="614" s="1"/>
  <c r="M50" i="606"/>
  <c r="I22" i="614" s="1"/>
  <c r="M51" i="606"/>
  <c r="I23" i="614" s="1"/>
  <c r="M35" i="606"/>
  <c r="I7" i="614" s="1"/>
  <c r="L32" i="333"/>
  <c r="K2" i="333"/>
  <c r="K28" i="333"/>
  <c r="P24" i="621" l="1"/>
  <c r="K24" i="621"/>
  <c r="K23" i="621"/>
  <c r="P23" i="621"/>
  <c r="K22" i="621"/>
  <c r="P22" i="621"/>
  <c r="K21" i="621"/>
  <c r="P21" i="621"/>
  <c r="P20" i="621"/>
  <c r="K20" i="621"/>
  <c r="K19" i="621"/>
  <c r="P19" i="621"/>
  <c r="K18" i="621"/>
  <c r="P18" i="621"/>
  <c r="K17" i="621"/>
  <c r="P17" i="621"/>
  <c r="K16" i="621"/>
  <c r="P16" i="621"/>
  <c r="K15" i="621"/>
  <c r="P15" i="621"/>
  <c r="K14" i="621"/>
  <c r="P14" i="621"/>
  <c r="K13" i="621"/>
  <c r="P13" i="621"/>
  <c r="K12" i="621"/>
  <c r="P12" i="621"/>
  <c r="K11" i="621"/>
  <c r="P11" i="621"/>
  <c r="K10" i="621"/>
  <c r="P10" i="621"/>
  <c r="K9" i="621"/>
  <c r="P9" i="621"/>
  <c r="K8" i="621"/>
  <c r="P8" i="621"/>
  <c r="K7" i="621"/>
  <c r="P7" i="621"/>
  <c r="A101" i="620"/>
  <c r="K25" i="621"/>
  <c r="P25" i="621"/>
  <c r="J28" i="336"/>
  <c r="M29" i="619"/>
  <c r="P29" i="619" s="1"/>
  <c r="P99" i="619"/>
  <c r="O28" i="620"/>
  <c r="O100" i="620"/>
  <c r="P28" i="620"/>
  <c r="P100" i="620" s="1"/>
  <c r="N29" i="620"/>
  <c r="N105" i="620"/>
  <c r="O29" i="620"/>
  <c r="O105" i="620" s="1"/>
  <c r="M33" i="619"/>
  <c r="M121" i="619" s="1"/>
  <c r="G194" i="588"/>
  <c r="E105" i="338" s="1"/>
  <c r="E106" i="338" s="1"/>
  <c r="E33" i="338" s="1"/>
  <c r="K30" i="577"/>
  <c r="I30" i="577"/>
  <c r="I24" i="607"/>
  <c r="C33" i="616" s="1"/>
  <c r="G103" i="607"/>
  <c r="J24" i="607"/>
  <c r="G33" i="616" s="1"/>
  <c r="L24" i="607"/>
  <c r="E25" i="504"/>
  <c r="K52" i="551"/>
  <c r="K52" i="606"/>
  <c r="K51" i="551"/>
  <c r="K51" i="606"/>
  <c r="G53" i="606"/>
  <c r="A96" i="504"/>
  <c r="J30" i="577"/>
  <c r="E127" i="588"/>
  <c r="G127" i="588" s="1"/>
  <c r="I97" i="614"/>
  <c r="I93" i="614"/>
  <c r="I108" i="614"/>
  <c r="I107" i="614"/>
  <c r="I102" i="614"/>
  <c r="I103" i="614"/>
  <c r="M26" i="526"/>
  <c r="D196" i="613"/>
  <c r="G194" i="613"/>
  <c r="G195" i="613"/>
  <c r="E105" i="615" s="1"/>
  <c r="D97" i="611"/>
  <c r="D97" i="601"/>
  <c r="G97" i="601"/>
  <c r="G97" i="611"/>
  <c r="J97" i="601"/>
  <c r="J97" i="611"/>
  <c r="C102" i="601"/>
  <c r="D102" i="601"/>
  <c r="E30" i="611"/>
  <c r="E102" i="601"/>
  <c r="G102" i="601"/>
  <c r="J30" i="611"/>
  <c r="J102" i="601"/>
  <c r="E97" i="601"/>
  <c r="E97" i="611"/>
  <c r="K53" i="551"/>
  <c r="A100" i="604"/>
  <c r="E30" i="601"/>
  <c r="J30" i="601"/>
  <c r="G30" i="601"/>
  <c r="Z28" i="604"/>
  <c r="T32" i="602"/>
  <c r="T33" i="602" s="1"/>
  <c r="T34" i="602" s="1"/>
  <c r="T35" i="602" s="1"/>
  <c r="T36" i="602" s="1"/>
  <c r="T37" i="602" s="1"/>
  <c r="T38" i="602" s="1"/>
  <c r="T39" i="602" s="1"/>
  <c r="T40" i="602" s="1"/>
  <c r="T41" i="602" s="1"/>
  <c r="T42" i="602" s="1"/>
  <c r="T43" i="602" s="1"/>
  <c r="T44" i="602" s="1"/>
  <c r="T45" i="602" s="1"/>
  <c r="T46" i="602" s="1"/>
  <c r="T47" i="602" s="1"/>
  <c r="T48" i="602" s="1"/>
  <c r="T49" i="602" s="1"/>
  <c r="T50" i="602" s="1"/>
  <c r="T51" i="602" s="1"/>
  <c r="T52" i="602" s="1"/>
  <c r="T53" i="602" s="1"/>
  <c r="T54" i="602" s="1"/>
  <c r="T55" i="602" s="1"/>
  <c r="T56" i="602" s="1"/>
  <c r="T57" i="602" s="1"/>
  <c r="T58" i="602" s="1"/>
  <c r="T59" i="602" s="1"/>
  <c r="T60" i="602" s="1"/>
  <c r="T61" i="602" s="1"/>
  <c r="T62" i="602" s="1"/>
  <c r="T63" i="602" s="1"/>
  <c r="T64" i="602" s="1"/>
  <c r="T65" i="602" s="1"/>
  <c r="T66" i="602" s="1"/>
  <c r="T67" i="602" s="1"/>
  <c r="T68" i="602" s="1"/>
  <c r="T69" i="602" s="1"/>
  <c r="T70" i="602" s="1"/>
  <c r="T71" i="602" s="1"/>
  <c r="T72" i="602" s="1"/>
  <c r="T73" i="602" s="1"/>
  <c r="T74" i="602" s="1"/>
  <c r="T75" i="602" s="1"/>
  <c r="T76" i="602" s="1"/>
  <c r="T77" i="602" s="1"/>
  <c r="T78" i="602" s="1"/>
  <c r="T79" i="602" s="1"/>
  <c r="T80" i="602" s="1"/>
  <c r="T81" i="602" s="1"/>
  <c r="T82" i="602" s="1"/>
  <c r="T83" i="602" s="1"/>
  <c r="T84" i="602" s="1"/>
  <c r="T85" i="602" s="1"/>
  <c r="T86" i="602" s="1"/>
  <c r="T87" i="602" s="1"/>
  <c r="T88" i="602" s="1"/>
  <c r="T89" i="602" s="1"/>
  <c r="T90" i="602" s="1"/>
  <c r="T91" i="602" s="1"/>
  <c r="T92" i="602" s="1"/>
  <c r="T93" i="602" s="1"/>
  <c r="AA26" i="526"/>
  <c r="F26" i="526"/>
  <c r="H26" i="526" s="1"/>
  <c r="Z26" i="526" s="1"/>
  <c r="K24" i="607"/>
  <c r="K109" i="340"/>
  <c r="K36" i="340" s="1"/>
  <c r="C104" i="340"/>
  <c r="C35" i="340" s="1"/>
  <c r="G109" i="340"/>
  <c r="G36" i="340" s="1"/>
  <c r="C101" i="618"/>
  <c r="C26" i="618" s="1"/>
  <c r="I92" i="614"/>
  <c r="I91" i="614"/>
  <c r="I47" i="614"/>
  <c r="I79" i="614"/>
  <c r="D51" i="613"/>
  <c r="I13" i="602"/>
  <c r="J13" i="602" s="1"/>
  <c r="C106" i="338"/>
  <c r="C33" i="338" s="1"/>
  <c r="L102" i="601"/>
  <c r="I88" i="614"/>
  <c r="I82" i="614"/>
  <c r="D42" i="613"/>
  <c r="E189" i="613"/>
  <c r="G104" i="340"/>
  <c r="G35" i="340" s="1"/>
  <c r="P31" i="577"/>
  <c r="D195" i="588"/>
  <c r="K104" i="340"/>
  <c r="K35" i="340" s="1"/>
  <c r="I93" i="602"/>
  <c r="G99" i="504"/>
  <c r="G25" i="504" s="1"/>
  <c r="E99" i="504"/>
  <c r="I32" i="614"/>
  <c r="I87" i="614"/>
  <c r="I67" i="614"/>
  <c r="I42" i="614"/>
  <c r="I37" i="614"/>
  <c r="I40" i="614"/>
  <c r="I35" i="614"/>
  <c r="I45" i="614"/>
  <c r="I49" i="614"/>
  <c r="I36" i="614"/>
  <c r="I71" i="614"/>
  <c r="I50" i="614"/>
  <c r="I44" i="614"/>
  <c r="I48" i="614"/>
  <c r="I51" i="614"/>
  <c r="I86" i="614"/>
  <c r="I90" i="614"/>
  <c r="I43" i="614"/>
  <c r="I75" i="614"/>
  <c r="I72" i="614"/>
  <c r="I66" i="614"/>
  <c r="I85" i="614"/>
  <c r="I89" i="614"/>
  <c r="I83" i="614"/>
  <c r="I76" i="614"/>
  <c r="I80" i="614"/>
  <c r="I84" i="614"/>
  <c r="I81" i="614"/>
  <c r="I78" i="614"/>
  <c r="I69" i="614"/>
  <c r="I74" i="614"/>
  <c r="I61" i="614"/>
  <c r="I64" i="614"/>
  <c r="I65" i="614"/>
  <c r="I60" i="614"/>
  <c r="I63" i="614"/>
  <c r="I54" i="614"/>
  <c r="I57" i="614"/>
  <c r="I59" i="614"/>
  <c r="I39" i="614"/>
  <c r="I41" i="614"/>
  <c r="I73" i="614"/>
  <c r="I58" i="614"/>
  <c r="I53" i="614"/>
  <c r="I56" i="614"/>
  <c r="I55" i="614"/>
  <c r="I77" i="614"/>
  <c r="I70" i="614"/>
  <c r="I52" i="614"/>
  <c r="I46" i="614"/>
  <c r="I62" i="614"/>
  <c r="I38" i="614"/>
  <c r="I34" i="614"/>
  <c r="I68" i="614"/>
  <c r="I33" i="614"/>
  <c r="G109" i="616"/>
  <c r="G36" i="616" s="1"/>
  <c r="B32" i="618"/>
  <c r="B33" i="618"/>
  <c r="L103" i="607"/>
  <c r="D189" i="588"/>
  <c r="D190" i="588" s="1"/>
  <c r="E100" i="338"/>
  <c r="R104" i="620"/>
  <c r="D35" i="613"/>
  <c r="D92" i="613"/>
  <c r="D16" i="613"/>
  <c r="D24" i="613"/>
  <c r="D109" i="613"/>
  <c r="D25" i="613"/>
  <c r="D41" i="613"/>
  <c r="D79" i="613"/>
  <c r="D40" i="613"/>
  <c r="D75" i="613"/>
  <c r="D110" i="613"/>
  <c r="D39" i="613"/>
  <c r="D98" i="613"/>
  <c r="D28" i="613"/>
  <c r="D33" i="613"/>
  <c r="D44" i="613"/>
  <c r="I103" i="617"/>
  <c r="I105" i="617" s="1"/>
  <c r="I32" i="617" s="1"/>
  <c r="I35" i="617" s="1"/>
  <c r="G104" i="616"/>
  <c r="G35" i="616" s="1"/>
  <c r="L26" i="607"/>
  <c r="I103" i="607"/>
  <c r="J26" i="607"/>
  <c r="O26" i="607" s="1"/>
  <c r="J103" i="607"/>
  <c r="K26" i="607"/>
  <c r="K103" i="607"/>
  <c r="R103" i="604"/>
  <c r="P104" i="603"/>
  <c r="P30" i="603" s="1"/>
  <c r="D101" i="602"/>
  <c r="D26" i="602" s="1"/>
  <c r="D105" i="337"/>
  <c r="L96" i="577"/>
  <c r="L26" i="577" s="1"/>
  <c r="C109" i="340"/>
  <c r="C36" i="340" s="1"/>
  <c r="C104" i="616"/>
  <c r="C35" i="616" s="1"/>
  <c r="C96" i="618"/>
  <c r="C101" i="602"/>
  <c r="C26" i="602" s="1"/>
  <c r="F100" i="602"/>
  <c r="K100" i="602" s="1"/>
  <c r="O100" i="602" s="1"/>
  <c r="D31" i="337"/>
  <c r="D101" i="618"/>
  <c r="D26" i="618" s="1"/>
  <c r="D100" i="337"/>
  <c r="I5" i="616"/>
  <c r="D22" i="613"/>
  <c r="K104" i="616"/>
  <c r="K35" i="616" s="1"/>
  <c r="C101" i="615"/>
  <c r="C32" i="615" s="1"/>
  <c r="C109" i="616"/>
  <c r="C36" i="616" s="1"/>
  <c r="P104" i="619"/>
  <c r="M100" i="619"/>
  <c r="D96" i="618"/>
  <c r="D25" i="618" s="1"/>
  <c r="M30" i="618"/>
  <c r="F100" i="618"/>
  <c r="I100" i="618"/>
  <c r="B99" i="602"/>
  <c r="K109" i="616"/>
  <c r="K36" i="616" s="1"/>
  <c r="G99" i="614"/>
  <c r="G25" i="614" s="1"/>
  <c r="E40" i="615"/>
  <c r="C31" i="613"/>
  <c r="C123" i="613" s="1"/>
  <c r="D123" i="613" s="1"/>
  <c r="D26" i="613"/>
  <c r="D29" i="613"/>
  <c r="D60" i="613"/>
  <c r="D64" i="613"/>
  <c r="D69" i="613"/>
  <c r="D90" i="613"/>
  <c r="D20" i="613"/>
  <c r="D23" i="613"/>
  <c r="D61" i="613"/>
  <c r="D112" i="613"/>
  <c r="D72" i="613"/>
  <c r="D80" i="613"/>
  <c r="D91" i="613"/>
  <c r="D115" i="613"/>
  <c r="D34" i="613"/>
  <c r="D45" i="613"/>
  <c r="D21" i="613"/>
  <c r="D27" i="613"/>
  <c r="D62" i="613"/>
  <c r="D73" i="613"/>
  <c r="D116" i="613"/>
  <c r="D43" i="613"/>
  <c r="D46" i="613"/>
  <c r="D68" i="613"/>
  <c r="D74" i="613"/>
  <c r="D108" i="613"/>
  <c r="D118" i="613"/>
  <c r="D38" i="613"/>
  <c r="D81" i="613"/>
  <c r="D48" i="613"/>
  <c r="D18" i="613"/>
  <c r="D106" i="613"/>
  <c r="D52" i="613"/>
  <c r="D57" i="613"/>
  <c r="D63" i="613"/>
  <c r="D86" i="613"/>
  <c r="D82" i="613"/>
  <c r="D93" i="613"/>
  <c r="D111" i="613"/>
  <c r="D117" i="613"/>
  <c r="D85" i="613"/>
  <c r="D102" i="613"/>
  <c r="D105" i="613"/>
  <c r="D78" i="613"/>
  <c r="D101" i="613"/>
  <c r="D107" i="613"/>
  <c r="D47" i="613"/>
  <c r="D53" i="613"/>
  <c r="D65" i="613"/>
  <c r="D94" i="613"/>
  <c r="D30" i="613"/>
  <c r="D56" i="613"/>
  <c r="D97" i="613"/>
  <c r="D89" i="613"/>
  <c r="D105" i="612"/>
  <c r="D32" i="612" s="1"/>
  <c r="D100" i="612"/>
  <c r="D31" i="612" s="1"/>
  <c r="G19" i="333" l="1"/>
  <c r="I32" i="577"/>
  <c r="H32" i="577" s="1"/>
  <c r="G20" i="333"/>
  <c r="J32" i="577"/>
  <c r="P26" i="621"/>
  <c r="K26" i="621"/>
  <c r="C30" i="611"/>
  <c r="R29" i="620"/>
  <c r="R105" i="620" s="1"/>
  <c r="O27" i="607"/>
  <c r="P27" i="607"/>
  <c r="N27" i="607"/>
  <c r="K30" i="611"/>
  <c r="G30" i="611"/>
  <c r="B96" i="618"/>
  <c r="C25" i="618"/>
  <c r="C29" i="618" s="1"/>
  <c r="N27" i="577"/>
  <c r="O27" i="577"/>
  <c r="P27" i="577"/>
  <c r="J27" i="605"/>
  <c r="L30" i="607"/>
  <c r="J30" i="607"/>
  <c r="H9" i="616" s="1"/>
  <c r="K30" i="607"/>
  <c r="B27" i="605"/>
  <c r="I30" i="607"/>
  <c r="I31" i="607" s="1"/>
  <c r="P33" i="577"/>
  <c r="E24" i="504"/>
  <c r="E28" i="504" s="1"/>
  <c r="L30" i="577"/>
  <c r="G196" i="613"/>
  <c r="G189" i="613"/>
  <c r="E100" i="615" s="1"/>
  <c r="D30" i="611"/>
  <c r="K105" i="616"/>
  <c r="P26" i="607"/>
  <c r="D23" i="602"/>
  <c r="P24" i="607"/>
  <c r="C27" i="336"/>
  <c r="R27" i="605"/>
  <c r="K33" i="616"/>
  <c r="G39" i="616"/>
  <c r="D94" i="618"/>
  <c r="C95" i="618"/>
  <c r="I95" i="618" s="1"/>
  <c r="D95" i="618"/>
  <c r="C94" i="618"/>
  <c r="K26" i="526"/>
  <c r="D32" i="337"/>
  <c r="C39" i="616"/>
  <c r="P33" i="607"/>
  <c r="G195" i="588"/>
  <c r="G21" i="333"/>
  <c r="K100" i="618"/>
  <c r="S100" i="618" s="1"/>
  <c r="E39" i="615"/>
  <c r="D54" i="613"/>
  <c r="E104" i="615"/>
  <c r="E106" i="615" s="1"/>
  <c r="E33" i="615" s="1"/>
  <c r="D119" i="613"/>
  <c r="D36" i="613"/>
  <c r="D113" i="613"/>
  <c r="D76" i="613"/>
  <c r="D103" i="613"/>
  <c r="D31" i="613"/>
  <c r="D99" i="613"/>
  <c r="D70" i="613"/>
  <c r="D95" i="613"/>
  <c r="D87" i="613"/>
  <c r="D58" i="613"/>
  <c r="D83" i="613"/>
  <c r="D49" i="613"/>
  <c r="D66" i="613"/>
  <c r="K40" i="608"/>
  <c r="A2" i="602"/>
  <c r="B13" i="609"/>
  <c r="B14" i="609"/>
  <c r="B15" i="609"/>
  <c r="B16" i="609"/>
  <c r="B17" i="609"/>
  <c r="B18" i="609"/>
  <c r="B19" i="609"/>
  <c r="B20" i="609"/>
  <c r="B21" i="609"/>
  <c r="B22" i="609"/>
  <c r="B23" i="609"/>
  <c r="B24" i="609"/>
  <c r="B25" i="609"/>
  <c r="B26" i="609"/>
  <c r="B27" i="609"/>
  <c r="B12" i="609"/>
  <c r="A2" i="609"/>
  <c r="F79" i="609"/>
  <c r="E79" i="609"/>
  <c r="D79" i="609"/>
  <c r="C79" i="609"/>
  <c r="G28" i="609"/>
  <c r="G26" i="609"/>
  <c r="G25" i="609"/>
  <c r="G24" i="609"/>
  <c r="G23" i="609"/>
  <c r="G22" i="609"/>
  <c r="G21" i="609"/>
  <c r="G20" i="609"/>
  <c r="G19" i="609"/>
  <c r="G18" i="609"/>
  <c r="G17" i="609"/>
  <c r="G16" i="609"/>
  <c r="G15" i="609"/>
  <c r="G14" i="609"/>
  <c r="G12" i="609"/>
  <c r="F58" i="609"/>
  <c r="E58" i="609"/>
  <c r="D58" i="609"/>
  <c r="C58" i="609"/>
  <c r="D28" i="609"/>
  <c r="D27" i="609"/>
  <c r="D26" i="609"/>
  <c r="D25" i="609"/>
  <c r="D24" i="609"/>
  <c r="D23" i="609"/>
  <c r="D22" i="609"/>
  <c r="D21" i="609"/>
  <c r="D20" i="609"/>
  <c r="D19" i="609"/>
  <c r="D18" i="609"/>
  <c r="D17" i="609"/>
  <c r="D16" i="609"/>
  <c r="D15" i="609"/>
  <c r="D14" i="609"/>
  <c r="D13" i="609"/>
  <c r="H27" i="609"/>
  <c r="E27" i="609"/>
  <c r="H26" i="609"/>
  <c r="E26" i="609"/>
  <c r="H25" i="609"/>
  <c r="E25" i="609"/>
  <c r="H24" i="609"/>
  <c r="E24" i="609"/>
  <c r="H23" i="609"/>
  <c r="E23" i="609"/>
  <c r="H22" i="609"/>
  <c r="E22" i="609"/>
  <c r="H21" i="609"/>
  <c r="E21" i="609"/>
  <c r="H20" i="609"/>
  <c r="E20" i="609"/>
  <c r="H19" i="609"/>
  <c r="E19" i="609"/>
  <c r="H18" i="609"/>
  <c r="E18" i="609"/>
  <c r="H17" i="609"/>
  <c r="E17" i="609"/>
  <c r="H16" i="609"/>
  <c r="E16" i="609"/>
  <c r="H15" i="609"/>
  <c r="E15" i="609"/>
  <c r="H14" i="609"/>
  <c r="E14" i="609"/>
  <c r="H13" i="609"/>
  <c r="E13" i="609"/>
  <c r="H12" i="609"/>
  <c r="E12" i="609"/>
  <c r="A2" i="608"/>
  <c r="J21" i="609" l="1"/>
  <c r="J20" i="609"/>
  <c r="J18" i="609"/>
  <c r="J19" i="609"/>
  <c r="J22" i="609"/>
  <c r="H24" i="617" s="1"/>
  <c r="J23" i="609"/>
  <c r="J24" i="609"/>
  <c r="H26" i="617" s="1"/>
  <c r="J13" i="609"/>
  <c r="J25" i="609"/>
  <c r="H27" i="617" s="1"/>
  <c r="J14" i="609"/>
  <c r="H16" i="617" s="1"/>
  <c r="J26" i="609"/>
  <c r="H28" i="617" s="1"/>
  <c r="J15" i="609"/>
  <c r="H17" i="617" s="1"/>
  <c r="J27" i="609"/>
  <c r="J16" i="609"/>
  <c r="H18" i="617" s="1"/>
  <c r="J28" i="609"/>
  <c r="H30" i="617" s="1"/>
  <c r="J17" i="609"/>
  <c r="H19" i="617" s="1"/>
  <c r="P27" i="611"/>
  <c r="L30" i="611"/>
  <c r="P30" i="611" s="1"/>
  <c r="M25" i="606"/>
  <c r="C40" i="616"/>
  <c r="Q19" i="333"/>
  <c r="D9" i="616"/>
  <c r="K39" i="616"/>
  <c r="K40" i="616" s="1"/>
  <c r="G22" i="614"/>
  <c r="C27" i="609"/>
  <c r="D29" i="612"/>
  <c r="D23" i="618"/>
  <c r="C30" i="615"/>
  <c r="N24" i="607"/>
  <c r="O24" i="607"/>
  <c r="Q20" i="333"/>
  <c r="M27" i="606"/>
  <c r="G40" i="616"/>
  <c r="G105" i="616"/>
  <c r="J31" i="607"/>
  <c r="C105" i="616"/>
  <c r="M31" i="606"/>
  <c r="Q21" i="333"/>
  <c r="K31" i="607"/>
  <c r="L9" i="616"/>
  <c r="M29" i="606"/>
  <c r="Q100" i="618"/>
  <c r="G27" i="609"/>
  <c r="G79" i="609"/>
  <c r="H23" i="617"/>
  <c r="G58" i="609"/>
  <c r="H22" i="617"/>
  <c r="H20" i="617"/>
  <c r="H21" i="617"/>
  <c r="H25" i="617"/>
  <c r="D12" i="609"/>
  <c r="G13" i="609"/>
  <c r="L35" i="608"/>
  <c r="K57" i="606"/>
  <c r="G57" i="606"/>
  <c r="K50" i="606"/>
  <c r="K49" i="606"/>
  <c r="K48" i="606"/>
  <c r="K47" i="606"/>
  <c r="K46" i="606"/>
  <c r="K45" i="606"/>
  <c r="K44" i="606"/>
  <c r="K43" i="606"/>
  <c r="K42" i="606"/>
  <c r="K41" i="606"/>
  <c r="K40" i="606"/>
  <c r="K39" i="606"/>
  <c r="K38" i="606"/>
  <c r="K37" i="606"/>
  <c r="K36" i="606"/>
  <c r="K35" i="606"/>
  <c r="K34" i="606"/>
  <c r="A31" i="606"/>
  <c r="D11" i="613"/>
  <c r="F7" i="609"/>
  <c r="K5" i="606"/>
  <c r="G5" i="606"/>
  <c r="A2" i="606"/>
  <c r="C34" i="401"/>
  <c r="D32" i="401"/>
  <c r="D31" i="401"/>
  <c r="D28" i="401"/>
  <c r="D27" i="401"/>
  <c r="D26" i="401"/>
  <c r="D25" i="401"/>
  <c r="D24" i="401"/>
  <c r="D23" i="401"/>
  <c r="D22" i="401"/>
  <c r="D21" i="401"/>
  <c r="D20" i="401"/>
  <c r="D17" i="401"/>
  <c r="D30" i="333"/>
  <c r="B13" i="603"/>
  <c r="B14" i="603"/>
  <c r="B15" i="603"/>
  <c r="B16" i="603"/>
  <c r="B17" i="603"/>
  <c r="B18" i="603"/>
  <c r="B19" i="603"/>
  <c r="B20" i="603"/>
  <c r="B21" i="603"/>
  <c r="B22" i="603"/>
  <c r="B23" i="603"/>
  <c r="B24" i="603"/>
  <c r="B25" i="603"/>
  <c r="B26" i="603"/>
  <c r="B27" i="603"/>
  <c r="B28" i="603"/>
  <c r="B12" i="603"/>
  <c r="A8" i="602"/>
  <c r="B15" i="343"/>
  <c r="B16" i="343"/>
  <c r="B17" i="343"/>
  <c r="B18" i="343"/>
  <c r="B19" i="343"/>
  <c r="B20" i="343"/>
  <c r="B21" i="343"/>
  <c r="B22" i="343"/>
  <c r="B23" i="343"/>
  <c r="B24" i="343"/>
  <c r="B25" i="343"/>
  <c r="B26" i="343"/>
  <c r="B27" i="343"/>
  <c r="B28" i="343"/>
  <c r="B29" i="343"/>
  <c r="B30" i="343"/>
  <c r="B14" i="343"/>
  <c r="B19" i="340"/>
  <c r="B20" i="340"/>
  <c r="B21" i="340"/>
  <c r="B22" i="340"/>
  <c r="B23" i="340"/>
  <c r="B24" i="340"/>
  <c r="B25" i="340"/>
  <c r="B26" i="340"/>
  <c r="B27" i="340"/>
  <c r="B28" i="340"/>
  <c r="B29" i="340"/>
  <c r="B30" i="340"/>
  <c r="B31" i="340"/>
  <c r="B32" i="340"/>
  <c r="B33" i="340"/>
  <c r="B34" i="340"/>
  <c r="B18" i="340"/>
  <c r="B16" i="338"/>
  <c r="B17" i="338"/>
  <c r="B18" i="338"/>
  <c r="B19" i="338"/>
  <c r="B20" i="338"/>
  <c r="B21" i="338"/>
  <c r="B22" i="338"/>
  <c r="B23" i="338"/>
  <c r="B24" i="338"/>
  <c r="B25" i="338"/>
  <c r="B26" i="338"/>
  <c r="B27" i="338"/>
  <c r="B28" i="338"/>
  <c r="B29" i="338"/>
  <c r="B30" i="338"/>
  <c r="B31" i="338"/>
  <c r="B15" i="338"/>
  <c r="C8" i="504"/>
  <c r="C9" i="504"/>
  <c r="C10" i="504"/>
  <c r="C11" i="504"/>
  <c r="C12" i="504"/>
  <c r="C13" i="504"/>
  <c r="C14" i="504"/>
  <c r="C15" i="504"/>
  <c r="C16" i="504"/>
  <c r="C17" i="504"/>
  <c r="C18" i="504"/>
  <c r="C19" i="504"/>
  <c r="C20" i="504"/>
  <c r="C21" i="504"/>
  <c r="C22" i="504"/>
  <c r="C23" i="504"/>
  <c r="C7" i="504"/>
  <c r="B8" i="504"/>
  <c r="G36" i="606" s="1"/>
  <c r="B9" i="504"/>
  <c r="G37" i="606" s="1"/>
  <c r="B10" i="504"/>
  <c r="G38" i="606" s="1"/>
  <c r="B11" i="504"/>
  <c r="G39" i="606" s="1"/>
  <c r="B12" i="504"/>
  <c r="G40" i="606" s="1"/>
  <c r="B13" i="504"/>
  <c r="G41" i="606" s="1"/>
  <c r="B14" i="504"/>
  <c r="G42" i="606" s="1"/>
  <c r="B15" i="504"/>
  <c r="B16" i="504"/>
  <c r="G44" i="606" s="1"/>
  <c r="B17" i="504"/>
  <c r="G45" i="606" s="1"/>
  <c r="B18" i="504"/>
  <c r="G46" i="606" s="1"/>
  <c r="B19" i="504"/>
  <c r="G47" i="606" s="1"/>
  <c r="B20" i="504"/>
  <c r="G48" i="606" s="1"/>
  <c r="B21" i="504"/>
  <c r="G49" i="606" s="1"/>
  <c r="B22" i="504"/>
  <c r="G50" i="606" s="1"/>
  <c r="B23" i="504"/>
  <c r="G51" i="606" s="1"/>
  <c r="B7" i="504"/>
  <c r="G35" i="606" s="1"/>
  <c r="B15" i="337"/>
  <c r="B16" i="337"/>
  <c r="B17" i="337"/>
  <c r="B18" i="337"/>
  <c r="B19" i="337"/>
  <c r="B20" i="337"/>
  <c r="B21" i="337"/>
  <c r="B22" i="337"/>
  <c r="B23" i="337"/>
  <c r="B24" i="337"/>
  <c r="B25" i="337"/>
  <c r="B26" i="337"/>
  <c r="B27" i="337"/>
  <c r="B28" i="337"/>
  <c r="B29" i="337"/>
  <c r="B30" i="337"/>
  <c r="B14" i="337"/>
  <c r="H12" i="336"/>
  <c r="B9" i="601"/>
  <c r="B12" i="336"/>
  <c r="D6" i="611" l="1"/>
  <c r="H29" i="617"/>
  <c r="H59" i="336"/>
  <c r="G59" i="609"/>
  <c r="H15" i="617"/>
  <c r="D33" i="609"/>
  <c r="J12" i="609"/>
  <c r="G33" i="609"/>
  <c r="I36" i="617"/>
  <c r="G43" i="606"/>
  <c r="I40" i="504"/>
  <c r="K18" i="609"/>
  <c r="K25" i="609"/>
  <c r="K16" i="609"/>
  <c r="K21" i="609"/>
  <c r="K17" i="609"/>
  <c r="K15" i="609"/>
  <c r="K14" i="609"/>
  <c r="K24" i="609"/>
  <c r="K22" i="609"/>
  <c r="K13" i="609"/>
  <c r="K19" i="609"/>
  <c r="K27" i="609"/>
  <c r="K23" i="609"/>
  <c r="K26" i="609"/>
  <c r="K20" i="609"/>
  <c r="L40" i="608"/>
  <c r="H14" i="617" l="1"/>
  <c r="H35" i="617" s="1"/>
  <c r="J33" i="609"/>
  <c r="K12" i="609"/>
  <c r="A30" i="504"/>
  <c r="A5" i="504"/>
  <c r="H36" i="617" l="1"/>
  <c r="D6" i="609"/>
  <c r="G34" i="551"/>
  <c r="A29" i="605"/>
  <c r="A13" i="605"/>
  <c r="A14" i="605"/>
  <c r="A15" i="605"/>
  <c r="A16" i="605"/>
  <c r="A17" i="605"/>
  <c r="A18" i="605"/>
  <c r="A19" i="605"/>
  <c r="A20" i="605"/>
  <c r="A21" i="605"/>
  <c r="A22" i="605"/>
  <c r="A23" i="605"/>
  <c r="A24" i="605"/>
  <c r="A25" i="605"/>
  <c r="A26" i="605"/>
  <c r="A27" i="605"/>
  <c r="A28" i="605"/>
  <c r="A12" i="605"/>
  <c r="M9" i="526"/>
  <c r="M10" i="526"/>
  <c r="M11" i="526"/>
  <c r="M12" i="526"/>
  <c r="M15" i="526"/>
  <c r="M16" i="526"/>
  <c r="M17" i="526"/>
  <c r="M18" i="526"/>
  <c r="M19" i="526"/>
  <c r="M20" i="526"/>
  <c r="M21" i="526"/>
  <c r="M22" i="526"/>
  <c r="M23" i="526"/>
  <c r="M24" i="526"/>
  <c r="M32" i="526"/>
  <c r="M33" i="526"/>
  <c r="M34" i="526"/>
  <c r="M35" i="526"/>
  <c r="M36" i="526"/>
  <c r="M38" i="526"/>
  <c r="M40" i="526"/>
  <c r="M42" i="526"/>
  <c r="M43" i="526"/>
  <c r="M98" i="526"/>
  <c r="M100" i="526" s="1"/>
  <c r="M44" i="526"/>
  <c r="M45" i="526"/>
  <c r="M46" i="526"/>
  <c r="M48" i="526"/>
  <c r="M49" i="526"/>
  <c r="M51" i="526"/>
  <c r="M52" i="526"/>
  <c r="M53" i="526"/>
  <c r="M55" i="526"/>
  <c r="M56" i="526"/>
  <c r="M57" i="526"/>
  <c r="M58" i="526"/>
  <c r="M59" i="526"/>
  <c r="M60" i="526"/>
  <c r="M61" i="526"/>
  <c r="M62" i="526"/>
  <c r="M63" i="526"/>
  <c r="M64" i="526"/>
  <c r="M65" i="526"/>
  <c r="M66" i="526"/>
  <c r="M67" i="526"/>
  <c r="M68" i="526"/>
  <c r="M69" i="526"/>
  <c r="M70" i="526"/>
  <c r="M71" i="526"/>
  <c r="M72" i="526"/>
  <c r="M73" i="526"/>
  <c r="M74" i="526"/>
  <c r="M75" i="526"/>
  <c r="M76" i="526"/>
  <c r="M78" i="526"/>
  <c r="M81" i="526"/>
  <c r="M82" i="526"/>
  <c r="M85" i="526"/>
  <c r="M86" i="526"/>
  <c r="M87" i="526"/>
  <c r="M88" i="526"/>
  <c r="M90" i="526"/>
  <c r="N95" i="526"/>
  <c r="N25" i="526" s="1"/>
  <c r="N29" i="526" s="1"/>
  <c r="O95" i="526"/>
  <c r="O25" i="526" s="1"/>
  <c r="O29" i="526" s="1"/>
  <c r="P95" i="526"/>
  <c r="P25" i="526" s="1"/>
  <c r="P29" i="526" s="1"/>
  <c r="Q95" i="526"/>
  <c r="Q25" i="526" s="1"/>
  <c r="Q29" i="526" s="1"/>
  <c r="K57" i="551"/>
  <c r="G57" i="551"/>
  <c r="I58" i="551"/>
  <c r="I59" i="551"/>
  <c r="K5" i="551"/>
  <c r="G5" i="551"/>
  <c r="K34" i="551"/>
  <c r="M25" i="526" l="1"/>
  <c r="M29" i="526" s="1"/>
  <c r="M95" i="526"/>
  <c r="A32" i="551" l="1"/>
  <c r="A23" i="551"/>
  <c r="A9" i="551"/>
  <c r="T9" i="602" l="1"/>
  <c r="Z12" i="604" s="1"/>
  <c r="T10" i="602"/>
  <c r="Z13" i="604" s="1"/>
  <c r="T11" i="602"/>
  <c r="Z14" i="604" s="1"/>
  <c r="T12" i="602"/>
  <c r="Z15" i="604" s="1"/>
  <c r="T13" i="602"/>
  <c r="Z16" i="604" s="1"/>
  <c r="T14" i="602"/>
  <c r="Z17" i="604" s="1"/>
  <c r="T15" i="602"/>
  <c r="Z18" i="604" s="1"/>
  <c r="T16" i="602"/>
  <c r="Z19" i="604" s="1"/>
  <c r="T17" i="602"/>
  <c r="Z20" i="604" s="1"/>
  <c r="T18" i="602"/>
  <c r="Z21" i="604" s="1"/>
  <c r="T19" i="602"/>
  <c r="Z22" i="604" s="1"/>
  <c r="T20" i="602"/>
  <c r="Z23" i="604" s="1"/>
  <c r="T21" i="602"/>
  <c r="Z24" i="604" s="1"/>
  <c r="T22" i="602"/>
  <c r="Z25" i="604" s="1"/>
  <c r="T23" i="602"/>
  <c r="Z26" i="604" s="1"/>
  <c r="T24" i="602"/>
  <c r="Z27" i="604" s="1"/>
  <c r="T8" i="602"/>
  <c r="Z11" i="604" s="1"/>
  <c r="E6" i="604"/>
  <c r="G6" i="604" s="1"/>
  <c r="K35" i="551"/>
  <c r="E40" i="338" l="1"/>
  <c r="N12" i="605"/>
  <c r="L33" i="605"/>
  <c r="L12" i="605"/>
  <c r="L13" i="605"/>
  <c r="L14" i="605"/>
  <c r="L15" i="605"/>
  <c r="L16" i="605"/>
  <c r="L17" i="605"/>
  <c r="L18" i="605"/>
  <c r="L19" i="605"/>
  <c r="L20" i="605"/>
  <c r="L21" i="605"/>
  <c r="L22" i="605"/>
  <c r="L23" i="605"/>
  <c r="L24" i="605"/>
  <c r="L25" i="605"/>
  <c r="L26" i="605"/>
  <c r="L27" i="605"/>
  <c r="L28" i="605"/>
  <c r="W12" i="605"/>
  <c r="T33" i="605"/>
  <c r="T13" i="605"/>
  <c r="T14" i="605"/>
  <c r="T15" i="605"/>
  <c r="T16" i="605"/>
  <c r="T17" i="605"/>
  <c r="T18" i="605"/>
  <c r="T19" i="605"/>
  <c r="T20" i="605"/>
  <c r="T21" i="605"/>
  <c r="T22" i="605"/>
  <c r="T23" i="605"/>
  <c r="T24" i="605"/>
  <c r="T25" i="605"/>
  <c r="T26" i="605"/>
  <c r="T27" i="605"/>
  <c r="T28" i="605"/>
  <c r="T12" i="605"/>
  <c r="O12" i="605"/>
  <c r="F12" i="605"/>
  <c r="D33" i="605"/>
  <c r="D28" i="605"/>
  <c r="D13" i="605"/>
  <c r="D14" i="605"/>
  <c r="D15" i="605"/>
  <c r="D16" i="605"/>
  <c r="D17" i="605"/>
  <c r="D18" i="605"/>
  <c r="D19" i="605"/>
  <c r="D20" i="605"/>
  <c r="D21" i="605"/>
  <c r="D22" i="605"/>
  <c r="D23" i="605"/>
  <c r="D24" i="605"/>
  <c r="D25" i="605"/>
  <c r="D26" i="605"/>
  <c r="D27" i="605"/>
  <c r="C8" i="602" l="1"/>
  <c r="H31" i="343"/>
  <c r="D80" i="336"/>
  <c r="E80" i="336"/>
  <c r="F80" i="336"/>
  <c r="C80" i="336"/>
  <c r="D59" i="336"/>
  <c r="E59" i="336"/>
  <c r="F59" i="336"/>
  <c r="C59" i="336"/>
  <c r="F32" i="526"/>
  <c r="H32" i="526" s="1"/>
  <c r="H32" i="602" s="1"/>
  <c r="H101" i="343" l="1"/>
  <c r="H32" i="618"/>
  <c r="I32" i="618" s="1"/>
  <c r="B32" i="602"/>
  <c r="C96" i="602"/>
  <c r="B96" i="602" s="1"/>
  <c r="I32" i="602"/>
  <c r="Z32" i="526"/>
  <c r="A2" i="605"/>
  <c r="S95" i="605"/>
  <c r="S29" i="605" s="1"/>
  <c r="S30" i="605" s="1"/>
  <c r="V33" i="605"/>
  <c r="V28" i="605"/>
  <c r="V27" i="605"/>
  <c r="V26" i="605"/>
  <c r="V25" i="605"/>
  <c r="V24" i="605"/>
  <c r="V23" i="605"/>
  <c r="V22" i="605"/>
  <c r="V21" i="605"/>
  <c r="V20" i="605"/>
  <c r="V19" i="605"/>
  <c r="V18" i="605"/>
  <c r="V17" i="605"/>
  <c r="V16" i="605"/>
  <c r="V15" i="605"/>
  <c r="V14" i="605"/>
  <c r="V13" i="605"/>
  <c r="V12" i="605"/>
  <c r="K95" i="605"/>
  <c r="K29" i="605" s="1"/>
  <c r="K30" i="605" s="1"/>
  <c r="N33" i="605"/>
  <c r="N28" i="605"/>
  <c r="N27" i="605"/>
  <c r="N26" i="605"/>
  <c r="N25" i="605"/>
  <c r="N24" i="605"/>
  <c r="N23" i="605"/>
  <c r="N22" i="605"/>
  <c r="N21" i="605"/>
  <c r="N20" i="605"/>
  <c r="N19" i="605"/>
  <c r="N18" i="605"/>
  <c r="N17" i="605"/>
  <c r="N16" i="605"/>
  <c r="N15" i="605"/>
  <c r="N14" i="605"/>
  <c r="N13" i="605"/>
  <c r="F33" i="605"/>
  <c r="F13" i="605"/>
  <c r="F14" i="605"/>
  <c r="F15" i="605"/>
  <c r="F16" i="605"/>
  <c r="F17" i="605"/>
  <c r="F18" i="605"/>
  <c r="F19" i="605"/>
  <c r="F20" i="605"/>
  <c r="F21" i="605"/>
  <c r="F22" i="605"/>
  <c r="F23" i="605"/>
  <c r="F24" i="605"/>
  <c r="F25" i="605"/>
  <c r="F26" i="605"/>
  <c r="F27" i="605"/>
  <c r="F28" i="605"/>
  <c r="C95" i="605"/>
  <c r="C29" i="605" s="1"/>
  <c r="C30" i="605" s="1"/>
  <c r="H8" i="526"/>
  <c r="O32" i="618" l="1"/>
  <c r="H8" i="602"/>
  <c r="H8" i="618"/>
  <c r="K8" i="526"/>
  <c r="Z8" i="526"/>
  <c r="C94" i="602"/>
  <c r="C95" i="602"/>
  <c r="D95" i="602"/>
  <c r="D94" i="602"/>
  <c r="V95" i="605"/>
  <c r="V29" i="605" s="1"/>
  <c r="V30" i="605" s="1"/>
  <c r="T95" i="605"/>
  <c r="N95" i="605"/>
  <c r="N29" i="605" s="1"/>
  <c r="N30" i="605" s="1"/>
  <c r="J95" i="605"/>
  <c r="J96" i="605" s="1"/>
  <c r="R95" i="605"/>
  <c r="R96" i="605" s="1"/>
  <c r="L95" i="605"/>
  <c r="B95" i="605"/>
  <c r="B96" i="605" s="1"/>
  <c r="F95" i="605"/>
  <c r="D95" i="605"/>
  <c r="I8" i="618" l="1"/>
  <c r="J8" i="618" s="1"/>
  <c r="I8" i="602"/>
  <c r="J8" i="602" s="1"/>
  <c r="K95" i="602"/>
  <c r="I95" i="602"/>
  <c r="R29" i="605"/>
  <c r="T29" i="605" s="1"/>
  <c r="T30" i="605" s="1"/>
  <c r="J29" i="605"/>
  <c r="L29" i="605" s="1"/>
  <c r="L30" i="605" s="1"/>
  <c r="B29" i="605"/>
  <c r="B30" i="605" s="1"/>
  <c r="B31" i="605" s="1"/>
  <c r="F29" i="605"/>
  <c r="F30" i="605" s="1"/>
  <c r="R30" i="605" l="1"/>
  <c r="R31" i="605" s="1"/>
  <c r="J30" i="605"/>
  <c r="J31" i="605" s="1"/>
  <c r="D29" i="605"/>
  <c r="D30" i="605" s="1"/>
  <c r="I100" i="343" l="1"/>
  <c r="I31" i="343" s="1"/>
  <c r="I35" i="343" s="1"/>
  <c r="I106" i="343" l="1"/>
  <c r="I101" i="343"/>
  <c r="K101" i="601"/>
  <c r="K27" i="601" l="1"/>
  <c r="K102" i="601"/>
  <c r="K30" i="601" l="1"/>
  <c r="P98" i="604"/>
  <c r="O98" i="604"/>
  <c r="A2" i="604"/>
  <c r="O99" i="604" l="1"/>
  <c r="P99" i="604"/>
  <c r="N99" i="603"/>
  <c r="N29" i="603" s="1"/>
  <c r="M99" i="603"/>
  <c r="P37" i="603"/>
  <c r="A2" i="603"/>
  <c r="T95" i="526"/>
  <c r="T25" i="526" s="1"/>
  <c r="T29" i="526" s="1"/>
  <c r="U95" i="526"/>
  <c r="U25" i="526" s="1"/>
  <c r="U29" i="526" s="1"/>
  <c r="V25" i="526"/>
  <c r="V29" i="526" s="1"/>
  <c r="S95" i="526"/>
  <c r="S25" i="526" s="1"/>
  <c r="S29" i="526" s="1"/>
  <c r="M29" i="603" l="1"/>
  <c r="M33" i="603" s="1"/>
  <c r="P99" i="603"/>
  <c r="AA25" i="526"/>
  <c r="AA29" i="526" s="1"/>
  <c r="P29" i="603"/>
  <c r="D96" i="602"/>
  <c r="M100" i="603" l="1"/>
  <c r="A2" i="601" l="1"/>
  <c r="I36" i="343" l="1"/>
  <c r="D6" i="601"/>
  <c r="P30" i="601" l="1"/>
  <c r="J95" i="526" l="1"/>
  <c r="J25" i="526" s="1"/>
  <c r="J29" i="526" s="1"/>
  <c r="C25" i="602" l="1"/>
  <c r="C29" i="602" s="1"/>
  <c r="M12" i="602"/>
  <c r="M11" i="602"/>
  <c r="M18" i="602"/>
  <c r="M17" i="602"/>
  <c r="M22" i="602"/>
  <c r="M15" i="602"/>
  <c r="M19" i="602"/>
  <c r="M23" i="602"/>
  <c r="M16" i="602"/>
  <c r="M14" i="602"/>
  <c r="M13" i="602"/>
  <c r="M10" i="602"/>
  <c r="M24" i="602"/>
  <c r="M21" i="602"/>
  <c r="M20" i="602"/>
  <c r="C30" i="602" l="1"/>
  <c r="C30" i="618"/>
  <c r="M8" i="602"/>
  <c r="M9" i="602"/>
  <c r="M29" i="602" l="1"/>
  <c r="M30" i="602" s="1"/>
  <c r="F11" i="526"/>
  <c r="H11" i="526" s="1"/>
  <c r="F12" i="526"/>
  <c r="H12" i="526" s="1"/>
  <c r="F14" i="526"/>
  <c r="H14" i="526" s="1"/>
  <c r="F16" i="526"/>
  <c r="H16" i="526" s="1"/>
  <c r="F17" i="526"/>
  <c r="H17" i="526" s="1"/>
  <c r="F19" i="526"/>
  <c r="H19" i="526" s="1"/>
  <c r="F20" i="526"/>
  <c r="H20" i="526" s="1"/>
  <c r="F21" i="526"/>
  <c r="H21" i="526" s="1"/>
  <c r="F22" i="526"/>
  <c r="H22" i="526" s="1"/>
  <c r="F33" i="526"/>
  <c r="H33" i="526" s="1"/>
  <c r="H33" i="602" s="1"/>
  <c r="F34" i="526"/>
  <c r="H34" i="526" s="1"/>
  <c r="H34" i="602" s="1"/>
  <c r="F35" i="526"/>
  <c r="H35" i="526" s="1"/>
  <c r="H35" i="602" s="1"/>
  <c r="F36" i="526"/>
  <c r="H36" i="526" s="1"/>
  <c r="H36" i="602" s="1"/>
  <c r="F38" i="526"/>
  <c r="H38" i="526" s="1"/>
  <c r="H38" i="602" s="1"/>
  <c r="F40" i="526"/>
  <c r="H40" i="526" s="1"/>
  <c r="H40" i="602" s="1"/>
  <c r="F42" i="526"/>
  <c r="H42" i="526" s="1"/>
  <c r="H42" i="602" s="1"/>
  <c r="F43" i="526"/>
  <c r="H43" i="526" s="1"/>
  <c r="H43" i="602" s="1"/>
  <c r="F98" i="526"/>
  <c r="F100" i="526" s="1"/>
  <c r="F44" i="526"/>
  <c r="H44" i="526" s="1"/>
  <c r="H44" i="602" s="1"/>
  <c r="F45" i="526"/>
  <c r="H45" i="526" s="1"/>
  <c r="H45" i="602" s="1"/>
  <c r="F46" i="526"/>
  <c r="H46" i="526" s="1"/>
  <c r="H46" i="602" s="1"/>
  <c r="F48" i="526"/>
  <c r="H48" i="526" s="1"/>
  <c r="H48" i="602" s="1"/>
  <c r="F49" i="526"/>
  <c r="H49" i="526" s="1"/>
  <c r="H49" i="602" s="1"/>
  <c r="F51" i="526"/>
  <c r="H51" i="526" s="1"/>
  <c r="H51" i="602" s="1"/>
  <c r="F52" i="526"/>
  <c r="H52" i="526" s="1"/>
  <c r="H52" i="602" s="1"/>
  <c r="F53" i="526"/>
  <c r="H53" i="526" s="1"/>
  <c r="H53" i="602" s="1"/>
  <c r="F55" i="526"/>
  <c r="H55" i="526" s="1"/>
  <c r="H55" i="602" s="1"/>
  <c r="F56" i="526"/>
  <c r="H56" i="526" s="1"/>
  <c r="H56" i="602" s="1"/>
  <c r="F57" i="526"/>
  <c r="H57" i="526" s="1"/>
  <c r="H57" i="602" s="1"/>
  <c r="F58" i="526"/>
  <c r="H58" i="526" s="1"/>
  <c r="H58" i="602" s="1"/>
  <c r="F59" i="526"/>
  <c r="H59" i="526" s="1"/>
  <c r="H59" i="602" s="1"/>
  <c r="F60" i="526"/>
  <c r="H60" i="526" s="1"/>
  <c r="H60" i="602" s="1"/>
  <c r="F61" i="526"/>
  <c r="H61" i="526" s="1"/>
  <c r="H61" i="602" s="1"/>
  <c r="F62" i="526"/>
  <c r="H62" i="526" s="1"/>
  <c r="H62" i="602" s="1"/>
  <c r="F63" i="526"/>
  <c r="H63" i="526" s="1"/>
  <c r="H63" i="602" s="1"/>
  <c r="F64" i="526"/>
  <c r="H64" i="526" s="1"/>
  <c r="H64" i="602" s="1"/>
  <c r="F65" i="526"/>
  <c r="H65" i="526" s="1"/>
  <c r="H65" i="602" s="1"/>
  <c r="F66" i="526"/>
  <c r="H66" i="526" s="1"/>
  <c r="H66" i="602" s="1"/>
  <c r="F67" i="526"/>
  <c r="H67" i="526" s="1"/>
  <c r="H67" i="602" s="1"/>
  <c r="F68" i="526"/>
  <c r="H68" i="526" s="1"/>
  <c r="H68" i="602" s="1"/>
  <c r="F69" i="526"/>
  <c r="H69" i="526" s="1"/>
  <c r="H69" i="602" s="1"/>
  <c r="F70" i="526"/>
  <c r="H70" i="526" s="1"/>
  <c r="H70" i="602" s="1"/>
  <c r="F71" i="526"/>
  <c r="H71" i="526" s="1"/>
  <c r="H71" i="602" s="1"/>
  <c r="F72" i="526"/>
  <c r="H72" i="526" s="1"/>
  <c r="H72" i="602" s="1"/>
  <c r="F73" i="526"/>
  <c r="H73" i="526" s="1"/>
  <c r="H73" i="602" s="1"/>
  <c r="F74" i="526"/>
  <c r="H74" i="526" s="1"/>
  <c r="H74" i="602" s="1"/>
  <c r="F75" i="526"/>
  <c r="H75" i="526" s="1"/>
  <c r="H75" i="602" s="1"/>
  <c r="F76" i="526"/>
  <c r="H76" i="526" s="1"/>
  <c r="H76" i="602" s="1"/>
  <c r="F78" i="526"/>
  <c r="H78" i="526" s="1"/>
  <c r="H78" i="602" s="1"/>
  <c r="F81" i="526"/>
  <c r="H81" i="526" s="1"/>
  <c r="H81" i="602" s="1"/>
  <c r="F82" i="526"/>
  <c r="H82" i="526" s="1"/>
  <c r="H82" i="602" s="1"/>
  <c r="F85" i="526"/>
  <c r="H85" i="526" s="1"/>
  <c r="H85" i="602" s="1"/>
  <c r="F86" i="526"/>
  <c r="H86" i="526" s="1"/>
  <c r="H86" i="602" s="1"/>
  <c r="F87" i="526"/>
  <c r="H87" i="526" s="1"/>
  <c r="H87" i="602" s="1"/>
  <c r="F88" i="526"/>
  <c r="H88" i="526" s="1"/>
  <c r="H88" i="602" s="1"/>
  <c r="N88" i="602" s="1"/>
  <c r="F90" i="526"/>
  <c r="H90" i="526" s="1"/>
  <c r="H90" i="602" s="1"/>
  <c r="N90" i="602" s="1"/>
  <c r="H93" i="618"/>
  <c r="N82" i="602" l="1"/>
  <c r="H95" i="602"/>
  <c r="H19" i="602"/>
  <c r="I19" i="602" s="1"/>
  <c r="H19" i="618"/>
  <c r="I19" i="618" s="1"/>
  <c r="H20" i="602"/>
  <c r="I20" i="602" s="1"/>
  <c r="H20" i="618"/>
  <c r="I20" i="618" s="1"/>
  <c r="H17" i="618"/>
  <c r="I17" i="618" s="1"/>
  <c r="H17" i="602"/>
  <c r="I17" i="602" s="1"/>
  <c r="H16" i="602"/>
  <c r="I16" i="602" s="1"/>
  <c r="H16" i="618"/>
  <c r="I16" i="618" s="1"/>
  <c r="H14" i="618"/>
  <c r="I14" i="618" s="1"/>
  <c r="H14" i="602"/>
  <c r="I14" i="602" s="1"/>
  <c r="H12" i="618"/>
  <c r="I12" i="618" s="1"/>
  <c r="H12" i="602"/>
  <c r="I12" i="602" s="1"/>
  <c r="H22" i="618"/>
  <c r="I22" i="618" s="1"/>
  <c r="H22" i="602"/>
  <c r="I22" i="602" s="1"/>
  <c r="H11" i="618"/>
  <c r="I11" i="618" s="1"/>
  <c r="H11" i="602"/>
  <c r="I11" i="602" s="1"/>
  <c r="H21" i="602"/>
  <c r="I21" i="602" s="1"/>
  <c r="H21" i="618"/>
  <c r="I21" i="618" s="1"/>
  <c r="H56" i="618"/>
  <c r="H87" i="618"/>
  <c r="H46" i="618"/>
  <c r="H69" i="618"/>
  <c r="H61" i="618"/>
  <c r="H54" i="618"/>
  <c r="O54" i="618" s="1"/>
  <c r="N54" i="602"/>
  <c r="H45" i="618"/>
  <c r="H36" i="618"/>
  <c r="K17" i="526"/>
  <c r="H63" i="618"/>
  <c r="N77" i="602"/>
  <c r="H77" i="618"/>
  <c r="O77" i="618" s="1"/>
  <c r="K19" i="526"/>
  <c r="H68" i="618"/>
  <c r="H53" i="618"/>
  <c r="H35" i="618"/>
  <c r="K16" i="526"/>
  <c r="H71" i="618"/>
  <c r="H40" i="618"/>
  <c r="H55" i="618"/>
  <c r="H86" i="618"/>
  <c r="H85" i="618"/>
  <c r="H75" i="618"/>
  <c r="H60" i="618"/>
  <c r="H44" i="618"/>
  <c r="H84" i="618"/>
  <c r="H74" i="618"/>
  <c r="H67" i="618"/>
  <c r="H59" i="618"/>
  <c r="H52" i="618"/>
  <c r="H34" i="618"/>
  <c r="K14" i="526"/>
  <c r="H78" i="618"/>
  <c r="H48" i="618"/>
  <c r="H70" i="618"/>
  <c r="H66" i="618"/>
  <c r="H51" i="618"/>
  <c r="H43" i="618"/>
  <c r="H33" i="618"/>
  <c r="I33" i="618" s="1"/>
  <c r="K12" i="526"/>
  <c r="H38" i="618"/>
  <c r="H83" i="618"/>
  <c r="O83" i="618" s="1"/>
  <c r="N83" i="602"/>
  <c r="H81" i="618"/>
  <c r="H65" i="618"/>
  <c r="N50" i="602"/>
  <c r="H50" i="618"/>
  <c r="O50" i="618" s="1"/>
  <c r="H42" i="618"/>
  <c r="K22" i="526"/>
  <c r="K11" i="526"/>
  <c r="H89" i="618"/>
  <c r="K20" i="526"/>
  <c r="H62" i="618"/>
  <c r="H76" i="618"/>
  <c r="H73" i="618"/>
  <c r="H58" i="618"/>
  <c r="H80" i="618"/>
  <c r="H72" i="618"/>
  <c r="H64" i="618"/>
  <c r="H57" i="618"/>
  <c r="H49" i="618"/>
  <c r="N41" i="602"/>
  <c r="H41" i="618"/>
  <c r="O41" i="618" s="1"/>
  <c r="K21" i="526"/>
  <c r="H98" i="526"/>
  <c r="H99" i="602" s="1"/>
  <c r="I99" i="602" s="1"/>
  <c r="Z68" i="526"/>
  <c r="Z36" i="526"/>
  <c r="Z60" i="526"/>
  <c r="Z66" i="526"/>
  <c r="Z59" i="526"/>
  <c r="Z52" i="526"/>
  <c r="Z34" i="526"/>
  <c r="Z16" i="526"/>
  <c r="Z85" i="526"/>
  <c r="Z44" i="526"/>
  <c r="Z65" i="526"/>
  <c r="Z51" i="526"/>
  <c r="Z43" i="526"/>
  <c r="Z33" i="526"/>
  <c r="Z14" i="526"/>
  <c r="Z17" i="526"/>
  <c r="Z64" i="526"/>
  <c r="Z58" i="526"/>
  <c r="Z42" i="526"/>
  <c r="Z61" i="526"/>
  <c r="Z74" i="526"/>
  <c r="Z53" i="526"/>
  <c r="Z82" i="526"/>
  <c r="Z90" i="526"/>
  <c r="Z78" i="526"/>
  <c r="Z71" i="526"/>
  <c r="Z63" i="526"/>
  <c r="Z57" i="526"/>
  <c r="Z49" i="526"/>
  <c r="Z22" i="526"/>
  <c r="Z12" i="526"/>
  <c r="Z75" i="526"/>
  <c r="Z19" i="526"/>
  <c r="Z67" i="526"/>
  <c r="Z72" i="526"/>
  <c r="Z88" i="526"/>
  <c r="Z70" i="526"/>
  <c r="Z56" i="526"/>
  <c r="Z48" i="526"/>
  <c r="Z40" i="526"/>
  <c r="Z21" i="526"/>
  <c r="Z11" i="526"/>
  <c r="Z86" i="526"/>
  <c r="Z45" i="526"/>
  <c r="Z35" i="526"/>
  <c r="Z73" i="526"/>
  <c r="Z81" i="526"/>
  <c r="Z87" i="526"/>
  <c r="Z76" i="526"/>
  <c r="Z69" i="526"/>
  <c r="Z62" i="526"/>
  <c r="Z55" i="526"/>
  <c r="Z46" i="526"/>
  <c r="Z38" i="526"/>
  <c r="Z20" i="526"/>
  <c r="H13" i="336"/>
  <c r="H95" i="618" l="1"/>
  <c r="O33" i="618"/>
  <c r="J11" i="602"/>
  <c r="J16" i="618"/>
  <c r="J11" i="618"/>
  <c r="J16" i="602"/>
  <c r="J22" i="602"/>
  <c r="J17" i="602"/>
  <c r="J22" i="618"/>
  <c r="J17" i="618"/>
  <c r="J12" i="602"/>
  <c r="J20" i="618"/>
  <c r="J12" i="618"/>
  <c r="J20" i="602"/>
  <c r="J21" i="618"/>
  <c r="J14" i="602"/>
  <c r="J19" i="618"/>
  <c r="J21" i="602"/>
  <c r="J14" i="618"/>
  <c r="J19" i="602"/>
  <c r="O36" i="618"/>
  <c r="I36" i="618"/>
  <c r="N67" i="602"/>
  <c r="I67" i="602"/>
  <c r="N89" i="602"/>
  <c r="I89" i="602"/>
  <c r="N42" i="602"/>
  <c r="I42" i="602"/>
  <c r="O40" i="618"/>
  <c r="I40" i="618"/>
  <c r="N57" i="602"/>
  <c r="I57" i="602"/>
  <c r="O58" i="618"/>
  <c r="I58" i="618"/>
  <c r="O89" i="618"/>
  <c r="I89" i="618"/>
  <c r="O43" i="618"/>
  <c r="I43" i="618"/>
  <c r="N48" i="602"/>
  <c r="I48" i="602"/>
  <c r="N34" i="602"/>
  <c r="I34" i="602"/>
  <c r="O74" i="618"/>
  <c r="I74" i="618"/>
  <c r="N75" i="602"/>
  <c r="I75" i="602"/>
  <c r="N40" i="602"/>
  <c r="I40" i="602"/>
  <c r="O53" i="618"/>
  <c r="I53" i="618"/>
  <c r="N45" i="602"/>
  <c r="I45" i="602"/>
  <c r="O46" i="618"/>
  <c r="I46" i="618"/>
  <c r="O70" i="618"/>
  <c r="I70" i="618"/>
  <c r="N55" i="602"/>
  <c r="I55" i="602"/>
  <c r="N80" i="602"/>
  <c r="I80" i="602"/>
  <c r="N35" i="602"/>
  <c r="I35" i="602"/>
  <c r="O69" i="618"/>
  <c r="I69" i="618"/>
  <c r="N76" i="602"/>
  <c r="I76" i="602"/>
  <c r="O57" i="618"/>
  <c r="I57" i="618"/>
  <c r="N58" i="602"/>
  <c r="I58" i="602"/>
  <c r="O76" i="618"/>
  <c r="I76" i="618"/>
  <c r="O38" i="618"/>
  <c r="I38" i="618"/>
  <c r="N43" i="602"/>
  <c r="I43" i="602"/>
  <c r="O48" i="618"/>
  <c r="I48" i="618"/>
  <c r="O52" i="618"/>
  <c r="I52" i="618"/>
  <c r="N84" i="602"/>
  <c r="I84" i="602"/>
  <c r="N85" i="602"/>
  <c r="I85" i="602"/>
  <c r="N71" i="602"/>
  <c r="I71" i="602"/>
  <c r="N53" i="602"/>
  <c r="I53" i="602"/>
  <c r="N63" i="602"/>
  <c r="I63" i="602"/>
  <c r="O45" i="618"/>
  <c r="I45" i="618"/>
  <c r="N46" i="602"/>
  <c r="I46" i="602"/>
  <c r="N49" i="602"/>
  <c r="I49" i="602"/>
  <c r="O35" i="618"/>
  <c r="I35" i="618"/>
  <c r="N70" i="602"/>
  <c r="I70" i="602"/>
  <c r="O42" i="618"/>
  <c r="I42" i="618"/>
  <c r="N64" i="602"/>
  <c r="I64" i="602"/>
  <c r="O73" i="618"/>
  <c r="I73" i="618"/>
  <c r="O62" i="618"/>
  <c r="I62" i="618"/>
  <c r="N38" i="602"/>
  <c r="I38" i="602"/>
  <c r="N51" i="602"/>
  <c r="I51" i="602"/>
  <c r="N78" i="602"/>
  <c r="I78" i="602"/>
  <c r="N52" i="602"/>
  <c r="I52" i="602"/>
  <c r="O84" i="618"/>
  <c r="I84" i="618"/>
  <c r="O85" i="618"/>
  <c r="I85" i="618"/>
  <c r="O71" i="618"/>
  <c r="I71" i="618"/>
  <c r="N68" i="602"/>
  <c r="I68" i="602"/>
  <c r="O63" i="618"/>
  <c r="I63" i="618"/>
  <c r="O87" i="618"/>
  <c r="I87" i="618"/>
  <c r="O80" i="618"/>
  <c r="I80" i="618"/>
  <c r="N33" i="602"/>
  <c r="I33" i="602"/>
  <c r="N69" i="602"/>
  <c r="I69" i="602"/>
  <c r="N74" i="602"/>
  <c r="I74" i="602"/>
  <c r="O75" i="618"/>
  <c r="I75" i="618"/>
  <c r="O64" i="618"/>
  <c r="I64" i="618"/>
  <c r="N73" i="602"/>
  <c r="I73" i="602"/>
  <c r="N62" i="602"/>
  <c r="I62" i="602"/>
  <c r="N65" i="602"/>
  <c r="I65" i="602"/>
  <c r="O51" i="618"/>
  <c r="I51" i="618"/>
  <c r="O78" i="618"/>
  <c r="I78" i="618"/>
  <c r="O59" i="618"/>
  <c r="I59" i="618"/>
  <c r="N44" i="602"/>
  <c r="I44" i="602"/>
  <c r="N86" i="602"/>
  <c r="I86" i="602"/>
  <c r="O68" i="618"/>
  <c r="I68" i="618"/>
  <c r="N87" i="602"/>
  <c r="I87" i="602"/>
  <c r="N72" i="602"/>
  <c r="I72" i="602"/>
  <c r="O65" i="618"/>
  <c r="I65" i="618"/>
  <c r="N66" i="602"/>
  <c r="I66" i="602"/>
  <c r="N59" i="602"/>
  <c r="I59" i="602"/>
  <c r="O44" i="618"/>
  <c r="I44" i="618"/>
  <c r="O86" i="618"/>
  <c r="I86" i="618"/>
  <c r="N61" i="602"/>
  <c r="I61" i="602"/>
  <c r="N56" i="602"/>
  <c r="I56" i="602"/>
  <c r="N81" i="602"/>
  <c r="I81" i="602"/>
  <c r="O60" i="618"/>
  <c r="I60" i="618"/>
  <c r="N36" i="602"/>
  <c r="I36" i="602"/>
  <c r="O49" i="618"/>
  <c r="I49" i="618"/>
  <c r="O34" i="618"/>
  <c r="I34" i="618"/>
  <c r="O72" i="618"/>
  <c r="I72" i="618"/>
  <c r="O81" i="618"/>
  <c r="I81" i="618"/>
  <c r="O66" i="618"/>
  <c r="I66" i="618"/>
  <c r="O67" i="618"/>
  <c r="I67" i="618"/>
  <c r="N60" i="602"/>
  <c r="I60" i="602"/>
  <c r="O55" i="618"/>
  <c r="I55" i="618"/>
  <c r="O61" i="618"/>
  <c r="I61" i="618"/>
  <c r="O56" i="618"/>
  <c r="I56" i="618"/>
  <c r="Z98" i="526"/>
  <c r="Z100" i="526" s="1"/>
  <c r="H99" i="618"/>
  <c r="O93" i="618"/>
  <c r="H94" i="602"/>
  <c r="I94" i="602" s="1"/>
  <c r="O22" i="618"/>
  <c r="O20" i="618"/>
  <c r="O16" i="618"/>
  <c r="O11" i="618"/>
  <c r="O13" i="618"/>
  <c r="O17" i="618"/>
  <c r="O12" i="618"/>
  <c r="O21" i="618"/>
  <c r="O14" i="618"/>
  <c r="O19" i="618"/>
  <c r="H100" i="526"/>
  <c r="Z95" i="526"/>
  <c r="H27" i="336"/>
  <c r="H20" i="336"/>
  <c r="H22" i="336"/>
  <c r="H26" i="336"/>
  <c r="H19" i="336"/>
  <c r="H18" i="336"/>
  <c r="H17" i="336"/>
  <c r="H14" i="336"/>
  <c r="H25" i="336"/>
  <c r="H24" i="336"/>
  <c r="H16" i="336"/>
  <c r="H30" i="336"/>
  <c r="H21" i="336"/>
  <c r="H23" i="336"/>
  <c r="O8" i="618" l="1"/>
  <c r="H96" i="618"/>
  <c r="H25" i="618" s="1"/>
  <c r="H94" i="618"/>
  <c r="I94" i="618" s="1"/>
  <c r="H101" i="618"/>
  <c r="O99" i="618"/>
  <c r="I99" i="618"/>
  <c r="N99" i="602"/>
  <c r="H101" i="602"/>
  <c r="H26" i="602" s="1"/>
  <c r="H26" i="618" l="1"/>
  <c r="I26" i="618" s="1"/>
  <c r="J26" i="618" s="1"/>
  <c r="I25" i="618"/>
  <c r="I26" i="602"/>
  <c r="J26" i="602" s="1"/>
  <c r="N26" i="602"/>
  <c r="O26" i="618"/>
  <c r="F23" i="526"/>
  <c r="H23" i="526" s="1"/>
  <c r="F10" i="526"/>
  <c r="H10" i="526" s="1"/>
  <c r="H102" i="618" l="1"/>
  <c r="H10" i="618"/>
  <c r="I10" i="618" s="1"/>
  <c r="H10" i="602"/>
  <c r="I10" i="602" s="1"/>
  <c r="H23" i="602"/>
  <c r="I23" i="602" s="1"/>
  <c r="H23" i="618"/>
  <c r="I23" i="618" s="1"/>
  <c r="K10" i="526"/>
  <c r="K23" i="526"/>
  <c r="Z10" i="526"/>
  <c r="Z23" i="526"/>
  <c r="F24" i="526"/>
  <c r="H24" i="526" s="1"/>
  <c r="F18" i="526"/>
  <c r="H18" i="526" s="1"/>
  <c r="F15" i="526"/>
  <c r="H15" i="526" s="1"/>
  <c r="F9" i="526"/>
  <c r="H9" i="526" s="1"/>
  <c r="J23" i="618" l="1"/>
  <c r="J23" i="602"/>
  <c r="H15" i="602"/>
  <c r="I15" i="602" s="1"/>
  <c r="H15" i="618"/>
  <c r="I15" i="618" s="1"/>
  <c r="H18" i="602"/>
  <c r="I18" i="602" s="1"/>
  <c r="H18" i="618"/>
  <c r="I18" i="618" s="1"/>
  <c r="J10" i="602"/>
  <c r="H9" i="618"/>
  <c r="H9" i="602"/>
  <c r="H24" i="602"/>
  <c r="I24" i="602" s="1"/>
  <c r="H24" i="618"/>
  <c r="I24" i="618" s="1"/>
  <c r="J10" i="618"/>
  <c r="K15" i="526"/>
  <c r="K18" i="526"/>
  <c r="K24" i="526"/>
  <c r="O23" i="618"/>
  <c r="O10" i="618"/>
  <c r="Z15" i="526"/>
  <c r="Z18" i="526"/>
  <c r="Z24" i="526"/>
  <c r="G14" i="336"/>
  <c r="G13" i="336"/>
  <c r="H29" i="618" l="1"/>
  <c r="I9" i="602"/>
  <c r="I9" i="618"/>
  <c r="J18" i="618"/>
  <c r="J18" i="602"/>
  <c r="J24" i="618"/>
  <c r="J15" i="618"/>
  <c r="J24" i="602"/>
  <c r="J15" i="602"/>
  <c r="Z9" i="526"/>
  <c r="K9" i="526"/>
  <c r="O18" i="618"/>
  <c r="O15" i="618"/>
  <c r="O24" i="618"/>
  <c r="G15" i="336"/>
  <c r="G16" i="336"/>
  <c r="G17" i="336"/>
  <c r="G18" i="336"/>
  <c r="G19" i="336"/>
  <c r="G20" i="336"/>
  <c r="G21" i="336"/>
  <c r="G22" i="336"/>
  <c r="G23" i="336"/>
  <c r="G24" i="336"/>
  <c r="G12" i="336"/>
  <c r="G25" i="336"/>
  <c r="G26" i="336"/>
  <c r="G27" i="336"/>
  <c r="H30" i="343"/>
  <c r="G33" i="336" l="1"/>
  <c r="J12" i="336"/>
  <c r="J9" i="618"/>
  <c r="J9" i="602"/>
  <c r="O9" i="618"/>
  <c r="G80" i="336"/>
  <c r="H80" i="336" s="1"/>
  <c r="H14" i="343" l="1"/>
  <c r="K12" i="336"/>
  <c r="G12" i="504"/>
  <c r="A2" i="338"/>
  <c r="C95" i="526" l="1"/>
  <c r="C25" i="526" s="1"/>
  <c r="C29" i="526" s="1"/>
  <c r="G9" i="504"/>
  <c r="G10" i="504" l="1"/>
  <c r="G14" i="504"/>
  <c r="G19" i="504"/>
  <c r="G13" i="504"/>
  <c r="G20" i="504"/>
  <c r="G21" i="504"/>
  <c r="G15" i="504"/>
  <c r="G22" i="504"/>
  <c r="G16" i="504"/>
  <c r="G17" i="504"/>
  <c r="G8" i="504"/>
  <c r="G18" i="504"/>
  <c r="E95" i="526"/>
  <c r="D95" i="526"/>
  <c r="D25" i="526" s="1"/>
  <c r="D29" i="526" s="1"/>
  <c r="E25" i="526" l="1"/>
  <c r="E29" i="526" s="1"/>
  <c r="F95" i="526"/>
  <c r="A2" i="343" l="1"/>
  <c r="A2" i="340" l="1"/>
  <c r="B2" i="504"/>
  <c r="A2" i="588"/>
  <c r="A2" i="337"/>
  <c r="A2" i="336"/>
  <c r="A2" i="333"/>
  <c r="A2" i="526"/>
  <c r="A2" i="332"/>
  <c r="A19" i="551"/>
  <c r="A2" i="401"/>
  <c r="A10" i="556"/>
  <c r="A2" i="551"/>
  <c r="I8" i="504" l="1"/>
  <c r="I75" i="504" s="1"/>
  <c r="I9" i="504" l="1"/>
  <c r="I10" i="504"/>
  <c r="I11" i="504"/>
  <c r="I12" i="504"/>
  <c r="I13" i="504"/>
  <c r="I14" i="504"/>
  <c r="I15" i="504"/>
  <c r="I16" i="504"/>
  <c r="I17" i="504"/>
  <c r="I18" i="504"/>
  <c r="I19" i="504"/>
  <c r="I20" i="504"/>
  <c r="I21" i="504"/>
  <c r="I22" i="504"/>
  <c r="I97" i="504" s="1"/>
  <c r="I23" i="504"/>
  <c r="I64" i="504" s="1"/>
  <c r="I107" i="504" l="1"/>
  <c r="I102" i="504"/>
  <c r="I91" i="504"/>
  <c r="I108" i="504"/>
  <c r="I103" i="504"/>
  <c r="I51" i="504"/>
  <c r="I79" i="504"/>
  <c r="I92" i="504"/>
  <c r="I47" i="504"/>
  <c r="I32" i="504"/>
  <c r="I88" i="504"/>
  <c r="I82" i="504"/>
  <c r="I36" i="504"/>
  <c r="I60" i="504"/>
  <c r="I68" i="504"/>
  <c r="I69" i="504"/>
  <c r="I77" i="504"/>
  <c r="I52" i="504"/>
  <c r="I49" i="504"/>
  <c r="I33" i="504"/>
  <c r="I73" i="504"/>
  <c r="I59" i="504"/>
  <c r="I34" i="504"/>
  <c r="I66" i="504"/>
  <c r="I43" i="504"/>
  <c r="I84" i="504"/>
  <c r="I44" i="504"/>
  <c r="I53" i="504"/>
  <c r="I85" i="504"/>
  <c r="I54" i="504"/>
  <c r="I61" i="504"/>
  <c r="I76" i="504"/>
  <c r="I86" i="504"/>
  <c r="I37" i="504"/>
  <c r="I45" i="504"/>
  <c r="I38" i="504"/>
  <c r="I46" i="504"/>
  <c r="I55" i="504"/>
  <c r="I62" i="504"/>
  <c r="I70" i="504"/>
  <c r="I87" i="504"/>
  <c r="I67" i="504"/>
  <c r="I39" i="504"/>
  <c r="I48" i="504"/>
  <c r="I56" i="504"/>
  <c r="I63" i="504"/>
  <c r="I71" i="504"/>
  <c r="I78" i="504"/>
  <c r="I89" i="504"/>
  <c r="I57" i="504"/>
  <c r="I72" i="504"/>
  <c r="I80" i="504"/>
  <c r="I90" i="504"/>
  <c r="I35" i="504"/>
  <c r="I74" i="504"/>
  <c r="I41" i="504"/>
  <c r="I50" i="504"/>
  <c r="I58" i="504"/>
  <c r="I65" i="504"/>
  <c r="I81" i="504"/>
  <c r="I42" i="504"/>
  <c r="I83" i="504"/>
  <c r="I93" i="504"/>
  <c r="A28" i="333"/>
  <c r="B30" i="333" l="1"/>
  <c r="B32" i="333"/>
  <c r="L30" i="333" s="1"/>
  <c r="B34" i="333"/>
  <c r="C16" i="338" l="1"/>
  <c r="F25" i="526" l="1"/>
  <c r="H25" i="526" l="1"/>
  <c r="H29" i="526" s="1"/>
  <c r="H30" i="618" s="1"/>
  <c r="F29" i="526"/>
  <c r="H25" i="602"/>
  <c r="H29" i="602" s="1"/>
  <c r="I25" i="602" l="1"/>
  <c r="H30" i="602"/>
  <c r="K25" i="526"/>
  <c r="Z25" i="526"/>
  <c r="Z29" i="526" s="1"/>
  <c r="B94" i="504"/>
  <c r="D11" i="588"/>
  <c r="G37" i="551"/>
  <c r="G38" i="551"/>
  <c r="G39" i="551"/>
  <c r="G40" i="551"/>
  <c r="G41" i="551"/>
  <c r="G42" i="551"/>
  <c r="G43" i="551"/>
  <c r="G44" i="551"/>
  <c r="G45" i="551"/>
  <c r="G46" i="551"/>
  <c r="G47" i="551"/>
  <c r="G48" i="551"/>
  <c r="G49" i="551"/>
  <c r="G50" i="551"/>
  <c r="G51" i="551"/>
  <c r="C101" i="338"/>
  <c r="C17" i="338"/>
  <c r="C18" i="338"/>
  <c r="C19" i="338"/>
  <c r="C20" i="338"/>
  <c r="C21" i="338"/>
  <c r="C22" i="338"/>
  <c r="C23" i="338"/>
  <c r="C24" i="338"/>
  <c r="C25" i="338"/>
  <c r="C26" i="338"/>
  <c r="C27" i="338"/>
  <c r="C15" i="338"/>
  <c r="C28" i="338"/>
  <c r="C29" i="338"/>
  <c r="C30" i="338"/>
  <c r="H97" i="618" l="1"/>
  <c r="J25" i="618"/>
  <c r="J25" i="602"/>
  <c r="O25" i="618"/>
  <c r="C32" i="338"/>
  <c r="G35" i="551"/>
  <c r="G36" i="551"/>
  <c r="H95" i="526" l="1"/>
  <c r="D9" i="588" l="1"/>
  <c r="C58" i="588" l="1"/>
  <c r="C119" i="588" l="1"/>
  <c r="C103" i="588"/>
  <c r="C87" i="588"/>
  <c r="C76" i="588"/>
  <c r="C66" i="588"/>
  <c r="C99" i="588"/>
  <c r="C36" i="588"/>
  <c r="C49" i="588"/>
  <c r="C54" i="588"/>
  <c r="C70" i="588"/>
  <c r="C113" i="588"/>
  <c r="C95" i="588"/>
  <c r="C83" i="588"/>
  <c r="C123" i="588" l="1"/>
  <c r="C7" i="588"/>
  <c r="D8" i="588"/>
  <c r="C9" i="588"/>
  <c r="D42" i="588" l="1"/>
  <c r="D16" i="588"/>
  <c r="D109" i="588"/>
  <c r="D94" i="588"/>
  <c r="D110" i="588"/>
  <c r="D92" i="588"/>
  <c r="D97" i="588"/>
  <c r="D73" i="588"/>
  <c r="D78" i="588"/>
  <c r="D86" i="588"/>
  <c r="D89" i="588"/>
  <c r="D108" i="588"/>
  <c r="D107" i="588"/>
  <c r="D91" i="588"/>
  <c r="D69" i="588"/>
  <c r="D72" i="588"/>
  <c r="D105" i="588"/>
  <c r="D101" i="588"/>
  <c r="D116" i="588"/>
  <c r="D18" i="588"/>
  <c r="D117" i="588"/>
  <c r="D79" i="588"/>
  <c r="D102" i="588"/>
  <c r="D112" i="588"/>
  <c r="D115" i="588"/>
  <c r="D85" i="588"/>
  <c r="D75" i="588"/>
  <c r="D20" i="588"/>
  <c r="D90" i="588"/>
  <c r="D111" i="588"/>
  <c r="D68" i="588"/>
  <c r="D74" i="588"/>
  <c r="D82" i="588"/>
  <c r="D81" i="588"/>
  <c r="D80" i="588"/>
  <c r="D98" i="588"/>
  <c r="D93" i="588"/>
  <c r="D106" i="588"/>
  <c r="D118" i="588"/>
  <c r="D52" i="588"/>
  <c r="D57" i="588"/>
  <c r="D53" i="588"/>
  <c r="D51" i="588"/>
  <c r="D30" i="588"/>
  <c r="D46" i="588"/>
  <c r="D33" i="588"/>
  <c r="D65" i="588"/>
  <c r="D56" i="588"/>
  <c r="D40" i="588"/>
  <c r="D21" i="588"/>
  <c r="D41" i="588"/>
  <c r="D60" i="588"/>
  <c r="D44" i="588"/>
  <c r="D62" i="588"/>
  <c r="D48" i="588"/>
  <c r="D43" i="588"/>
  <c r="D25" i="588"/>
  <c r="D64" i="588"/>
  <c r="D34" i="588"/>
  <c r="D23" i="588"/>
  <c r="D63" i="588"/>
  <c r="D27" i="588"/>
  <c r="D28" i="588"/>
  <c r="D39" i="588"/>
  <c r="D35" i="588"/>
  <c r="D61" i="588"/>
  <c r="D22" i="588"/>
  <c r="D29" i="588"/>
  <c r="D24" i="588"/>
  <c r="D47" i="588"/>
  <c r="D38" i="588"/>
  <c r="D45" i="588"/>
  <c r="D26" i="588"/>
  <c r="D70" i="588" l="1"/>
  <c r="D119" i="588"/>
  <c r="D87" i="588"/>
  <c r="D103" i="588"/>
  <c r="D113" i="588"/>
  <c r="D83" i="588"/>
  <c r="D99" i="588"/>
  <c r="D76" i="588"/>
  <c r="D95" i="588"/>
  <c r="D36" i="588"/>
  <c r="D54" i="588"/>
  <c r="D66" i="588"/>
  <c r="D31" i="588"/>
  <c r="D49" i="588"/>
  <c r="D58" i="588"/>
  <c r="A2" i="587"/>
  <c r="A2" i="586"/>
  <c r="A2" i="585"/>
  <c r="A2" i="570" l="1"/>
  <c r="A2" i="571"/>
  <c r="B8" i="337" l="1"/>
  <c r="A2" i="579"/>
  <c r="E13" i="336" l="1"/>
  <c r="J13" i="336" s="1"/>
  <c r="E14" i="336"/>
  <c r="E22" i="336"/>
  <c r="E23" i="336"/>
  <c r="E30" i="336"/>
  <c r="J30" i="336" s="1"/>
  <c r="E15" i="336"/>
  <c r="E16" i="336"/>
  <c r="E24" i="336"/>
  <c r="E17" i="336"/>
  <c r="E18" i="336"/>
  <c r="E25" i="336"/>
  <c r="E19" i="336"/>
  <c r="E26" i="336"/>
  <c r="E20" i="336"/>
  <c r="E27" i="336"/>
  <c r="E21" i="336"/>
  <c r="J19" i="336" l="1"/>
  <c r="H21" i="343" s="1"/>
  <c r="J25" i="336"/>
  <c r="H27" i="343" s="1"/>
  <c r="J18" i="336"/>
  <c r="H20" i="343" s="1"/>
  <c r="J17" i="336"/>
  <c r="H19" i="343" s="1"/>
  <c r="J24" i="336"/>
  <c r="H26" i="343" s="1"/>
  <c r="J16" i="336"/>
  <c r="H18" i="343" s="1"/>
  <c r="J21" i="336"/>
  <c r="H23" i="343" s="1"/>
  <c r="J23" i="336"/>
  <c r="H25" i="343" s="1"/>
  <c r="J27" i="336"/>
  <c r="H29" i="343" s="1"/>
  <c r="J22" i="336"/>
  <c r="H24" i="343" s="1"/>
  <c r="J20" i="336"/>
  <c r="H22" i="343" s="1"/>
  <c r="J14" i="336"/>
  <c r="H16" i="343" s="1"/>
  <c r="J26" i="336"/>
  <c r="H28" i="343" s="1"/>
  <c r="H15" i="343"/>
  <c r="K13" i="336" l="1"/>
  <c r="K25" i="336"/>
  <c r="K27" i="336"/>
  <c r="K21" i="336"/>
  <c r="K19" i="336"/>
  <c r="K23" i="336"/>
  <c r="K14" i="336"/>
  <c r="K24" i="336"/>
  <c r="K17" i="336"/>
  <c r="K26" i="336"/>
  <c r="K16" i="336"/>
  <c r="K22" i="336"/>
  <c r="K18" i="336"/>
  <c r="K20" i="336"/>
  <c r="M31" i="551" l="1"/>
  <c r="A2" i="576"/>
  <c r="A2" i="575"/>
  <c r="A2" i="574"/>
  <c r="A2" i="573"/>
  <c r="A2" i="572"/>
  <c r="A2" i="569"/>
  <c r="A2" i="568"/>
  <c r="I31" i="606" l="1"/>
  <c r="N31" i="606" s="1"/>
  <c r="O31" i="551"/>
  <c r="N31" i="551"/>
  <c r="D9" i="340"/>
  <c r="M25" i="551"/>
  <c r="I25" i="606" s="1"/>
  <c r="M29" i="551"/>
  <c r="I29" i="606" s="1"/>
  <c r="L9" i="340"/>
  <c r="O31" i="606" l="1"/>
  <c r="N29" i="606"/>
  <c r="O29" i="606"/>
  <c r="N25" i="606"/>
  <c r="O25" i="606"/>
  <c r="N25" i="551"/>
  <c r="M27" i="551"/>
  <c r="I27" i="606" s="1"/>
  <c r="O25" i="551"/>
  <c r="N29" i="551"/>
  <c r="O29" i="551"/>
  <c r="H9" i="340"/>
  <c r="O27" i="606" l="1"/>
  <c r="N27" i="606"/>
  <c r="O27" i="551"/>
  <c r="N27" i="551"/>
  <c r="C8" i="337" l="1"/>
  <c r="G13" i="605"/>
  <c r="C115" i="337" l="1"/>
  <c r="E53" i="551"/>
  <c r="M15" i="551" s="1"/>
  <c r="C113" i="337"/>
  <c r="C114" i="337"/>
  <c r="C110" i="337"/>
  <c r="C109" i="337"/>
  <c r="C34" i="337"/>
  <c r="D27" i="504" s="1"/>
  <c r="C108" i="337"/>
  <c r="C33" i="337"/>
  <c r="D26" i="504" s="1"/>
  <c r="C98" i="337"/>
  <c r="E98" i="337" s="1"/>
  <c r="C97" i="337"/>
  <c r="E97" i="337" s="1"/>
  <c r="C53" i="337"/>
  <c r="E53" i="337" s="1"/>
  <c r="C94" i="337"/>
  <c r="C85" i="337"/>
  <c r="E85" i="337" s="1"/>
  <c r="C86" i="337"/>
  <c r="E86" i="337" s="1"/>
  <c r="C87" i="337"/>
  <c r="E87" i="337" s="1"/>
  <c r="C88" i="337"/>
  <c r="E88" i="337" s="1"/>
  <c r="H13" i="605"/>
  <c r="G14" i="605"/>
  <c r="H14" i="605" s="1"/>
  <c r="L11" i="340"/>
  <c r="I6" i="340" s="1"/>
  <c r="E108" i="337" l="1"/>
  <c r="D102" i="504"/>
  <c r="F102" i="504" s="1"/>
  <c r="E114" i="337"/>
  <c r="D115" i="338" s="1"/>
  <c r="D108" i="504"/>
  <c r="E109" i="337"/>
  <c r="D110" i="338" s="1"/>
  <c r="D103" i="504"/>
  <c r="E113" i="337"/>
  <c r="D114" i="338" s="1"/>
  <c r="D107" i="504"/>
  <c r="F107" i="504" s="1"/>
  <c r="E94" i="337"/>
  <c r="D95" i="338" s="1"/>
  <c r="D54" i="338"/>
  <c r="D47" i="504"/>
  <c r="D98" i="338"/>
  <c r="D91" i="504"/>
  <c r="D99" i="338"/>
  <c r="D92" i="504"/>
  <c r="D88" i="504"/>
  <c r="D80" i="504"/>
  <c r="D86" i="338"/>
  <c r="D79" i="504"/>
  <c r="D81" i="504"/>
  <c r="D89" i="338"/>
  <c r="D82" i="504"/>
  <c r="I11" i="606"/>
  <c r="G15" i="605"/>
  <c r="H15" i="605" s="1"/>
  <c r="E115" i="337" l="1"/>
  <c r="E34" i="337" s="1"/>
  <c r="H103" i="504"/>
  <c r="J103" i="504" s="1"/>
  <c r="F110" i="338" s="1"/>
  <c r="G110" i="338" s="1"/>
  <c r="F103" i="504"/>
  <c r="F104" i="504" s="1"/>
  <c r="F26" i="504" s="1"/>
  <c r="F108" i="504"/>
  <c r="F109" i="504" s="1"/>
  <c r="F27" i="504" s="1"/>
  <c r="H108" i="504"/>
  <c r="J108" i="504" s="1"/>
  <c r="F115" i="338" s="1"/>
  <c r="G115" i="338" s="1"/>
  <c r="D116" i="338"/>
  <c r="D35" i="338" s="1"/>
  <c r="H102" i="504"/>
  <c r="J102" i="504" s="1"/>
  <c r="H107" i="504"/>
  <c r="E110" i="337"/>
  <c r="E33" i="337" s="1"/>
  <c r="D109" i="338"/>
  <c r="H92" i="504"/>
  <c r="J92" i="504" s="1"/>
  <c r="F99" i="338" s="1"/>
  <c r="G99" i="338" s="1"/>
  <c r="F92" i="504"/>
  <c r="F81" i="504"/>
  <c r="H81" i="504"/>
  <c r="J81" i="504" s="1"/>
  <c r="H47" i="504"/>
  <c r="J47" i="504" s="1"/>
  <c r="F54" i="338" s="1"/>
  <c r="G54" i="338" s="1"/>
  <c r="F47" i="504"/>
  <c r="F82" i="504"/>
  <c r="H82" i="504"/>
  <c r="J82" i="504" s="1"/>
  <c r="F89" i="338" s="1"/>
  <c r="G89" i="338" s="1"/>
  <c r="H79" i="504"/>
  <c r="J79" i="504" s="1"/>
  <c r="F86" i="338" s="1"/>
  <c r="G86" i="338" s="1"/>
  <c r="F79" i="504"/>
  <c r="F80" i="504"/>
  <c r="H80" i="504"/>
  <c r="J80" i="504" s="1"/>
  <c r="F88" i="504"/>
  <c r="H88" i="504"/>
  <c r="J88" i="504" s="1"/>
  <c r="F95" i="338" s="1"/>
  <c r="G95" i="338" s="1"/>
  <c r="C94" i="343" s="1"/>
  <c r="H91" i="504"/>
  <c r="J91" i="504" s="1"/>
  <c r="F98" i="338" s="1"/>
  <c r="G98" i="338" s="1"/>
  <c r="F91" i="504"/>
  <c r="E39" i="338"/>
  <c r="N11" i="551"/>
  <c r="O11" i="551"/>
  <c r="N11" i="606"/>
  <c r="O11" i="606"/>
  <c r="W13" i="605"/>
  <c r="G16" i="605"/>
  <c r="H16" i="605" s="1"/>
  <c r="C98" i="343" l="1"/>
  <c r="H99" i="338"/>
  <c r="C97" i="343"/>
  <c r="H98" i="338"/>
  <c r="C114" i="343"/>
  <c r="H115" i="338"/>
  <c r="C109" i="343"/>
  <c r="H110" i="338"/>
  <c r="D111" i="338"/>
  <c r="D34" i="338" s="1"/>
  <c r="H109" i="504"/>
  <c r="H27" i="504" s="1"/>
  <c r="J107" i="504"/>
  <c r="H104" i="504"/>
  <c r="H26" i="504" s="1"/>
  <c r="C85" i="343"/>
  <c r="H86" i="338"/>
  <c r="C53" i="343"/>
  <c r="H54" i="338"/>
  <c r="H95" i="338"/>
  <c r="C88" i="343"/>
  <c r="H89" i="338"/>
  <c r="O15" i="605"/>
  <c r="G17" i="605"/>
  <c r="H17" i="605" s="1"/>
  <c r="J104" i="504" l="1"/>
  <c r="J26" i="504" s="1"/>
  <c r="F109" i="338"/>
  <c r="J109" i="504"/>
  <c r="J27" i="504" s="1"/>
  <c r="F114" i="338"/>
  <c r="G18" i="605"/>
  <c r="H18" i="605" s="1"/>
  <c r="F111" i="338" l="1"/>
  <c r="F34" i="338" s="1"/>
  <c r="G109" i="338"/>
  <c r="C108" i="343" s="1"/>
  <c r="F116" i="338"/>
  <c r="F35" i="338" s="1"/>
  <c r="G114" i="338"/>
  <c r="C113" i="343" s="1"/>
  <c r="G19" i="605"/>
  <c r="H19" i="605" s="1"/>
  <c r="C115" i="343" l="1"/>
  <c r="C34" i="343" s="1"/>
  <c r="C110" i="343"/>
  <c r="G116" i="338"/>
  <c r="G35" i="338" s="1"/>
  <c r="H114" i="338"/>
  <c r="H116" i="338" s="1"/>
  <c r="H35" i="338" s="1"/>
  <c r="G111" i="338"/>
  <c r="G34" i="338" s="1"/>
  <c r="H109" i="338"/>
  <c r="H111" i="338" s="1"/>
  <c r="H34" i="338" s="1"/>
  <c r="G20" i="605"/>
  <c r="H20" i="605" s="1"/>
  <c r="C116" i="343" l="1"/>
  <c r="C33" i="343"/>
  <c r="G21" i="605"/>
  <c r="H21" i="605" s="1"/>
  <c r="C111" i="343" l="1"/>
  <c r="G22" i="605"/>
  <c r="H22" i="605" s="1"/>
  <c r="D25" i="337"/>
  <c r="D26" i="337"/>
  <c r="D14" i="337"/>
  <c r="D28" i="337"/>
  <c r="D17" i="337"/>
  <c r="D29" i="337"/>
  <c r="D20" i="337"/>
  <c r="D22" i="337"/>
  <c r="D23" i="337"/>
  <c r="G23" i="605" l="1"/>
  <c r="H23" i="605" s="1"/>
  <c r="D15" i="337"/>
  <c r="D21" i="337"/>
  <c r="D18" i="337"/>
  <c r="D16" i="337"/>
  <c r="D27" i="337"/>
  <c r="D24" i="337"/>
  <c r="D19" i="337"/>
  <c r="G24" i="605" l="1"/>
  <c r="H24" i="605" s="1"/>
  <c r="G25" i="605" l="1"/>
  <c r="H25" i="605" s="1"/>
  <c r="G26" i="605" l="1"/>
  <c r="H26" i="605" s="1"/>
  <c r="G27" i="605" l="1"/>
  <c r="H27" i="605" s="1"/>
  <c r="O28" i="605" l="1"/>
  <c r="G28" i="605"/>
  <c r="H28" i="605" s="1"/>
  <c r="G29" i="605" l="1"/>
  <c r="W28" i="605"/>
  <c r="H29" i="605" l="1"/>
  <c r="G30" i="605"/>
  <c r="G33" i="605"/>
  <c r="H33" i="605" s="1"/>
  <c r="O33" i="605" l="1"/>
  <c r="W33" i="605" l="1"/>
  <c r="D11" i="340" l="1"/>
  <c r="I7" i="606" l="1"/>
  <c r="I4" i="340"/>
  <c r="H11" i="340"/>
  <c r="I5" i="340" s="1"/>
  <c r="N7" i="551" l="1"/>
  <c r="O7" i="551"/>
  <c r="O7" i="606"/>
  <c r="N7" i="606"/>
  <c r="I9" i="606"/>
  <c r="N9" i="551" l="1"/>
  <c r="O9" i="551"/>
  <c r="N9" i="606"/>
  <c r="O9" i="606"/>
  <c r="K30" i="340"/>
  <c r="G30" i="340" l="1"/>
  <c r="C25" i="340"/>
  <c r="C20" i="340"/>
  <c r="K31" i="340"/>
  <c r="G25" i="340"/>
  <c r="C28" i="340"/>
  <c r="G31" i="340"/>
  <c r="G22" i="340"/>
  <c r="K28" i="340"/>
  <c r="K26" i="340"/>
  <c r="K32" i="340"/>
  <c r="K29" i="340"/>
  <c r="K21" i="340"/>
  <c r="K23" i="340"/>
  <c r="G32" i="340"/>
  <c r="G27" i="340"/>
  <c r="K25" i="340"/>
  <c r="K34" i="340"/>
  <c r="K24" i="340"/>
  <c r="C33" i="340"/>
  <c r="G18" i="340"/>
  <c r="C26" i="340"/>
  <c r="K19" i="340"/>
  <c r="C31" i="340"/>
  <c r="G33" i="340"/>
  <c r="K18" i="340"/>
  <c r="G23" i="340"/>
  <c r="C22" i="340"/>
  <c r="C29" i="340"/>
  <c r="C30" i="340"/>
  <c r="G28" i="340"/>
  <c r="G21" i="340"/>
  <c r="G29" i="340"/>
  <c r="C27" i="340"/>
  <c r="G34" i="340"/>
  <c r="C32" i="340"/>
  <c r="G26" i="340"/>
  <c r="K33" i="340"/>
  <c r="C23" i="340"/>
  <c r="C21" i="340"/>
  <c r="G19" i="340"/>
  <c r="K20" i="340"/>
  <c r="G20" i="340"/>
  <c r="C18" i="340"/>
  <c r="K22" i="340"/>
  <c r="K27" i="340"/>
  <c r="C24" i="340"/>
  <c r="C34" i="340"/>
  <c r="C19" i="340"/>
  <c r="G24" i="340"/>
  <c r="C39" i="340" l="1"/>
  <c r="C40" i="340" s="1"/>
  <c r="K39" i="340"/>
  <c r="K40" i="340" s="1"/>
  <c r="G39" i="340"/>
  <c r="G40" i="340" s="1"/>
  <c r="N93" i="602"/>
  <c r="N11" i="602"/>
  <c r="N20" i="602"/>
  <c r="N16" i="602"/>
  <c r="N21" i="602"/>
  <c r="N14" i="602"/>
  <c r="N32" i="602"/>
  <c r="N8" i="602"/>
  <c r="H96" i="602" l="1"/>
  <c r="N15" i="602"/>
  <c r="N23" i="602"/>
  <c r="N12" i="602"/>
  <c r="N9" i="602"/>
  <c r="N19" i="602"/>
  <c r="N17" i="602"/>
  <c r="N24" i="602"/>
  <c r="N22" i="602"/>
  <c r="N10" i="602"/>
  <c r="N13" i="602"/>
  <c r="N18" i="602"/>
  <c r="N25" i="602" l="1"/>
  <c r="O95" i="605" l="1"/>
  <c r="G95" i="605"/>
  <c r="W95" i="605" l="1"/>
  <c r="Z30" i="605" l="1"/>
  <c r="H95" i="605" l="1"/>
  <c r="Z95" i="605"/>
  <c r="G80" i="609" l="1"/>
  <c r="G81" i="336" l="1"/>
  <c r="G34" i="336"/>
  <c r="H15" i="336"/>
  <c r="J15" i="336" s="1"/>
  <c r="J33" i="336" l="1"/>
  <c r="H17" i="343" l="1"/>
  <c r="H35" i="343" s="1"/>
  <c r="H36" i="343" s="1"/>
  <c r="K15" i="336"/>
  <c r="E42" i="588" l="1"/>
  <c r="F42" i="588" l="1"/>
  <c r="G42" i="588" s="1"/>
  <c r="C82" i="337"/>
  <c r="E82" i="337" s="1"/>
  <c r="C91" i="337"/>
  <c r="E91" i="337" s="1"/>
  <c r="C64" i="337"/>
  <c r="E64" i="337" s="1"/>
  <c r="C72" i="337"/>
  <c r="E72" i="337" s="1"/>
  <c r="C79" i="337"/>
  <c r="E79" i="337" s="1"/>
  <c r="C49" i="337"/>
  <c r="E49" i="337" s="1"/>
  <c r="C59" i="337"/>
  <c r="E59" i="337" s="1"/>
  <c r="C51" i="337"/>
  <c r="E51" i="337" s="1"/>
  <c r="C89" i="337"/>
  <c r="E89" i="337" s="1"/>
  <c r="C70" i="337"/>
  <c r="E70" i="337" s="1"/>
  <c r="C77" i="337"/>
  <c r="E77" i="337" s="1"/>
  <c r="C47" i="337"/>
  <c r="E47" i="337" s="1"/>
  <c r="C57" i="337"/>
  <c r="E57" i="337" s="1"/>
  <c r="C40" i="337"/>
  <c r="E40" i="337" s="1"/>
  <c r="C45" i="337"/>
  <c r="E45" i="337" s="1"/>
  <c r="C93" i="337"/>
  <c r="E93" i="337" s="1"/>
  <c r="C80" i="337"/>
  <c r="E80" i="337" s="1"/>
  <c r="C68" i="337"/>
  <c r="E68" i="337" s="1"/>
  <c r="C75" i="337"/>
  <c r="E75" i="337" s="1"/>
  <c r="C55" i="337"/>
  <c r="E55" i="337" s="1"/>
  <c r="C62" i="337"/>
  <c r="E62" i="337" s="1"/>
  <c r="C43" i="337"/>
  <c r="E43" i="337" s="1"/>
  <c r="C74" i="337"/>
  <c r="E74" i="337" s="1"/>
  <c r="C83" i="337"/>
  <c r="E83" i="337" s="1"/>
  <c r="C95" i="337"/>
  <c r="E95" i="337" s="1"/>
  <c r="C66" i="337"/>
  <c r="E66" i="337" s="1"/>
  <c r="C73" i="337"/>
  <c r="E73" i="337" s="1"/>
  <c r="C81" i="337"/>
  <c r="E81" i="337" s="1"/>
  <c r="C52" i="337"/>
  <c r="E52" i="337" s="1"/>
  <c r="C60" i="337"/>
  <c r="E60" i="337" s="1"/>
  <c r="C65" i="337"/>
  <c r="E65" i="337" s="1"/>
  <c r="C92" i="337"/>
  <c r="E92" i="337" s="1"/>
  <c r="C71" i="337"/>
  <c r="E71" i="337" s="1"/>
  <c r="C50" i="337"/>
  <c r="E50" i="337" s="1"/>
  <c r="C58" i="337"/>
  <c r="E58" i="337" s="1"/>
  <c r="C41" i="337"/>
  <c r="E41" i="337" s="1"/>
  <c r="C84" i="337"/>
  <c r="E84" i="337" s="1"/>
  <c r="C61" i="337"/>
  <c r="E61" i="337" s="1"/>
  <c r="C90" i="337"/>
  <c r="E90" i="337" s="1"/>
  <c r="C63" i="337"/>
  <c r="E63" i="337" s="1"/>
  <c r="C69" i="337"/>
  <c r="E69" i="337" s="1"/>
  <c r="C78" i="337"/>
  <c r="E78" i="337" s="1"/>
  <c r="C48" i="337"/>
  <c r="E48" i="337" s="1"/>
  <c r="C56" i="337"/>
  <c r="E56" i="337" s="1"/>
  <c r="C44" i="337"/>
  <c r="E44" i="337" s="1"/>
  <c r="C96" i="337"/>
  <c r="E96" i="337" s="1"/>
  <c r="C67" i="337"/>
  <c r="E67" i="337" s="1"/>
  <c r="C76" i="337"/>
  <c r="E76" i="337" s="1"/>
  <c r="C46" i="337"/>
  <c r="E46" i="337" s="1"/>
  <c r="C54" i="337"/>
  <c r="E54" i="337" s="1"/>
  <c r="C39" i="337"/>
  <c r="E39" i="337" s="1"/>
  <c r="C42" i="337"/>
  <c r="E42" i="337" s="1"/>
  <c r="H10" i="340"/>
  <c r="D10" i="340"/>
  <c r="C100" i="337"/>
  <c r="C21" i="337"/>
  <c r="E21" i="337" s="1"/>
  <c r="C25" i="337"/>
  <c r="E25" i="337" s="1"/>
  <c r="C19" i="337"/>
  <c r="E19" i="337" s="1"/>
  <c r="C22" i="337"/>
  <c r="E22" i="337" s="1"/>
  <c r="C28" i="337"/>
  <c r="E28" i="337" s="1"/>
  <c r="C15" i="337"/>
  <c r="E15" i="337" s="1"/>
  <c r="C104" i="337"/>
  <c r="C99" i="337"/>
  <c r="E99" i="337" s="1"/>
  <c r="C23" i="337"/>
  <c r="E23" i="337" s="1"/>
  <c r="C24" i="337"/>
  <c r="E24" i="337" s="1"/>
  <c r="C30" i="337"/>
  <c r="C17" i="337"/>
  <c r="E17" i="337" s="1"/>
  <c r="C103" i="337"/>
  <c r="E103" i="337" s="1"/>
  <c r="C27" i="337"/>
  <c r="E27" i="337" s="1"/>
  <c r="C14" i="337"/>
  <c r="E14" i="337" s="1"/>
  <c r="C29" i="337"/>
  <c r="E29" i="337" s="1"/>
  <c r="C31" i="337"/>
  <c r="C26" i="337"/>
  <c r="E26" i="337" s="1"/>
  <c r="C20" i="337"/>
  <c r="E20" i="337" s="1"/>
  <c r="C18" i="337"/>
  <c r="E18" i="337" s="1"/>
  <c r="C38" i="337"/>
  <c r="E38" i="337" s="1"/>
  <c r="D39" i="338" s="1"/>
  <c r="C16" i="337"/>
  <c r="E16" i="337" s="1"/>
  <c r="C32" i="337"/>
  <c r="C105" i="337"/>
  <c r="E48" i="588"/>
  <c r="E86" i="588"/>
  <c r="E62" i="588"/>
  <c r="E117" i="588"/>
  <c r="E43" i="588"/>
  <c r="E109" i="588"/>
  <c r="E69" i="588"/>
  <c r="E41" i="588"/>
  <c r="E16" i="588"/>
  <c r="F16" i="588" s="1"/>
  <c r="E92" i="588"/>
  <c r="E102" i="588"/>
  <c r="E35" i="588"/>
  <c r="E89" i="588"/>
  <c r="F89" i="588" s="1"/>
  <c r="E91" i="588"/>
  <c r="E44" i="588"/>
  <c r="E52" i="588"/>
  <c r="E30" i="588"/>
  <c r="E81" i="588"/>
  <c r="E45" i="588"/>
  <c r="E78" i="588"/>
  <c r="F78" i="588" s="1"/>
  <c r="E105" i="588"/>
  <c r="F105" i="588" s="1"/>
  <c r="E33" i="588"/>
  <c r="F33" i="588" s="1"/>
  <c r="E27" i="588"/>
  <c r="E101" i="588"/>
  <c r="F101" i="588" s="1"/>
  <c r="E98" i="588"/>
  <c r="E116" i="588"/>
  <c r="E93" i="588"/>
  <c r="E75" i="588"/>
  <c r="E21" i="588"/>
  <c r="E46" i="588"/>
  <c r="E34" i="588"/>
  <c r="E40" i="588"/>
  <c r="E115" i="588"/>
  <c r="F115" i="588" s="1"/>
  <c r="E38" i="588"/>
  <c r="F38" i="588" s="1"/>
  <c r="E68" i="588"/>
  <c r="F68" i="588" s="1"/>
  <c r="E82" i="588"/>
  <c r="E80" i="588"/>
  <c r="E90" i="588"/>
  <c r="E65" i="588"/>
  <c r="E73" i="588"/>
  <c r="E107" i="588"/>
  <c r="E118" i="588"/>
  <c r="E111" i="588"/>
  <c r="E51" i="588"/>
  <c r="F51" i="588" s="1"/>
  <c r="E61" i="588"/>
  <c r="E20" i="588"/>
  <c r="F20" i="588" s="1"/>
  <c r="E85" i="588"/>
  <c r="F85" i="588" s="1"/>
  <c r="E22" i="588"/>
  <c r="E97" i="588"/>
  <c r="F97" i="588" s="1"/>
  <c r="E24" i="588"/>
  <c r="E28" i="588"/>
  <c r="E112" i="588"/>
  <c r="E26" i="588"/>
  <c r="E64" i="588"/>
  <c r="E110" i="588"/>
  <c r="E56" i="588"/>
  <c r="F56" i="588" s="1"/>
  <c r="E53" i="588"/>
  <c r="E29" i="588"/>
  <c r="E108" i="588"/>
  <c r="E74" i="588"/>
  <c r="E79" i="588"/>
  <c r="E57" i="588"/>
  <c r="E94" i="588"/>
  <c r="E47" i="588"/>
  <c r="E23" i="588"/>
  <c r="E106" i="588"/>
  <c r="E72" i="588"/>
  <c r="F72" i="588" s="1"/>
  <c r="E25" i="588"/>
  <c r="E63" i="588"/>
  <c r="E39" i="588"/>
  <c r="E60" i="588"/>
  <c r="F60" i="588" s="1"/>
  <c r="E18" i="588"/>
  <c r="F18" i="588" s="1"/>
  <c r="F7" i="336"/>
  <c r="H7" i="336" s="1"/>
  <c r="L10" i="340"/>
  <c r="D118" i="340" l="1"/>
  <c r="E118" i="340" s="1"/>
  <c r="D112" i="340"/>
  <c r="E112" i="340" s="1"/>
  <c r="J108" i="343" s="1"/>
  <c r="D117" i="340"/>
  <c r="E104" i="337"/>
  <c r="D105" i="338" s="1"/>
  <c r="D98" i="504"/>
  <c r="H118" i="340"/>
  <c r="I118" i="340" s="1"/>
  <c r="H117" i="340"/>
  <c r="L117" i="340"/>
  <c r="M117" i="340" s="1"/>
  <c r="L113" i="343" s="1"/>
  <c r="L118" i="340"/>
  <c r="D113" i="340"/>
  <c r="E113" i="340" s="1"/>
  <c r="L113" i="340"/>
  <c r="L112" i="340"/>
  <c r="H112" i="340"/>
  <c r="H113" i="340"/>
  <c r="I113" i="340" s="1"/>
  <c r="H101" i="340"/>
  <c r="I101" i="340" s="1"/>
  <c r="K97" i="343" s="1"/>
  <c r="F46" i="588"/>
  <c r="G46" i="588" s="1"/>
  <c r="F57" i="588"/>
  <c r="G57" i="588" s="1"/>
  <c r="F75" i="588"/>
  <c r="G75" i="588" s="1"/>
  <c r="F91" i="588"/>
  <c r="G91" i="588" s="1"/>
  <c r="F92" i="588"/>
  <c r="G92" i="588" s="1"/>
  <c r="F35" i="588"/>
  <c r="G35" i="588" s="1"/>
  <c r="F61" i="588"/>
  <c r="F74" i="588"/>
  <c r="G74" i="588" s="1"/>
  <c r="F93" i="588"/>
  <c r="G93" i="588" s="1"/>
  <c r="F69" i="588"/>
  <c r="G69" i="588" s="1"/>
  <c r="F26" i="588"/>
  <c r="G26" i="588" s="1"/>
  <c r="F21" i="588"/>
  <c r="G21" i="588" s="1"/>
  <c r="F107" i="588"/>
  <c r="G107" i="588" s="1"/>
  <c r="F27" i="588"/>
  <c r="G27" i="588" s="1"/>
  <c r="F82" i="588"/>
  <c r="G82" i="588" s="1"/>
  <c r="F53" i="588"/>
  <c r="G53" i="588" s="1"/>
  <c r="F108" i="588"/>
  <c r="G108" i="588" s="1"/>
  <c r="F79" i="588"/>
  <c r="G79" i="588" s="1"/>
  <c r="F102" i="588"/>
  <c r="G102" i="588" s="1"/>
  <c r="F29" i="588"/>
  <c r="G29" i="588" s="1"/>
  <c r="F80" i="588"/>
  <c r="G80" i="588" s="1"/>
  <c r="F28" i="588"/>
  <c r="F30" i="588"/>
  <c r="G30" i="588" s="1"/>
  <c r="F48" i="588"/>
  <c r="G48" i="588" s="1"/>
  <c r="F111" i="588"/>
  <c r="G111" i="588" s="1"/>
  <c r="F116" i="588"/>
  <c r="G116" i="588" s="1"/>
  <c r="E159" i="588" s="1"/>
  <c r="F98" i="588"/>
  <c r="F99" i="588" s="1"/>
  <c r="F73" i="588"/>
  <c r="G73" i="588" s="1"/>
  <c r="F110" i="588"/>
  <c r="G110" i="588" s="1"/>
  <c r="E179" i="588" s="1"/>
  <c r="F64" i="588"/>
  <c r="G64" i="588" s="1"/>
  <c r="F90" i="588"/>
  <c r="G90" i="588" s="1"/>
  <c r="F63" i="588"/>
  <c r="G63" i="588" s="1"/>
  <c r="F43" i="588"/>
  <c r="G43" i="588" s="1"/>
  <c r="F25" i="588"/>
  <c r="G25" i="588" s="1"/>
  <c r="F117" i="588"/>
  <c r="F45" i="588"/>
  <c r="G45" i="588" s="1"/>
  <c r="F106" i="588"/>
  <c r="G106" i="588" s="1"/>
  <c r="F86" i="588"/>
  <c r="F87" i="588" s="1"/>
  <c r="F47" i="588"/>
  <c r="G47" i="588" s="1"/>
  <c r="F52" i="588"/>
  <c r="F118" i="588"/>
  <c r="G118" i="588" s="1"/>
  <c r="F41" i="588"/>
  <c r="G41" i="588" s="1"/>
  <c r="F65" i="588"/>
  <c r="G65" i="588" s="1"/>
  <c r="F39" i="588"/>
  <c r="G39" i="588" s="1"/>
  <c r="E146" i="588" s="1"/>
  <c r="F109" i="588"/>
  <c r="G109" i="588" s="1"/>
  <c r="F112" i="588"/>
  <c r="G112" i="588" s="1"/>
  <c r="F62" i="588"/>
  <c r="G62" i="588" s="1"/>
  <c r="F24" i="588"/>
  <c r="G24" i="588" s="1"/>
  <c r="F81" i="588"/>
  <c r="G81" i="588" s="1"/>
  <c r="F23" i="588"/>
  <c r="G23" i="588" s="1"/>
  <c r="F22" i="588"/>
  <c r="G22" i="588" s="1"/>
  <c r="F40" i="588"/>
  <c r="G40" i="588" s="1"/>
  <c r="F94" i="588"/>
  <c r="G94" i="588" s="1"/>
  <c r="F34" i="588"/>
  <c r="F44" i="588"/>
  <c r="G44" i="588" s="1"/>
  <c r="D102" i="340"/>
  <c r="E102" i="340" s="1"/>
  <c r="J98" i="343" s="1"/>
  <c r="D101" i="340"/>
  <c r="E101" i="340" s="1"/>
  <c r="J97" i="343" s="1"/>
  <c r="L102" i="340"/>
  <c r="M102" i="340" s="1"/>
  <c r="L98" i="343" s="1"/>
  <c r="L101" i="340"/>
  <c r="M101" i="340" s="1"/>
  <c r="L97" i="343" s="1"/>
  <c r="H57" i="340"/>
  <c r="I57" i="340" s="1"/>
  <c r="K53" i="343" s="1"/>
  <c r="H102" i="340"/>
  <c r="I102" i="340" s="1"/>
  <c r="K98" i="343" s="1"/>
  <c r="L89" i="340"/>
  <c r="M89" i="340" s="1"/>
  <c r="L85" i="343" s="1"/>
  <c r="L57" i="340"/>
  <c r="M57" i="340" s="1"/>
  <c r="L53" i="343" s="1"/>
  <c r="D89" i="340"/>
  <c r="E89" i="340" s="1"/>
  <c r="J85" i="343" s="1"/>
  <c r="D57" i="340"/>
  <c r="E57" i="340" s="1"/>
  <c r="J53" i="343" s="1"/>
  <c r="H89" i="340"/>
  <c r="I89" i="340" s="1"/>
  <c r="K85" i="343" s="1"/>
  <c r="D25" i="504"/>
  <c r="D24" i="504"/>
  <c r="L92" i="340"/>
  <c r="M92" i="340" s="1"/>
  <c r="L88" i="343" s="1"/>
  <c r="L98" i="340"/>
  <c r="M98" i="340" s="1"/>
  <c r="L94" i="343" s="1"/>
  <c r="H92" i="340"/>
  <c r="I92" i="340" s="1"/>
  <c r="K88" i="343" s="1"/>
  <c r="H98" i="340"/>
  <c r="I98" i="340" s="1"/>
  <c r="K94" i="343" s="1"/>
  <c r="D92" i="340"/>
  <c r="E92" i="340" s="1"/>
  <c r="J88" i="343" s="1"/>
  <c r="D98" i="340"/>
  <c r="E98" i="340" s="1"/>
  <c r="J94" i="343" s="1"/>
  <c r="G20" i="588"/>
  <c r="D19" i="338"/>
  <c r="D11" i="504"/>
  <c r="D18" i="338"/>
  <c r="D10" i="504"/>
  <c r="D23" i="338"/>
  <c r="D15" i="504"/>
  <c r="D40" i="338"/>
  <c r="D33" i="504"/>
  <c r="D57" i="338"/>
  <c r="D50" i="504"/>
  <c r="D42" i="338"/>
  <c r="D35" i="504"/>
  <c r="D61" i="338"/>
  <c r="D54" i="504"/>
  <c r="D44" i="338"/>
  <c r="D37" i="504"/>
  <c r="D94" i="338"/>
  <c r="D87" i="504"/>
  <c r="D52" i="338"/>
  <c r="D45" i="504"/>
  <c r="D21" i="338"/>
  <c r="D13" i="504"/>
  <c r="D23" i="504"/>
  <c r="F23" i="504" s="1"/>
  <c r="D20" i="338"/>
  <c r="D12" i="504"/>
  <c r="D55" i="338"/>
  <c r="D48" i="504"/>
  <c r="D49" i="338"/>
  <c r="D42" i="504"/>
  <c r="D59" i="338"/>
  <c r="D52" i="504"/>
  <c r="D53" i="338"/>
  <c r="D46" i="504"/>
  <c r="D63" i="338"/>
  <c r="D56" i="504"/>
  <c r="D46" i="338"/>
  <c r="D39" i="504"/>
  <c r="D60" i="338"/>
  <c r="D53" i="504"/>
  <c r="D27" i="338"/>
  <c r="D19" i="504"/>
  <c r="D25" i="338"/>
  <c r="D17" i="504"/>
  <c r="D26" i="338"/>
  <c r="D18" i="504"/>
  <c r="D47" i="338"/>
  <c r="D40" i="504"/>
  <c r="D79" i="338"/>
  <c r="D72" i="504"/>
  <c r="D51" i="338"/>
  <c r="D44" i="504"/>
  <c r="D82" i="338"/>
  <c r="D75" i="504"/>
  <c r="D56" i="338"/>
  <c r="D49" i="504"/>
  <c r="D41" i="338"/>
  <c r="D34" i="504"/>
  <c r="D50" i="338"/>
  <c r="D43" i="504"/>
  <c r="D24" i="338"/>
  <c r="D16" i="504"/>
  <c r="D22" i="338"/>
  <c r="D14" i="504"/>
  <c r="D77" i="338"/>
  <c r="D70" i="504"/>
  <c r="D70" i="338"/>
  <c r="D63" i="504"/>
  <c r="D74" i="338"/>
  <c r="D67" i="504"/>
  <c r="D76" i="338"/>
  <c r="D69" i="504"/>
  <c r="D58" i="338"/>
  <c r="D51" i="504"/>
  <c r="D80" i="338"/>
  <c r="D73" i="504"/>
  <c r="D30" i="338"/>
  <c r="D22" i="504"/>
  <c r="D100" i="338"/>
  <c r="D93" i="504"/>
  <c r="D68" i="338"/>
  <c r="D61" i="504"/>
  <c r="D64" i="338"/>
  <c r="D57" i="504"/>
  <c r="D72" i="338"/>
  <c r="D65" i="504"/>
  <c r="D67" i="338"/>
  <c r="D60" i="504"/>
  <c r="D69" i="338"/>
  <c r="D62" i="504"/>
  <c r="D48" i="338"/>
  <c r="D41" i="504"/>
  <c r="D73" i="338"/>
  <c r="D66" i="504"/>
  <c r="D97" i="338"/>
  <c r="D90" i="504"/>
  <c r="D91" i="338"/>
  <c r="D84" i="504"/>
  <c r="D96" i="338"/>
  <c r="D89" i="504"/>
  <c r="D78" i="338"/>
  <c r="D71" i="504"/>
  <c r="D65" i="338"/>
  <c r="D58" i="504"/>
  <c r="D15" i="338"/>
  <c r="D7" i="504"/>
  <c r="D17" i="338"/>
  <c r="D9" i="504"/>
  <c r="D28" i="338"/>
  <c r="D20" i="504"/>
  <c r="D16" i="338"/>
  <c r="D8" i="504"/>
  <c r="D88" i="338"/>
  <c r="D62" i="338"/>
  <c r="D55" i="504"/>
  <c r="D93" i="338"/>
  <c r="D86" i="504"/>
  <c r="D84" i="338"/>
  <c r="D77" i="504"/>
  <c r="D87" i="338"/>
  <c r="D71" i="338"/>
  <c r="D64" i="504"/>
  <c r="D92" i="338"/>
  <c r="D85" i="504"/>
  <c r="D32" i="504"/>
  <c r="H32" i="504" s="1"/>
  <c r="D97" i="504"/>
  <c r="D29" i="338"/>
  <c r="D21" i="504"/>
  <c r="D43" i="338"/>
  <c r="D36" i="504"/>
  <c r="D45" i="338"/>
  <c r="D38" i="504"/>
  <c r="D85" i="338"/>
  <c r="D78" i="504"/>
  <c r="D66" i="338"/>
  <c r="D59" i="504"/>
  <c r="D75" i="338"/>
  <c r="D68" i="504"/>
  <c r="D81" i="338"/>
  <c r="D74" i="504"/>
  <c r="D90" i="338"/>
  <c r="D83" i="504"/>
  <c r="D83" i="338"/>
  <c r="D76" i="504"/>
  <c r="L47" i="340"/>
  <c r="M47" i="340" s="1"/>
  <c r="L43" i="343" s="1"/>
  <c r="L48" i="340"/>
  <c r="M48" i="340" s="1"/>
  <c r="L44" i="343" s="1"/>
  <c r="L49" i="340"/>
  <c r="M49" i="340" s="1"/>
  <c r="L45" i="343" s="1"/>
  <c r="L50" i="340"/>
  <c r="M50" i="340" s="1"/>
  <c r="L46" i="343" s="1"/>
  <c r="L79" i="340"/>
  <c r="M79" i="340" s="1"/>
  <c r="L75" i="343" s="1"/>
  <c r="L80" i="340"/>
  <c r="M80" i="340" s="1"/>
  <c r="L76" i="343" s="1"/>
  <c r="L51" i="340"/>
  <c r="M51" i="340" s="1"/>
  <c r="L47" i="343" s="1"/>
  <c r="L52" i="340"/>
  <c r="M52" i="340" s="1"/>
  <c r="L48" i="343" s="1"/>
  <c r="L53" i="340"/>
  <c r="M53" i="340" s="1"/>
  <c r="L49" i="343" s="1"/>
  <c r="L54" i="340"/>
  <c r="M54" i="340" s="1"/>
  <c r="L50" i="343" s="1"/>
  <c r="L55" i="340"/>
  <c r="M55" i="340" s="1"/>
  <c r="L51" i="343" s="1"/>
  <c r="L81" i="340"/>
  <c r="M81" i="340" s="1"/>
  <c r="L77" i="343" s="1"/>
  <c r="L82" i="340"/>
  <c r="M82" i="340" s="1"/>
  <c r="L78" i="343" s="1"/>
  <c r="L77" i="340"/>
  <c r="M77" i="340" s="1"/>
  <c r="L73" i="343" s="1"/>
  <c r="L78" i="340"/>
  <c r="M78" i="340" s="1"/>
  <c r="L74" i="343" s="1"/>
  <c r="L83" i="340"/>
  <c r="M83" i="340" s="1"/>
  <c r="L79" i="343" s="1"/>
  <c r="L84" i="340"/>
  <c r="M84" i="340" s="1"/>
  <c r="L80" i="343" s="1"/>
  <c r="L85" i="340"/>
  <c r="M85" i="340" s="1"/>
  <c r="L81" i="343" s="1"/>
  <c r="L45" i="340"/>
  <c r="M45" i="340" s="1"/>
  <c r="L41" i="343" s="1"/>
  <c r="L46" i="340"/>
  <c r="M46" i="340" s="1"/>
  <c r="L42" i="343" s="1"/>
  <c r="L70" i="340"/>
  <c r="M70" i="340" s="1"/>
  <c r="L66" i="343" s="1"/>
  <c r="L71" i="340"/>
  <c r="M71" i="340" s="1"/>
  <c r="L67" i="343" s="1"/>
  <c r="L72" i="340"/>
  <c r="M72" i="340" s="1"/>
  <c r="L68" i="343" s="1"/>
  <c r="L73" i="340"/>
  <c r="M73" i="340" s="1"/>
  <c r="L69" i="343" s="1"/>
  <c r="L44" i="340"/>
  <c r="M44" i="340" s="1"/>
  <c r="L40" i="343" s="1"/>
  <c r="L66" i="340"/>
  <c r="M66" i="340" s="1"/>
  <c r="L62" i="343" s="1"/>
  <c r="L59" i="340"/>
  <c r="M59" i="340" s="1"/>
  <c r="L55" i="343" s="1"/>
  <c r="L60" i="340"/>
  <c r="M60" i="340" s="1"/>
  <c r="L56" i="343" s="1"/>
  <c r="L61" i="340"/>
  <c r="M61" i="340" s="1"/>
  <c r="L57" i="343" s="1"/>
  <c r="L62" i="340"/>
  <c r="M62" i="340" s="1"/>
  <c r="L58" i="343" s="1"/>
  <c r="L63" i="340"/>
  <c r="M63" i="340" s="1"/>
  <c r="L59" i="343" s="1"/>
  <c r="L65" i="340"/>
  <c r="M65" i="340" s="1"/>
  <c r="L61" i="343" s="1"/>
  <c r="L64" i="340"/>
  <c r="M64" i="340" s="1"/>
  <c r="L60" i="343" s="1"/>
  <c r="L91" i="340"/>
  <c r="M91" i="340" s="1"/>
  <c r="L87" i="343" s="1"/>
  <c r="L58" i="340"/>
  <c r="M58" i="340" s="1"/>
  <c r="L54" i="343" s="1"/>
  <c r="L67" i="340"/>
  <c r="M67" i="340" s="1"/>
  <c r="L63" i="343" s="1"/>
  <c r="L75" i="340"/>
  <c r="M75" i="340" s="1"/>
  <c r="L71" i="343" s="1"/>
  <c r="L90" i="340"/>
  <c r="M90" i="340" s="1"/>
  <c r="L86" i="343" s="1"/>
  <c r="L74" i="340"/>
  <c r="M74" i="340" s="1"/>
  <c r="L70" i="343" s="1"/>
  <c r="L88" i="340"/>
  <c r="M88" i="340" s="1"/>
  <c r="L84" i="343" s="1"/>
  <c r="L87" i="340"/>
  <c r="M87" i="340" s="1"/>
  <c r="L83" i="343" s="1"/>
  <c r="L99" i="340"/>
  <c r="M99" i="340" s="1"/>
  <c r="L95" i="343" s="1"/>
  <c r="L100" i="340"/>
  <c r="M100" i="340" s="1"/>
  <c r="L96" i="343" s="1"/>
  <c r="L56" i="340"/>
  <c r="M56" i="340" s="1"/>
  <c r="L52" i="343" s="1"/>
  <c r="L86" i="340"/>
  <c r="M86" i="340" s="1"/>
  <c r="L82" i="343" s="1"/>
  <c r="L97" i="340"/>
  <c r="M97" i="340" s="1"/>
  <c r="L93" i="343" s="1"/>
  <c r="L69" i="340"/>
  <c r="M69" i="340" s="1"/>
  <c r="L65" i="343" s="1"/>
  <c r="L95" i="340"/>
  <c r="M95" i="340" s="1"/>
  <c r="L91" i="343" s="1"/>
  <c r="L96" i="340"/>
  <c r="M96" i="340" s="1"/>
  <c r="L92" i="343" s="1"/>
  <c r="L68" i="340"/>
  <c r="M68" i="340" s="1"/>
  <c r="L64" i="343" s="1"/>
  <c r="L94" i="340"/>
  <c r="M94" i="340" s="1"/>
  <c r="L90" i="343" s="1"/>
  <c r="L76" i="340"/>
  <c r="M76" i="340" s="1"/>
  <c r="L72" i="343" s="1"/>
  <c r="L93" i="340"/>
  <c r="M93" i="340" s="1"/>
  <c r="L89" i="343" s="1"/>
  <c r="D65" i="340"/>
  <c r="E65" i="340" s="1"/>
  <c r="J61" i="343" s="1"/>
  <c r="D66" i="340"/>
  <c r="E66" i="340" s="1"/>
  <c r="J62" i="343" s="1"/>
  <c r="D70" i="340"/>
  <c r="E70" i="340" s="1"/>
  <c r="J66" i="343" s="1"/>
  <c r="D71" i="340"/>
  <c r="E71" i="340" s="1"/>
  <c r="J67" i="343" s="1"/>
  <c r="D60" i="340"/>
  <c r="E60" i="340" s="1"/>
  <c r="J56" i="343" s="1"/>
  <c r="D63" i="340"/>
  <c r="E63" i="340" s="1"/>
  <c r="J59" i="343" s="1"/>
  <c r="D64" i="340"/>
  <c r="E64" i="340" s="1"/>
  <c r="J60" i="343" s="1"/>
  <c r="D97" i="340"/>
  <c r="E97" i="340" s="1"/>
  <c r="J93" i="343" s="1"/>
  <c r="D99" i="340"/>
  <c r="E99" i="340" s="1"/>
  <c r="J95" i="343" s="1"/>
  <c r="D59" i="340"/>
  <c r="E59" i="340" s="1"/>
  <c r="J55" i="343" s="1"/>
  <c r="D61" i="340"/>
  <c r="E61" i="340" s="1"/>
  <c r="J57" i="343" s="1"/>
  <c r="D62" i="340"/>
  <c r="E62" i="340" s="1"/>
  <c r="J58" i="343" s="1"/>
  <c r="D51" i="340"/>
  <c r="E51" i="340" s="1"/>
  <c r="J47" i="343" s="1"/>
  <c r="D50" i="340"/>
  <c r="E50" i="340" s="1"/>
  <c r="J46" i="343" s="1"/>
  <c r="D54" i="340"/>
  <c r="E54" i="340" s="1"/>
  <c r="J50" i="343" s="1"/>
  <c r="D55" i="340"/>
  <c r="E55" i="340" s="1"/>
  <c r="J51" i="343" s="1"/>
  <c r="D58" i="340"/>
  <c r="E58" i="340" s="1"/>
  <c r="J54" i="343" s="1"/>
  <c r="D52" i="340"/>
  <c r="E52" i="340" s="1"/>
  <c r="J48" i="343" s="1"/>
  <c r="D53" i="340"/>
  <c r="E53" i="340" s="1"/>
  <c r="J49" i="343" s="1"/>
  <c r="D56" i="340"/>
  <c r="E56" i="340" s="1"/>
  <c r="J52" i="343" s="1"/>
  <c r="D46" i="340"/>
  <c r="E46" i="340" s="1"/>
  <c r="J42" i="343" s="1"/>
  <c r="D47" i="340"/>
  <c r="E47" i="340" s="1"/>
  <c r="J43" i="343" s="1"/>
  <c r="D49" i="340"/>
  <c r="E49" i="340" s="1"/>
  <c r="J45" i="343" s="1"/>
  <c r="D78" i="340"/>
  <c r="E78" i="340" s="1"/>
  <c r="J74" i="343" s="1"/>
  <c r="D85" i="340"/>
  <c r="E85" i="340" s="1"/>
  <c r="J81" i="343" s="1"/>
  <c r="D87" i="340"/>
  <c r="E87" i="340" s="1"/>
  <c r="J83" i="343" s="1"/>
  <c r="D96" i="340"/>
  <c r="E96" i="340" s="1"/>
  <c r="J92" i="343" s="1"/>
  <c r="D73" i="340"/>
  <c r="E73" i="340" s="1"/>
  <c r="J69" i="343" s="1"/>
  <c r="D95" i="340"/>
  <c r="E95" i="340" s="1"/>
  <c r="J91" i="343" s="1"/>
  <c r="D48" i="340"/>
  <c r="E48" i="340" s="1"/>
  <c r="J44" i="343" s="1"/>
  <c r="D69" i="340"/>
  <c r="E69" i="340" s="1"/>
  <c r="J65" i="343" s="1"/>
  <c r="D77" i="340"/>
  <c r="E77" i="340" s="1"/>
  <c r="J73" i="343" s="1"/>
  <c r="D83" i="340"/>
  <c r="E83" i="340" s="1"/>
  <c r="J79" i="343" s="1"/>
  <c r="D84" i="340"/>
  <c r="E84" i="340" s="1"/>
  <c r="J80" i="343" s="1"/>
  <c r="D45" i="340"/>
  <c r="E45" i="340" s="1"/>
  <c r="J41" i="343" s="1"/>
  <c r="D72" i="340"/>
  <c r="E72" i="340" s="1"/>
  <c r="J68" i="343" s="1"/>
  <c r="D82" i="340"/>
  <c r="E82" i="340" s="1"/>
  <c r="J78" i="343" s="1"/>
  <c r="D94" i="340"/>
  <c r="E94" i="340" s="1"/>
  <c r="J90" i="343" s="1"/>
  <c r="D68" i="340"/>
  <c r="E68" i="340" s="1"/>
  <c r="J64" i="343" s="1"/>
  <c r="D76" i="340"/>
  <c r="E76" i="340" s="1"/>
  <c r="J72" i="343" s="1"/>
  <c r="D91" i="340"/>
  <c r="E91" i="340" s="1"/>
  <c r="J87" i="343" s="1"/>
  <c r="D93" i="340"/>
  <c r="E93" i="340" s="1"/>
  <c r="J89" i="343" s="1"/>
  <c r="D75" i="340"/>
  <c r="E75" i="340" s="1"/>
  <c r="J71" i="343" s="1"/>
  <c r="D81" i="340"/>
  <c r="E81" i="340" s="1"/>
  <c r="J77" i="343" s="1"/>
  <c r="D90" i="340"/>
  <c r="E90" i="340" s="1"/>
  <c r="J86" i="343" s="1"/>
  <c r="D67" i="340"/>
  <c r="E67" i="340" s="1"/>
  <c r="J63" i="343" s="1"/>
  <c r="D44" i="340"/>
  <c r="E44" i="340" s="1"/>
  <c r="J40" i="343" s="1"/>
  <c r="D80" i="340"/>
  <c r="E80" i="340" s="1"/>
  <c r="J76" i="343" s="1"/>
  <c r="D86" i="340"/>
  <c r="E86" i="340" s="1"/>
  <c r="J82" i="343" s="1"/>
  <c r="D88" i="340"/>
  <c r="E88" i="340" s="1"/>
  <c r="J84" i="343" s="1"/>
  <c r="D74" i="340"/>
  <c r="E74" i="340" s="1"/>
  <c r="J70" i="343" s="1"/>
  <c r="D79" i="340"/>
  <c r="E79" i="340" s="1"/>
  <c r="J75" i="343" s="1"/>
  <c r="D100" i="340"/>
  <c r="E100" i="340" s="1"/>
  <c r="J96" i="343" s="1"/>
  <c r="H56" i="340"/>
  <c r="I56" i="340" s="1"/>
  <c r="K52" i="343" s="1"/>
  <c r="H58" i="340"/>
  <c r="I58" i="340" s="1"/>
  <c r="K54" i="343" s="1"/>
  <c r="H59" i="340"/>
  <c r="I59" i="340" s="1"/>
  <c r="K55" i="343" s="1"/>
  <c r="H60" i="340"/>
  <c r="I60" i="340" s="1"/>
  <c r="K56" i="343" s="1"/>
  <c r="H45" i="340"/>
  <c r="I45" i="340" s="1"/>
  <c r="K41" i="343" s="1"/>
  <c r="H46" i="340"/>
  <c r="I46" i="340" s="1"/>
  <c r="K42" i="343" s="1"/>
  <c r="H47" i="340"/>
  <c r="I47" i="340" s="1"/>
  <c r="K43" i="343" s="1"/>
  <c r="H48" i="340"/>
  <c r="I48" i="340" s="1"/>
  <c r="K44" i="343" s="1"/>
  <c r="H68" i="340"/>
  <c r="I68" i="340" s="1"/>
  <c r="K64" i="343" s="1"/>
  <c r="H70" i="340"/>
  <c r="I70" i="340" s="1"/>
  <c r="K66" i="343" s="1"/>
  <c r="H72" i="340"/>
  <c r="I72" i="340" s="1"/>
  <c r="K68" i="343" s="1"/>
  <c r="H73" i="340"/>
  <c r="I73" i="340" s="1"/>
  <c r="K69" i="343" s="1"/>
  <c r="H74" i="340"/>
  <c r="I74" i="340" s="1"/>
  <c r="K70" i="343" s="1"/>
  <c r="H75" i="340"/>
  <c r="I75" i="340" s="1"/>
  <c r="K71" i="343" s="1"/>
  <c r="H76" i="340"/>
  <c r="I76" i="340" s="1"/>
  <c r="K72" i="343" s="1"/>
  <c r="H87" i="340"/>
  <c r="I87" i="340" s="1"/>
  <c r="K83" i="343" s="1"/>
  <c r="H88" i="340"/>
  <c r="I88" i="340" s="1"/>
  <c r="K84" i="343" s="1"/>
  <c r="H90" i="340"/>
  <c r="I90" i="340" s="1"/>
  <c r="K86" i="343" s="1"/>
  <c r="H91" i="340"/>
  <c r="I91" i="340" s="1"/>
  <c r="K87" i="343" s="1"/>
  <c r="H44" i="340"/>
  <c r="I44" i="340" s="1"/>
  <c r="K40" i="343" s="1"/>
  <c r="H67" i="340"/>
  <c r="I67" i="340" s="1"/>
  <c r="K63" i="343" s="1"/>
  <c r="H69" i="340"/>
  <c r="I69" i="340" s="1"/>
  <c r="K65" i="343" s="1"/>
  <c r="H93" i="340"/>
  <c r="I93" i="340" s="1"/>
  <c r="K89" i="343" s="1"/>
  <c r="H94" i="340"/>
  <c r="I94" i="340" s="1"/>
  <c r="K90" i="343" s="1"/>
  <c r="H95" i="340"/>
  <c r="I95" i="340" s="1"/>
  <c r="K91" i="343" s="1"/>
  <c r="H96" i="340"/>
  <c r="I96" i="340" s="1"/>
  <c r="K92" i="343" s="1"/>
  <c r="H66" i="340"/>
  <c r="I66" i="340" s="1"/>
  <c r="K62" i="343" s="1"/>
  <c r="H51" i="340"/>
  <c r="I51" i="340" s="1"/>
  <c r="K47" i="343" s="1"/>
  <c r="H49" i="340"/>
  <c r="I49" i="340" s="1"/>
  <c r="K45" i="343" s="1"/>
  <c r="H54" i="340"/>
  <c r="I54" i="340" s="1"/>
  <c r="K50" i="343" s="1"/>
  <c r="H63" i="340"/>
  <c r="I63" i="340" s="1"/>
  <c r="K59" i="343" s="1"/>
  <c r="H80" i="340"/>
  <c r="I80" i="340" s="1"/>
  <c r="K76" i="343" s="1"/>
  <c r="H99" i="340"/>
  <c r="I99" i="340" s="1"/>
  <c r="K95" i="343" s="1"/>
  <c r="H100" i="340"/>
  <c r="I100" i="340" s="1"/>
  <c r="K96" i="343" s="1"/>
  <c r="H79" i="340"/>
  <c r="I79" i="340" s="1"/>
  <c r="K75" i="343" s="1"/>
  <c r="H86" i="340"/>
  <c r="I86" i="340" s="1"/>
  <c r="K82" i="343" s="1"/>
  <c r="H97" i="340"/>
  <c r="I97" i="340" s="1"/>
  <c r="K93" i="343" s="1"/>
  <c r="H78" i="340"/>
  <c r="I78" i="340" s="1"/>
  <c r="K74" i="343" s="1"/>
  <c r="H85" i="340"/>
  <c r="I85" i="340" s="1"/>
  <c r="K81" i="343" s="1"/>
  <c r="H53" i="340"/>
  <c r="I53" i="340" s="1"/>
  <c r="K49" i="343" s="1"/>
  <c r="H62" i="340"/>
  <c r="I62" i="340" s="1"/>
  <c r="K58" i="343" s="1"/>
  <c r="H77" i="340"/>
  <c r="I77" i="340" s="1"/>
  <c r="K73" i="343" s="1"/>
  <c r="H84" i="340"/>
  <c r="I84" i="340" s="1"/>
  <c r="K80" i="343" s="1"/>
  <c r="H50" i="340"/>
  <c r="I50" i="340" s="1"/>
  <c r="K46" i="343" s="1"/>
  <c r="H65" i="340"/>
  <c r="I65" i="340" s="1"/>
  <c r="K61" i="343" s="1"/>
  <c r="H83" i="340"/>
  <c r="I83" i="340" s="1"/>
  <c r="K79" i="343" s="1"/>
  <c r="H55" i="340"/>
  <c r="I55" i="340" s="1"/>
  <c r="K51" i="343" s="1"/>
  <c r="H71" i="340"/>
  <c r="I71" i="340" s="1"/>
  <c r="K67" i="343" s="1"/>
  <c r="H81" i="340"/>
  <c r="I81" i="340" s="1"/>
  <c r="K77" i="343" s="1"/>
  <c r="H64" i="340"/>
  <c r="I64" i="340" s="1"/>
  <c r="K60" i="343" s="1"/>
  <c r="H52" i="340"/>
  <c r="I52" i="340" s="1"/>
  <c r="K48" i="343" s="1"/>
  <c r="H61" i="340"/>
  <c r="I61" i="340" s="1"/>
  <c r="K57" i="343" s="1"/>
  <c r="H82" i="340"/>
  <c r="I82" i="340" s="1"/>
  <c r="K78" i="343" s="1"/>
  <c r="G60" i="588"/>
  <c r="G85" i="588"/>
  <c r="G101" i="588"/>
  <c r="G56" i="588"/>
  <c r="G33" i="588"/>
  <c r="D29" i="340"/>
  <c r="E29" i="340" s="1"/>
  <c r="J25" i="343" s="1"/>
  <c r="D33" i="340"/>
  <c r="E33" i="340" s="1"/>
  <c r="J29" i="343" s="1"/>
  <c r="D103" i="340"/>
  <c r="D32" i="340"/>
  <c r="E32" i="340" s="1"/>
  <c r="J28" i="343" s="1"/>
  <c r="D22" i="340"/>
  <c r="E22" i="340" s="1"/>
  <c r="J18" i="343" s="1"/>
  <c r="D27" i="340"/>
  <c r="E27" i="340" s="1"/>
  <c r="J23" i="343" s="1"/>
  <c r="D26" i="340"/>
  <c r="E26" i="340" s="1"/>
  <c r="J22" i="343" s="1"/>
  <c r="D108" i="340"/>
  <c r="E108" i="340" s="1"/>
  <c r="D34" i="340"/>
  <c r="E34" i="340" s="1"/>
  <c r="J30" i="343" s="1"/>
  <c r="D23" i="340"/>
  <c r="E23" i="340" s="1"/>
  <c r="J19" i="343" s="1"/>
  <c r="D28" i="340"/>
  <c r="E28" i="340" s="1"/>
  <c r="J24" i="343" s="1"/>
  <c r="D30" i="340"/>
  <c r="E30" i="340" s="1"/>
  <c r="J26" i="343" s="1"/>
  <c r="D21" i="340"/>
  <c r="E21" i="340" s="1"/>
  <c r="J17" i="343" s="1"/>
  <c r="D42" i="340"/>
  <c r="E42" i="340" s="1"/>
  <c r="J38" i="343" s="1"/>
  <c r="D25" i="340"/>
  <c r="E25" i="340" s="1"/>
  <c r="J21" i="343" s="1"/>
  <c r="D20" i="340"/>
  <c r="E20" i="340" s="1"/>
  <c r="J16" i="343" s="1"/>
  <c r="D19" i="340"/>
  <c r="E19" i="340" s="1"/>
  <c r="J15" i="343" s="1"/>
  <c r="D18" i="340"/>
  <c r="E18" i="340" s="1"/>
  <c r="J14" i="343" s="1"/>
  <c r="D43" i="340"/>
  <c r="E43" i="340" s="1"/>
  <c r="J39" i="343" s="1"/>
  <c r="D24" i="340"/>
  <c r="E24" i="340" s="1"/>
  <c r="J20" i="343" s="1"/>
  <c r="D107" i="340"/>
  <c r="E107" i="340" s="1"/>
  <c r="D31" i="340"/>
  <c r="E31" i="340" s="1"/>
  <c r="J27" i="343" s="1"/>
  <c r="G97" i="588"/>
  <c r="L108" i="340"/>
  <c r="L109" i="340" s="1"/>
  <c r="L36" i="340" s="1"/>
  <c r="L43" i="340"/>
  <c r="M43" i="340" s="1"/>
  <c r="L39" i="343" s="1"/>
  <c r="L34" i="340"/>
  <c r="M34" i="340" s="1"/>
  <c r="L30" i="343" s="1"/>
  <c r="L21" i="340"/>
  <c r="M21" i="340" s="1"/>
  <c r="L17" i="343" s="1"/>
  <c r="L20" i="340"/>
  <c r="M20" i="340" s="1"/>
  <c r="L16" i="343" s="1"/>
  <c r="L24" i="340"/>
  <c r="M24" i="340" s="1"/>
  <c r="L20" i="343" s="1"/>
  <c r="L22" i="340"/>
  <c r="M22" i="340" s="1"/>
  <c r="L18" i="343" s="1"/>
  <c r="L28" i="340"/>
  <c r="M28" i="340" s="1"/>
  <c r="L24" i="343" s="1"/>
  <c r="L32" i="340"/>
  <c r="M32" i="340" s="1"/>
  <c r="L28" i="343" s="1"/>
  <c r="L31" i="340"/>
  <c r="M31" i="340" s="1"/>
  <c r="L27" i="343" s="1"/>
  <c r="L19" i="340"/>
  <c r="M19" i="340" s="1"/>
  <c r="L15" i="343" s="1"/>
  <c r="L26" i="340"/>
  <c r="M26" i="340" s="1"/>
  <c r="L22" i="343" s="1"/>
  <c r="L18" i="340"/>
  <c r="M18" i="340" s="1"/>
  <c r="L14" i="343" s="1"/>
  <c r="L107" i="340"/>
  <c r="M107" i="340" s="1"/>
  <c r="L23" i="340"/>
  <c r="M23" i="340" s="1"/>
  <c r="L19" i="343" s="1"/>
  <c r="L42" i="340"/>
  <c r="M42" i="340" s="1"/>
  <c r="L38" i="343" s="1"/>
  <c r="L33" i="340"/>
  <c r="M33" i="340" s="1"/>
  <c r="L29" i="343" s="1"/>
  <c r="L27" i="340"/>
  <c r="M27" i="340" s="1"/>
  <c r="L23" i="343" s="1"/>
  <c r="L25" i="340"/>
  <c r="M25" i="340" s="1"/>
  <c r="L21" i="343" s="1"/>
  <c r="L30" i="340"/>
  <c r="M30" i="340" s="1"/>
  <c r="L26" i="343" s="1"/>
  <c r="L103" i="340"/>
  <c r="L29" i="340"/>
  <c r="M29" i="340" s="1"/>
  <c r="L25" i="343" s="1"/>
  <c r="G51" i="588"/>
  <c r="G105" i="588"/>
  <c r="G89" i="588"/>
  <c r="E16" i="338"/>
  <c r="G18" i="588"/>
  <c r="E15" i="338"/>
  <c r="G16" i="588"/>
  <c r="G72" i="588"/>
  <c r="G78" i="588"/>
  <c r="H43" i="340"/>
  <c r="I43" i="340" s="1"/>
  <c r="K39" i="343" s="1"/>
  <c r="H42" i="340"/>
  <c r="I42" i="340" s="1"/>
  <c r="K38" i="343" s="1"/>
  <c r="H108" i="340"/>
  <c r="I108" i="340" s="1"/>
  <c r="H25" i="340"/>
  <c r="I25" i="340" s="1"/>
  <c r="K21" i="343" s="1"/>
  <c r="H107" i="340"/>
  <c r="I107" i="340" s="1"/>
  <c r="H26" i="340"/>
  <c r="I26" i="340" s="1"/>
  <c r="K22" i="343" s="1"/>
  <c r="H20" i="340"/>
  <c r="I20" i="340" s="1"/>
  <c r="K16" i="343" s="1"/>
  <c r="H32" i="340"/>
  <c r="I32" i="340" s="1"/>
  <c r="K28" i="343" s="1"/>
  <c r="H24" i="340"/>
  <c r="I24" i="340" s="1"/>
  <c r="K20" i="343" s="1"/>
  <c r="H21" i="340"/>
  <c r="I21" i="340" s="1"/>
  <c r="K17" i="343" s="1"/>
  <c r="H27" i="340"/>
  <c r="I27" i="340" s="1"/>
  <c r="K23" i="343" s="1"/>
  <c r="H31" i="340"/>
  <c r="I31" i="340" s="1"/>
  <c r="K27" i="343" s="1"/>
  <c r="H18" i="340"/>
  <c r="I18" i="340" s="1"/>
  <c r="K14" i="343" s="1"/>
  <c r="H28" i="340"/>
  <c r="I28" i="340" s="1"/>
  <c r="K24" i="343" s="1"/>
  <c r="H30" i="340"/>
  <c r="I30" i="340" s="1"/>
  <c r="K26" i="343" s="1"/>
  <c r="H34" i="340"/>
  <c r="I34" i="340" s="1"/>
  <c r="K30" i="343" s="1"/>
  <c r="H33" i="340"/>
  <c r="I33" i="340" s="1"/>
  <c r="K29" i="343" s="1"/>
  <c r="H23" i="340"/>
  <c r="I23" i="340" s="1"/>
  <c r="K19" i="343" s="1"/>
  <c r="H103" i="340"/>
  <c r="H22" i="340"/>
  <c r="I22" i="340" s="1"/>
  <c r="K18" i="343" s="1"/>
  <c r="H19" i="340"/>
  <c r="I19" i="340" s="1"/>
  <c r="K15" i="343" s="1"/>
  <c r="H29" i="340"/>
  <c r="I29" i="340" s="1"/>
  <c r="K25" i="343" s="1"/>
  <c r="G38" i="588"/>
  <c r="G115" i="588"/>
  <c r="G68" i="588"/>
  <c r="F58" i="588" l="1"/>
  <c r="F36" i="588"/>
  <c r="I112" i="340"/>
  <c r="K108" i="343" s="1"/>
  <c r="M112" i="340"/>
  <c r="L108" i="343" s="1"/>
  <c r="I117" i="340"/>
  <c r="K113" i="343" s="1"/>
  <c r="E117" i="340"/>
  <c r="J113" i="343" s="1"/>
  <c r="F103" i="588"/>
  <c r="G103" i="588" s="1"/>
  <c r="F70" i="588"/>
  <c r="E23" i="338" s="1"/>
  <c r="H97" i="504"/>
  <c r="J97" i="504" s="1"/>
  <c r="F97" i="504"/>
  <c r="H98" i="504"/>
  <c r="J98" i="504" s="1"/>
  <c r="F105" i="338" s="1"/>
  <c r="G105" i="338" s="1"/>
  <c r="C104" i="343" s="1"/>
  <c r="F98" i="504"/>
  <c r="I103" i="340"/>
  <c r="K99" i="343" s="1"/>
  <c r="K100" i="343" s="1"/>
  <c r="K31" i="343" s="1"/>
  <c r="H104" i="340"/>
  <c r="H35" i="340" s="1"/>
  <c r="K104" i="343"/>
  <c r="H109" i="340"/>
  <c r="H36" i="340" s="1"/>
  <c r="K109" i="343"/>
  <c r="H114" i="340"/>
  <c r="H37" i="340" s="1"/>
  <c r="J104" i="343"/>
  <c r="D109" i="340"/>
  <c r="D36" i="340" s="1"/>
  <c r="M113" i="340"/>
  <c r="L114" i="340"/>
  <c r="L37" i="340" s="1"/>
  <c r="D114" i="340"/>
  <c r="D37" i="340" s="1"/>
  <c r="F76" i="588"/>
  <c r="G76" i="588" s="1"/>
  <c r="M118" i="340"/>
  <c r="L114" i="343" s="1"/>
  <c r="L115" i="343" s="1"/>
  <c r="L119" i="340"/>
  <c r="L38" i="340" s="1"/>
  <c r="L39" i="340" s="1"/>
  <c r="E135" i="588"/>
  <c r="G135" i="588" s="1"/>
  <c r="E103" i="340"/>
  <c r="J99" i="343" s="1"/>
  <c r="J100" i="343" s="1"/>
  <c r="J31" i="343" s="1"/>
  <c r="D104" i="340"/>
  <c r="D35" i="340" s="1"/>
  <c r="H119" i="340"/>
  <c r="H38" i="340" s="1"/>
  <c r="H39" i="340" s="1"/>
  <c r="M103" i="340"/>
  <c r="L99" i="343" s="1"/>
  <c r="L100" i="343" s="1"/>
  <c r="L31" i="343" s="1"/>
  <c r="L104" i="340"/>
  <c r="L35" i="340" s="1"/>
  <c r="D119" i="340"/>
  <c r="D38" i="340" s="1"/>
  <c r="D39" i="340" s="1"/>
  <c r="L103" i="343"/>
  <c r="M108" i="340"/>
  <c r="M109" i="340" s="1"/>
  <c r="M36" i="340" s="1"/>
  <c r="F10" i="504"/>
  <c r="H10" i="504"/>
  <c r="J10" i="504" s="1"/>
  <c r="F21" i="504"/>
  <c r="H21" i="504"/>
  <c r="J21" i="504" s="1"/>
  <c r="F29" i="338" s="1"/>
  <c r="F11" i="504"/>
  <c r="H11" i="504"/>
  <c r="F20" i="504"/>
  <c r="H20" i="504"/>
  <c r="J20" i="504" s="1"/>
  <c r="F28" i="338" s="1"/>
  <c r="F14" i="504"/>
  <c r="H14" i="504"/>
  <c r="J14" i="504" s="1"/>
  <c r="F22" i="338" s="1"/>
  <c r="F9" i="504"/>
  <c r="H9" i="504"/>
  <c r="J9" i="504" s="1"/>
  <c r="F17" i="338" s="1"/>
  <c r="F16" i="504"/>
  <c r="H16" i="504"/>
  <c r="J16" i="504" s="1"/>
  <c r="F24" i="338" s="1"/>
  <c r="F22" i="504"/>
  <c r="H22" i="504"/>
  <c r="J22" i="504" s="1"/>
  <c r="F30" i="338" s="1"/>
  <c r="F17" i="504"/>
  <c r="H17" i="504"/>
  <c r="J17" i="504" s="1"/>
  <c r="F25" i="338" s="1"/>
  <c r="F19" i="504"/>
  <c r="H19" i="504"/>
  <c r="J19" i="504" s="1"/>
  <c r="F27" i="338" s="1"/>
  <c r="F12" i="504"/>
  <c r="H12" i="504"/>
  <c r="J12" i="504" s="1"/>
  <c r="F20" i="338" s="1"/>
  <c r="F13" i="504"/>
  <c r="H13" i="504"/>
  <c r="J13" i="504" s="1"/>
  <c r="F21" i="338" s="1"/>
  <c r="F15" i="504"/>
  <c r="H15" i="504"/>
  <c r="J15" i="504" s="1"/>
  <c r="F23" i="338" s="1"/>
  <c r="F18" i="504"/>
  <c r="H18" i="504"/>
  <c r="J18" i="504" s="1"/>
  <c r="F26" i="338" s="1"/>
  <c r="F95" i="588"/>
  <c r="E27" i="338" s="1"/>
  <c r="F54" i="588"/>
  <c r="E20" i="338" s="1"/>
  <c r="F66" i="588"/>
  <c r="E22" i="338" s="1"/>
  <c r="F83" i="588"/>
  <c r="E25" i="338" s="1"/>
  <c r="H68" i="504"/>
  <c r="J68" i="504" s="1"/>
  <c r="F75" i="338" s="1"/>
  <c r="G75" i="338" s="1"/>
  <c r="C74" i="343" s="1"/>
  <c r="F68" i="504"/>
  <c r="F64" i="504"/>
  <c r="H64" i="504"/>
  <c r="J64" i="504" s="1"/>
  <c r="F71" i="338" s="1"/>
  <c r="F7" i="504"/>
  <c r="H7" i="504"/>
  <c r="F41" i="504"/>
  <c r="H41" i="504"/>
  <c r="J41" i="504" s="1"/>
  <c r="F48" i="338" s="1"/>
  <c r="G48" i="338" s="1"/>
  <c r="C47" i="343" s="1"/>
  <c r="F73" i="504"/>
  <c r="H73" i="504"/>
  <c r="J73" i="504" s="1"/>
  <c r="F80" i="338" s="1"/>
  <c r="G80" i="338" s="1"/>
  <c r="F43" i="504"/>
  <c r="H43" i="504"/>
  <c r="J43" i="504" s="1"/>
  <c r="F50" i="338" s="1"/>
  <c r="G50" i="338" s="1"/>
  <c r="C49" i="343" s="1"/>
  <c r="F48" i="504"/>
  <c r="H48" i="504"/>
  <c r="J48" i="504" s="1"/>
  <c r="F55" i="338" s="1"/>
  <c r="G55" i="338" s="1"/>
  <c r="C54" i="343" s="1"/>
  <c r="H35" i="504"/>
  <c r="J35" i="504" s="1"/>
  <c r="F42" i="338" s="1"/>
  <c r="G42" i="338" s="1"/>
  <c r="F35" i="504"/>
  <c r="F50" i="504"/>
  <c r="H50" i="504"/>
  <c r="J50" i="504" s="1"/>
  <c r="F57" i="338" s="1"/>
  <c r="G57" i="338" s="1"/>
  <c r="H58" i="504"/>
  <c r="J58" i="504" s="1"/>
  <c r="F65" i="338" s="1"/>
  <c r="G65" i="338" s="1"/>
  <c r="C64" i="343" s="1"/>
  <c r="F58" i="504"/>
  <c r="F62" i="504"/>
  <c r="H62" i="504"/>
  <c r="J62" i="504" s="1"/>
  <c r="F69" i="338" s="1"/>
  <c r="G69" i="338" s="1"/>
  <c r="C68" i="343" s="1"/>
  <c r="F51" i="504"/>
  <c r="H51" i="504"/>
  <c r="J51" i="504" s="1"/>
  <c r="F58" i="338" s="1"/>
  <c r="F34" i="504"/>
  <c r="H34" i="504"/>
  <c r="J34" i="504" s="1"/>
  <c r="F41" i="338" s="1"/>
  <c r="G41" i="338" s="1"/>
  <c r="C40" i="343" s="1"/>
  <c r="F78" i="504"/>
  <c r="H78" i="504"/>
  <c r="J78" i="504" s="1"/>
  <c r="F85" i="338" s="1"/>
  <c r="G85" i="338" s="1"/>
  <c r="C84" i="343" s="1"/>
  <c r="H77" i="504"/>
  <c r="J77" i="504" s="1"/>
  <c r="F84" i="338" s="1"/>
  <c r="G84" i="338" s="1"/>
  <c r="C83" i="343" s="1"/>
  <c r="F77" i="504"/>
  <c r="G52" i="588"/>
  <c r="F71" i="504"/>
  <c r="H71" i="504"/>
  <c r="J71" i="504" s="1"/>
  <c r="F78" i="338" s="1"/>
  <c r="G78" i="338" s="1"/>
  <c r="C77" i="343" s="1"/>
  <c r="H60" i="504"/>
  <c r="J60" i="504" s="1"/>
  <c r="F67" i="338" s="1"/>
  <c r="G67" i="338" s="1"/>
  <c r="C66" i="343" s="1"/>
  <c r="F60" i="504"/>
  <c r="F69" i="504"/>
  <c r="H69" i="504"/>
  <c r="J69" i="504" s="1"/>
  <c r="F76" i="338" s="1"/>
  <c r="G76" i="338" s="1"/>
  <c r="C75" i="343" s="1"/>
  <c r="H49" i="504"/>
  <c r="J49" i="504" s="1"/>
  <c r="F56" i="338" s="1"/>
  <c r="G56" i="338" s="1"/>
  <c r="C55" i="343" s="1"/>
  <c r="F49" i="504"/>
  <c r="F53" i="504"/>
  <c r="H53" i="504"/>
  <c r="J53" i="504" s="1"/>
  <c r="F60" i="338" s="1"/>
  <c r="G60" i="338" s="1"/>
  <c r="C59" i="343" s="1"/>
  <c r="H33" i="504"/>
  <c r="J33" i="504" s="1"/>
  <c r="F40" i="338" s="1"/>
  <c r="G40" i="338" s="1"/>
  <c r="C39" i="343" s="1"/>
  <c r="F33" i="504"/>
  <c r="F86" i="504"/>
  <c r="H86" i="504"/>
  <c r="J86" i="504" s="1"/>
  <c r="F93" i="338" s="1"/>
  <c r="G93" i="338" s="1"/>
  <c r="C92" i="343" s="1"/>
  <c r="F65" i="504"/>
  <c r="H65" i="504"/>
  <c r="J65" i="504" s="1"/>
  <c r="F72" i="338" s="1"/>
  <c r="G72" i="338" s="1"/>
  <c r="C71" i="343" s="1"/>
  <c r="H67" i="504"/>
  <c r="J67" i="504" s="1"/>
  <c r="F74" i="338" s="1"/>
  <c r="G74" i="338" s="1"/>
  <c r="C73" i="343" s="1"/>
  <c r="F67" i="504"/>
  <c r="H75" i="504"/>
  <c r="J75" i="504" s="1"/>
  <c r="F82" i="338" s="1"/>
  <c r="F75" i="504"/>
  <c r="F39" i="504"/>
  <c r="H39" i="504"/>
  <c r="J39" i="504" s="1"/>
  <c r="F46" i="338" s="1"/>
  <c r="G46" i="338" s="1"/>
  <c r="F55" i="504"/>
  <c r="H55" i="504"/>
  <c r="J55" i="504" s="1"/>
  <c r="F62" i="338" s="1"/>
  <c r="G62" i="338" s="1"/>
  <c r="C61" i="343" s="1"/>
  <c r="F31" i="588"/>
  <c r="G31" i="588" s="1"/>
  <c r="F38" i="504"/>
  <c r="H38" i="504"/>
  <c r="J38" i="504" s="1"/>
  <c r="F45" i="338" s="1"/>
  <c r="G45" i="338" s="1"/>
  <c r="C44" i="343" s="1"/>
  <c r="J103" i="343"/>
  <c r="E109" i="340"/>
  <c r="E36" i="340" s="1"/>
  <c r="F49" i="588"/>
  <c r="G49" i="588" s="1"/>
  <c r="F89" i="504"/>
  <c r="H89" i="504"/>
  <c r="J89" i="504" s="1"/>
  <c r="F96" i="338" s="1"/>
  <c r="G96" i="338" s="1"/>
  <c r="C95" i="343" s="1"/>
  <c r="F57" i="504"/>
  <c r="H57" i="504"/>
  <c r="J57" i="504" s="1"/>
  <c r="F64" i="338" s="1"/>
  <c r="G64" i="338" s="1"/>
  <c r="C63" i="343" s="1"/>
  <c r="H63" i="504"/>
  <c r="J63" i="504" s="1"/>
  <c r="F70" i="338" s="1"/>
  <c r="G70" i="338" s="1"/>
  <c r="C69" i="343" s="1"/>
  <c r="F63" i="504"/>
  <c r="H44" i="504"/>
  <c r="J44" i="504" s="1"/>
  <c r="F51" i="338" s="1"/>
  <c r="G51" i="338" s="1"/>
  <c r="C50" i="343" s="1"/>
  <c r="F44" i="504"/>
  <c r="F56" i="504"/>
  <c r="H56" i="504"/>
  <c r="J56" i="504" s="1"/>
  <c r="F63" i="338" s="1"/>
  <c r="G63" i="338" s="1"/>
  <c r="C62" i="343" s="1"/>
  <c r="H45" i="504"/>
  <c r="J45" i="504" s="1"/>
  <c r="F52" i="338" s="1"/>
  <c r="G52" i="338" s="1"/>
  <c r="C51" i="343" s="1"/>
  <c r="F45" i="504"/>
  <c r="F119" i="588"/>
  <c r="F76" i="504"/>
  <c r="H76" i="504"/>
  <c r="J76" i="504" s="1"/>
  <c r="F83" i="338" s="1"/>
  <c r="G83" i="338" s="1"/>
  <c r="C82" i="343" s="1"/>
  <c r="F87" i="504"/>
  <c r="H87" i="504"/>
  <c r="J87" i="504" s="1"/>
  <c r="F94" i="338" s="1"/>
  <c r="G94" i="338" s="1"/>
  <c r="H36" i="504"/>
  <c r="J36" i="504" s="1"/>
  <c r="F43" i="338" s="1"/>
  <c r="G43" i="338" s="1"/>
  <c r="C42" i="343" s="1"/>
  <c r="F36" i="504"/>
  <c r="F70" i="504"/>
  <c r="H70" i="504"/>
  <c r="J70" i="504" s="1"/>
  <c r="F77" i="338" s="1"/>
  <c r="G77" i="338" s="1"/>
  <c r="C76" i="343" s="1"/>
  <c r="F59" i="504"/>
  <c r="H59" i="504"/>
  <c r="J59" i="504" s="1"/>
  <c r="F66" i="338" s="1"/>
  <c r="G66" i="338" s="1"/>
  <c r="C65" i="343" s="1"/>
  <c r="K103" i="343"/>
  <c r="I109" i="340"/>
  <c r="I36" i="340" s="1"/>
  <c r="H90" i="504"/>
  <c r="J90" i="504" s="1"/>
  <c r="F97" i="338" s="1"/>
  <c r="G97" i="338" s="1"/>
  <c r="F90" i="504"/>
  <c r="F40" i="504"/>
  <c r="H40" i="504"/>
  <c r="J40" i="504" s="1"/>
  <c r="F47" i="338" s="1"/>
  <c r="H52" i="504"/>
  <c r="J52" i="504" s="1"/>
  <c r="F59" i="338" s="1"/>
  <c r="G59" i="338" s="1"/>
  <c r="C58" i="343" s="1"/>
  <c r="F52" i="504"/>
  <c r="F37" i="504"/>
  <c r="H37" i="504"/>
  <c r="J37" i="504" s="1"/>
  <c r="F44" i="338" s="1"/>
  <c r="G44" i="338" s="1"/>
  <c r="H8" i="504"/>
  <c r="J8" i="504" s="1"/>
  <c r="F16" i="338" s="1"/>
  <c r="G16" i="338" s="1"/>
  <c r="F8" i="504"/>
  <c r="H84" i="504"/>
  <c r="J84" i="504" s="1"/>
  <c r="F91" i="338" s="1"/>
  <c r="F84" i="504"/>
  <c r="H61" i="504"/>
  <c r="J61" i="504" s="1"/>
  <c r="F68" i="338" s="1"/>
  <c r="G68" i="338" s="1"/>
  <c r="C67" i="343" s="1"/>
  <c r="F61" i="504"/>
  <c r="F72" i="504"/>
  <c r="H72" i="504"/>
  <c r="J72" i="504" s="1"/>
  <c r="F79" i="338" s="1"/>
  <c r="G79" i="338" s="1"/>
  <c r="C78" i="343" s="1"/>
  <c r="F46" i="504"/>
  <c r="H46" i="504"/>
  <c r="J46" i="504" s="1"/>
  <c r="F53" i="338" s="1"/>
  <c r="G53" i="338" s="1"/>
  <c r="C52" i="343" s="1"/>
  <c r="F83" i="504"/>
  <c r="H83" i="504"/>
  <c r="J83" i="504" s="1"/>
  <c r="F90" i="338" s="1"/>
  <c r="G90" i="338" s="1"/>
  <c r="C89" i="343" s="1"/>
  <c r="F113" i="588"/>
  <c r="E30" i="338" s="1"/>
  <c r="F32" i="504"/>
  <c r="J32" i="504"/>
  <c r="H93" i="504"/>
  <c r="J93" i="504" s="1"/>
  <c r="F100" i="338" s="1"/>
  <c r="G100" i="338" s="1"/>
  <c r="F93" i="504"/>
  <c r="H74" i="504"/>
  <c r="J74" i="504" s="1"/>
  <c r="F81" i="338" s="1"/>
  <c r="G81" i="338" s="1"/>
  <c r="C80" i="343" s="1"/>
  <c r="F74" i="504"/>
  <c r="F85" i="504"/>
  <c r="H85" i="504"/>
  <c r="J85" i="504" s="1"/>
  <c r="F92" i="338" s="1"/>
  <c r="G92" i="338" s="1"/>
  <c r="C91" i="343" s="1"/>
  <c r="H66" i="504"/>
  <c r="J66" i="504" s="1"/>
  <c r="F73" i="338" s="1"/>
  <c r="G73" i="338" s="1"/>
  <c r="C72" i="343" s="1"/>
  <c r="F66" i="504"/>
  <c r="H42" i="504"/>
  <c r="J42" i="504" s="1"/>
  <c r="F49" i="338" s="1"/>
  <c r="G49" i="338" s="1"/>
  <c r="F42" i="504"/>
  <c r="F54" i="504"/>
  <c r="H54" i="504"/>
  <c r="J54" i="504" s="1"/>
  <c r="F61" i="338" s="1"/>
  <c r="G61" i="338" s="1"/>
  <c r="C60" i="343" s="1"/>
  <c r="G179" i="588"/>
  <c r="E91" i="338" s="1"/>
  <c r="G159" i="588"/>
  <c r="E71" i="338" s="1"/>
  <c r="G146" i="588"/>
  <c r="E58" i="338" s="1"/>
  <c r="G61" i="588"/>
  <c r="G34" i="588"/>
  <c r="G86" i="588"/>
  <c r="G28" i="588"/>
  <c r="G117" i="588"/>
  <c r="G98" i="588"/>
  <c r="E170" i="588"/>
  <c r="E105" i="337"/>
  <c r="E32" i="337" s="1"/>
  <c r="D104" i="338"/>
  <c r="E100" i="337"/>
  <c r="E31" i="337" s="1"/>
  <c r="F87" i="338"/>
  <c r="G87" i="338" s="1"/>
  <c r="C86" i="343" s="1"/>
  <c r="F88" i="338"/>
  <c r="G88" i="338" s="1"/>
  <c r="C87" i="343" s="1"/>
  <c r="G87" i="588"/>
  <c r="E26" i="338"/>
  <c r="G58" i="588"/>
  <c r="E21" i="338"/>
  <c r="D101" i="338"/>
  <c r="D32" i="338" s="1"/>
  <c r="E28" i="338"/>
  <c r="G99" i="588"/>
  <c r="E18" i="338"/>
  <c r="G36" i="588"/>
  <c r="E29" i="338" l="1"/>
  <c r="K105" i="343"/>
  <c r="K32" i="343" s="1"/>
  <c r="G54" i="588"/>
  <c r="G70" i="588"/>
  <c r="E24" i="338"/>
  <c r="G24" i="338" s="1"/>
  <c r="C23" i="343" s="1"/>
  <c r="M104" i="340"/>
  <c r="M35" i="340" s="1"/>
  <c r="I104" i="340"/>
  <c r="I35" i="340" s="1"/>
  <c r="F99" i="504"/>
  <c r="F25" i="504" s="1"/>
  <c r="K110" i="343"/>
  <c r="K33" i="343" s="1"/>
  <c r="K111" i="343" s="1"/>
  <c r="E104" i="340"/>
  <c r="E35" i="340" s="1"/>
  <c r="J7" i="504"/>
  <c r="F15" i="338" s="1"/>
  <c r="G15" i="338" s="1"/>
  <c r="G66" i="588"/>
  <c r="E31" i="338"/>
  <c r="F121" i="588"/>
  <c r="M119" i="340"/>
  <c r="M38" i="340" s="1"/>
  <c r="L34" i="343"/>
  <c r="L116" i="343" s="1"/>
  <c r="G83" i="588"/>
  <c r="I119" i="340"/>
  <c r="I38" i="340" s="1"/>
  <c r="K114" i="343"/>
  <c r="K115" i="343" s="1"/>
  <c r="K34" i="343" s="1"/>
  <c r="K116" i="343" s="1"/>
  <c r="J105" i="343"/>
  <c r="J32" i="343" s="1"/>
  <c r="E119" i="340"/>
  <c r="E38" i="340" s="1"/>
  <c r="J114" i="343"/>
  <c r="J115" i="343" s="1"/>
  <c r="J34" i="343" s="1"/>
  <c r="E114" i="340"/>
  <c r="E37" i="340" s="1"/>
  <c r="J109" i="343"/>
  <c r="J110" i="343" s="1"/>
  <c r="J33" i="343" s="1"/>
  <c r="M114" i="340"/>
  <c r="M37" i="340" s="1"/>
  <c r="L109" i="343"/>
  <c r="L110" i="343" s="1"/>
  <c r="L33" i="343" s="1"/>
  <c r="L111" i="343" s="1"/>
  <c r="G95" i="588"/>
  <c r="I114" i="340"/>
  <c r="I37" i="340" s="1"/>
  <c r="E17" i="338"/>
  <c r="F104" i="338"/>
  <c r="G104" i="338" s="1"/>
  <c r="D106" i="338"/>
  <c r="D33" i="338" s="1"/>
  <c r="L104" i="343"/>
  <c r="L105" i="343" s="1"/>
  <c r="L32" i="343" s="1"/>
  <c r="J11" i="504"/>
  <c r="F94" i="504"/>
  <c r="F24" i="504" s="1"/>
  <c r="G119" i="588"/>
  <c r="G113" i="588"/>
  <c r="E19" i="338"/>
  <c r="H99" i="504"/>
  <c r="H25" i="504" s="1"/>
  <c r="G58" i="338"/>
  <c r="H58" i="338" s="1"/>
  <c r="G71" i="338"/>
  <c r="C70" i="343" s="1"/>
  <c r="G170" i="588"/>
  <c r="G189" i="588" s="1"/>
  <c r="G91" i="338"/>
  <c r="C90" i="343" s="1"/>
  <c r="K101" i="343"/>
  <c r="J101" i="343"/>
  <c r="K7" i="504"/>
  <c r="E47" i="338"/>
  <c r="G47" i="338" s="1"/>
  <c r="C46" i="343" s="1"/>
  <c r="G28" i="338"/>
  <c r="C27" i="343" s="1"/>
  <c r="F18" i="338"/>
  <c r="G18" i="338" s="1"/>
  <c r="G22" i="338"/>
  <c r="C21" i="343" s="1"/>
  <c r="G27" i="338"/>
  <c r="C26" i="343" s="1"/>
  <c r="G29" i="338"/>
  <c r="C28" i="343" s="1"/>
  <c r="K21" i="504"/>
  <c r="G23" i="338"/>
  <c r="C22" i="343" s="1"/>
  <c r="G25" i="338"/>
  <c r="C24" i="343" s="1"/>
  <c r="G26" i="338"/>
  <c r="C25" i="343" s="1"/>
  <c r="K18" i="504"/>
  <c r="K9" i="504"/>
  <c r="G20" i="338"/>
  <c r="C19" i="343" s="1"/>
  <c r="K16" i="504"/>
  <c r="K15" i="504"/>
  <c r="C99" i="343"/>
  <c r="H100" i="338"/>
  <c r="H94" i="504"/>
  <c r="H24" i="504" s="1"/>
  <c r="K11" i="504"/>
  <c r="K10" i="504"/>
  <c r="K22" i="504"/>
  <c r="K17" i="504"/>
  <c r="K12" i="504"/>
  <c r="K20" i="504"/>
  <c r="K13" i="504"/>
  <c r="K8" i="504"/>
  <c r="K14" i="504"/>
  <c r="K19" i="504"/>
  <c r="G21" i="338"/>
  <c r="C20" i="343" s="1"/>
  <c r="C43" i="343"/>
  <c r="H44" i="338"/>
  <c r="C96" i="343"/>
  <c r="H97" i="338"/>
  <c r="G30" i="338"/>
  <c r="C29" i="343" s="1"/>
  <c r="C93" i="343"/>
  <c r="H94" i="338"/>
  <c r="H64" i="338"/>
  <c r="C45" i="343"/>
  <c r="H46" i="338"/>
  <c r="H56" i="338"/>
  <c r="H53" i="338"/>
  <c r="H88" i="338"/>
  <c r="C56" i="343"/>
  <c r="H57" i="338"/>
  <c r="H61" i="338"/>
  <c r="H51" i="338"/>
  <c r="H59" i="338"/>
  <c r="H65" i="338"/>
  <c r="H42" i="338"/>
  <c r="C41" i="343"/>
  <c r="H49" i="338"/>
  <c r="C48" i="343"/>
  <c r="H16" i="338"/>
  <c r="C15" i="343"/>
  <c r="H80" i="338"/>
  <c r="C79" i="343"/>
  <c r="H63" i="338"/>
  <c r="H50" i="338"/>
  <c r="H68" i="338"/>
  <c r="H69" i="338"/>
  <c r="H70" i="338"/>
  <c r="H84" i="338"/>
  <c r="H41" i="338"/>
  <c r="H55" i="338"/>
  <c r="H66" i="338"/>
  <c r="H48" i="338"/>
  <c r="H62" i="338"/>
  <c r="H83" i="338"/>
  <c r="H87" i="338"/>
  <c r="H78" i="338"/>
  <c r="H73" i="338"/>
  <c r="H52" i="338"/>
  <c r="H93" i="338"/>
  <c r="H60" i="338"/>
  <c r="H74" i="338"/>
  <c r="H43" i="338"/>
  <c r="H81" i="338"/>
  <c r="H90" i="338"/>
  <c r="H92" i="338"/>
  <c r="H67" i="338"/>
  <c r="H77" i="338"/>
  <c r="H75" i="338"/>
  <c r="H96" i="338"/>
  <c r="H85" i="338"/>
  <c r="H72" i="338"/>
  <c r="H76" i="338"/>
  <c r="H45" i="338"/>
  <c r="H79" i="338"/>
  <c r="H40" i="338"/>
  <c r="J94" i="504"/>
  <c r="J24" i="504" s="1"/>
  <c r="F39" i="338"/>
  <c r="F28" i="504" l="1"/>
  <c r="K25" i="504"/>
  <c r="J116" i="343"/>
  <c r="N34" i="343"/>
  <c r="J111" i="343"/>
  <c r="N33" i="343"/>
  <c r="J106" i="343"/>
  <c r="J35" i="343"/>
  <c r="M39" i="340"/>
  <c r="M21" i="551" s="1"/>
  <c r="E39" i="340"/>
  <c r="M17" i="551" s="1"/>
  <c r="L35" i="343"/>
  <c r="N28" i="343"/>
  <c r="N26" i="343"/>
  <c r="N21" i="343"/>
  <c r="L106" i="343"/>
  <c r="N15" i="343"/>
  <c r="N22" i="343"/>
  <c r="N27" i="343"/>
  <c r="N20" i="343"/>
  <c r="N19" i="343"/>
  <c r="K35" i="343"/>
  <c r="G17" i="338"/>
  <c r="C16" i="343" s="1"/>
  <c r="I39" i="340"/>
  <c r="M19" i="551" s="1"/>
  <c r="N23" i="343"/>
  <c r="N29" i="343"/>
  <c r="N24" i="343"/>
  <c r="J99" i="504"/>
  <c r="J25" i="504" s="1"/>
  <c r="F19" i="338"/>
  <c r="G19" i="338" s="1"/>
  <c r="C18" i="343" s="1"/>
  <c r="H71" i="338"/>
  <c r="C57" i="343"/>
  <c r="N25" i="343"/>
  <c r="H91" i="338"/>
  <c r="E82" i="338"/>
  <c r="G82" i="338" s="1"/>
  <c r="C81" i="343" s="1"/>
  <c r="L101" i="343"/>
  <c r="K106" i="343"/>
  <c r="K24" i="504"/>
  <c r="H28" i="338"/>
  <c r="H27" i="338"/>
  <c r="H29" i="338"/>
  <c r="H23" i="338"/>
  <c r="H25" i="338"/>
  <c r="C17" i="343"/>
  <c r="H18" i="338"/>
  <c r="H22" i="338"/>
  <c r="H26" i="338"/>
  <c r="H24" i="338"/>
  <c r="H30" i="338"/>
  <c r="H20" i="338"/>
  <c r="H21" i="338"/>
  <c r="H47" i="338"/>
  <c r="F101" i="338"/>
  <c r="F32" i="338" s="1"/>
  <c r="G39" i="338"/>
  <c r="C38" i="343" s="1"/>
  <c r="C103" i="343"/>
  <c r="F106" i="338"/>
  <c r="F33" i="338" s="1"/>
  <c r="G33" i="338" s="1"/>
  <c r="H19" i="338" l="1"/>
  <c r="L36" i="343"/>
  <c r="J36" i="343"/>
  <c r="D6" i="340"/>
  <c r="C100" i="343"/>
  <c r="C31" i="343" s="1"/>
  <c r="H17" i="338"/>
  <c r="N16" i="343"/>
  <c r="C14" i="343"/>
  <c r="N14" i="343" s="1"/>
  <c r="N17" i="343"/>
  <c r="N18" i="343"/>
  <c r="H82" i="338"/>
  <c r="E101" i="338"/>
  <c r="G190" i="588" s="1"/>
  <c r="K36" i="343"/>
  <c r="C105" i="343"/>
  <c r="C32" i="343" s="1"/>
  <c r="N32" i="343" s="1"/>
  <c r="H33" i="338"/>
  <c r="G101" i="338"/>
  <c r="H101" i="338" s="1"/>
  <c r="H39" i="338"/>
  <c r="H15" i="338"/>
  <c r="G106" i="338"/>
  <c r="H104" i="338"/>
  <c r="H106" i="338" s="1"/>
  <c r="E32" i="338" l="1"/>
  <c r="C106" i="343"/>
  <c r="G32" i="338" l="1"/>
  <c r="E36" i="338"/>
  <c r="N31" i="343"/>
  <c r="C101" i="343"/>
  <c r="H32" i="338" l="1"/>
  <c r="N100" i="603"/>
  <c r="P100" i="603" l="1"/>
  <c r="O15" i="551" l="1"/>
  <c r="N15" i="551"/>
  <c r="O13" i="605" l="1"/>
  <c r="W14" i="605"/>
  <c r="W15" i="605" l="1"/>
  <c r="O14" i="605"/>
  <c r="O16" i="605" l="1"/>
  <c r="W16" i="605"/>
  <c r="W17" i="605" l="1"/>
  <c r="O17" i="605"/>
  <c r="W18" i="605" l="1"/>
  <c r="O18" i="605"/>
  <c r="O19" i="605" l="1"/>
  <c r="W19" i="605"/>
  <c r="O20" i="605" l="1"/>
  <c r="W20" i="605"/>
  <c r="W21" i="605" l="1"/>
  <c r="O21" i="605"/>
  <c r="O22" i="605" l="1"/>
  <c r="W22" i="605"/>
  <c r="W23" i="605" l="1"/>
  <c r="O23" i="605"/>
  <c r="O24" i="605" l="1"/>
  <c r="W24" i="605"/>
  <c r="W25" i="605" l="1"/>
  <c r="O25" i="605"/>
  <c r="W26" i="605" l="1"/>
  <c r="O26" i="605"/>
  <c r="O27" i="605" l="1"/>
  <c r="W27" i="605"/>
  <c r="W29" i="605" l="1"/>
  <c r="W30" i="605" s="1"/>
  <c r="O29" i="605"/>
  <c r="O30" i="605" s="1"/>
  <c r="P44" i="605" l="1"/>
  <c r="P72" i="605"/>
  <c r="P64" i="605"/>
  <c r="P79" i="605"/>
  <c r="P34" i="605"/>
  <c r="P49" i="605"/>
  <c r="P60" i="605"/>
  <c r="P75" i="605"/>
  <c r="P90" i="605"/>
  <c r="P53" i="605"/>
  <c r="P77" i="605"/>
  <c r="P45" i="605"/>
  <c r="P70" i="605"/>
  <c r="P61" i="605"/>
  <c r="P54" i="605"/>
  <c r="P86" i="605"/>
  <c r="P43" i="605"/>
  <c r="P84" i="605"/>
  <c r="P58" i="605"/>
  <c r="P87" i="605"/>
  <c r="P88" i="605"/>
  <c r="P59" i="605"/>
  <c r="P35" i="605"/>
  <c r="P41" i="605"/>
  <c r="P81" i="605"/>
  <c r="P73" i="605"/>
  <c r="P40" i="605"/>
  <c r="P57" i="605"/>
  <c r="P82" i="605"/>
  <c r="P55" i="605"/>
  <c r="P94" i="605"/>
  <c r="P78" i="605"/>
  <c r="P37" i="605"/>
  <c r="P68" i="605"/>
  <c r="P91" i="605"/>
  <c r="P51" i="605"/>
  <c r="P42" i="605"/>
  <c r="P71" i="605"/>
  <c r="P52" i="605"/>
  <c r="P46" i="605"/>
  <c r="P67" i="605"/>
  <c r="P47" i="605"/>
  <c r="P62" i="605"/>
  <c r="P63" i="605"/>
  <c r="P69" i="605"/>
  <c r="P50" i="605"/>
  <c r="P66" i="605"/>
  <c r="P39" i="605"/>
  <c r="P65" i="605"/>
  <c r="P85" i="605"/>
  <c r="P74" i="605"/>
  <c r="P56" i="605"/>
  <c r="P76" i="605"/>
  <c r="P38" i="605"/>
  <c r="P36" i="605"/>
  <c r="P12" i="605"/>
  <c r="P13" i="605"/>
  <c r="P14" i="605"/>
  <c r="P15" i="605"/>
  <c r="P16" i="605"/>
  <c r="P17" i="605"/>
  <c r="P18" i="605"/>
  <c r="P19" i="605"/>
  <c r="P20" i="605"/>
  <c r="P21" i="605"/>
  <c r="P22" i="605"/>
  <c r="P23" i="605"/>
  <c r="P24" i="605"/>
  <c r="P25" i="605"/>
  <c r="P26" i="605"/>
  <c r="P27" i="605"/>
  <c r="P28" i="605"/>
  <c r="P29" i="605"/>
  <c r="P33" i="605"/>
  <c r="P95" i="605" l="1"/>
  <c r="P30" i="605" s="1"/>
  <c r="X94" i="605"/>
  <c r="AA94" i="605" s="1"/>
  <c r="AB94" i="605" s="1"/>
  <c r="X39" i="605"/>
  <c r="AA39" i="605" s="1"/>
  <c r="AB39" i="605" s="1"/>
  <c r="X67" i="605"/>
  <c r="AA67" i="605" s="1"/>
  <c r="AB67" i="605" s="1"/>
  <c r="X56" i="605"/>
  <c r="AA56" i="605" s="1"/>
  <c r="AB56" i="605" s="1"/>
  <c r="X38" i="605"/>
  <c r="AA38" i="605" s="1"/>
  <c r="AB38" i="605" s="1"/>
  <c r="X42" i="605"/>
  <c r="AA42" i="605" s="1"/>
  <c r="AB42" i="605" s="1"/>
  <c r="X43" i="605"/>
  <c r="AA43" i="605" s="1"/>
  <c r="AB43" i="605" s="1"/>
  <c r="X71" i="605"/>
  <c r="AA71" i="605" s="1"/>
  <c r="AB71" i="605" s="1"/>
  <c r="X88" i="605"/>
  <c r="AA88" i="605" s="1"/>
  <c r="AB88" i="605" s="1"/>
  <c r="X37" i="605"/>
  <c r="AA37" i="605" s="1"/>
  <c r="AB37" i="605" s="1"/>
  <c r="X87" i="605"/>
  <c r="AA87" i="605" s="1"/>
  <c r="AB87" i="605" s="1"/>
  <c r="X35" i="605"/>
  <c r="AA35" i="605" s="1"/>
  <c r="AB35" i="605" s="1"/>
  <c r="X53" i="605"/>
  <c r="AA53" i="605" s="1"/>
  <c r="AB53" i="605" s="1"/>
  <c r="X45" i="605"/>
  <c r="AA45" i="605" s="1"/>
  <c r="AB45" i="605" s="1"/>
  <c r="X65" i="605"/>
  <c r="AA65" i="605" s="1"/>
  <c r="AB65" i="605" s="1"/>
  <c r="X34" i="605"/>
  <c r="AA34" i="605" s="1"/>
  <c r="AB34" i="605" s="1"/>
  <c r="X73" i="605"/>
  <c r="AA73" i="605" s="1"/>
  <c r="AB73" i="605" s="1"/>
  <c r="X51" i="605"/>
  <c r="AA51" i="605" s="1"/>
  <c r="AB51" i="605" s="1"/>
  <c r="X76" i="605"/>
  <c r="AA76" i="605" s="1"/>
  <c r="AB76" i="605" s="1"/>
  <c r="X44" i="605"/>
  <c r="AA44" i="605" s="1"/>
  <c r="AB44" i="605" s="1"/>
  <c r="X69" i="605"/>
  <c r="AA69" i="605" s="1"/>
  <c r="AB69" i="605" s="1"/>
  <c r="X46" i="605"/>
  <c r="AA46" i="605" s="1"/>
  <c r="AB46" i="605" s="1"/>
  <c r="X60" i="605"/>
  <c r="AA60" i="605" s="1"/>
  <c r="AB60" i="605" s="1"/>
  <c r="X82" i="605"/>
  <c r="AA82" i="605" s="1"/>
  <c r="AB82" i="605" s="1"/>
  <c r="X57" i="605"/>
  <c r="AA57" i="605" s="1"/>
  <c r="AB57" i="605" s="1"/>
  <c r="X66" i="605"/>
  <c r="AA66" i="605" s="1"/>
  <c r="AB66" i="605" s="1"/>
  <c r="X86" i="605"/>
  <c r="AA86" i="605" s="1"/>
  <c r="AB86" i="605" s="1"/>
  <c r="X77" i="605"/>
  <c r="AA77" i="605" s="1"/>
  <c r="AB77" i="605" s="1"/>
  <c r="X58" i="605"/>
  <c r="AA58" i="605" s="1"/>
  <c r="AB58" i="605" s="1"/>
  <c r="X52" i="605"/>
  <c r="AA52" i="605" s="1"/>
  <c r="AB52" i="605" s="1"/>
  <c r="X40" i="605"/>
  <c r="AA40" i="605" s="1"/>
  <c r="AB40" i="605" s="1"/>
  <c r="X79" i="605"/>
  <c r="AA79" i="605" s="1"/>
  <c r="AB79" i="605" s="1"/>
  <c r="X72" i="605"/>
  <c r="AA72" i="605" s="1"/>
  <c r="AB72" i="605" s="1"/>
  <c r="X59" i="605"/>
  <c r="AA59" i="605" s="1"/>
  <c r="AB59" i="605" s="1"/>
  <c r="X36" i="605"/>
  <c r="AA36" i="605" s="1"/>
  <c r="AB36" i="605" s="1"/>
  <c r="X47" i="605"/>
  <c r="AA47" i="605" s="1"/>
  <c r="AB47" i="605" s="1"/>
  <c r="X81" i="605"/>
  <c r="AA81" i="605" s="1"/>
  <c r="AB81" i="605" s="1"/>
  <c r="X55" i="605"/>
  <c r="AA55" i="605" s="1"/>
  <c r="AB55" i="605" s="1"/>
  <c r="X91" i="605"/>
  <c r="AA91" i="605" s="1"/>
  <c r="AB91" i="605" s="1"/>
  <c r="X62" i="605"/>
  <c r="AA62" i="605" s="1"/>
  <c r="AB62" i="605" s="1"/>
  <c r="X54" i="605"/>
  <c r="AA54" i="605" s="1"/>
  <c r="AB54" i="605" s="1"/>
  <c r="X74" i="605"/>
  <c r="AA74" i="605" s="1"/>
  <c r="AB74" i="605" s="1"/>
  <c r="X64" i="605"/>
  <c r="AA64" i="605" s="1"/>
  <c r="AB64" i="605" s="1"/>
  <c r="X78" i="605"/>
  <c r="AA78" i="605" s="1"/>
  <c r="AB78" i="605" s="1"/>
  <c r="X90" i="605"/>
  <c r="AA90" i="605" s="1"/>
  <c r="AB90" i="605" s="1"/>
  <c r="X50" i="605"/>
  <c r="AA50" i="605" s="1"/>
  <c r="AB50" i="605" s="1"/>
  <c r="X84" i="605"/>
  <c r="AA84" i="605" s="1"/>
  <c r="AB84" i="605" s="1"/>
  <c r="X41" i="605"/>
  <c r="AA41" i="605" s="1"/>
  <c r="AB41" i="605" s="1"/>
  <c r="X63" i="605"/>
  <c r="AA63" i="605" s="1"/>
  <c r="AB63" i="605" s="1"/>
  <c r="X75" i="605"/>
  <c r="AA75" i="605" s="1"/>
  <c r="AB75" i="605" s="1"/>
  <c r="X70" i="605"/>
  <c r="AA70" i="605" s="1"/>
  <c r="AB70" i="605" s="1"/>
  <c r="X85" i="605"/>
  <c r="AA85" i="605" s="1"/>
  <c r="AB85" i="605" s="1"/>
  <c r="X61" i="605"/>
  <c r="AA61" i="605" s="1"/>
  <c r="AB61" i="605" s="1"/>
  <c r="X68" i="605"/>
  <c r="AA68" i="605" s="1"/>
  <c r="AB68" i="605" s="1"/>
  <c r="X49" i="605"/>
  <c r="AA49" i="605" s="1"/>
  <c r="AB49" i="605" s="1"/>
  <c r="X12" i="605"/>
  <c r="X14" i="605"/>
  <c r="AA14" i="605" s="1"/>
  <c r="AB14" i="605" s="1"/>
  <c r="X13" i="605"/>
  <c r="AA13" i="605" s="1"/>
  <c r="AB13" i="605" s="1"/>
  <c r="X15" i="605"/>
  <c r="AA15" i="605" s="1"/>
  <c r="AB15" i="605" s="1"/>
  <c r="X16" i="605"/>
  <c r="AA16" i="605" s="1"/>
  <c r="AB16" i="605" s="1"/>
  <c r="X17" i="605"/>
  <c r="AA17" i="605" s="1"/>
  <c r="AB17" i="605" s="1"/>
  <c r="X18" i="605"/>
  <c r="AA18" i="605" s="1"/>
  <c r="AB18" i="605" s="1"/>
  <c r="X19" i="605"/>
  <c r="AA19" i="605" s="1"/>
  <c r="AB19" i="605" s="1"/>
  <c r="X20" i="605"/>
  <c r="AA20" i="605" s="1"/>
  <c r="AB20" i="605" s="1"/>
  <c r="X21" i="605"/>
  <c r="AA21" i="605" s="1"/>
  <c r="AB21" i="605" s="1"/>
  <c r="X22" i="605"/>
  <c r="AA22" i="605" s="1"/>
  <c r="AB22" i="605" s="1"/>
  <c r="X23" i="605"/>
  <c r="AA23" i="605" s="1"/>
  <c r="AB23" i="605" s="1"/>
  <c r="X24" i="605"/>
  <c r="AA24" i="605" s="1"/>
  <c r="AB24" i="605" s="1"/>
  <c r="X25" i="605"/>
  <c r="AA25" i="605" s="1"/>
  <c r="AB25" i="605" s="1"/>
  <c r="X26" i="605"/>
  <c r="AA26" i="605" s="1"/>
  <c r="AB26" i="605" s="1"/>
  <c r="X27" i="605"/>
  <c r="AA27" i="605" s="1"/>
  <c r="AB27" i="605" s="1"/>
  <c r="X28" i="605"/>
  <c r="AA28" i="605" s="1"/>
  <c r="AB28" i="605" s="1"/>
  <c r="X29" i="605"/>
  <c r="AA29" i="605" s="1"/>
  <c r="AB29" i="605" s="1"/>
  <c r="X33" i="605"/>
  <c r="AA33" i="605" l="1"/>
  <c r="X95" i="605"/>
  <c r="X30" i="605"/>
  <c r="AB30" i="605" l="1"/>
  <c r="AA30" i="605"/>
  <c r="AB33" i="605"/>
  <c r="AB95" i="605" s="1"/>
  <c r="AA95" i="605"/>
  <c r="O21" i="551"/>
  <c r="I21" i="606"/>
  <c r="N21" i="551"/>
  <c r="N19" i="551"/>
  <c r="I19" i="606"/>
  <c r="O19" i="551"/>
  <c r="O17" i="551" l="1"/>
  <c r="N17" i="551"/>
  <c r="I17" i="606"/>
  <c r="H7" i="609" l="1"/>
  <c r="H12" i="605" l="1"/>
  <c r="H30" i="605" s="1"/>
  <c r="L100" i="619" l="1"/>
  <c r="N100" i="619"/>
  <c r="P100" i="619" l="1"/>
  <c r="E170" i="613"/>
  <c r="E159" i="613"/>
  <c r="H106" i="343"/>
  <c r="D6" i="336"/>
  <c r="G159" i="613" l="1"/>
  <c r="E70" i="615" s="1"/>
  <c r="G170" i="613"/>
  <c r="E81" i="615" s="1"/>
  <c r="D24" i="602"/>
  <c r="C28" i="336"/>
  <c r="C31" i="338"/>
  <c r="C36" i="338" s="1"/>
  <c r="G23" i="504" l="1"/>
  <c r="G28" i="504" s="1"/>
  <c r="D29" i="602"/>
  <c r="O25" i="577"/>
  <c r="N25" i="577"/>
  <c r="P25" i="577"/>
  <c r="M23" i="551"/>
  <c r="D30" i="337"/>
  <c r="G30" i="607"/>
  <c r="C28" i="609"/>
  <c r="C33" i="609" s="1"/>
  <c r="K33" i="609" s="1"/>
  <c r="G755" i="607"/>
  <c r="K28" i="336"/>
  <c r="C33" i="336"/>
  <c r="K33" i="336" s="1"/>
  <c r="C31" i="615"/>
  <c r="C36" i="615" s="1"/>
  <c r="H23" i="504"/>
  <c r="N25" i="607"/>
  <c r="P25" i="607"/>
  <c r="O25" i="607"/>
  <c r="D30" i="612"/>
  <c r="D35" i="612" s="1"/>
  <c r="D24" i="618"/>
  <c r="D29" i="618" s="1"/>
  <c r="G23" i="614"/>
  <c r="G28" i="614" s="1"/>
  <c r="I23" i="606" l="1"/>
  <c r="D31" i="606" s="1"/>
  <c r="D32" i="551"/>
  <c r="N30" i="607"/>
  <c r="P31" i="607"/>
  <c r="G17" i="333"/>
  <c r="G15" i="333" s="1"/>
  <c r="G11" i="333" s="1"/>
  <c r="C124" i="588"/>
  <c r="D123" i="588" s="1"/>
  <c r="K28" i="609"/>
  <c r="N23" i="551"/>
  <c r="D35" i="337"/>
  <c r="D36" i="337" s="1"/>
  <c r="E30" i="337"/>
  <c r="E35" i="337" s="1"/>
  <c r="N30" i="577"/>
  <c r="P30" i="577"/>
  <c r="O30" i="577"/>
  <c r="D30" i="602"/>
  <c r="C37" i="615"/>
  <c r="M23" i="606"/>
  <c r="O30" i="607"/>
  <c r="O23" i="551"/>
  <c r="Q17" i="333"/>
  <c r="Q15" i="333" s="1"/>
  <c r="Q11" i="333" s="1"/>
  <c r="P30" i="607"/>
  <c r="D30" i="618"/>
  <c r="J23" i="504"/>
  <c r="H28" i="504"/>
  <c r="E32" i="551" l="1"/>
  <c r="E33" i="551" s="1"/>
  <c r="E35" i="551" s="1"/>
  <c r="E34" i="551"/>
  <c r="N23" i="606"/>
  <c r="D32" i="606"/>
  <c r="E34" i="606" s="1"/>
  <c r="D31" i="338"/>
  <c r="D36" i="338" s="1"/>
  <c r="K23" i="504"/>
  <c r="C35" i="337"/>
  <c r="O23" i="606"/>
  <c r="J28" i="504"/>
  <c r="F31" i="338"/>
  <c r="F36" i="338" s="1"/>
  <c r="D6" i="338" s="1"/>
  <c r="D6" i="337"/>
  <c r="G31" i="338" l="1"/>
  <c r="G36" i="338" s="1"/>
  <c r="H36" i="338" s="1"/>
  <c r="C30" i="343" l="1"/>
  <c r="C35" i="343" s="1"/>
  <c r="D14" i="343" s="1"/>
  <c r="C5" i="332"/>
  <c r="C6" i="332" s="1"/>
  <c r="H31" i="338"/>
  <c r="F6" i="608"/>
  <c r="D15" i="625"/>
  <c r="N30" i="343" l="1"/>
  <c r="N35" i="343" s="1"/>
  <c r="D38" i="343"/>
  <c r="C36" i="343"/>
  <c r="H3" i="608"/>
  <c r="H3" i="332"/>
  <c r="D114" i="343"/>
  <c r="H111" i="604" s="1"/>
  <c r="D108" i="343"/>
  <c r="D113" i="343"/>
  <c r="D20" i="343"/>
  <c r="D19" i="343"/>
  <c r="D28" i="343"/>
  <c r="D23" i="343"/>
  <c r="D26" i="343"/>
  <c r="D24" i="343"/>
  <c r="D21" i="343"/>
  <c r="D29" i="343"/>
  <c r="D15" i="343"/>
  <c r="D22" i="343"/>
  <c r="D27" i="343"/>
  <c r="D25" i="343"/>
  <c r="D103" i="343"/>
  <c r="D18" i="343"/>
  <c r="D16" i="343"/>
  <c r="D17" i="343"/>
  <c r="D30" i="343"/>
  <c r="D109" i="343"/>
  <c r="H106" i="604" s="1"/>
  <c r="D88" i="343"/>
  <c r="D58" i="343"/>
  <c r="D83" i="343"/>
  <c r="D45" i="343"/>
  <c r="D77" i="343"/>
  <c r="D60" i="343"/>
  <c r="D53" i="343"/>
  <c r="D69" i="343"/>
  <c r="D55" i="343"/>
  <c r="D85" i="343"/>
  <c r="D71" i="343"/>
  <c r="D76" i="343"/>
  <c r="D87" i="343"/>
  <c r="D62" i="343"/>
  <c r="D81" i="343"/>
  <c r="D50" i="343"/>
  <c r="D82" i="343"/>
  <c r="D67" i="343"/>
  <c r="D98" i="343"/>
  <c r="D41" i="343"/>
  <c r="D57" i="343"/>
  <c r="D84" i="343"/>
  <c r="D97" i="343"/>
  <c r="D68" i="343"/>
  <c r="D61" i="343"/>
  <c r="D79" i="343"/>
  <c r="D42" i="343"/>
  <c r="D99" i="343"/>
  <c r="D104" i="343"/>
  <c r="H101" i="604" s="1"/>
  <c r="D75" i="343"/>
  <c r="D63" i="343"/>
  <c r="D39" i="343"/>
  <c r="D91" i="343"/>
  <c r="D70" i="343"/>
  <c r="D94" i="343"/>
  <c r="D64" i="343"/>
  <c r="D80" i="343"/>
  <c r="D49" i="343"/>
  <c r="D66" i="343"/>
  <c r="D93" i="343"/>
  <c r="D90" i="343"/>
  <c r="D48" i="343"/>
  <c r="D52" i="343"/>
  <c r="D92" i="343"/>
  <c r="D56" i="343"/>
  <c r="D46" i="343"/>
  <c r="D72" i="343"/>
  <c r="D54" i="343"/>
  <c r="D59" i="343"/>
  <c r="D86" i="343"/>
  <c r="D95" i="343"/>
  <c r="D47" i="343"/>
  <c r="D43" i="343"/>
  <c r="D40" i="343"/>
  <c r="D78" i="343"/>
  <c r="D51" i="343"/>
  <c r="D44" i="343"/>
  <c r="D74" i="343"/>
  <c r="D96" i="343"/>
  <c r="D65" i="343"/>
  <c r="D73" i="343"/>
  <c r="D89" i="343"/>
  <c r="H61" i="604" l="1"/>
  <c r="H46" i="604"/>
  <c r="H80" i="604"/>
  <c r="H54" i="604"/>
  <c r="H91" i="604"/>
  <c r="H37" i="604"/>
  <c r="H44" i="604"/>
  <c r="H95" i="604"/>
  <c r="H40" i="604"/>
  <c r="H85" i="604"/>
  <c r="H81" i="604"/>
  <c r="H74" i="604"/>
  <c r="H92" i="604"/>
  <c r="H55" i="604"/>
  <c r="H88" i="604"/>
  <c r="H51" i="604"/>
  <c r="H69" i="604"/>
  <c r="H70" i="604"/>
  <c r="H73" i="604"/>
  <c r="H49" i="604"/>
  <c r="H39" i="604"/>
  <c r="H68" i="604"/>
  <c r="H57" i="604"/>
  <c r="H43" i="604"/>
  <c r="H53" i="604"/>
  <c r="H96" i="604"/>
  <c r="H76" i="604"/>
  <c r="H82" i="604"/>
  <c r="H42" i="604"/>
  <c r="H64" i="604"/>
  <c r="H56" i="604"/>
  <c r="H47" i="604"/>
  <c r="H78" i="604"/>
  <c r="H72" i="604"/>
  <c r="H87" i="604"/>
  <c r="H83" i="604"/>
  <c r="H62" i="604"/>
  <c r="H93" i="604"/>
  <c r="H41" i="604"/>
  <c r="H58" i="604"/>
  <c r="H48" i="604"/>
  <c r="H90" i="604"/>
  <c r="H65" i="604"/>
  <c r="H66" i="604"/>
  <c r="H77" i="604"/>
  <c r="H38" i="604"/>
  <c r="H67" i="604"/>
  <c r="H79" i="604"/>
  <c r="H36" i="604"/>
  <c r="H60" i="604"/>
  <c r="H86" i="604"/>
  <c r="H59" i="604"/>
  <c r="H84" i="604"/>
  <c r="H89" i="604"/>
  <c r="H71" i="604"/>
  <c r="H45" i="604"/>
  <c r="H52" i="604"/>
  <c r="H75" i="604"/>
  <c r="H63" i="604"/>
  <c r="H94" i="604"/>
  <c r="H50" i="604"/>
  <c r="V40" i="332"/>
  <c r="T15" i="608"/>
  <c r="D105" i="343"/>
  <c r="H102" i="604" s="1"/>
  <c r="D100" i="343"/>
  <c r="D115" i="343"/>
  <c r="D34" i="343" s="1"/>
  <c r="D110" i="343"/>
  <c r="H107" i="604" s="1"/>
  <c r="M13" i="551" l="1"/>
  <c r="D32" i="333"/>
  <c r="C6" i="336"/>
  <c r="C7" i="336" s="1"/>
  <c r="E10" i="551"/>
  <c r="E46" i="551" s="1"/>
  <c r="D8" i="333"/>
  <c r="D31" i="343"/>
  <c r="H97" i="604"/>
  <c r="D32" i="343"/>
  <c r="D33" i="343"/>
  <c r="H112" i="604"/>
  <c r="D26" i="332"/>
  <c r="D28" i="332"/>
  <c r="D23" i="332"/>
  <c r="D32" i="332"/>
  <c r="D20" i="332"/>
  <c r="D18" i="332"/>
  <c r="D31" i="332"/>
  <c r="D22" i="332"/>
  <c r="D21" i="332"/>
  <c r="D30" i="332"/>
  <c r="D11" i="332"/>
  <c r="D29" i="332"/>
  <c r="D24" i="332"/>
  <c r="D12" i="332"/>
  <c r="D25" i="332"/>
  <c r="D34" i="332"/>
  <c r="D13" i="332"/>
  <c r="D16" i="332"/>
  <c r="D15" i="332"/>
  <c r="D17" i="332"/>
  <c r="D14" i="332"/>
  <c r="D19" i="332"/>
  <c r="D33" i="332"/>
  <c r="D27" i="332"/>
  <c r="D9" i="332"/>
  <c r="O13" i="551"/>
  <c r="I13" i="606"/>
  <c r="N13" i="551"/>
  <c r="E11" i="551" l="1"/>
  <c r="D35" i="333"/>
  <c r="D34" i="333"/>
  <c r="E12" i="551"/>
  <c r="E6" i="336"/>
  <c r="C6" i="601" s="1"/>
  <c r="C7" i="601" s="1"/>
  <c r="D35" i="343"/>
  <c r="N30" i="333"/>
  <c r="E9" i="606"/>
  <c r="D40" i="332"/>
  <c r="E6" i="601" l="1"/>
  <c r="C6" i="337" s="1"/>
  <c r="C7" i="337" s="1"/>
  <c r="E6" i="337" l="1"/>
  <c r="C6" i="338" s="1"/>
  <c r="E6" i="338" s="1"/>
  <c r="C6" i="340" s="1"/>
  <c r="E6" i="340" s="1"/>
  <c r="C6" i="343" l="1"/>
  <c r="E103" i="343" s="1"/>
  <c r="G103" i="343" s="1"/>
  <c r="E73" i="343" l="1"/>
  <c r="G73" i="343" s="1"/>
  <c r="M73" i="343" s="1"/>
  <c r="E67" i="602" s="1"/>
  <c r="F67" i="602" s="1"/>
  <c r="E63" i="343"/>
  <c r="G63" i="343" s="1"/>
  <c r="M63" i="343" s="1"/>
  <c r="E57" i="602" s="1"/>
  <c r="F57" i="602" s="1"/>
  <c r="E24" i="343"/>
  <c r="G24" i="343" s="1"/>
  <c r="M24" i="343" s="1"/>
  <c r="E41" i="343"/>
  <c r="G41" i="343" s="1"/>
  <c r="M41" i="343" s="1"/>
  <c r="E35" i="602" s="1"/>
  <c r="F35" i="602" s="1"/>
  <c r="E70" i="343"/>
  <c r="G70" i="343" s="1"/>
  <c r="M70" i="343" s="1"/>
  <c r="E64" i="602" s="1"/>
  <c r="F64" i="602" s="1"/>
  <c r="E22" i="343"/>
  <c r="G22" i="343" s="1"/>
  <c r="M22" i="343" s="1"/>
  <c r="E16" i="602" s="1"/>
  <c r="O16" i="602" s="1"/>
  <c r="E94" i="343"/>
  <c r="G94" i="343" s="1"/>
  <c r="M94" i="343" s="1"/>
  <c r="E88" i="602" s="1"/>
  <c r="F88" i="602" s="1"/>
  <c r="E14" i="343"/>
  <c r="G14" i="343" s="1"/>
  <c r="M14" i="343" s="1"/>
  <c r="E8" i="602" s="1"/>
  <c r="E83" i="343"/>
  <c r="G83" i="343" s="1"/>
  <c r="M83" i="343" s="1"/>
  <c r="E77" i="602" s="1"/>
  <c r="F77" i="602" s="1"/>
  <c r="E40" i="343"/>
  <c r="G40" i="343" s="1"/>
  <c r="M40" i="343" s="1"/>
  <c r="E34" i="602" s="1"/>
  <c r="F34" i="602" s="1"/>
  <c r="E59" i="343"/>
  <c r="G59" i="343" s="1"/>
  <c r="M59" i="343" s="1"/>
  <c r="E53" i="602" s="1"/>
  <c r="F53" i="602" s="1"/>
  <c r="E38" i="343"/>
  <c r="G38" i="343" s="1"/>
  <c r="M38" i="343" s="1"/>
  <c r="E97" i="343"/>
  <c r="G97" i="343" s="1"/>
  <c r="M97" i="343" s="1"/>
  <c r="E91" i="602" s="1"/>
  <c r="F91" i="602" s="1"/>
  <c r="E39" i="343"/>
  <c r="G39" i="343" s="1"/>
  <c r="M39" i="343" s="1"/>
  <c r="E33" i="602" s="1"/>
  <c r="F33" i="602" s="1"/>
  <c r="E44" i="343"/>
  <c r="G44" i="343" s="1"/>
  <c r="M44" i="343" s="1"/>
  <c r="E38" i="602" s="1"/>
  <c r="F38" i="602" s="1"/>
  <c r="E21" i="343"/>
  <c r="G21" i="343" s="1"/>
  <c r="M21" i="343" s="1"/>
  <c r="E15" i="602" s="1"/>
  <c r="F15" i="602" s="1"/>
  <c r="K15" i="602" s="1"/>
  <c r="E65" i="343"/>
  <c r="G65" i="343" s="1"/>
  <c r="M65" i="343" s="1"/>
  <c r="E59" i="602" s="1"/>
  <c r="F59" i="602" s="1"/>
  <c r="E47" i="343"/>
  <c r="G47" i="343" s="1"/>
  <c r="M47" i="343" s="1"/>
  <c r="E41" i="602" s="1"/>
  <c r="F41" i="602" s="1"/>
  <c r="E49" i="343"/>
  <c r="G49" i="343" s="1"/>
  <c r="M49" i="343" s="1"/>
  <c r="E43" i="602" s="1"/>
  <c r="F43" i="602" s="1"/>
  <c r="E113" i="343"/>
  <c r="G113" i="343" s="1"/>
  <c r="M113" i="343" s="1"/>
  <c r="E89" i="343"/>
  <c r="G89" i="343" s="1"/>
  <c r="M89" i="343" s="1"/>
  <c r="E83" i="602" s="1"/>
  <c r="F83" i="602" s="1"/>
  <c r="E64" i="343"/>
  <c r="G64" i="343" s="1"/>
  <c r="M64" i="343" s="1"/>
  <c r="E58" i="602" s="1"/>
  <c r="F58" i="602" s="1"/>
  <c r="E69" i="343"/>
  <c r="G69" i="343" s="1"/>
  <c r="M69" i="343" s="1"/>
  <c r="E63" i="602" s="1"/>
  <c r="F63" i="602" s="1"/>
  <c r="E77" i="343"/>
  <c r="G77" i="343" s="1"/>
  <c r="M77" i="343" s="1"/>
  <c r="E71" i="602" s="1"/>
  <c r="F71" i="602" s="1"/>
  <c r="E42" i="343"/>
  <c r="G42" i="343" s="1"/>
  <c r="M42" i="343" s="1"/>
  <c r="E36" i="602" s="1"/>
  <c r="F36" i="602" s="1"/>
  <c r="E80" i="343"/>
  <c r="G80" i="343" s="1"/>
  <c r="M80" i="343" s="1"/>
  <c r="E74" i="602" s="1"/>
  <c r="F74" i="602" s="1"/>
  <c r="E50" i="343"/>
  <c r="G50" i="343" s="1"/>
  <c r="M50" i="343" s="1"/>
  <c r="E44" i="602" s="1"/>
  <c r="F44" i="602" s="1"/>
  <c r="E18" i="343"/>
  <c r="G18" i="343" s="1"/>
  <c r="M18" i="343" s="1"/>
  <c r="E12" i="602" s="1"/>
  <c r="O12" i="602" s="1"/>
  <c r="E81" i="343"/>
  <c r="G81" i="343" s="1"/>
  <c r="M81" i="343" s="1"/>
  <c r="E75" i="602" s="1"/>
  <c r="F75" i="602" s="1"/>
  <c r="E68" i="343"/>
  <c r="G68" i="343" s="1"/>
  <c r="M68" i="343" s="1"/>
  <c r="E62" i="602" s="1"/>
  <c r="F62" i="602" s="1"/>
  <c r="E86" i="343"/>
  <c r="G86" i="343" s="1"/>
  <c r="M86" i="343" s="1"/>
  <c r="E80" i="602" s="1"/>
  <c r="F80" i="602" s="1"/>
  <c r="E78" i="343"/>
  <c r="G78" i="343" s="1"/>
  <c r="M78" i="343" s="1"/>
  <c r="E72" i="602" s="1"/>
  <c r="F72" i="602" s="1"/>
  <c r="E45" i="343"/>
  <c r="G45" i="343" s="1"/>
  <c r="M45" i="343" s="1"/>
  <c r="E39" i="602" s="1"/>
  <c r="F39" i="602" s="1"/>
  <c r="E60" i="343"/>
  <c r="G60" i="343" s="1"/>
  <c r="M60" i="343" s="1"/>
  <c r="E54" i="602" s="1"/>
  <c r="F54" i="602" s="1"/>
  <c r="E72" i="343"/>
  <c r="G72" i="343" s="1"/>
  <c r="M72" i="343" s="1"/>
  <c r="E66" i="602" s="1"/>
  <c r="F66" i="602" s="1"/>
  <c r="E52" i="343"/>
  <c r="G52" i="343" s="1"/>
  <c r="M52" i="343" s="1"/>
  <c r="E46" i="602" s="1"/>
  <c r="F46" i="602" s="1"/>
  <c r="E67" i="343"/>
  <c r="G67" i="343" s="1"/>
  <c r="M67" i="343" s="1"/>
  <c r="E61" i="602" s="1"/>
  <c r="F61" i="602" s="1"/>
  <c r="E27" i="343"/>
  <c r="G27" i="343" s="1"/>
  <c r="M27" i="343" s="1"/>
  <c r="E21" i="602" s="1"/>
  <c r="O21" i="602" s="1"/>
  <c r="E58" i="343"/>
  <c r="G58" i="343" s="1"/>
  <c r="M58" i="343" s="1"/>
  <c r="E52" i="602" s="1"/>
  <c r="F52" i="602" s="1"/>
  <c r="E90" i="343"/>
  <c r="G90" i="343" s="1"/>
  <c r="M90" i="343" s="1"/>
  <c r="E84" i="602" s="1"/>
  <c r="F84" i="602" s="1"/>
  <c r="E53" i="343"/>
  <c r="G53" i="343" s="1"/>
  <c r="M53" i="343" s="1"/>
  <c r="E47" i="602" s="1"/>
  <c r="F47" i="602" s="1"/>
  <c r="E51" i="343"/>
  <c r="G51" i="343" s="1"/>
  <c r="M51" i="343" s="1"/>
  <c r="E45" i="602" s="1"/>
  <c r="F45" i="602" s="1"/>
  <c r="E74" i="343"/>
  <c r="G74" i="343" s="1"/>
  <c r="M74" i="343" s="1"/>
  <c r="E68" i="602" s="1"/>
  <c r="F68" i="602" s="1"/>
  <c r="E66" i="343"/>
  <c r="G66" i="343" s="1"/>
  <c r="M66" i="343" s="1"/>
  <c r="E60" i="602" s="1"/>
  <c r="F60" i="602" s="1"/>
  <c r="E96" i="343"/>
  <c r="G96" i="343" s="1"/>
  <c r="M96" i="343" s="1"/>
  <c r="E90" i="602" s="1"/>
  <c r="F90" i="602" s="1"/>
  <c r="E61" i="343"/>
  <c r="G61" i="343" s="1"/>
  <c r="M61" i="343" s="1"/>
  <c r="E55" i="602" s="1"/>
  <c r="F55" i="602" s="1"/>
  <c r="E57" i="343"/>
  <c r="G57" i="343" s="1"/>
  <c r="M57" i="343" s="1"/>
  <c r="E51" i="602" s="1"/>
  <c r="F51" i="602" s="1"/>
  <c r="E84" i="343"/>
  <c r="G84" i="343" s="1"/>
  <c r="M84" i="343" s="1"/>
  <c r="E78" i="602" s="1"/>
  <c r="F78" i="602" s="1"/>
  <c r="E91" i="343"/>
  <c r="G91" i="343" s="1"/>
  <c r="M91" i="343" s="1"/>
  <c r="E85" i="602" s="1"/>
  <c r="F85" i="602" s="1"/>
  <c r="E114" i="343"/>
  <c r="G114" i="343" s="1"/>
  <c r="M114" i="343" s="1"/>
  <c r="E110" i="602" s="1"/>
  <c r="F110" i="602" s="1"/>
  <c r="K110" i="602" s="1"/>
  <c r="O110" i="602" s="1"/>
  <c r="E28" i="343"/>
  <c r="G28" i="343" s="1"/>
  <c r="M28" i="343" s="1"/>
  <c r="E22" i="602" s="1"/>
  <c r="F22" i="602" s="1"/>
  <c r="K22" i="602" s="1"/>
  <c r="E82" i="343"/>
  <c r="G82" i="343" s="1"/>
  <c r="M82" i="343" s="1"/>
  <c r="E76" i="602" s="1"/>
  <c r="F76" i="602" s="1"/>
  <c r="E71" i="343"/>
  <c r="G71" i="343" s="1"/>
  <c r="M71" i="343" s="1"/>
  <c r="E65" i="602" s="1"/>
  <c r="F65" i="602" s="1"/>
  <c r="E85" i="343"/>
  <c r="G85" i="343" s="1"/>
  <c r="M85" i="343" s="1"/>
  <c r="E79" i="602" s="1"/>
  <c r="F79" i="602" s="1"/>
  <c r="E29" i="343"/>
  <c r="G29" i="343" s="1"/>
  <c r="M29" i="343" s="1"/>
  <c r="E23" i="602" s="1"/>
  <c r="F23" i="602" s="1"/>
  <c r="K23" i="602" s="1"/>
  <c r="E104" i="343"/>
  <c r="G104" i="343" s="1"/>
  <c r="M104" i="343" s="1"/>
  <c r="E100" i="602" s="1"/>
  <c r="E79" i="343"/>
  <c r="G79" i="343" s="1"/>
  <c r="M79" i="343" s="1"/>
  <c r="E73" i="602" s="1"/>
  <c r="F73" i="602" s="1"/>
  <c r="E23" i="343"/>
  <c r="G23" i="343" s="1"/>
  <c r="M23" i="343" s="1"/>
  <c r="E17" i="602" s="1"/>
  <c r="O17" i="602" s="1"/>
  <c r="E108" i="343"/>
  <c r="G108" i="343" s="1"/>
  <c r="M108" i="343" s="1"/>
  <c r="E75" i="343"/>
  <c r="G75" i="343" s="1"/>
  <c r="M75" i="343" s="1"/>
  <c r="E69" i="602" s="1"/>
  <c r="F69" i="602" s="1"/>
  <c r="E19" i="343"/>
  <c r="G19" i="343" s="1"/>
  <c r="M19" i="343" s="1"/>
  <c r="E13" i="602" s="1"/>
  <c r="O13" i="602" s="1"/>
  <c r="E92" i="343"/>
  <c r="G92" i="343" s="1"/>
  <c r="M92" i="343" s="1"/>
  <c r="E86" i="602" s="1"/>
  <c r="F86" i="602" s="1"/>
  <c r="E46" i="343"/>
  <c r="G46" i="343" s="1"/>
  <c r="M46" i="343" s="1"/>
  <c r="E40" i="602" s="1"/>
  <c r="F40" i="602" s="1"/>
  <c r="E43" i="343"/>
  <c r="G43" i="343" s="1"/>
  <c r="M43" i="343" s="1"/>
  <c r="E37" i="602" s="1"/>
  <c r="F37" i="602" s="1"/>
  <c r="E87" i="343"/>
  <c r="G87" i="343" s="1"/>
  <c r="M87" i="343" s="1"/>
  <c r="E81" i="602" s="1"/>
  <c r="F81" i="602" s="1"/>
  <c r="E98" i="343"/>
  <c r="G98" i="343" s="1"/>
  <c r="M98" i="343" s="1"/>
  <c r="E92" i="602" s="1"/>
  <c r="F92" i="602" s="1"/>
  <c r="E25" i="343"/>
  <c r="G25" i="343" s="1"/>
  <c r="M25" i="343" s="1"/>
  <c r="E19" i="602" s="1"/>
  <c r="O19" i="602" s="1"/>
  <c r="E95" i="343"/>
  <c r="G95" i="343" s="1"/>
  <c r="M95" i="343" s="1"/>
  <c r="E89" i="602" s="1"/>
  <c r="F89" i="602" s="1"/>
  <c r="E55" i="343"/>
  <c r="G55" i="343" s="1"/>
  <c r="M55" i="343" s="1"/>
  <c r="E49" i="602" s="1"/>
  <c r="F49" i="602" s="1"/>
  <c r="E54" i="343"/>
  <c r="G54" i="343" s="1"/>
  <c r="M54" i="343" s="1"/>
  <c r="E48" i="602" s="1"/>
  <c r="F48" i="602" s="1"/>
  <c r="E62" i="343"/>
  <c r="G62" i="343" s="1"/>
  <c r="M62" i="343" s="1"/>
  <c r="E56" i="602" s="1"/>
  <c r="F56" i="602" s="1"/>
  <c r="E20" i="343"/>
  <c r="G20" i="343" s="1"/>
  <c r="M20" i="343" s="1"/>
  <c r="E14" i="602" s="1"/>
  <c r="F14" i="602" s="1"/>
  <c r="K14" i="602" s="1"/>
  <c r="E56" i="343"/>
  <c r="G56" i="343" s="1"/>
  <c r="M56" i="343" s="1"/>
  <c r="E50" i="602" s="1"/>
  <c r="F50" i="602" s="1"/>
  <c r="E93" i="343"/>
  <c r="G93" i="343" s="1"/>
  <c r="M93" i="343" s="1"/>
  <c r="E87" i="602" s="1"/>
  <c r="F87" i="602" s="1"/>
  <c r="E15" i="343"/>
  <c r="G15" i="343" s="1"/>
  <c r="M15" i="343" s="1"/>
  <c r="E9" i="602" s="1"/>
  <c r="E26" i="343"/>
  <c r="G26" i="343" s="1"/>
  <c r="M26" i="343" s="1"/>
  <c r="E20" i="602" s="1"/>
  <c r="O20" i="602" s="1"/>
  <c r="E16" i="343"/>
  <c r="G16" i="343" s="1"/>
  <c r="M16" i="343" s="1"/>
  <c r="E10" i="602" s="1"/>
  <c r="O10" i="602" s="1"/>
  <c r="E88" i="343"/>
  <c r="G88" i="343" s="1"/>
  <c r="M88" i="343" s="1"/>
  <c r="E82" i="602" s="1"/>
  <c r="F82" i="602" s="1"/>
  <c r="E48" i="343"/>
  <c r="G48" i="343" s="1"/>
  <c r="M48" i="343" s="1"/>
  <c r="E42" i="602" s="1"/>
  <c r="F42" i="602" s="1"/>
  <c r="E99" i="343"/>
  <c r="G99" i="343" s="1"/>
  <c r="M99" i="343" s="1"/>
  <c r="E93" i="602" s="1"/>
  <c r="F93" i="602" s="1"/>
  <c r="E76" i="343"/>
  <c r="G76" i="343" s="1"/>
  <c r="M76" i="343" s="1"/>
  <c r="E70" i="602" s="1"/>
  <c r="F70" i="602" s="1"/>
  <c r="E17" i="343"/>
  <c r="G17" i="343" s="1"/>
  <c r="M17" i="343" s="1"/>
  <c r="E11" i="602" s="1"/>
  <c r="F11" i="602" s="1"/>
  <c r="K11" i="602" s="1"/>
  <c r="D15" i="603" s="1"/>
  <c r="E30" i="343"/>
  <c r="G30" i="343" s="1"/>
  <c r="M30" i="343" s="1"/>
  <c r="E24" i="602" s="1"/>
  <c r="F24" i="602" s="1"/>
  <c r="K24" i="602" s="1"/>
  <c r="E18" i="602"/>
  <c r="O18" i="602" s="1"/>
  <c r="E109" i="343"/>
  <c r="G109" i="343" s="1"/>
  <c r="M109" i="343" s="1"/>
  <c r="E105" i="602" s="1"/>
  <c r="F105" i="602" s="1"/>
  <c r="K105" i="602" s="1"/>
  <c r="O105" i="602" s="1"/>
  <c r="M103" i="343"/>
  <c r="G105" i="343" l="1"/>
  <c r="G32" i="343" s="1"/>
  <c r="E105" i="343"/>
  <c r="E32" i="343" s="1"/>
  <c r="E106" i="343" s="1"/>
  <c r="G115" i="343"/>
  <c r="G34" i="343" s="1"/>
  <c r="G116" i="343" s="1"/>
  <c r="E115" i="343"/>
  <c r="E34" i="343" s="1"/>
  <c r="E116" i="343" s="1"/>
  <c r="F16" i="602"/>
  <c r="K16" i="602" s="1"/>
  <c r="D20" i="603" s="1"/>
  <c r="E95" i="602"/>
  <c r="F95" i="602" s="1"/>
  <c r="G100" i="343"/>
  <c r="M100" i="343" s="1"/>
  <c r="E100" i="343"/>
  <c r="E31" i="343" s="1"/>
  <c r="O23" i="602"/>
  <c r="O15" i="602"/>
  <c r="O14" i="602"/>
  <c r="G106" i="343"/>
  <c r="M32" i="343"/>
  <c r="F18" i="602"/>
  <c r="K18" i="602" s="1"/>
  <c r="AB21" i="604" s="1"/>
  <c r="D18" i="604"/>
  <c r="D18" i="620"/>
  <c r="AB18" i="604"/>
  <c r="R15" i="602"/>
  <c r="Q15" i="602"/>
  <c r="D19" i="603"/>
  <c r="F12" i="602"/>
  <c r="K12" i="602" s="1"/>
  <c r="O24" i="602"/>
  <c r="F21" i="602"/>
  <c r="K21" i="602" s="1"/>
  <c r="AB24" i="604" s="1"/>
  <c r="F10" i="602"/>
  <c r="K10" i="602" s="1"/>
  <c r="D13" i="620" s="1"/>
  <c r="R14" i="602"/>
  <c r="AB17" i="604"/>
  <c r="Q14" i="602"/>
  <c r="D18" i="603"/>
  <c r="L18" i="603" s="1"/>
  <c r="D17" i="620"/>
  <c r="D17" i="604"/>
  <c r="D28" i="604"/>
  <c r="R24" i="602"/>
  <c r="AB27" i="604"/>
  <c r="Q24" i="602"/>
  <c r="D28" i="620"/>
  <c r="D28" i="603"/>
  <c r="L28" i="603" s="1"/>
  <c r="N27" i="604" s="1"/>
  <c r="AB26" i="604"/>
  <c r="Q23" i="602"/>
  <c r="R23" i="602"/>
  <c r="D27" i="603"/>
  <c r="D26" i="604"/>
  <c r="D26" i="620"/>
  <c r="D27" i="604"/>
  <c r="D27" i="620"/>
  <c r="D26" i="603"/>
  <c r="L26" i="603" s="1"/>
  <c r="D25" i="620"/>
  <c r="AB25" i="604"/>
  <c r="Q22" i="602"/>
  <c r="R22" i="602"/>
  <c r="F20" i="602"/>
  <c r="K20" i="602" s="1"/>
  <c r="O11" i="602"/>
  <c r="F13" i="602"/>
  <c r="K13" i="602" s="1"/>
  <c r="O22" i="602"/>
  <c r="F19" i="602"/>
  <c r="K19" i="602" s="1"/>
  <c r="D22" i="604" s="1"/>
  <c r="F17" i="602"/>
  <c r="K17" i="602" s="1"/>
  <c r="E110" i="343"/>
  <c r="E33" i="343" s="1"/>
  <c r="E111" i="343" s="1"/>
  <c r="D25" i="604"/>
  <c r="AB14" i="604"/>
  <c r="G110" i="343"/>
  <c r="G33" i="343" s="1"/>
  <c r="D14" i="604"/>
  <c r="Q11" i="602"/>
  <c r="R11" i="602"/>
  <c r="D14" i="620"/>
  <c r="D19" i="604"/>
  <c r="R16" i="602"/>
  <c r="Q16" i="602"/>
  <c r="AB19" i="604"/>
  <c r="F8" i="602"/>
  <c r="K8" i="602" s="1"/>
  <c r="O8" i="602"/>
  <c r="E109" i="602"/>
  <c r="M115" i="343"/>
  <c r="M110" i="343"/>
  <c r="E104" i="602"/>
  <c r="E99" i="602"/>
  <c r="M105" i="343"/>
  <c r="E32" i="602"/>
  <c r="R15" i="603"/>
  <c r="T14" i="604" s="1"/>
  <c r="E15" i="603"/>
  <c r="L15" i="603"/>
  <c r="N14" i="604" s="1"/>
  <c r="H15" i="603"/>
  <c r="N15" i="603"/>
  <c r="P14" i="604" s="1"/>
  <c r="I15" i="603"/>
  <c r="E14" i="604"/>
  <c r="N38" i="551" s="1"/>
  <c r="I38" i="606" s="1"/>
  <c r="V11" i="618" s="1"/>
  <c r="Z14" i="620" s="1"/>
  <c r="G15" i="603"/>
  <c r="N17" i="604" l="1"/>
  <c r="N25" i="604"/>
  <c r="D19" i="620"/>
  <c r="M34" i="343"/>
  <c r="M116" i="343" s="1"/>
  <c r="G26" i="603"/>
  <c r="I26" i="603"/>
  <c r="H26" i="603"/>
  <c r="R26" i="603"/>
  <c r="T25" i="604" s="1"/>
  <c r="N26" i="603"/>
  <c r="P25" i="604" s="1"/>
  <c r="E17" i="604"/>
  <c r="N41" i="551" s="1"/>
  <c r="I41" i="606" s="1"/>
  <c r="V14" i="618" s="1"/>
  <c r="Z17" i="620" s="1"/>
  <c r="I18" i="603"/>
  <c r="G18" i="603"/>
  <c r="R18" i="603"/>
  <c r="T17" i="604" s="1"/>
  <c r="H18" i="603"/>
  <c r="N18" i="603"/>
  <c r="P17" i="604" s="1"/>
  <c r="E20" i="603"/>
  <c r="R20" i="603"/>
  <c r="T19" i="604" s="1"/>
  <c r="N20" i="603"/>
  <c r="P19" i="604" s="1"/>
  <c r="I20" i="603"/>
  <c r="L20" i="603"/>
  <c r="N19" i="604" s="1"/>
  <c r="H20" i="603"/>
  <c r="E26" i="604"/>
  <c r="N50" i="551" s="1"/>
  <c r="I50" i="606" s="1"/>
  <c r="V23" i="618" s="1"/>
  <c r="Z26" i="620" s="1"/>
  <c r="N27" i="603"/>
  <c r="P26" i="604" s="1"/>
  <c r="E27" i="603"/>
  <c r="I27" i="603"/>
  <c r="H27" i="603"/>
  <c r="G27" i="603"/>
  <c r="E19" i="603"/>
  <c r="R19" i="603"/>
  <c r="T18" i="604" s="1"/>
  <c r="N19" i="603"/>
  <c r="P18" i="604" s="1"/>
  <c r="L19" i="603"/>
  <c r="N18" i="604" s="1"/>
  <c r="I19" i="603"/>
  <c r="H19" i="603"/>
  <c r="G20" i="603"/>
  <c r="E19" i="604"/>
  <c r="N43" i="551" s="1"/>
  <c r="I43" i="606" s="1"/>
  <c r="V16" i="618" s="1"/>
  <c r="Z19" i="620" s="1"/>
  <c r="G31" i="343"/>
  <c r="M31" i="343" s="1"/>
  <c r="M101" i="343" s="1"/>
  <c r="AB13" i="604"/>
  <c r="E101" i="343"/>
  <c r="L27" i="603"/>
  <c r="N26" i="604" s="1"/>
  <c r="R14" i="604"/>
  <c r="D21" i="604"/>
  <c r="R18" i="602"/>
  <c r="D22" i="603"/>
  <c r="Q18" i="602"/>
  <c r="D21" i="620"/>
  <c r="G19" i="603"/>
  <c r="E35" i="343"/>
  <c r="D6" i="343" s="1"/>
  <c r="E6" i="343" s="1"/>
  <c r="G111" i="343"/>
  <c r="M33" i="343"/>
  <c r="M111" i="343" s="1"/>
  <c r="M106" i="343"/>
  <c r="E18" i="604"/>
  <c r="N42" i="551" s="1"/>
  <c r="I42" i="606" s="1"/>
  <c r="V15" i="618" s="1"/>
  <c r="Z18" i="620" s="1"/>
  <c r="D25" i="603"/>
  <c r="D24" i="620"/>
  <c r="D24" i="604"/>
  <c r="R10" i="602"/>
  <c r="D14" i="603"/>
  <c r="H14" i="603" s="1"/>
  <c r="D13" i="604"/>
  <c r="Q10" i="602"/>
  <c r="D15" i="604"/>
  <c r="AB15" i="604"/>
  <c r="D15" i="620"/>
  <c r="Q12" i="602"/>
  <c r="D16" i="603"/>
  <c r="R12" i="602"/>
  <c r="R21" i="602"/>
  <c r="R28" i="603"/>
  <c r="T27" i="604" s="1"/>
  <c r="D22" i="620"/>
  <c r="Q21" i="602"/>
  <c r="H28" i="603"/>
  <c r="I28" i="603"/>
  <c r="N28" i="603"/>
  <c r="P27" i="604" s="1"/>
  <c r="E25" i="604"/>
  <c r="N49" i="551" s="1"/>
  <c r="I49" i="606" s="1"/>
  <c r="V22" i="618" s="1"/>
  <c r="Z25" i="620" s="1"/>
  <c r="D20" i="604"/>
  <c r="AB20" i="604"/>
  <c r="Q17" i="602"/>
  <c r="D20" i="620"/>
  <c r="D21" i="603"/>
  <c r="R17" i="602"/>
  <c r="AB22" i="604"/>
  <c r="D23" i="603"/>
  <c r="R13" i="602"/>
  <c r="Q13" i="602"/>
  <c r="D16" i="604"/>
  <c r="D16" i="620"/>
  <c r="D17" i="603"/>
  <c r="L17" i="603" s="1"/>
  <c r="AB16" i="604"/>
  <c r="E28" i="603"/>
  <c r="R27" i="603"/>
  <c r="T26" i="604" s="1"/>
  <c r="E27" i="604"/>
  <c r="R19" i="602"/>
  <c r="D24" i="603"/>
  <c r="Q20" i="602"/>
  <c r="D23" i="620"/>
  <c r="R20" i="602"/>
  <c r="D23" i="604"/>
  <c r="AB23" i="604"/>
  <c r="G28" i="603"/>
  <c r="Q19" i="602"/>
  <c r="E94" i="602"/>
  <c r="E96" i="602" s="1"/>
  <c r="E25" i="602" s="1"/>
  <c r="P15" i="603"/>
  <c r="F9" i="602"/>
  <c r="K9" i="602" s="1"/>
  <c r="O9" i="602"/>
  <c r="J15" i="603"/>
  <c r="F109" i="602"/>
  <c r="K109" i="602" s="1"/>
  <c r="O109" i="602" s="1"/>
  <c r="E111" i="602"/>
  <c r="E28" i="602" s="1"/>
  <c r="K28" i="602" s="1"/>
  <c r="D11" i="604"/>
  <c r="Q8" i="602"/>
  <c r="D11" i="620"/>
  <c r="R8" i="602"/>
  <c r="D12" i="603"/>
  <c r="AB11" i="604"/>
  <c r="F99" i="602"/>
  <c r="K99" i="602" s="1"/>
  <c r="O99" i="602" s="1"/>
  <c r="E101" i="602"/>
  <c r="E26" i="602" s="1"/>
  <c r="F26" i="602" s="1"/>
  <c r="K26" i="602" s="1"/>
  <c r="F104" i="602"/>
  <c r="K104" i="602" s="1"/>
  <c r="O104" i="602" s="1"/>
  <c r="E106" i="602"/>
  <c r="E27" i="602" s="1"/>
  <c r="K27" i="602" s="1"/>
  <c r="F32" i="602"/>
  <c r="P26" i="603" l="1"/>
  <c r="N16" i="604"/>
  <c r="P18" i="603"/>
  <c r="N12" i="603"/>
  <c r="P11" i="604" s="1"/>
  <c r="E12" i="603"/>
  <c r="J26" i="603"/>
  <c r="E26" i="603" s="1"/>
  <c r="J18" i="603"/>
  <c r="E18" i="603" s="1"/>
  <c r="G101" i="343"/>
  <c r="J20" i="603"/>
  <c r="G35" i="343"/>
  <c r="G36" i="343" s="1"/>
  <c r="P19" i="603"/>
  <c r="P20" i="603"/>
  <c r="R18" i="604"/>
  <c r="L24" i="603"/>
  <c r="N23" i="604" s="1"/>
  <c r="H24" i="603"/>
  <c r="E24" i="603"/>
  <c r="I24" i="603"/>
  <c r="R24" i="603"/>
  <c r="T23" i="604" s="1"/>
  <c r="N24" i="603"/>
  <c r="P23" i="604" s="1"/>
  <c r="R17" i="604"/>
  <c r="L25" i="603"/>
  <c r="N24" i="604" s="1"/>
  <c r="E25" i="603"/>
  <c r="I25" i="603"/>
  <c r="H25" i="603"/>
  <c r="R25" i="603"/>
  <c r="T24" i="604" s="1"/>
  <c r="N25" i="603"/>
  <c r="P24" i="604" s="1"/>
  <c r="R17" i="603"/>
  <c r="T16" i="604" s="1"/>
  <c r="N17" i="603"/>
  <c r="P16" i="604" s="1"/>
  <c r="I17" i="603"/>
  <c r="H17" i="603"/>
  <c r="G17" i="603"/>
  <c r="R16" i="603"/>
  <c r="T15" i="604" s="1"/>
  <c r="G16" i="603"/>
  <c r="R25" i="604"/>
  <c r="H23" i="603"/>
  <c r="E23" i="603"/>
  <c r="I23" i="603"/>
  <c r="L23" i="603"/>
  <c r="N22" i="604" s="1"/>
  <c r="R23" i="603"/>
  <c r="T22" i="604" s="1"/>
  <c r="N23" i="603"/>
  <c r="P22" i="604" s="1"/>
  <c r="E22" i="603"/>
  <c r="I22" i="603"/>
  <c r="N22" i="603"/>
  <c r="P21" i="604" s="1"/>
  <c r="R22" i="603"/>
  <c r="T21" i="604" s="1"/>
  <c r="L22" i="603"/>
  <c r="N21" i="604" s="1"/>
  <c r="H22" i="603"/>
  <c r="E21" i="603"/>
  <c r="H21" i="603"/>
  <c r="R21" i="603"/>
  <c r="T20" i="604" s="1"/>
  <c r="N21" i="603"/>
  <c r="P20" i="604" s="1"/>
  <c r="I21" i="603"/>
  <c r="L21" i="603"/>
  <c r="N20" i="604" s="1"/>
  <c r="R26" i="604"/>
  <c r="P27" i="603"/>
  <c r="R19" i="604"/>
  <c r="J27" i="603"/>
  <c r="P28" i="603"/>
  <c r="R27" i="604"/>
  <c r="J19" i="603"/>
  <c r="E21" i="604"/>
  <c r="N45" i="551" s="1"/>
  <c r="I45" i="606" s="1"/>
  <c r="V18" i="618" s="1"/>
  <c r="Z21" i="620" s="1"/>
  <c r="G22" i="603"/>
  <c r="E24" i="604"/>
  <c r="N48" i="551" s="1"/>
  <c r="I48" i="606" s="1"/>
  <c r="V21" i="618" s="1"/>
  <c r="Z24" i="620" s="1"/>
  <c r="G25" i="603"/>
  <c r="N14" i="603"/>
  <c r="P13" i="604" s="1"/>
  <c r="E14" i="603"/>
  <c r="E13" i="604"/>
  <c r="N37" i="551" s="1"/>
  <c r="I37" i="606" s="1"/>
  <c r="V10" i="618" s="1"/>
  <c r="Z13" i="620" s="1"/>
  <c r="E22" i="604"/>
  <c r="N46" i="551" s="1"/>
  <c r="I46" i="606" s="1"/>
  <c r="V19" i="618" s="1"/>
  <c r="Z22" i="620" s="1"/>
  <c r="G23" i="603"/>
  <c r="G14" i="603"/>
  <c r="J28" i="603"/>
  <c r="I14" i="603"/>
  <c r="R14" i="603"/>
  <c r="T13" i="604" s="1"/>
  <c r="L14" i="603"/>
  <c r="N13" i="604" s="1"/>
  <c r="L16" i="603"/>
  <c r="N15" i="604" s="1"/>
  <c r="H16" i="603"/>
  <c r="E16" i="603"/>
  <c r="E15" i="604"/>
  <c r="N39" i="551" s="1"/>
  <c r="I39" i="606" s="1"/>
  <c r="V12" i="618" s="1"/>
  <c r="Z15" i="620" s="1"/>
  <c r="N16" i="603"/>
  <c r="P15" i="604" s="1"/>
  <c r="I16" i="603"/>
  <c r="G21" i="603"/>
  <c r="E20" i="604"/>
  <c r="N44" i="551" s="1"/>
  <c r="I44" i="606" s="1"/>
  <c r="V17" i="618" s="1"/>
  <c r="Z20" i="620" s="1"/>
  <c r="E16" i="604"/>
  <c r="N40" i="551" s="1"/>
  <c r="I40" i="606" s="1"/>
  <c r="V13" i="618" s="1"/>
  <c r="Z16" i="620" s="1"/>
  <c r="G24" i="603"/>
  <c r="E23" i="604"/>
  <c r="N47" i="551" s="1"/>
  <c r="I47" i="606" s="1"/>
  <c r="V20" i="618" s="1"/>
  <c r="Z23" i="620" s="1"/>
  <c r="T15" i="603"/>
  <c r="V15" i="603" s="1"/>
  <c r="E29" i="602"/>
  <c r="D13" i="603"/>
  <c r="D12" i="620"/>
  <c r="Q9" i="602"/>
  <c r="R9" i="602"/>
  <c r="AB12" i="604"/>
  <c r="D12" i="604"/>
  <c r="E11" i="604"/>
  <c r="N35" i="551" s="1"/>
  <c r="I35" i="606" s="1"/>
  <c r="V8" i="618" s="1"/>
  <c r="Z11" i="620" s="1"/>
  <c r="G12" i="603"/>
  <c r="L12" i="603"/>
  <c r="N11" i="604" s="1"/>
  <c r="R12" i="603"/>
  <c r="T11" i="604" s="1"/>
  <c r="H12" i="603"/>
  <c r="I12" i="603"/>
  <c r="AB30" i="604"/>
  <c r="O27" i="602"/>
  <c r="D107" i="603"/>
  <c r="R107" i="603" s="1"/>
  <c r="D108" i="603"/>
  <c r="I108" i="603" s="1"/>
  <c r="D31" i="603"/>
  <c r="E30" i="604" s="1"/>
  <c r="E106" i="604" s="1"/>
  <c r="R27" i="602"/>
  <c r="Q27" i="602"/>
  <c r="F94" i="602"/>
  <c r="K94" i="602" s="1"/>
  <c r="AB31" i="604"/>
  <c r="O28" i="602"/>
  <c r="D32" i="603"/>
  <c r="E31" i="604" s="1"/>
  <c r="E111" i="604" s="1"/>
  <c r="D112" i="603"/>
  <c r="E112" i="603" s="1"/>
  <c r="Q28" i="602"/>
  <c r="R28" i="602"/>
  <c r="D113" i="603"/>
  <c r="G113" i="603" s="1"/>
  <c r="D103" i="603"/>
  <c r="G103" i="603" s="1"/>
  <c r="D102" i="603"/>
  <c r="E102" i="603" s="1"/>
  <c r="D30" i="603"/>
  <c r="E29" i="604" s="1"/>
  <c r="AB29" i="604"/>
  <c r="Q26" i="602"/>
  <c r="R26" i="602"/>
  <c r="O26" i="602"/>
  <c r="P17" i="603" l="1"/>
  <c r="T18" i="603"/>
  <c r="T26" i="603"/>
  <c r="W26" i="603" s="1"/>
  <c r="T20" i="603"/>
  <c r="V20" i="603" s="1"/>
  <c r="M35" i="343"/>
  <c r="M36" i="343" s="1"/>
  <c r="P21" i="603"/>
  <c r="P22" i="603"/>
  <c r="P23" i="603"/>
  <c r="J17" i="603"/>
  <c r="E17" i="603" s="1"/>
  <c r="R22" i="604"/>
  <c r="R20" i="604"/>
  <c r="R16" i="604"/>
  <c r="R21" i="604"/>
  <c r="P25" i="603"/>
  <c r="P24" i="603"/>
  <c r="R11" i="604"/>
  <c r="T27" i="603"/>
  <c r="W27" i="603" s="1"/>
  <c r="R13" i="604"/>
  <c r="T28" i="603"/>
  <c r="W28" i="603" s="1"/>
  <c r="T19" i="603"/>
  <c r="W19" i="603" s="1"/>
  <c r="R23" i="604"/>
  <c r="R24" i="604"/>
  <c r="J22" i="603"/>
  <c r="R15" i="604"/>
  <c r="J25" i="603"/>
  <c r="J23" i="603"/>
  <c r="P14" i="603"/>
  <c r="J14" i="603"/>
  <c r="P16" i="603"/>
  <c r="J16" i="603"/>
  <c r="J24" i="603"/>
  <c r="J21" i="603"/>
  <c r="P12" i="603"/>
  <c r="W18" i="603"/>
  <c r="E30" i="602"/>
  <c r="W15" i="603"/>
  <c r="G13" i="603"/>
  <c r="N13" i="603"/>
  <c r="P12" i="604" s="1"/>
  <c r="L13" i="603"/>
  <c r="N12" i="604" s="1"/>
  <c r="R13" i="603"/>
  <c r="T12" i="604" s="1"/>
  <c r="I13" i="603"/>
  <c r="E12" i="604"/>
  <c r="N36" i="551" s="1"/>
  <c r="I36" i="606" s="1"/>
  <c r="V9" i="618" s="1"/>
  <c r="Z12" i="620" s="1"/>
  <c r="H13" i="603"/>
  <c r="E13" i="603"/>
  <c r="R109" i="603"/>
  <c r="R31" i="603" s="1"/>
  <c r="T30" i="604" s="1"/>
  <c r="R112" i="603"/>
  <c r="H112" i="603"/>
  <c r="E113" i="603"/>
  <c r="E114" i="603" s="1"/>
  <c r="E32" i="603" s="1"/>
  <c r="I113" i="603"/>
  <c r="I107" i="603"/>
  <c r="I109" i="603" s="1"/>
  <c r="I31" i="603" s="1"/>
  <c r="H113" i="603"/>
  <c r="E108" i="603"/>
  <c r="G102" i="603"/>
  <c r="G104" i="603" s="1"/>
  <c r="G30" i="603" s="1"/>
  <c r="H103" i="603"/>
  <c r="I103" i="603"/>
  <c r="E103" i="603"/>
  <c r="E104" i="603" s="1"/>
  <c r="E30" i="603" s="1"/>
  <c r="I102" i="603"/>
  <c r="H107" i="603"/>
  <c r="R102" i="603"/>
  <c r="T101" i="604" s="1"/>
  <c r="E107" i="603"/>
  <c r="G107" i="603"/>
  <c r="H102" i="603"/>
  <c r="F25" i="602"/>
  <c r="K25" i="602" s="1"/>
  <c r="N53" i="551"/>
  <c r="E107" i="604"/>
  <c r="E112" i="604"/>
  <c r="E102" i="604"/>
  <c r="E101" i="604"/>
  <c r="G108" i="603"/>
  <c r="G112" i="603"/>
  <c r="G114" i="603" s="1"/>
  <c r="G32" i="603" s="1"/>
  <c r="H108" i="603"/>
  <c r="I112" i="603"/>
  <c r="J12" i="603"/>
  <c r="W20" i="603" l="1"/>
  <c r="T17" i="603"/>
  <c r="V17" i="603" s="1"/>
  <c r="N32" i="604"/>
  <c r="V28" i="603"/>
  <c r="V27" i="603"/>
  <c r="V19" i="603"/>
  <c r="T23" i="603"/>
  <c r="W23" i="603" s="1"/>
  <c r="T25" i="603"/>
  <c r="V25" i="603" s="1"/>
  <c r="T14" i="603"/>
  <c r="V14" i="603" s="1"/>
  <c r="T22" i="603"/>
  <c r="W22" i="603" s="1"/>
  <c r="T24" i="603"/>
  <c r="W24" i="603" s="1"/>
  <c r="T16" i="603"/>
  <c r="W16" i="603" s="1"/>
  <c r="N33" i="603"/>
  <c r="R12" i="604"/>
  <c r="T21" i="603"/>
  <c r="W21" i="603" s="1"/>
  <c r="W17" i="603"/>
  <c r="T12" i="603"/>
  <c r="V12" i="603" s="1"/>
  <c r="V18" i="603"/>
  <c r="V26" i="603"/>
  <c r="P13" i="603"/>
  <c r="P33" i="603" s="1"/>
  <c r="J13" i="603"/>
  <c r="L33" i="603"/>
  <c r="J113" i="603"/>
  <c r="T113" i="603" s="1"/>
  <c r="I114" i="603"/>
  <c r="I32" i="603" s="1"/>
  <c r="I53" i="606"/>
  <c r="V26" i="618" s="1"/>
  <c r="Z29" i="620" s="1"/>
  <c r="D115" i="619"/>
  <c r="D109" i="619"/>
  <c r="D108" i="619"/>
  <c r="R108" i="619" s="1"/>
  <c r="D114" i="619"/>
  <c r="R114" i="619" s="1"/>
  <c r="R116" i="619" s="1"/>
  <c r="R32" i="619" s="1"/>
  <c r="T31" i="620" s="1"/>
  <c r="R114" i="603"/>
  <c r="R32" i="603" s="1"/>
  <c r="T31" i="604" s="1"/>
  <c r="R104" i="603"/>
  <c r="R30" i="603" s="1"/>
  <c r="H114" i="603"/>
  <c r="H32" i="603" s="1"/>
  <c r="E109" i="603"/>
  <c r="E31" i="603" s="1"/>
  <c r="J103" i="603"/>
  <c r="T103" i="603" s="1"/>
  <c r="I104" i="603"/>
  <c r="I30" i="603" s="1"/>
  <c r="J102" i="603"/>
  <c r="T102" i="603" s="1"/>
  <c r="G109" i="603"/>
  <c r="G31" i="603" s="1"/>
  <c r="H109" i="603"/>
  <c r="H31" i="603" s="1"/>
  <c r="H104" i="603"/>
  <c r="H30" i="603" s="1"/>
  <c r="J107" i="603"/>
  <c r="T107" i="603" s="1"/>
  <c r="J108" i="603"/>
  <c r="T108" i="603" s="1"/>
  <c r="J112" i="603"/>
  <c r="T112" i="603" s="1"/>
  <c r="K86" i="602"/>
  <c r="O86" i="602" s="1"/>
  <c r="D44" i="619"/>
  <c r="R44" i="619" s="1"/>
  <c r="T44" i="620" s="1"/>
  <c r="K62" i="602"/>
  <c r="O62" i="602" s="1"/>
  <c r="D29" i="603"/>
  <c r="D50" i="603"/>
  <c r="D60" i="603"/>
  <c r="D49" i="603"/>
  <c r="K61" i="602"/>
  <c r="O61" i="602" s="1"/>
  <c r="D53" i="619"/>
  <c r="R53" i="619" s="1"/>
  <c r="T53" i="620" s="1"/>
  <c r="K33" i="602"/>
  <c r="O33" i="602" s="1"/>
  <c r="K49" i="602"/>
  <c r="O49" i="602" s="1"/>
  <c r="D85" i="619"/>
  <c r="R85" i="619" s="1"/>
  <c r="T85" i="620" s="1"/>
  <c r="O25" i="602"/>
  <c r="D77" i="603"/>
  <c r="K65" i="602"/>
  <c r="O65" i="602" s="1"/>
  <c r="D73" i="603"/>
  <c r="K74" i="602"/>
  <c r="O74" i="602" s="1"/>
  <c r="D83" i="603"/>
  <c r="D55" i="619"/>
  <c r="R55" i="619" s="1"/>
  <c r="T55" i="620" s="1"/>
  <c r="D80" i="619"/>
  <c r="R80" i="619" s="1"/>
  <c r="T80" i="620" s="1"/>
  <c r="D81" i="619"/>
  <c r="R81" i="619" s="1"/>
  <c r="T81" i="620" s="1"/>
  <c r="K32" i="602"/>
  <c r="O32" i="602" s="1"/>
  <c r="D92" i="619"/>
  <c r="R92" i="619" s="1"/>
  <c r="T92" i="620" s="1"/>
  <c r="D51" i="619"/>
  <c r="R51" i="619" s="1"/>
  <c r="T51" i="620" s="1"/>
  <c r="D89" i="603"/>
  <c r="D84" i="603"/>
  <c r="K70" i="602"/>
  <c r="O70" i="602" s="1"/>
  <c r="K92" i="602"/>
  <c r="O92" i="602" s="1"/>
  <c r="K46" i="602"/>
  <c r="O46" i="602" s="1"/>
  <c r="D38" i="619"/>
  <c r="R38" i="619" s="1"/>
  <c r="T38" i="620" s="1"/>
  <c r="D64" i="603"/>
  <c r="D63" i="603"/>
  <c r="D65" i="603"/>
  <c r="D91" i="619"/>
  <c r="R91" i="619" s="1"/>
  <c r="T91" i="620" s="1"/>
  <c r="D55" i="603"/>
  <c r="K71" i="602"/>
  <c r="O71" i="602" s="1"/>
  <c r="D53" i="603"/>
  <c r="K73" i="602"/>
  <c r="O73" i="602" s="1"/>
  <c r="D68" i="603"/>
  <c r="D47" i="603"/>
  <c r="K37" i="602"/>
  <c r="O37" i="602" s="1"/>
  <c r="D95" i="619"/>
  <c r="R95" i="619" s="1"/>
  <c r="T95" i="620" s="1"/>
  <c r="D42" i="619"/>
  <c r="R42" i="619" s="1"/>
  <c r="T42" i="620" s="1"/>
  <c r="D96" i="603"/>
  <c r="K43" i="602"/>
  <c r="O43" i="602" s="1"/>
  <c r="D87" i="603"/>
  <c r="D79" i="619"/>
  <c r="R79" i="619" s="1"/>
  <c r="T79" i="620" s="1"/>
  <c r="D38" i="603"/>
  <c r="D43" i="619"/>
  <c r="R43" i="619" s="1"/>
  <c r="T43" i="620" s="1"/>
  <c r="D74" i="619"/>
  <c r="R74" i="619" s="1"/>
  <c r="T74" i="620" s="1"/>
  <c r="D52" i="619"/>
  <c r="R52" i="619" s="1"/>
  <c r="T52" i="620" s="1"/>
  <c r="K63" i="602"/>
  <c r="O63" i="602" s="1"/>
  <c r="D42" i="603"/>
  <c r="K48" i="602"/>
  <c r="O48" i="602" s="1"/>
  <c r="D89" i="619"/>
  <c r="R89" i="619" s="1"/>
  <c r="T89" i="620" s="1"/>
  <c r="D57" i="619"/>
  <c r="R57" i="619" s="1"/>
  <c r="T57" i="620" s="1"/>
  <c r="D97" i="619"/>
  <c r="R97" i="619" s="1"/>
  <c r="T97" i="620" s="1"/>
  <c r="K88" i="602"/>
  <c r="O88" i="602" s="1"/>
  <c r="D84" i="619"/>
  <c r="R84" i="619" s="1"/>
  <c r="T84" i="620" s="1"/>
  <c r="D74" i="603"/>
  <c r="D56" i="603"/>
  <c r="K89" i="602"/>
  <c r="O89" i="602" s="1"/>
  <c r="D52" i="603"/>
  <c r="D37" i="619"/>
  <c r="R37" i="619" s="1"/>
  <c r="T37" i="620" s="1"/>
  <c r="D65" i="619"/>
  <c r="R65" i="619" s="1"/>
  <c r="T65" i="620" s="1"/>
  <c r="D56" i="619"/>
  <c r="R56" i="619" s="1"/>
  <c r="T56" i="620" s="1"/>
  <c r="D44" i="603"/>
  <c r="D48" i="619"/>
  <c r="R48" i="619" s="1"/>
  <c r="T48" i="620" s="1"/>
  <c r="D90" i="603"/>
  <c r="D81" i="603"/>
  <c r="D82" i="603"/>
  <c r="K77" i="602"/>
  <c r="O77" i="602" s="1"/>
  <c r="K41" i="602"/>
  <c r="O41" i="602" s="1"/>
  <c r="D71" i="619"/>
  <c r="R71" i="619" s="1"/>
  <c r="T71" i="620" s="1"/>
  <c r="K87" i="602"/>
  <c r="O87" i="602" s="1"/>
  <c r="D94" i="603"/>
  <c r="K90" i="602"/>
  <c r="O90" i="602" s="1"/>
  <c r="D46" i="619"/>
  <c r="R46" i="619" s="1"/>
  <c r="T46" i="620" s="1"/>
  <c r="D91" i="603"/>
  <c r="D54" i="603"/>
  <c r="K91" i="602"/>
  <c r="O91" i="602" s="1"/>
  <c r="D80" i="603"/>
  <c r="K78" i="602"/>
  <c r="O78" i="602" s="1"/>
  <c r="D78" i="603"/>
  <c r="D59" i="603"/>
  <c r="K72" i="602"/>
  <c r="O72" i="602" s="1"/>
  <c r="D49" i="619"/>
  <c r="R49" i="619" s="1"/>
  <c r="T49" i="620" s="1"/>
  <c r="K82" i="602"/>
  <c r="O82" i="602" s="1"/>
  <c r="K85" i="602"/>
  <c r="O85" i="602" s="1"/>
  <c r="K42" i="602"/>
  <c r="O42" i="602" s="1"/>
  <c r="K83" i="602"/>
  <c r="O83" i="602" s="1"/>
  <c r="K50" i="602"/>
  <c r="O50" i="602" s="1"/>
  <c r="D29" i="604"/>
  <c r="K84" i="602"/>
  <c r="O84" i="602" s="1"/>
  <c r="D40" i="619"/>
  <c r="R40" i="619" s="1"/>
  <c r="T40" i="620" s="1"/>
  <c r="D63" i="619"/>
  <c r="R63" i="619" s="1"/>
  <c r="T63" i="620" s="1"/>
  <c r="K56" i="602"/>
  <c r="O56" i="602" s="1"/>
  <c r="D68" i="619"/>
  <c r="R68" i="619" s="1"/>
  <c r="T68" i="620" s="1"/>
  <c r="D45" i="603"/>
  <c r="D72" i="603"/>
  <c r="D92" i="603"/>
  <c r="D77" i="619"/>
  <c r="R77" i="619" s="1"/>
  <c r="T77" i="620" s="1"/>
  <c r="D98" i="603"/>
  <c r="D48" i="603"/>
  <c r="D90" i="619"/>
  <c r="R90" i="619" s="1"/>
  <c r="T90" i="620" s="1"/>
  <c r="K47" i="602"/>
  <c r="O47" i="602" s="1"/>
  <c r="R25" i="602"/>
  <c r="R29" i="602" s="1"/>
  <c r="K58" i="602"/>
  <c r="O58" i="602" s="1"/>
  <c r="D103" i="619"/>
  <c r="D46" i="603"/>
  <c r="D93" i="619"/>
  <c r="R93" i="619" s="1"/>
  <c r="T93" i="620" s="1"/>
  <c r="D69" i="619"/>
  <c r="R69" i="619" s="1"/>
  <c r="T69" i="620" s="1"/>
  <c r="K53" i="602"/>
  <c r="O53" i="602" s="1"/>
  <c r="D39" i="619"/>
  <c r="R39" i="619" s="1"/>
  <c r="T39" i="620" s="1"/>
  <c r="D71" i="603"/>
  <c r="D61" i="619"/>
  <c r="R61" i="619" s="1"/>
  <c r="T61" i="620" s="1"/>
  <c r="D102" i="619"/>
  <c r="R102" i="619" s="1"/>
  <c r="D41" i="619"/>
  <c r="R41" i="619" s="1"/>
  <c r="T41" i="620" s="1"/>
  <c r="D88" i="619"/>
  <c r="R88" i="619" s="1"/>
  <c r="T88" i="620" s="1"/>
  <c r="D86" i="603"/>
  <c r="D39" i="603"/>
  <c r="D88" i="603"/>
  <c r="D82" i="619"/>
  <c r="R82" i="619" s="1"/>
  <c r="T82" i="620" s="1"/>
  <c r="K79" i="602"/>
  <c r="O79" i="602" s="1"/>
  <c r="D75" i="619"/>
  <c r="R75" i="619" s="1"/>
  <c r="T75" i="620" s="1"/>
  <c r="K36" i="602"/>
  <c r="O36" i="602" s="1"/>
  <c r="Q25" i="602"/>
  <c r="Q29" i="602" s="1"/>
  <c r="D85" i="603"/>
  <c r="D87" i="619"/>
  <c r="R87" i="619" s="1"/>
  <c r="T87" i="620" s="1"/>
  <c r="D43" i="603"/>
  <c r="D66" i="619"/>
  <c r="R66" i="619" s="1"/>
  <c r="T66" i="620" s="1"/>
  <c r="D29" i="620"/>
  <c r="K52" i="602"/>
  <c r="O52" i="602" s="1"/>
  <c r="D76" i="619"/>
  <c r="R76" i="619" s="1"/>
  <c r="T76" i="620" s="1"/>
  <c r="D59" i="619"/>
  <c r="R59" i="619" s="1"/>
  <c r="T59" i="620" s="1"/>
  <c r="D70" i="619"/>
  <c r="R70" i="619" s="1"/>
  <c r="T70" i="620" s="1"/>
  <c r="K55" i="602"/>
  <c r="O55" i="602" s="1"/>
  <c r="K67" i="602"/>
  <c r="O67" i="602" s="1"/>
  <c r="K66" i="602"/>
  <c r="O66" i="602" s="1"/>
  <c r="K57" i="602"/>
  <c r="O57" i="602" s="1"/>
  <c r="D95" i="603"/>
  <c r="K60" i="602"/>
  <c r="O60" i="602" s="1"/>
  <c r="K80" i="602"/>
  <c r="O80" i="602" s="1"/>
  <c r="D67" i="603"/>
  <c r="D94" i="619"/>
  <c r="R94" i="619" s="1"/>
  <c r="T94" i="620" s="1"/>
  <c r="K39" i="602"/>
  <c r="O39" i="602" s="1"/>
  <c r="K45" i="602"/>
  <c r="O45" i="602" s="1"/>
  <c r="K64" i="602"/>
  <c r="O64" i="602" s="1"/>
  <c r="K59" i="602"/>
  <c r="O59" i="602" s="1"/>
  <c r="K44" i="602"/>
  <c r="O44" i="602" s="1"/>
  <c r="D60" i="619"/>
  <c r="R60" i="619" s="1"/>
  <c r="T60" i="620" s="1"/>
  <c r="D97" i="603"/>
  <c r="D78" i="619"/>
  <c r="R78" i="619" s="1"/>
  <c r="T78" i="620" s="1"/>
  <c r="D70" i="603"/>
  <c r="D50" i="619"/>
  <c r="R50" i="619" s="1"/>
  <c r="T50" i="620" s="1"/>
  <c r="D83" i="619"/>
  <c r="R83" i="619" s="1"/>
  <c r="T83" i="620" s="1"/>
  <c r="D41" i="603"/>
  <c r="D64" i="619"/>
  <c r="R64" i="619" s="1"/>
  <c r="T64" i="620" s="1"/>
  <c r="D86" i="619"/>
  <c r="R86" i="619" s="1"/>
  <c r="T86" i="620" s="1"/>
  <c r="D61" i="603"/>
  <c r="D58" i="619"/>
  <c r="R58" i="619" s="1"/>
  <c r="T58" i="620" s="1"/>
  <c r="K76" i="602"/>
  <c r="O76" i="602" s="1"/>
  <c r="K75" i="602"/>
  <c r="O75" i="602" s="1"/>
  <c r="K54" i="602"/>
  <c r="O54" i="602" s="1"/>
  <c r="K35" i="602"/>
  <c r="O35" i="602" s="1"/>
  <c r="D69" i="603"/>
  <c r="D47" i="619"/>
  <c r="R47" i="619" s="1"/>
  <c r="T47" i="620" s="1"/>
  <c r="D79" i="603"/>
  <c r="D57" i="603"/>
  <c r="K51" i="602"/>
  <c r="O51" i="602" s="1"/>
  <c r="D75" i="603"/>
  <c r="D66" i="603"/>
  <c r="K40" i="602"/>
  <c r="O40" i="602" s="1"/>
  <c r="D62" i="619"/>
  <c r="R62" i="619" s="1"/>
  <c r="T62" i="620" s="1"/>
  <c r="K38" i="602"/>
  <c r="O38" i="602" s="1"/>
  <c r="K93" i="602"/>
  <c r="O93" i="602" s="1"/>
  <c r="D54" i="619"/>
  <c r="R54" i="619" s="1"/>
  <c r="T54" i="620" s="1"/>
  <c r="D98" i="619"/>
  <c r="R98" i="619" s="1"/>
  <c r="T98" i="620" s="1"/>
  <c r="D62" i="603"/>
  <c r="D40" i="603"/>
  <c r="K81" i="602"/>
  <c r="O81" i="602" s="1"/>
  <c r="K68" i="602"/>
  <c r="O68" i="602" s="1"/>
  <c r="D37" i="603"/>
  <c r="D96" i="619"/>
  <c r="R96" i="619" s="1"/>
  <c r="T96" i="620" s="1"/>
  <c r="K69" i="602"/>
  <c r="O69" i="602" s="1"/>
  <c r="D73" i="619"/>
  <c r="R73" i="619" s="1"/>
  <c r="T73" i="620" s="1"/>
  <c r="D67" i="619"/>
  <c r="R67" i="619" s="1"/>
  <c r="T67" i="620" s="1"/>
  <c r="AB28" i="604"/>
  <c r="D76" i="603"/>
  <c r="D58" i="603"/>
  <c r="D72" i="619"/>
  <c r="R72" i="619" s="1"/>
  <c r="T72" i="620" s="1"/>
  <c r="D51" i="603"/>
  <c r="D45" i="619"/>
  <c r="R45" i="619" s="1"/>
  <c r="T45" i="620" s="1"/>
  <c r="K34" i="602"/>
  <c r="O34" i="602" s="1"/>
  <c r="D93" i="603"/>
  <c r="V23" i="603" l="1"/>
  <c r="R104" i="619"/>
  <c r="R30" i="619" s="1"/>
  <c r="T29" i="620" s="1"/>
  <c r="T102" i="620"/>
  <c r="W25" i="603"/>
  <c r="V22" i="603"/>
  <c r="W14" i="603"/>
  <c r="V24" i="603"/>
  <c r="V21" i="603"/>
  <c r="V16" i="603"/>
  <c r="R30" i="602"/>
  <c r="R31" i="602" s="1"/>
  <c r="T13" i="603"/>
  <c r="V13" i="603" s="1"/>
  <c r="T114" i="603"/>
  <c r="E28" i="604"/>
  <c r="E76" i="604" s="1"/>
  <c r="W12" i="603"/>
  <c r="D108" i="620"/>
  <c r="D107" i="620"/>
  <c r="D113" i="620"/>
  <c r="D112" i="620"/>
  <c r="R109" i="619"/>
  <c r="R110" i="619" s="1"/>
  <c r="R31" i="619" s="1"/>
  <c r="T30" i="620" s="1"/>
  <c r="H109" i="619"/>
  <c r="I109" i="619"/>
  <c r="G109" i="619"/>
  <c r="E109" i="619"/>
  <c r="I115" i="619"/>
  <c r="E115" i="619"/>
  <c r="G115" i="619"/>
  <c r="H115" i="619"/>
  <c r="T104" i="603"/>
  <c r="J104" i="603"/>
  <c r="J30" i="603" s="1"/>
  <c r="T30" i="603" s="1"/>
  <c r="J114" i="603"/>
  <c r="J32" i="603" s="1"/>
  <c r="T32" i="603" s="1"/>
  <c r="J109" i="603"/>
  <c r="J31" i="603" s="1"/>
  <c r="T31" i="603" s="1"/>
  <c r="T109" i="603"/>
  <c r="I70" i="603"/>
  <c r="H70" i="603"/>
  <c r="R70" i="603"/>
  <c r="T69" i="604" s="1"/>
  <c r="E70" i="603"/>
  <c r="G70" i="603"/>
  <c r="E88" i="603"/>
  <c r="R88" i="603"/>
  <c r="T87" i="604" s="1"/>
  <c r="I88" i="603"/>
  <c r="G88" i="603"/>
  <c r="H88" i="603"/>
  <c r="G96" i="603"/>
  <c r="R96" i="603"/>
  <c r="T95" i="604" s="1"/>
  <c r="E96" i="603"/>
  <c r="I96" i="603"/>
  <c r="H96" i="603"/>
  <c r="I75" i="603"/>
  <c r="E75" i="603"/>
  <c r="R75" i="603"/>
  <c r="T74" i="604" s="1"/>
  <c r="G75" i="603"/>
  <c r="H75" i="603"/>
  <c r="E57" i="603"/>
  <c r="G57" i="603"/>
  <c r="H57" i="603"/>
  <c r="I57" i="603"/>
  <c r="R57" i="603"/>
  <c r="T56" i="604" s="1"/>
  <c r="R39" i="603"/>
  <c r="T38" i="604" s="1"/>
  <c r="H39" i="603"/>
  <c r="I39" i="603"/>
  <c r="E39" i="603"/>
  <c r="G39" i="603"/>
  <c r="H79" i="603"/>
  <c r="I79" i="603"/>
  <c r="R79" i="603"/>
  <c r="T78" i="604" s="1"/>
  <c r="E79" i="603"/>
  <c r="G79" i="603"/>
  <c r="R97" i="603"/>
  <c r="T96" i="604" s="1"/>
  <c r="G97" i="603"/>
  <c r="H97" i="603"/>
  <c r="E97" i="603"/>
  <c r="I97" i="603"/>
  <c r="E86" i="603"/>
  <c r="R86" i="603"/>
  <c r="T85" i="604" s="1"/>
  <c r="G86" i="603"/>
  <c r="H86" i="603"/>
  <c r="I86" i="603"/>
  <c r="R48" i="603"/>
  <c r="T47" i="604" s="1"/>
  <c r="G48" i="603"/>
  <c r="H48" i="603"/>
  <c r="E48" i="603"/>
  <c r="I48" i="603"/>
  <c r="G84" i="603"/>
  <c r="I84" i="603"/>
  <c r="H84" i="603"/>
  <c r="R84" i="603"/>
  <c r="T83" i="604" s="1"/>
  <c r="E84" i="603"/>
  <c r="G89" i="603"/>
  <c r="R89" i="603"/>
  <c r="T88" i="604" s="1"/>
  <c r="H89" i="603"/>
  <c r="I89" i="603"/>
  <c r="E89" i="603"/>
  <c r="E47" i="603"/>
  <c r="R47" i="603"/>
  <c r="T46" i="604" s="1"/>
  <c r="H47" i="603"/>
  <c r="G47" i="603"/>
  <c r="I47" i="603"/>
  <c r="G81" i="603"/>
  <c r="I81" i="603"/>
  <c r="R81" i="603"/>
  <c r="T80" i="604" s="1"/>
  <c r="E81" i="603"/>
  <c r="H81" i="603"/>
  <c r="R92" i="603"/>
  <c r="T91" i="604" s="1"/>
  <c r="G92" i="603"/>
  <c r="I92" i="603"/>
  <c r="E92" i="603"/>
  <c r="H92" i="603"/>
  <c r="I59" i="603"/>
  <c r="R59" i="603"/>
  <c r="T58" i="604" s="1"/>
  <c r="E59" i="603"/>
  <c r="G59" i="603"/>
  <c r="H59" i="603"/>
  <c r="R90" i="603"/>
  <c r="T89" i="604" s="1"/>
  <c r="G90" i="603"/>
  <c r="H90" i="603"/>
  <c r="I90" i="603"/>
  <c r="E90" i="603"/>
  <c r="R68" i="603"/>
  <c r="T67" i="604" s="1"/>
  <c r="E68" i="603"/>
  <c r="G68" i="603"/>
  <c r="H68" i="603"/>
  <c r="I68" i="603"/>
  <c r="H98" i="603"/>
  <c r="I98" i="603"/>
  <c r="E98" i="603"/>
  <c r="R98" i="603"/>
  <c r="T97" i="604" s="1"/>
  <c r="G98" i="603"/>
  <c r="H82" i="603"/>
  <c r="E82" i="603"/>
  <c r="G82" i="603"/>
  <c r="R82" i="603"/>
  <c r="T81" i="604" s="1"/>
  <c r="I82" i="603"/>
  <c r="G69" i="603"/>
  <c r="E69" i="603"/>
  <c r="I69" i="603"/>
  <c r="H69" i="603"/>
  <c r="R69" i="603"/>
  <c r="T68" i="604" s="1"/>
  <c r="G40" i="603"/>
  <c r="H40" i="603"/>
  <c r="R40" i="603"/>
  <c r="T39" i="604" s="1"/>
  <c r="E40" i="603"/>
  <c r="I40" i="603"/>
  <c r="D70" i="620"/>
  <c r="D73" i="620"/>
  <c r="D85" i="620"/>
  <c r="D58" i="620"/>
  <c r="D60" i="620"/>
  <c r="D41" i="620"/>
  <c r="D66" i="620"/>
  <c r="D63" i="620"/>
  <c r="D56" i="620"/>
  <c r="D82" i="620"/>
  <c r="D92" i="620"/>
  <c r="D74" i="620"/>
  <c r="D83" i="620"/>
  <c r="D97" i="620"/>
  <c r="D96" i="620"/>
  <c r="D59" i="620"/>
  <c r="D45" i="620"/>
  <c r="D42" i="620"/>
  <c r="D61" i="620"/>
  <c r="D91" i="620"/>
  <c r="D62" i="620"/>
  <c r="D81" i="620"/>
  <c r="D86" i="620"/>
  <c r="D67" i="620"/>
  <c r="D87" i="620"/>
  <c r="D47" i="620"/>
  <c r="D52" i="620"/>
  <c r="D88" i="620"/>
  <c r="D50" i="620"/>
  <c r="D98" i="620"/>
  <c r="D77" i="620"/>
  <c r="D75" i="620"/>
  <c r="D55" i="620"/>
  <c r="D46" i="620"/>
  <c r="D38" i="620"/>
  <c r="D48" i="620"/>
  <c r="D54" i="620"/>
  <c r="D71" i="620"/>
  <c r="D90" i="620"/>
  <c r="D72" i="620"/>
  <c r="D89" i="620"/>
  <c r="D93" i="620"/>
  <c r="D94" i="620"/>
  <c r="D68" i="620"/>
  <c r="D78" i="620"/>
  <c r="D79" i="620"/>
  <c r="D69" i="620"/>
  <c r="D40" i="620"/>
  <c r="D44" i="620"/>
  <c r="D95" i="620"/>
  <c r="D76" i="620"/>
  <c r="D65" i="620"/>
  <c r="D53" i="620"/>
  <c r="D51" i="620"/>
  <c r="D37" i="620"/>
  <c r="D80" i="620"/>
  <c r="D64" i="620"/>
  <c r="D43" i="620"/>
  <c r="D57" i="620"/>
  <c r="D49" i="620"/>
  <c r="D84" i="620"/>
  <c r="D39" i="620"/>
  <c r="D102" i="620"/>
  <c r="D103" i="620"/>
  <c r="E72" i="603"/>
  <c r="R72" i="603"/>
  <c r="T71" i="604" s="1"/>
  <c r="I72" i="603"/>
  <c r="G72" i="603"/>
  <c r="H72" i="603"/>
  <c r="G78" i="603"/>
  <c r="H78" i="603"/>
  <c r="I78" i="603"/>
  <c r="R78" i="603"/>
  <c r="T77" i="604" s="1"/>
  <c r="E78" i="603"/>
  <c r="G49" i="603"/>
  <c r="E49" i="603"/>
  <c r="H49" i="603"/>
  <c r="R49" i="603"/>
  <c r="T48" i="604" s="1"/>
  <c r="I49" i="603"/>
  <c r="I93" i="603"/>
  <c r="R93" i="603"/>
  <c r="T92" i="604" s="1"/>
  <c r="G93" i="603"/>
  <c r="E93" i="603"/>
  <c r="H93" i="603"/>
  <c r="E62" i="603"/>
  <c r="G62" i="603"/>
  <c r="H62" i="603"/>
  <c r="I62" i="603"/>
  <c r="R62" i="603"/>
  <c r="T61" i="604" s="1"/>
  <c r="I71" i="603"/>
  <c r="E71" i="603"/>
  <c r="R71" i="603"/>
  <c r="T70" i="604" s="1"/>
  <c r="G71" i="603"/>
  <c r="H71" i="603"/>
  <c r="H45" i="603"/>
  <c r="I45" i="603"/>
  <c r="E45" i="603"/>
  <c r="G45" i="603"/>
  <c r="R45" i="603"/>
  <c r="T44" i="604" s="1"/>
  <c r="E44" i="603"/>
  <c r="R44" i="603"/>
  <c r="T43" i="604" s="1"/>
  <c r="G44" i="603"/>
  <c r="H44" i="603"/>
  <c r="I44" i="603"/>
  <c r="I42" i="603"/>
  <c r="G42" i="603"/>
  <c r="H42" i="603"/>
  <c r="R42" i="603"/>
  <c r="T41" i="604" s="1"/>
  <c r="E42" i="603"/>
  <c r="E53" i="603"/>
  <c r="I53" i="603"/>
  <c r="R53" i="603"/>
  <c r="T52" i="604" s="1"/>
  <c r="G53" i="603"/>
  <c r="H53" i="603"/>
  <c r="E60" i="603"/>
  <c r="I60" i="603"/>
  <c r="G60" i="603"/>
  <c r="H60" i="603"/>
  <c r="R60" i="603"/>
  <c r="T59" i="604" s="1"/>
  <c r="E50" i="603"/>
  <c r="H50" i="603"/>
  <c r="G50" i="603"/>
  <c r="R50" i="603"/>
  <c r="T49" i="604" s="1"/>
  <c r="I50" i="603"/>
  <c r="E55" i="603"/>
  <c r="G55" i="603"/>
  <c r="R55" i="603"/>
  <c r="T54" i="604" s="1"/>
  <c r="H55" i="603"/>
  <c r="I55" i="603"/>
  <c r="I37" i="603"/>
  <c r="G37" i="603"/>
  <c r="H37" i="603"/>
  <c r="E37" i="603"/>
  <c r="R37" i="603"/>
  <c r="T36" i="604" s="1"/>
  <c r="H51" i="603"/>
  <c r="I51" i="603"/>
  <c r="E51" i="603"/>
  <c r="R51" i="603"/>
  <c r="T50" i="604" s="1"/>
  <c r="G51" i="603"/>
  <c r="E61" i="603"/>
  <c r="G61" i="603"/>
  <c r="R61" i="603"/>
  <c r="T60" i="604" s="1"/>
  <c r="H61" i="603"/>
  <c r="I61" i="603"/>
  <c r="H67" i="603"/>
  <c r="I67" i="603"/>
  <c r="R67" i="603"/>
  <c r="T66" i="604" s="1"/>
  <c r="G67" i="603"/>
  <c r="E67" i="603"/>
  <c r="G85" i="603"/>
  <c r="R85" i="603"/>
  <c r="T84" i="604" s="1"/>
  <c r="E85" i="603"/>
  <c r="I85" i="603"/>
  <c r="H85" i="603"/>
  <c r="E54" i="603"/>
  <c r="R54" i="603"/>
  <c r="T53" i="604" s="1"/>
  <c r="G54" i="603"/>
  <c r="I54" i="603"/>
  <c r="H54" i="603"/>
  <c r="E83" i="603"/>
  <c r="H83" i="603"/>
  <c r="I83" i="603"/>
  <c r="R83" i="603"/>
  <c r="T82" i="604" s="1"/>
  <c r="G83" i="603"/>
  <c r="E91" i="603"/>
  <c r="G91" i="603"/>
  <c r="I91" i="603"/>
  <c r="H91" i="603"/>
  <c r="R91" i="603"/>
  <c r="T90" i="604" s="1"/>
  <c r="I52" i="603"/>
  <c r="E52" i="603"/>
  <c r="G52" i="603"/>
  <c r="H52" i="603"/>
  <c r="R52" i="603"/>
  <c r="T51" i="604" s="1"/>
  <c r="E65" i="603"/>
  <c r="G65" i="603"/>
  <c r="H65" i="603"/>
  <c r="R65" i="603"/>
  <c r="T64" i="604" s="1"/>
  <c r="I65" i="603"/>
  <c r="G43" i="603"/>
  <c r="I43" i="603"/>
  <c r="H43" i="603"/>
  <c r="R43" i="603"/>
  <c r="T42" i="604" s="1"/>
  <c r="E43" i="603"/>
  <c r="E46" i="603"/>
  <c r="G46" i="603"/>
  <c r="H46" i="603"/>
  <c r="I46" i="603"/>
  <c r="R46" i="603"/>
  <c r="T45" i="604" s="1"/>
  <c r="R38" i="603"/>
  <c r="T37" i="604" s="1"/>
  <c r="G38" i="603"/>
  <c r="H38" i="603"/>
  <c r="I38" i="603"/>
  <c r="E38" i="603"/>
  <c r="R63" i="603"/>
  <c r="T62" i="604" s="1"/>
  <c r="G63" i="603"/>
  <c r="H63" i="603"/>
  <c r="I63" i="603"/>
  <c r="E63" i="603"/>
  <c r="E73" i="603"/>
  <c r="G73" i="603"/>
  <c r="H73" i="603"/>
  <c r="R73" i="603"/>
  <c r="T72" i="604" s="1"/>
  <c r="I73" i="603"/>
  <c r="H80" i="603"/>
  <c r="I80" i="603"/>
  <c r="R80" i="603"/>
  <c r="T79" i="604" s="1"/>
  <c r="G80" i="603"/>
  <c r="E80" i="603"/>
  <c r="E58" i="603"/>
  <c r="R58" i="603"/>
  <c r="T57" i="604" s="1"/>
  <c r="I58" i="603"/>
  <c r="G58" i="603"/>
  <c r="H58" i="603"/>
  <c r="E41" i="603"/>
  <c r="R41" i="603"/>
  <c r="T40" i="604" s="1"/>
  <c r="G41" i="603"/>
  <c r="H41" i="603"/>
  <c r="I41" i="603"/>
  <c r="D106" i="604"/>
  <c r="D88" i="604"/>
  <c r="D86" i="604"/>
  <c r="D52" i="604"/>
  <c r="D48" i="604"/>
  <c r="D79" i="604"/>
  <c r="D41" i="604"/>
  <c r="D87" i="604"/>
  <c r="D45" i="604"/>
  <c r="D44" i="604"/>
  <c r="D72" i="604"/>
  <c r="D95" i="604"/>
  <c r="D38" i="604"/>
  <c r="D83" i="604"/>
  <c r="D92" i="604"/>
  <c r="D69" i="604"/>
  <c r="D63" i="604"/>
  <c r="D111" i="604"/>
  <c r="D97" i="604"/>
  <c r="D101" i="604"/>
  <c r="D68" i="604"/>
  <c r="D80" i="604"/>
  <c r="D75" i="604"/>
  <c r="D53" i="604"/>
  <c r="D46" i="604"/>
  <c r="D74" i="604"/>
  <c r="D56" i="604"/>
  <c r="D67" i="604"/>
  <c r="D91" i="604"/>
  <c r="D89" i="604"/>
  <c r="D76" i="604"/>
  <c r="D77" i="604"/>
  <c r="D96" i="604"/>
  <c r="D84" i="604"/>
  <c r="D42" i="604"/>
  <c r="D58" i="604"/>
  <c r="D54" i="604"/>
  <c r="D70" i="604"/>
  <c r="D57" i="604"/>
  <c r="D71" i="604"/>
  <c r="D82" i="604"/>
  <c r="D43" i="604"/>
  <c r="D50" i="604"/>
  <c r="D102" i="604"/>
  <c r="D85" i="604"/>
  <c r="D55" i="604"/>
  <c r="D49" i="604"/>
  <c r="D61" i="604"/>
  <c r="D90" i="604"/>
  <c r="D64" i="604"/>
  <c r="D94" i="604"/>
  <c r="D65" i="604"/>
  <c r="D66" i="604"/>
  <c r="D51" i="604"/>
  <c r="D60" i="604"/>
  <c r="D47" i="604"/>
  <c r="D93" i="604"/>
  <c r="D37" i="604"/>
  <c r="D73" i="604"/>
  <c r="D112" i="604"/>
  <c r="D62" i="604"/>
  <c r="D36" i="604"/>
  <c r="D40" i="604"/>
  <c r="D78" i="604"/>
  <c r="D81" i="604"/>
  <c r="D39" i="604"/>
  <c r="D107" i="604"/>
  <c r="D59" i="604"/>
  <c r="E56" i="603"/>
  <c r="R56" i="603"/>
  <c r="T55" i="604" s="1"/>
  <c r="I56" i="603"/>
  <c r="G56" i="603"/>
  <c r="H56" i="603"/>
  <c r="H64" i="603"/>
  <c r="I64" i="603"/>
  <c r="R64" i="603"/>
  <c r="T63" i="604" s="1"/>
  <c r="G64" i="603"/>
  <c r="E64" i="603"/>
  <c r="I76" i="603"/>
  <c r="R76" i="603"/>
  <c r="T75" i="604" s="1"/>
  <c r="G76" i="603"/>
  <c r="E76" i="603"/>
  <c r="H76" i="603"/>
  <c r="R95" i="603"/>
  <c r="T94" i="604" s="1"/>
  <c r="G95" i="603"/>
  <c r="H95" i="603"/>
  <c r="I95" i="603"/>
  <c r="E95" i="603"/>
  <c r="E66" i="603"/>
  <c r="H66" i="603"/>
  <c r="R66" i="603"/>
  <c r="T65" i="604" s="1"/>
  <c r="G66" i="603"/>
  <c r="I66" i="603"/>
  <c r="E94" i="603"/>
  <c r="G94" i="603"/>
  <c r="H94" i="603"/>
  <c r="I94" i="603"/>
  <c r="R94" i="603"/>
  <c r="T93" i="604" s="1"/>
  <c r="I74" i="603"/>
  <c r="R74" i="603"/>
  <c r="T73" i="604" s="1"/>
  <c r="E74" i="603"/>
  <c r="G74" i="603"/>
  <c r="H74" i="603"/>
  <c r="I87" i="603"/>
  <c r="R87" i="603"/>
  <c r="T86" i="604" s="1"/>
  <c r="E87" i="603"/>
  <c r="G87" i="603"/>
  <c r="H87" i="603"/>
  <c r="E77" i="603"/>
  <c r="G77" i="603"/>
  <c r="R77" i="603"/>
  <c r="T76" i="604" s="1"/>
  <c r="H77" i="603"/>
  <c r="I77" i="603"/>
  <c r="E70" i="604" l="1"/>
  <c r="E68" i="604"/>
  <c r="E81" i="604"/>
  <c r="E51" i="604"/>
  <c r="E78" i="604"/>
  <c r="E74" i="604"/>
  <c r="E96" i="604"/>
  <c r="E67" i="604"/>
  <c r="T98" i="604"/>
  <c r="T28" i="604" s="1"/>
  <c r="E79" i="604"/>
  <c r="E48" i="604"/>
  <c r="N52" i="551" s="1"/>
  <c r="I52" i="606" s="1"/>
  <c r="V25" i="618" s="1"/>
  <c r="Z28" i="620" s="1"/>
  <c r="E45" i="604"/>
  <c r="E44" i="604"/>
  <c r="E71" i="604"/>
  <c r="E89" i="604"/>
  <c r="E62" i="604"/>
  <c r="E87" i="604"/>
  <c r="E65" i="604"/>
  <c r="E90" i="604"/>
  <c r="E83" i="604"/>
  <c r="E56" i="604"/>
  <c r="E97" i="604"/>
  <c r="E53" i="604"/>
  <c r="E55" i="604"/>
  <c r="E69" i="604"/>
  <c r="E46" i="604"/>
  <c r="E86" i="604"/>
  <c r="E49" i="604"/>
  <c r="E88" i="604"/>
  <c r="E77" i="604"/>
  <c r="E42" i="604"/>
  <c r="E95" i="604"/>
  <c r="E82" i="604"/>
  <c r="E37" i="604"/>
  <c r="E80" i="604"/>
  <c r="E57" i="604"/>
  <c r="V32" i="603"/>
  <c r="E60" i="604"/>
  <c r="E39" i="604"/>
  <c r="E38" i="604"/>
  <c r="V31" i="603"/>
  <c r="E91" i="604"/>
  <c r="E52" i="604"/>
  <c r="E75" i="604"/>
  <c r="E61" i="604"/>
  <c r="E93" i="604"/>
  <c r="E94" i="604"/>
  <c r="E66" i="604"/>
  <c r="V30" i="603"/>
  <c r="E92" i="604"/>
  <c r="E54" i="604"/>
  <c r="E84" i="604"/>
  <c r="E47" i="604"/>
  <c r="E40" i="604"/>
  <c r="E72" i="604"/>
  <c r="E64" i="604"/>
  <c r="E63" i="604"/>
  <c r="N51" i="551"/>
  <c r="I51" i="606" s="1"/>
  <c r="E50" i="604"/>
  <c r="E59" i="604"/>
  <c r="E85" i="604"/>
  <c r="E36" i="604"/>
  <c r="E58" i="604"/>
  <c r="E43" i="604"/>
  <c r="E41" i="604"/>
  <c r="E73" i="604"/>
  <c r="W13" i="603"/>
  <c r="W30" i="603"/>
  <c r="J109" i="619"/>
  <c r="T109" i="619" s="1"/>
  <c r="R99" i="619"/>
  <c r="R29" i="619" s="1"/>
  <c r="T28" i="620" s="1"/>
  <c r="J115" i="619"/>
  <c r="T115" i="619" s="1"/>
  <c r="J70" i="603"/>
  <c r="T70" i="603" s="1"/>
  <c r="J48" i="603"/>
  <c r="T48" i="603" s="1"/>
  <c r="J80" i="603"/>
  <c r="T80" i="603" s="1"/>
  <c r="J50" i="603"/>
  <c r="T50" i="603" s="1"/>
  <c r="J42" i="603"/>
  <c r="T42" i="603" s="1"/>
  <c r="J49" i="603"/>
  <c r="T49" i="603" s="1"/>
  <c r="J85" i="603"/>
  <c r="T85" i="603" s="1"/>
  <c r="J74" i="603"/>
  <c r="T74" i="603" s="1"/>
  <c r="J45" i="603"/>
  <c r="T45" i="603" s="1"/>
  <c r="J93" i="603"/>
  <c r="T93" i="603" s="1"/>
  <c r="J65" i="603"/>
  <c r="T65" i="603" s="1"/>
  <c r="J64" i="603"/>
  <c r="T64" i="603" s="1"/>
  <c r="J41" i="603"/>
  <c r="T41" i="603" s="1"/>
  <c r="J73" i="603"/>
  <c r="T73" i="603" s="1"/>
  <c r="J44" i="603"/>
  <c r="T44" i="603" s="1"/>
  <c r="J62" i="603"/>
  <c r="T62" i="603" s="1"/>
  <c r="J40" i="603"/>
  <c r="T40" i="603" s="1"/>
  <c r="J83" i="603"/>
  <c r="T83" i="603" s="1"/>
  <c r="J58" i="603"/>
  <c r="T58" i="603" s="1"/>
  <c r="J53" i="603"/>
  <c r="T53" i="603" s="1"/>
  <c r="J97" i="603"/>
  <c r="T97" i="603" s="1"/>
  <c r="J56" i="603"/>
  <c r="T56" i="603" s="1"/>
  <c r="G99" i="603"/>
  <c r="J37" i="603"/>
  <c r="T37" i="603" s="1"/>
  <c r="J38" i="603"/>
  <c r="T38" i="603" s="1"/>
  <c r="J77" i="603"/>
  <c r="T77" i="603" s="1"/>
  <c r="J46" i="603"/>
  <c r="T46" i="603" s="1"/>
  <c r="J51" i="603"/>
  <c r="T51" i="603" s="1"/>
  <c r="J98" i="603"/>
  <c r="T98" i="603" s="1"/>
  <c r="J59" i="603"/>
  <c r="T59" i="603" s="1"/>
  <c r="J39" i="603"/>
  <c r="T39" i="603" s="1"/>
  <c r="J66" i="603"/>
  <c r="T66" i="603" s="1"/>
  <c r="J87" i="603"/>
  <c r="T87" i="603" s="1"/>
  <c r="J95" i="603"/>
  <c r="T95" i="603" s="1"/>
  <c r="J91" i="603"/>
  <c r="T91" i="603" s="1"/>
  <c r="J86" i="603"/>
  <c r="T86" i="603" s="1"/>
  <c r="J96" i="603"/>
  <c r="T96" i="603" s="1"/>
  <c r="J88" i="603"/>
  <c r="T88" i="603" s="1"/>
  <c r="J60" i="603"/>
  <c r="T60" i="603" s="1"/>
  <c r="J67" i="603"/>
  <c r="T67" i="603" s="1"/>
  <c r="H99" i="603"/>
  <c r="J68" i="603"/>
  <c r="T68" i="603" s="1"/>
  <c r="J92" i="603"/>
  <c r="T92" i="603" s="1"/>
  <c r="J89" i="603"/>
  <c r="T89" i="603" s="1"/>
  <c r="J57" i="603"/>
  <c r="T57" i="603" s="1"/>
  <c r="J78" i="603"/>
  <c r="T78" i="603" s="1"/>
  <c r="J69" i="603"/>
  <c r="T69" i="603" s="1"/>
  <c r="R99" i="603"/>
  <c r="J43" i="603"/>
  <c r="T43" i="603" s="1"/>
  <c r="J72" i="603"/>
  <c r="T72" i="603" s="1"/>
  <c r="J84" i="603"/>
  <c r="T84" i="603" s="1"/>
  <c r="J79" i="603"/>
  <c r="T79" i="603" s="1"/>
  <c r="J75" i="603"/>
  <c r="T75" i="603" s="1"/>
  <c r="E99" i="603"/>
  <c r="I99" i="603"/>
  <c r="J55" i="603"/>
  <c r="T55" i="603" s="1"/>
  <c r="J82" i="603"/>
  <c r="T82" i="603" s="1"/>
  <c r="J90" i="603"/>
  <c r="T90" i="603" s="1"/>
  <c r="J81" i="603"/>
  <c r="T81" i="603" s="1"/>
  <c r="J63" i="603"/>
  <c r="T63" i="603" s="1"/>
  <c r="J52" i="603"/>
  <c r="T52" i="603" s="1"/>
  <c r="J54" i="603"/>
  <c r="T54" i="603" s="1"/>
  <c r="J61" i="603"/>
  <c r="T61" i="603" s="1"/>
  <c r="J71" i="603"/>
  <c r="T71" i="603" s="1"/>
  <c r="J76" i="603"/>
  <c r="T76" i="603" s="1"/>
  <c r="J94" i="603"/>
  <c r="T94" i="603" s="1"/>
  <c r="J47" i="603"/>
  <c r="T47" i="603" s="1"/>
  <c r="T31" i="602"/>
  <c r="R100" i="619" l="1"/>
  <c r="N59" i="551"/>
  <c r="N58" i="551"/>
  <c r="I59" i="606"/>
  <c r="V24" i="618"/>
  <c r="Z27" i="620" s="1"/>
  <c r="I58" i="606"/>
  <c r="I29" i="603"/>
  <c r="I33" i="603" s="1"/>
  <c r="E62" i="551" s="1"/>
  <c r="R29" i="603"/>
  <c r="H29" i="603"/>
  <c r="H33" i="603" s="1"/>
  <c r="E59" i="551" s="1"/>
  <c r="J99" i="603"/>
  <c r="T99" i="603" s="1"/>
  <c r="E29" i="603"/>
  <c r="E33" i="603" s="1"/>
  <c r="G29" i="603"/>
  <c r="G33" i="603" s="1"/>
  <c r="E56" i="551" s="1"/>
  <c r="R33" i="603" l="1"/>
  <c r="T99" i="604"/>
  <c r="I100" i="603"/>
  <c r="H100" i="603"/>
  <c r="G100" i="603"/>
  <c r="E100" i="603"/>
  <c r="R100" i="603"/>
  <c r="J29" i="603"/>
  <c r="J33" i="603" s="1"/>
  <c r="W38" i="603" s="1"/>
  <c r="E48" i="551" s="1"/>
  <c r="T29" i="603" l="1"/>
  <c r="V29" i="603" s="1"/>
  <c r="J100" i="603"/>
  <c r="T33" i="603" l="1"/>
  <c r="U34" i="603" s="1"/>
  <c r="W29" i="603"/>
  <c r="T100" i="603"/>
  <c r="W39" i="603" l="1"/>
  <c r="W40" i="603" s="1"/>
  <c r="W42" i="603" s="1"/>
  <c r="V34" i="603"/>
  <c r="V35" i="603" s="1"/>
  <c r="V36" i="603" s="1"/>
  <c r="R31" i="604"/>
  <c r="R30" i="604"/>
  <c r="R29" i="604"/>
  <c r="K2" i="604" l="1"/>
  <c r="O32" i="604"/>
  <c r="O33" i="604" s="1"/>
  <c r="R98" i="604"/>
  <c r="P32" i="604"/>
  <c r="P33" i="604" s="1"/>
  <c r="Q99" i="604"/>
  <c r="K3" i="604" l="1"/>
  <c r="F17" i="604" s="1"/>
  <c r="G17" i="604" s="1"/>
  <c r="J76" i="604"/>
  <c r="I97" i="604"/>
  <c r="I42" i="604"/>
  <c r="K39" i="604"/>
  <c r="T106" i="604"/>
  <c r="J96" i="604"/>
  <c r="K86" i="604"/>
  <c r="J107" i="604"/>
  <c r="K44" i="604"/>
  <c r="J63" i="604"/>
  <c r="I16" i="604"/>
  <c r="K96" i="604"/>
  <c r="J81" i="604"/>
  <c r="J69" i="604"/>
  <c r="K26" i="604"/>
  <c r="J47" i="604"/>
  <c r="F84" i="604"/>
  <c r="G84" i="604" s="1"/>
  <c r="K72" i="604"/>
  <c r="J65" i="604"/>
  <c r="J62" i="604"/>
  <c r="F91" i="604"/>
  <c r="G91" i="604" s="1"/>
  <c r="N62" i="604"/>
  <c r="R62" i="604" s="1"/>
  <c r="N40" i="604"/>
  <c r="R40" i="604" s="1"/>
  <c r="F45" i="604"/>
  <c r="G45" i="604" s="1"/>
  <c r="N96" i="604"/>
  <c r="R96" i="604" s="1"/>
  <c r="F64" i="604"/>
  <c r="G64" i="604" s="1"/>
  <c r="F73" i="604"/>
  <c r="G73" i="604" s="1"/>
  <c r="I75" i="604"/>
  <c r="K87" i="604"/>
  <c r="J111" i="604"/>
  <c r="K95" i="604"/>
  <c r="J39" i="604"/>
  <c r="J112" i="604"/>
  <c r="K37" i="604"/>
  <c r="J106" i="604"/>
  <c r="K67" i="604"/>
  <c r="I87" i="604"/>
  <c r="N50" i="604"/>
  <c r="R50" i="604" s="1"/>
  <c r="J71" i="604"/>
  <c r="I80" i="604"/>
  <c r="T103" i="604"/>
  <c r="T29" i="604" s="1"/>
  <c r="T32" i="604" s="1"/>
  <c r="G34" i="621" s="1"/>
  <c r="F89" i="604"/>
  <c r="G89" i="604" s="1"/>
  <c r="N83" i="604"/>
  <c r="R83" i="604" s="1"/>
  <c r="N60" i="604"/>
  <c r="R60" i="604" s="1"/>
  <c r="F57" i="604"/>
  <c r="G57" i="604" s="1"/>
  <c r="N48" i="604"/>
  <c r="R48" i="604" s="1"/>
  <c r="N82" i="604"/>
  <c r="R82" i="604" s="1"/>
  <c r="N86" i="604"/>
  <c r="R86" i="604" s="1"/>
  <c r="K36" i="604"/>
  <c r="J12" i="604"/>
  <c r="J83" i="604"/>
  <c r="I44" i="604"/>
  <c r="J85" i="604"/>
  <c r="J54" i="604"/>
  <c r="K52" i="604"/>
  <c r="K50" i="604"/>
  <c r="I18" i="604"/>
  <c r="K48" i="604"/>
  <c r="J80" i="604"/>
  <c r="K12" i="604"/>
  <c r="K90" i="604"/>
  <c r="J97" i="604"/>
  <c r="J70" i="604"/>
  <c r="K56" i="604"/>
  <c r="K80" i="604"/>
  <c r="I38" i="604"/>
  <c r="F106" i="604"/>
  <c r="F67" i="604"/>
  <c r="G67" i="604" s="1"/>
  <c r="F15" i="604"/>
  <c r="G15" i="604" s="1"/>
  <c r="N89" i="604"/>
  <c r="R89" i="604" s="1"/>
  <c r="N43" i="604"/>
  <c r="R43" i="604" s="1"/>
  <c r="N72" i="604"/>
  <c r="R72" i="604" s="1"/>
  <c r="N97" i="604"/>
  <c r="R97" i="604" s="1"/>
  <c r="I41" i="604"/>
  <c r="L112" i="604"/>
  <c r="I48" i="604"/>
  <c r="K93" i="604"/>
  <c r="J44" i="604"/>
  <c r="K14" i="604"/>
  <c r="I47" i="604"/>
  <c r="J42" i="604"/>
  <c r="K24" i="604"/>
  <c r="K55" i="604"/>
  <c r="I72" i="604"/>
  <c r="K85" i="604"/>
  <c r="J24" i="604"/>
  <c r="N37" i="604"/>
  <c r="R37" i="604" s="1"/>
  <c r="J66" i="604"/>
  <c r="F36" i="604"/>
  <c r="F58" i="604"/>
  <c r="G58" i="604" s="1"/>
  <c r="F74" i="604"/>
  <c r="G74" i="604" s="1"/>
  <c r="N56" i="604"/>
  <c r="R56" i="604" s="1"/>
  <c r="N87" i="604"/>
  <c r="R87" i="604" s="1"/>
  <c r="N75" i="604"/>
  <c r="R75" i="604" s="1"/>
  <c r="N36" i="604"/>
  <c r="R36" i="604" s="1"/>
  <c r="N45" i="604"/>
  <c r="R45" i="604" s="1"/>
  <c r="I89" i="604"/>
  <c r="K102" i="604"/>
  <c r="K81" i="604"/>
  <c r="J56" i="604"/>
  <c r="K83" i="604"/>
  <c r="K74" i="604"/>
  <c r="I22" i="604"/>
  <c r="K20" i="604"/>
  <c r="I56" i="604"/>
  <c r="K63" i="604"/>
  <c r="I92" i="604"/>
  <c r="J36" i="604"/>
  <c r="I63" i="604"/>
  <c r="I67" i="604"/>
  <c r="N77" i="604"/>
  <c r="R77" i="604" s="1"/>
  <c r="J37" i="604"/>
  <c r="I70" i="604"/>
  <c r="N61" i="604"/>
  <c r="R61" i="604" s="1"/>
  <c r="I11" i="604"/>
  <c r="F13" i="604"/>
  <c r="G13" i="604" s="1"/>
  <c r="F96" i="604"/>
  <c r="G96" i="604" s="1"/>
  <c r="F90" i="604"/>
  <c r="G90" i="604" s="1"/>
  <c r="N84" i="604"/>
  <c r="R84" i="604" s="1"/>
  <c r="N59" i="604"/>
  <c r="R59" i="604" s="1"/>
  <c r="F37" i="604"/>
  <c r="G37" i="604" s="1"/>
  <c r="N76" i="604"/>
  <c r="R76" i="604" s="1"/>
  <c r="J45" i="604"/>
  <c r="I15" i="604"/>
  <c r="I112" i="604"/>
  <c r="J17" i="604"/>
  <c r="I73" i="604"/>
  <c r="K106" i="604"/>
  <c r="K27" i="604"/>
  <c r="J21" i="604"/>
  <c r="I91" i="604"/>
  <c r="K21" i="604"/>
  <c r="J90" i="604"/>
  <c r="K61" i="604"/>
  <c r="J60" i="604"/>
  <c r="K91" i="604"/>
  <c r="K64" i="604"/>
  <c r="K22" i="604"/>
  <c r="N42" i="604"/>
  <c r="R42" i="604" s="1"/>
  <c r="F85" i="604"/>
  <c r="G85" i="604" s="1"/>
  <c r="F19" i="604"/>
  <c r="G19" i="604" s="1"/>
  <c r="F75" i="604"/>
  <c r="G75" i="604" s="1"/>
  <c r="F88" i="604"/>
  <c r="G88" i="604" s="1"/>
  <c r="N92" i="604"/>
  <c r="R92" i="604" s="1"/>
  <c r="F41" i="604"/>
  <c r="G41" i="604" s="1"/>
  <c r="N65" i="604"/>
  <c r="R65" i="604" s="1"/>
  <c r="F65" i="604"/>
  <c r="G65" i="604" s="1"/>
  <c r="F83" i="604"/>
  <c r="G83" i="604" s="1"/>
  <c r="K18" i="604"/>
  <c r="K68" i="604"/>
  <c r="I79" i="604"/>
  <c r="I61" i="604"/>
  <c r="J27" i="604"/>
  <c r="J88" i="604"/>
  <c r="K79" i="604"/>
  <c r="I39" i="604"/>
  <c r="I106" i="604"/>
  <c r="K47" i="604"/>
  <c r="K17" i="604"/>
  <c r="K65" i="604"/>
  <c r="L106" i="604"/>
  <c r="K82" i="604"/>
  <c r="K40" i="604"/>
  <c r="I55" i="604"/>
  <c r="F20" i="604"/>
  <c r="G20" i="604" s="1"/>
  <c r="F107" i="604"/>
  <c r="G107" i="604" s="1"/>
  <c r="N79" i="604"/>
  <c r="R79" i="604" s="1"/>
  <c r="F51" i="604"/>
  <c r="G51" i="604" s="1"/>
  <c r="F49" i="604"/>
  <c r="G49" i="604" s="1"/>
  <c r="T108" i="620"/>
  <c r="F42" i="604"/>
  <c r="G42" i="604" s="1"/>
  <c r="F76" i="604"/>
  <c r="G76" i="604" s="1"/>
  <c r="L101" i="604"/>
  <c r="K92" i="604"/>
  <c r="I45" i="604"/>
  <c r="I54" i="604"/>
  <c r="J78" i="604"/>
  <c r="K53" i="604"/>
  <c r="K107" i="604"/>
  <c r="I57" i="604"/>
  <c r="K66" i="604"/>
  <c r="I68" i="604"/>
  <c r="J79" i="604"/>
  <c r="I96" i="604"/>
  <c r="K89" i="604"/>
  <c r="K13" i="604"/>
  <c r="F14" i="604"/>
  <c r="G14" i="604" s="1"/>
  <c r="N63" i="604"/>
  <c r="R63" i="604" s="1"/>
  <c r="F27" i="604"/>
  <c r="G27" i="604" s="1"/>
  <c r="F48" i="604"/>
  <c r="G48" i="604" s="1"/>
  <c r="F80" i="604"/>
  <c r="G80" i="604" s="1"/>
  <c r="F62" i="604"/>
  <c r="G62" i="604" s="1"/>
  <c r="N53" i="604"/>
  <c r="R53" i="604" s="1"/>
  <c r="I23" i="604"/>
  <c r="K77" i="604"/>
  <c r="I93" i="604"/>
  <c r="J91" i="604"/>
  <c r="J18" i="604"/>
  <c r="J95" i="604"/>
  <c r="T111" i="604"/>
  <c r="I111" i="604"/>
  <c r="J72" i="604"/>
  <c r="I40" i="604"/>
  <c r="I66" i="604"/>
  <c r="I59" i="604"/>
  <c r="I58" i="604"/>
  <c r="F22" i="604"/>
  <c r="G22" i="604" s="1"/>
  <c r="F87" i="604"/>
  <c r="G87" i="604" s="1"/>
  <c r="T107" i="620"/>
  <c r="F53" i="604"/>
  <c r="G53" i="604" s="1"/>
  <c r="F81" i="604"/>
  <c r="G81" i="604" s="1"/>
  <c r="N91" i="604"/>
  <c r="R91" i="604" s="1"/>
  <c r="F43" i="604"/>
  <c r="G43" i="604" s="1"/>
  <c r="F78" i="604"/>
  <c r="G78" i="604" s="1"/>
  <c r="J46" i="604"/>
  <c r="J64" i="604"/>
  <c r="J49" i="604"/>
  <c r="K38" i="604"/>
  <c r="K25" i="604"/>
  <c r="I25" i="604"/>
  <c r="I51" i="604"/>
  <c r="I53" i="604"/>
  <c r="I74" i="604"/>
  <c r="I88" i="604"/>
  <c r="I77" i="604"/>
  <c r="J67" i="604"/>
  <c r="N90" i="604"/>
  <c r="R90" i="604" s="1"/>
  <c r="I86" i="604"/>
  <c r="J19" i="604"/>
  <c r="N70" i="604"/>
  <c r="R70" i="604" s="1"/>
  <c r="F23" i="604"/>
  <c r="G23" i="604" s="1"/>
  <c r="F86" i="604"/>
  <c r="G86" i="604" s="1"/>
  <c r="F94" i="604"/>
  <c r="G94" i="604" s="1"/>
  <c r="F50" i="604"/>
  <c r="G50" i="604" s="1"/>
  <c r="J11" i="604"/>
  <c r="F66" i="604"/>
  <c r="G66" i="604" s="1"/>
  <c r="N54" i="604"/>
  <c r="R54" i="604" s="1"/>
  <c r="F59" i="604"/>
  <c r="G59" i="604" s="1"/>
  <c r="J94" i="604"/>
  <c r="I36" i="604"/>
  <c r="I27" i="604"/>
  <c r="J87" i="604"/>
  <c r="J40" i="604"/>
  <c r="I21" i="604"/>
  <c r="J26" i="604"/>
  <c r="I13" i="604"/>
  <c r="J75" i="604"/>
  <c r="J16" i="604"/>
  <c r="J102" i="604"/>
  <c r="I102" i="604"/>
  <c r="J25" i="604"/>
  <c r="I81" i="604"/>
  <c r="F18" i="604"/>
  <c r="G18" i="604" s="1"/>
  <c r="F26" i="604"/>
  <c r="G26" i="604" s="1"/>
  <c r="F111" i="604"/>
  <c r="F70" i="604"/>
  <c r="G70" i="604" s="1"/>
  <c r="F71" i="604"/>
  <c r="G71" i="604" s="1"/>
  <c r="I12" i="604"/>
  <c r="F97" i="604"/>
  <c r="G97" i="604" s="1"/>
  <c r="N49" i="604"/>
  <c r="R49" i="604" s="1"/>
  <c r="F38" i="604"/>
  <c r="G38" i="604" s="1"/>
  <c r="K15" i="604"/>
  <c r="K73" i="604"/>
  <c r="J50" i="604"/>
  <c r="I76" i="604"/>
  <c r="T112" i="604"/>
  <c r="K75" i="604"/>
  <c r="I90" i="604"/>
  <c r="J57" i="604"/>
  <c r="J23" i="604"/>
  <c r="K51" i="604"/>
  <c r="J59" i="604"/>
  <c r="I71" i="604"/>
  <c r="F11" i="604"/>
  <c r="G11" i="604" s="1"/>
  <c r="N52" i="604"/>
  <c r="R52" i="604" s="1"/>
  <c r="L111" i="604"/>
  <c r="F21" i="604"/>
  <c r="G21" i="604" s="1"/>
  <c r="F101" i="604"/>
  <c r="F82" i="604"/>
  <c r="G82" i="604" s="1"/>
  <c r="F40" i="604"/>
  <c r="G40" i="604" s="1"/>
  <c r="N64" i="604"/>
  <c r="R64" i="604" s="1"/>
  <c r="F79" i="604"/>
  <c r="G79" i="604" s="1"/>
  <c r="N80" i="604"/>
  <c r="R80" i="604" s="1"/>
  <c r="I101" i="604"/>
  <c r="I69" i="604"/>
  <c r="K70" i="604"/>
  <c r="I24" i="604"/>
  <c r="K45" i="604"/>
  <c r="K112" i="604"/>
  <c r="K42" i="604"/>
  <c r="I46" i="604"/>
  <c r="J68" i="604"/>
  <c r="I26" i="604"/>
  <c r="K101" i="604"/>
  <c r="L102" i="604"/>
  <c r="I37" i="604"/>
  <c r="J13" i="604"/>
  <c r="J55" i="604"/>
  <c r="J73" i="604"/>
  <c r="I94" i="604"/>
  <c r="F55" i="604"/>
  <c r="G55" i="604" s="1"/>
  <c r="K71" i="604"/>
  <c r="K57" i="604"/>
  <c r="F24" i="604"/>
  <c r="G24" i="604" s="1"/>
  <c r="F61" i="604"/>
  <c r="G61" i="604" s="1"/>
  <c r="F44" i="604"/>
  <c r="G44" i="604" s="1"/>
  <c r="F46" i="604"/>
  <c r="G46" i="604" s="1"/>
  <c r="N57" i="604"/>
  <c r="R57" i="604" s="1"/>
  <c r="N68" i="604"/>
  <c r="R68" i="604" s="1"/>
  <c r="N85" i="604"/>
  <c r="R85" i="604" s="1"/>
  <c r="F69" i="604"/>
  <c r="G69" i="604" s="1"/>
  <c r="K76" i="604"/>
  <c r="K19" i="604"/>
  <c r="I65" i="604"/>
  <c r="I107" i="604"/>
  <c r="J92" i="604"/>
  <c r="J48" i="604"/>
  <c r="I52" i="604"/>
  <c r="J82" i="604"/>
  <c r="I85" i="604"/>
  <c r="N58" i="604"/>
  <c r="R58" i="604" s="1"/>
  <c r="J61" i="604"/>
  <c r="J14" i="604"/>
  <c r="K88" i="604"/>
  <c r="F12" i="604"/>
  <c r="G12" i="604" s="1"/>
  <c r="F68" i="604"/>
  <c r="G68" i="604" s="1"/>
  <c r="F39" i="604"/>
  <c r="G39" i="604" s="1"/>
  <c r="N73" i="604"/>
  <c r="R73" i="604" s="1"/>
  <c r="N95" i="604"/>
  <c r="R95" i="604" s="1"/>
  <c r="N93" i="604"/>
  <c r="R93" i="604" s="1"/>
  <c r="F112" i="604"/>
  <c r="G112" i="604" s="1"/>
  <c r="T113" i="620"/>
  <c r="K59" i="604"/>
  <c r="K94" i="604"/>
  <c r="I17" i="604"/>
  <c r="I62" i="604"/>
  <c r="I83" i="604"/>
  <c r="K16" i="604"/>
  <c r="I60" i="604"/>
  <c r="J58" i="604"/>
  <c r="I95" i="604"/>
  <c r="K46" i="604"/>
  <c r="J51" i="604"/>
  <c r="J38" i="604"/>
  <c r="J41" i="604"/>
  <c r="N71" i="604"/>
  <c r="R71" i="604" s="1"/>
  <c r="N66" i="604"/>
  <c r="R66" i="604" s="1"/>
  <c r="F54" i="604"/>
  <c r="G54" i="604" s="1"/>
  <c r="K84" i="604"/>
  <c r="J20" i="604"/>
  <c r="K11" i="604"/>
  <c r="F56" i="604"/>
  <c r="G56" i="604" s="1"/>
  <c r="N74" i="604"/>
  <c r="R74" i="604" s="1"/>
  <c r="N47" i="604"/>
  <c r="R47" i="604" s="1"/>
  <c r="F47" i="604"/>
  <c r="G47" i="604" s="1"/>
  <c r="T103" i="620"/>
  <c r="N88" i="604"/>
  <c r="R88" i="604" s="1"/>
  <c r="K41" i="604"/>
  <c r="J77" i="604"/>
  <c r="J22" i="604"/>
  <c r="I20" i="604"/>
  <c r="I49" i="604"/>
  <c r="K111" i="604"/>
  <c r="T107" i="604"/>
  <c r="I19" i="604"/>
  <c r="J15" i="604"/>
  <c r="K69" i="604"/>
  <c r="K54" i="604"/>
  <c r="J86" i="604"/>
  <c r="I14" i="604"/>
  <c r="F63" i="604"/>
  <c r="G63" i="604" s="1"/>
  <c r="F72" i="604"/>
  <c r="G72" i="604" s="1"/>
  <c r="N39" i="604"/>
  <c r="R39" i="604" s="1"/>
  <c r="K78" i="604"/>
  <c r="K23" i="604"/>
  <c r="T112" i="620"/>
  <c r="N41" i="604"/>
  <c r="R41" i="604" s="1"/>
  <c r="N69" i="604"/>
  <c r="R69" i="604" s="1"/>
  <c r="N78" i="604"/>
  <c r="R78" i="604" s="1"/>
  <c r="F77" i="604"/>
  <c r="G77" i="604" s="1"/>
  <c r="F93" i="604"/>
  <c r="G93" i="604" s="1"/>
  <c r="F92" i="604"/>
  <c r="G92" i="604" s="1"/>
  <c r="N67" i="604"/>
  <c r="R67" i="604" s="1"/>
  <c r="I64" i="604"/>
  <c r="K97" i="604"/>
  <c r="I50" i="604"/>
  <c r="J84" i="604"/>
  <c r="J53" i="604"/>
  <c r="I43" i="604"/>
  <c r="J74" i="604"/>
  <c r="J43" i="604"/>
  <c r="I82" i="604"/>
  <c r="K60" i="604"/>
  <c r="I84" i="604"/>
  <c r="K58" i="604"/>
  <c r="K62" i="604"/>
  <c r="F102" i="604"/>
  <c r="G102" i="604" s="1"/>
  <c r="N94" i="604"/>
  <c r="R94" i="604" s="1"/>
  <c r="N44" i="604"/>
  <c r="R44" i="604" s="1"/>
  <c r="N51" i="604"/>
  <c r="R51" i="604" s="1"/>
  <c r="I78" i="604"/>
  <c r="N33" i="604"/>
  <c r="Q32" i="604"/>
  <c r="R32" i="604" s="1"/>
  <c r="E11" i="333" s="1"/>
  <c r="G32" i="621"/>
  <c r="G114" i="622"/>
  <c r="J114" i="622" s="1"/>
  <c r="B4" i="625"/>
  <c r="R99" i="604"/>
  <c r="B5" i="625"/>
  <c r="G133" i="622"/>
  <c r="G33" i="621"/>
  <c r="J101" i="604" l="1"/>
  <c r="J52" i="604"/>
  <c r="N46" i="604"/>
  <c r="R46" i="604" s="1"/>
  <c r="N81" i="604"/>
  <c r="R81" i="604" s="1"/>
  <c r="F95" i="604"/>
  <c r="G95" i="604" s="1"/>
  <c r="K49" i="604"/>
  <c r="L49" i="604" s="1"/>
  <c r="V49" i="604" s="1"/>
  <c r="X49" i="604" s="1"/>
  <c r="N38" i="604"/>
  <c r="R38" i="604" s="1"/>
  <c r="J89" i="604"/>
  <c r="L89" i="604" s="1"/>
  <c r="V89" i="604" s="1"/>
  <c r="X89" i="604" s="1"/>
  <c r="F52" i="604"/>
  <c r="G52" i="604" s="1"/>
  <c r="K43" i="604"/>
  <c r="N55" i="604"/>
  <c r="R55" i="604" s="1"/>
  <c r="J93" i="604"/>
  <c r="L93" i="604" s="1"/>
  <c r="V93" i="604" s="1"/>
  <c r="X93" i="604" s="1"/>
  <c r="F60" i="604"/>
  <c r="G60" i="604" s="1"/>
  <c r="F16" i="604"/>
  <c r="G16" i="604" s="1"/>
  <c r="L107" i="604"/>
  <c r="L108" i="604" s="1"/>
  <c r="F25" i="604"/>
  <c r="G25" i="604" s="1"/>
  <c r="L37" i="604"/>
  <c r="V37" i="604" s="1"/>
  <c r="X37" i="604" s="1"/>
  <c r="T114" i="620"/>
  <c r="L27" i="604"/>
  <c r="V27" i="604" s="1"/>
  <c r="AC27" i="604" s="1"/>
  <c r="T33" i="604"/>
  <c r="L83" i="604"/>
  <c r="V83" i="604" s="1"/>
  <c r="X83" i="604" s="1"/>
  <c r="K113" i="604"/>
  <c r="K31" i="604" s="1"/>
  <c r="L19" i="604"/>
  <c r="V19" i="604" s="1"/>
  <c r="AC19" i="604" s="1"/>
  <c r="L96" i="604"/>
  <c r="V96" i="604" s="1"/>
  <c r="X96" i="604" s="1"/>
  <c r="E13" i="333"/>
  <c r="G147" i="622"/>
  <c r="G205" i="622" s="1"/>
  <c r="B6" i="625"/>
  <c r="I103" i="604"/>
  <c r="I29" i="604" s="1"/>
  <c r="L21" i="604"/>
  <c r="V21" i="604" s="1"/>
  <c r="X21" i="604" s="1"/>
  <c r="L12" i="604"/>
  <c r="V12" i="604" s="1"/>
  <c r="X12" i="604" s="1"/>
  <c r="L69" i="604"/>
  <c r="V69" i="604" s="1"/>
  <c r="X69" i="604" s="1"/>
  <c r="L52" i="604"/>
  <c r="V52" i="604" s="1"/>
  <c r="X52" i="604" s="1"/>
  <c r="L84" i="604"/>
  <c r="V84" i="604" s="1"/>
  <c r="X84" i="604" s="1"/>
  <c r="L85" i="604"/>
  <c r="V85" i="604" s="1"/>
  <c r="X85" i="604" s="1"/>
  <c r="L60" i="604"/>
  <c r="L64" i="604"/>
  <c r="V64" i="604" s="1"/>
  <c r="X64" i="604" s="1"/>
  <c r="Q33" i="604"/>
  <c r="G38" i="621"/>
  <c r="L50" i="604"/>
  <c r="V50" i="604" s="1"/>
  <c r="X50" i="604" s="1"/>
  <c r="L66" i="604"/>
  <c r="V66" i="604" s="1"/>
  <c r="X66" i="604" s="1"/>
  <c r="L58" i="604"/>
  <c r="V58" i="604" s="1"/>
  <c r="X58" i="604" s="1"/>
  <c r="L38" i="604"/>
  <c r="I113" i="604"/>
  <c r="I31" i="604" s="1"/>
  <c r="L76" i="604"/>
  <c r="V76" i="604" s="1"/>
  <c r="X76" i="604" s="1"/>
  <c r="T109" i="620"/>
  <c r="K103" i="604"/>
  <c r="K29" i="604" s="1"/>
  <c r="L55" i="604"/>
  <c r="V55" i="604" s="1"/>
  <c r="X55" i="604" s="1"/>
  <c r="L72" i="604"/>
  <c r="V72" i="604" s="1"/>
  <c r="X72" i="604" s="1"/>
  <c r="L45" i="604"/>
  <c r="V45" i="604" s="1"/>
  <c r="X45" i="604" s="1"/>
  <c r="L90" i="604"/>
  <c r="V90" i="604" s="1"/>
  <c r="X90" i="604" s="1"/>
  <c r="L77" i="604"/>
  <c r="V77" i="604" s="1"/>
  <c r="X77" i="604" s="1"/>
  <c r="L59" i="604"/>
  <c r="V59" i="604" s="1"/>
  <c r="X59" i="604" s="1"/>
  <c r="L56" i="604"/>
  <c r="V56" i="604" s="1"/>
  <c r="X56" i="604" s="1"/>
  <c r="V107" i="604"/>
  <c r="L88" i="604"/>
  <c r="V88" i="604" s="1"/>
  <c r="X88" i="604" s="1"/>
  <c r="L15" i="604"/>
  <c r="V15" i="604" s="1"/>
  <c r="AA15" i="604" s="1"/>
  <c r="L74" i="604"/>
  <c r="V74" i="604" s="1"/>
  <c r="X74" i="604" s="1"/>
  <c r="L40" i="604"/>
  <c r="V40" i="604" s="1"/>
  <c r="X40" i="604" s="1"/>
  <c r="L22" i="604"/>
  <c r="V22" i="604" s="1"/>
  <c r="X22" i="604" s="1"/>
  <c r="L53" i="604"/>
  <c r="V53" i="604" s="1"/>
  <c r="X53" i="604" s="1"/>
  <c r="L68" i="604"/>
  <c r="V68" i="604" s="1"/>
  <c r="X68" i="604" s="1"/>
  <c r="L13" i="604"/>
  <c r="V13" i="604" s="1"/>
  <c r="I9" i="621" s="1"/>
  <c r="L20" i="604"/>
  <c r="V20" i="604" s="1"/>
  <c r="X20" i="604" s="1"/>
  <c r="L95" i="604"/>
  <c r="L51" i="604"/>
  <c r="V51" i="604" s="1"/>
  <c r="X51" i="604" s="1"/>
  <c r="V106" i="604"/>
  <c r="L78" i="604"/>
  <c r="V78" i="604" s="1"/>
  <c r="X78" i="604" s="1"/>
  <c r="L94" i="604"/>
  <c r="V94" i="604" s="1"/>
  <c r="X94" i="604" s="1"/>
  <c r="I98" i="604"/>
  <c r="L36" i="604"/>
  <c r="L25" i="604"/>
  <c r="T113" i="604"/>
  <c r="L57" i="604"/>
  <c r="V57" i="604" s="1"/>
  <c r="X57" i="604" s="1"/>
  <c r="L47" i="604"/>
  <c r="V47" i="604" s="1"/>
  <c r="X47" i="604" s="1"/>
  <c r="L80" i="604"/>
  <c r="V80" i="604" s="1"/>
  <c r="X80" i="604" s="1"/>
  <c r="T108" i="604"/>
  <c r="L42" i="604"/>
  <c r="V42" i="604" s="1"/>
  <c r="X42" i="604" s="1"/>
  <c r="F103" i="604"/>
  <c r="G101" i="604"/>
  <c r="I108" i="604"/>
  <c r="I30" i="604" s="1"/>
  <c r="L18" i="604"/>
  <c r="V18" i="604" s="1"/>
  <c r="AA18" i="604" s="1"/>
  <c r="L87" i="604"/>
  <c r="V87" i="604" s="1"/>
  <c r="X87" i="604" s="1"/>
  <c r="L97" i="604"/>
  <c r="V97" i="604" s="1"/>
  <c r="X97" i="604" s="1"/>
  <c r="L62" i="604"/>
  <c r="V62" i="604" s="1"/>
  <c r="X62" i="604" s="1"/>
  <c r="L113" i="604"/>
  <c r="V111" i="604"/>
  <c r="L54" i="604"/>
  <c r="V54" i="604" s="1"/>
  <c r="X54" i="604" s="1"/>
  <c r="L39" i="604"/>
  <c r="V39" i="604" s="1"/>
  <c r="X39" i="604" s="1"/>
  <c r="L48" i="604"/>
  <c r="V48" i="604" s="1"/>
  <c r="X48" i="604" s="1"/>
  <c r="J103" i="604"/>
  <c r="J29" i="604" s="1"/>
  <c r="L17" i="604"/>
  <c r="V17" i="604" s="1"/>
  <c r="X17" i="604" s="1"/>
  <c r="V102" i="604"/>
  <c r="G111" i="604"/>
  <c r="F113" i="604"/>
  <c r="F31" i="604" s="1"/>
  <c r="G31" i="604" s="1"/>
  <c r="L11" i="604"/>
  <c r="V11" i="604" s="1"/>
  <c r="I7" i="621" s="1"/>
  <c r="L7" i="621" s="1"/>
  <c r="V112" i="604"/>
  <c r="J108" i="604"/>
  <c r="J30" i="604" s="1"/>
  <c r="L65" i="604"/>
  <c r="V65" i="604" s="1"/>
  <c r="X65" i="604" s="1"/>
  <c r="L23" i="604"/>
  <c r="V23" i="604" s="1"/>
  <c r="X23" i="604" s="1"/>
  <c r="L41" i="604"/>
  <c r="V41" i="604" s="1"/>
  <c r="X41" i="604" s="1"/>
  <c r="L26" i="604"/>
  <c r="V26" i="604" s="1"/>
  <c r="L71" i="604"/>
  <c r="V71" i="604" s="1"/>
  <c r="X71" i="604" s="1"/>
  <c r="L103" i="604"/>
  <c r="V101" i="604"/>
  <c r="L70" i="604"/>
  <c r="V70" i="604" s="1"/>
  <c r="X70" i="604" s="1"/>
  <c r="L81" i="604"/>
  <c r="V81" i="604" s="1"/>
  <c r="X81" i="604" s="1"/>
  <c r="L61" i="604"/>
  <c r="V61" i="604" s="1"/>
  <c r="X61" i="604" s="1"/>
  <c r="L44" i="604"/>
  <c r="V44" i="604" s="1"/>
  <c r="X44" i="604" s="1"/>
  <c r="L46" i="604"/>
  <c r="V46" i="604" s="1"/>
  <c r="X46" i="604" s="1"/>
  <c r="L79" i="604"/>
  <c r="V79" i="604" s="1"/>
  <c r="X79" i="604" s="1"/>
  <c r="L91" i="604"/>
  <c r="V91" i="604" s="1"/>
  <c r="X91" i="604" s="1"/>
  <c r="L82" i="604"/>
  <c r="V82" i="604" s="1"/>
  <c r="X82" i="604" s="1"/>
  <c r="L14" i="604"/>
  <c r="V14" i="604" s="1"/>
  <c r="I10" i="621" s="1"/>
  <c r="L10" i="621" s="1"/>
  <c r="L67" i="604"/>
  <c r="V67" i="604" s="1"/>
  <c r="X67" i="604" s="1"/>
  <c r="J113" i="604"/>
  <c r="J31" i="604" s="1"/>
  <c r="L43" i="604"/>
  <c r="V43" i="604" s="1"/>
  <c r="X43" i="604" s="1"/>
  <c r="L63" i="604"/>
  <c r="V63" i="604" s="1"/>
  <c r="X63" i="604" s="1"/>
  <c r="G36" i="604"/>
  <c r="K98" i="604"/>
  <c r="K28" i="604" s="1"/>
  <c r="K99" i="604" s="1"/>
  <c r="L86" i="604"/>
  <c r="V86" i="604" s="1"/>
  <c r="X86" i="604" s="1"/>
  <c r="K108" i="604"/>
  <c r="K30" i="604" s="1"/>
  <c r="L75" i="604"/>
  <c r="V75" i="604" s="1"/>
  <c r="X75" i="604" s="1"/>
  <c r="L24" i="604"/>
  <c r="V24" i="604" s="1"/>
  <c r="L73" i="604"/>
  <c r="V73" i="604" s="1"/>
  <c r="X73" i="604" s="1"/>
  <c r="L92" i="604"/>
  <c r="V92" i="604" s="1"/>
  <c r="X92" i="604" s="1"/>
  <c r="G106" i="604"/>
  <c r="F108" i="604"/>
  <c r="F30" i="604" s="1"/>
  <c r="G30" i="604" s="1"/>
  <c r="L16" i="604"/>
  <c r="V16" i="604" s="1"/>
  <c r="D13" i="333"/>
  <c r="R33" i="604"/>
  <c r="J133" i="622"/>
  <c r="J146" i="622" s="1"/>
  <c r="G146" i="622"/>
  <c r="G132" i="622"/>
  <c r="J132" i="622"/>
  <c r="AA27" i="604" l="1"/>
  <c r="V25" i="604"/>
  <c r="AA25" i="604" s="1"/>
  <c r="X27" i="604"/>
  <c r="V38" i="604"/>
  <c r="X38" i="604" s="1"/>
  <c r="V60" i="604"/>
  <c r="X60" i="604" s="1"/>
  <c r="J98" i="604"/>
  <c r="J28" i="604" s="1"/>
  <c r="V95" i="604"/>
  <c r="X95" i="604" s="1"/>
  <c r="F98" i="604"/>
  <c r="AA19" i="604"/>
  <c r="D17" i="333"/>
  <c r="J147" i="622"/>
  <c r="J205" i="622" s="1"/>
  <c r="X19" i="604"/>
  <c r="I8" i="621"/>
  <c r="L8" i="621" s="1"/>
  <c r="F28" i="604"/>
  <c r="G28" i="604" s="1"/>
  <c r="F29" i="604"/>
  <c r="G29" i="604" s="1"/>
  <c r="L31" i="604"/>
  <c r="V31" i="604" s="1"/>
  <c r="X31" i="604" s="1"/>
  <c r="AC12" i="604"/>
  <c r="AA21" i="604"/>
  <c r="AC25" i="604"/>
  <c r="AC21" i="604"/>
  <c r="AA23" i="604"/>
  <c r="AC23" i="604"/>
  <c r="AC18" i="604"/>
  <c r="AA12" i="604"/>
  <c r="X18" i="604"/>
  <c r="X13" i="604"/>
  <c r="AA13" i="604"/>
  <c r="AC13" i="604"/>
  <c r="L29" i="604"/>
  <c r="X26" i="604"/>
  <c r="AC26" i="604"/>
  <c r="X25" i="604"/>
  <c r="AC17" i="604"/>
  <c r="AA17" i="604"/>
  <c r="AC15" i="604"/>
  <c r="X15" i="604"/>
  <c r="AA26" i="604"/>
  <c r="V103" i="604"/>
  <c r="AC14" i="604"/>
  <c r="J99" i="604"/>
  <c r="X14" i="604"/>
  <c r="AC20" i="604"/>
  <c r="J7" i="621"/>
  <c r="AA20" i="604"/>
  <c r="J10" i="621"/>
  <c r="L30" i="604"/>
  <c r="V30" i="604" s="1"/>
  <c r="L9" i="621"/>
  <c r="J9" i="621"/>
  <c r="AA22" i="604"/>
  <c r="AC22" i="604"/>
  <c r="X16" i="604"/>
  <c r="AC16" i="604"/>
  <c r="AA16" i="604"/>
  <c r="AA24" i="604"/>
  <c r="AC24" i="604"/>
  <c r="X24" i="604"/>
  <c r="L98" i="604"/>
  <c r="V98" i="604" s="1"/>
  <c r="V36" i="604"/>
  <c r="X36" i="604" s="1"/>
  <c r="J32" i="604"/>
  <c r="I28" i="604"/>
  <c r="I99" i="604" s="1"/>
  <c r="V113" i="604"/>
  <c r="AA14" i="604"/>
  <c r="K32" i="604"/>
  <c r="V108" i="604"/>
  <c r="V29" i="604" l="1"/>
  <c r="AA29" i="604" s="1"/>
  <c r="F32" i="604"/>
  <c r="G32" i="604" s="1"/>
  <c r="J8" i="621"/>
  <c r="F99" i="604"/>
  <c r="AC31" i="604"/>
  <c r="AA31" i="604"/>
  <c r="X29" i="604"/>
  <c r="AC29" i="604"/>
  <c r="G35" i="622"/>
  <c r="J35" i="622" s="1"/>
  <c r="J113" i="622" s="1"/>
  <c r="F33" i="604"/>
  <c r="B33" i="604" s="1"/>
  <c r="I15" i="621" s="1"/>
  <c r="L15" i="621" s="1"/>
  <c r="E17" i="333"/>
  <c r="D19" i="333" s="1"/>
  <c r="G31" i="621"/>
  <c r="AA30" i="604"/>
  <c r="AC30" i="604"/>
  <c r="X30" i="604"/>
  <c r="E63" i="551"/>
  <c r="G37" i="621"/>
  <c r="E21" i="333"/>
  <c r="H21" i="333" s="1"/>
  <c r="G344" i="622"/>
  <c r="B9" i="625"/>
  <c r="I32" i="604"/>
  <c r="L28" i="604"/>
  <c r="E60" i="551"/>
  <c r="G279" i="622"/>
  <c r="E20" i="333"/>
  <c r="H20" i="333" s="1"/>
  <c r="G36" i="621"/>
  <c r="B8" i="625"/>
  <c r="AA11" i="604"/>
  <c r="AC11" i="604"/>
  <c r="AC32" i="604" s="1"/>
  <c r="X11" i="604"/>
  <c r="E32" i="604" l="1"/>
  <c r="B3" i="625"/>
  <c r="B15" i="625"/>
  <c r="I13" i="621"/>
  <c r="L13" i="621" s="1"/>
  <c r="I19" i="621"/>
  <c r="L19" i="621" s="1"/>
  <c r="I18" i="621"/>
  <c r="L18" i="621" s="1"/>
  <c r="I11" i="621"/>
  <c r="L11" i="621" s="1"/>
  <c r="I22" i="621"/>
  <c r="L22" i="621" s="1"/>
  <c r="I25" i="621"/>
  <c r="L25" i="621" s="1"/>
  <c r="I14" i="621"/>
  <c r="L14" i="621" s="1"/>
  <c r="I17" i="621"/>
  <c r="L17" i="621" s="1"/>
  <c r="I21" i="621"/>
  <c r="L21" i="621" s="1"/>
  <c r="I16" i="621"/>
  <c r="L16" i="621" s="1"/>
  <c r="I23" i="621"/>
  <c r="L23" i="621" s="1"/>
  <c r="I12" i="621"/>
  <c r="L12" i="621" s="1"/>
  <c r="I20" i="621"/>
  <c r="L20" i="621" s="1"/>
  <c r="H17" i="333"/>
  <c r="D22" i="333"/>
  <c r="G113" i="622"/>
  <c r="G343" i="622"/>
  <c r="J279" i="622"/>
  <c r="J343" i="622" s="1"/>
  <c r="L32" i="604"/>
  <c r="V32" i="604" s="1"/>
  <c r="L99" i="604"/>
  <c r="V28" i="604"/>
  <c r="G206" i="622"/>
  <c r="E57" i="551"/>
  <c r="E19" i="333"/>
  <c r="B7" i="625"/>
  <c r="G35" i="621"/>
  <c r="G361" i="622"/>
  <c r="J344" i="622"/>
  <c r="J361" i="622" s="1"/>
  <c r="J15" i="621"/>
  <c r="E49" i="551" l="1"/>
  <c r="E50" i="551" s="1"/>
  <c r="B10" i="625"/>
  <c r="C3" i="625" s="1"/>
  <c r="D3" i="625" s="1"/>
  <c r="J19" i="621"/>
  <c r="J13" i="621"/>
  <c r="J11" i="621"/>
  <c r="J18" i="621"/>
  <c r="J25" i="621"/>
  <c r="J22" i="621"/>
  <c r="J14" i="621"/>
  <c r="J17" i="621"/>
  <c r="J23" i="621"/>
  <c r="J16" i="621"/>
  <c r="J12" i="621"/>
  <c r="J20" i="621"/>
  <c r="J21" i="621"/>
  <c r="C9" i="625"/>
  <c r="D9" i="625" s="1"/>
  <c r="E22" i="333"/>
  <c r="D24" i="333" s="1"/>
  <c r="E24" i="333" s="1"/>
  <c r="D26" i="333" s="1"/>
  <c r="E45" i="551" s="1"/>
  <c r="H19" i="333"/>
  <c r="J206" i="622"/>
  <c r="G278" i="622"/>
  <c r="G370" i="622" s="1"/>
  <c r="G1" i="622" s="1"/>
  <c r="AA28" i="604"/>
  <c r="AA32" i="604" s="1"/>
  <c r="AC28" i="604"/>
  <c r="X28" i="604"/>
  <c r="V99" i="604"/>
  <c r="I24" i="621"/>
  <c r="V33" i="604"/>
  <c r="AA34" i="604"/>
  <c r="AA35" i="604" s="1"/>
  <c r="X32" i="604"/>
  <c r="D20" i="333"/>
  <c r="D21" i="333" s="1"/>
  <c r="C4" i="625" l="1"/>
  <c r="D4" i="625" s="1"/>
  <c r="C8" i="625"/>
  <c r="D8" i="625" s="1"/>
  <c r="C7" i="625"/>
  <c r="D7" i="625" s="1"/>
  <c r="C6" i="625"/>
  <c r="D6" i="625" s="1"/>
  <c r="B11" i="625"/>
  <c r="C5" i="625"/>
  <c r="D5" i="625" s="1"/>
  <c r="E51" i="551"/>
  <c r="E54" i="551" s="1"/>
  <c r="F20" i="333"/>
  <c r="F11" i="333"/>
  <c r="F19" i="333"/>
  <c r="F21" i="333"/>
  <c r="F13" i="333"/>
  <c r="F17" i="333"/>
  <c r="L24" i="621"/>
  <c r="I26" i="621"/>
  <c r="L26" i="621" s="1"/>
  <c r="J24" i="621"/>
  <c r="J26" i="621" s="1"/>
  <c r="J278" i="622"/>
  <c r="J370" i="622" s="1"/>
  <c r="J1" i="622" s="1"/>
  <c r="D10" i="625" l="1"/>
  <c r="D11" i="625" s="1"/>
  <c r="C10" i="625"/>
  <c r="I15" i="606"/>
  <c r="D19" i="606" s="1"/>
  <c r="D16" i="606" s="1"/>
  <c r="L3" i="343"/>
  <c r="E15" i="333"/>
  <c r="H15" i="333" s="1"/>
  <c r="F24" i="333"/>
  <c r="E19" i="606" l="1"/>
  <c r="F15" i="333"/>
  <c r="E16" i="606"/>
  <c r="D20" i="606"/>
  <c r="I17" i="333"/>
  <c r="I20" i="333"/>
  <c r="I21" i="333"/>
  <c r="I19" i="333"/>
  <c r="I15" i="333"/>
  <c r="D21" i="606" l="1"/>
  <c r="E20" i="606"/>
  <c r="D26" i="606" l="1"/>
  <c r="D28" i="606" s="1"/>
  <c r="E32" i="606"/>
  <c r="E21" i="606"/>
  <c r="E22" i="606" s="1"/>
  <c r="E31" i="606"/>
  <c r="M15" i="606"/>
  <c r="N15" i="606" l="1"/>
  <c r="O15" i="606"/>
  <c r="G5" i="332"/>
  <c r="G5" i="608" s="1"/>
  <c r="I1" i="625" s="1"/>
  <c r="E23" i="606"/>
  <c r="E33" i="606"/>
  <c r="E11" i="613"/>
  <c r="E40" i="606"/>
  <c r="H10" i="616" s="1"/>
  <c r="C8" i="612"/>
  <c r="E28" i="606"/>
  <c r="E41" i="606"/>
  <c r="L10" i="616" s="1"/>
  <c r="E39" i="606"/>
  <c r="D10" i="616" s="1"/>
  <c r="H35" i="616" l="1"/>
  <c r="H38" i="616"/>
  <c r="D33" i="616"/>
  <c r="E33" i="616" s="1"/>
  <c r="J29" i="617" s="1"/>
  <c r="D52" i="616"/>
  <c r="E52" i="616" s="1"/>
  <c r="D59" i="616"/>
  <c r="E59" i="616" s="1"/>
  <c r="J55" i="617" s="1"/>
  <c r="G54" i="619" s="1"/>
  <c r="D42" i="616"/>
  <c r="E42" i="616" s="1"/>
  <c r="J38" i="617" s="1"/>
  <c r="G37" i="619" s="1"/>
  <c r="D24" i="616"/>
  <c r="E24" i="616" s="1"/>
  <c r="J20" i="617" s="1"/>
  <c r="D99" i="616"/>
  <c r="E99" i="616" s="1"/>
  <c r="D58" i="616"/>
  <c r="E58" i="616" s="1"/>
  <c r="D94" i="616"/>
  <c r="E94" i="616" s="1"/>
  <c r="J90" i="617" s="1"/>
  <c r="G89" i="619" s="1"/>
  <c r="D93" i="616"/>
  <c r="E93" i="616" s="1"/>
  <c r="J89" i="617" s="1"/>
  <c r="G88" i="619" s="1"/>
  <c r="D21" i="616"/>
  <c r="E21" i="616" s="1"/>
  <c r="J17" i="617" s="1"/>
  <c r="D77" i="616"/>
  <c r="E77" i="616" s="1"/>
  <c r="J73" i="617" s="1"/>
  <c r="G72" i="619" s="1"/>
  <c r="D71" i="616"/>
  <c r="E71" i="616" s="1"/>
  <c r="J67" i="617" s="1"/>
  <c r="G66" i="619" s="1"/>
  <c r="D72" i="616"/>
  <c r="E72" i="616" s="1"/>
  <c r="J68" i="617" s="1"/>
  <c r="G67" i="619" s="1"/>
  <c r="D28" i="616"/>
  <c r="E28" i="616" s="1"/>
  <c r="J24" i="617" s="1"/>
  <c r="D56" i="616"/>
  <c r="E56" i="616" s="1"/>
  <c r="J52" i="617" s="1"/>
  <c r="G51" i="619" s="1"/>
  <c r="D70" i="616"/>
  <c r="E70" i="616" s="1"/>
  <c r="J66" i="617" s="1"/>
  <c r="G65" i="619" s="1"/>
  <c r="D98" i="616"/>
  <c r="E98" i="616" s="1"/>
  <c r="J94" i="617" s="1"/>
  <c r="G93" i="619" s="1"/>
  <c r="D25" i="616"/>
  <c r="E25" i="616" s="1"/>
  <c r="J21" i="617" s="1"/>
  <c r="D26" i="616"/>
  <c r="E26" i="616" s="1"/>
  <c r="J22" i="617" s="1"/>
  <c r="D54" i="616"/>
  <c r="E54" i="616" s="1"/>
  <c r="J50" i="617" s="1"/>
  <c r="G49" i="619" s="1"/>
  <c r="D89" i="616"/>
  <c r="E89" i="616" s="1"/>
  <c r="J85" i="617" s="1"/>
  <c r="G84" i="619" s="1"/>
  <c r="D51" i="616"/>
  <c r="E51" i="616" s="1"/>
  <c r="D95" i="616"/>
  <c r="E95" i="616" s="1"/>
  <c r="J91" i="617" s="1"/>
  <c r="G90" i="619" s="1"/>
  <c r="D57" i="616"/>
  <c r="E57" i="616" s="1"/>
  <c r="J53" i="617" s="1"/>
  <c r="G52" i="619" s="1"/>
  <c r="D18" i="616"/>
  <c r="E18" i="616" s="1"/>
  <c r="J14" i="617" s="1"/>
  <c r="D103" i="616"/>
  <c r="E103" i="616" s="1"/>
  <c r="D68" i="616"/>
  <c r="E68" i="616" s="1"/>
  <c r="J64" i="617" s="1"/>
  <c r="G63" i="619" s="1"/>
  <c r="D84" i="616"/>
  <c r="E84" i="616" s="1"/>
  <c r="J80" i="617" s="1"/>
  <c r="G79" i="619" s="1"/>
  <c r="D31" i="616"/>
  <c r="E31" i="616" s="1"/>
  <c r="J27" i="617" s="1"/>
  <c r="D65" i="616"/>
  <c r="E65" i="616" s="1"/>
  <c r="J61" i="617" s="1"/>
  <c r="G60" i="619" s="1"/>
  <c r="E12" i="605"/>
  <c r="E13" i="605" s="1"/>
  <c r="E14" i="605" s="1"/>
  <c r="E15" i="605" s="1"/>
  <c r="E16" i="605" s="1"/>
  <c r="E17" i="605" s="1"/>
  <c r="E18" i="605" s="1"/>
  <c r="E19" i="605" s="1"/>
  <c r="E20" i="605" s="1"/>
  <c r="E21" i="605" s="1"/>
  <c r="E22" i="605" s="1"/>
  <c r="E23" i="605" s="1"/>
  <c r="E24" i="605" s="1"/>
  <c r="E25" i="605" s="1"/>
  <c r="E26" i="605" s="1"/>
  <c r="E27" i="605" s="1"/>
  <c r="E28" i="605" s="1"/>
  <c r="E29" i="605" s="1"/>
  <c r="D102" i="616"/>
  <c r="E102" i="616" s="1"/>
  <c r="J98" i="617" s="1"/>
  <c r="G97" i="619" s="1"/>
  <c r="D88" i="616"/>
  <c r="E88" i="616" s="1"/>
  <c r="J84" i="617" s="1"/>
  <c r="G83" i="619" s="1"/>
  <c r="D101" i="616"/>
  <c r="E101" i="616" s="1"/>
  <c r="J97" i="617" s="1"/>
  <c r="G96" i="619" s="1"/>
  <c r="D112" i="616"/>
  <c r="E112" i="616" s="1"/>
  <c r="D73" i="616"/>
  <c r="E73" i="616" s="1"/>
  <c r="J69" i="617" s="1"/>
  <c r="G68" i="619" s="1"/>
  <c r="D86" i="616"/>
  <c r="E86" i="616" s="1"/>
  <c r="J82" i="617" s="1"/>
  <c r="G81" i="619" s="1"/>
  <c r="D48" i="616"/>
  <c r="E48" i="616" s="1"/>
  <c r="J44" i="617" s="1"/>
  <c r="G43" i="619" s="1"/>
  <c r="D91" i="616"/>
  <c r="E91" i="616" s="1"/>
  <c r="J87" i="617" s="1"/>
  <c r="G86" i="619" s="1"/>
  <c r="D34" i="616"/>
  <c r="E34" i="616" s="1"/>
  <c r="J30" i="617" s="1"/>
  <c r="D64" i="616"/>
  <c r="E64" i="616" s="1"/>
  <c r="J60" i="617" s="1"/>
  <c r="G59" i="619" s="1"/>
  <c r="D96" i="616"/>
  <c r="E96" i="616" s="1"/>
  <c r="D44" i="616"/>
  <c r="E44" i="616" s="1"/>
  <c r="J40" i="617" s="1"/>
  <c r="G39" i="619" s="1"/>
  <c r="D45" i="616"/>
  <c r="E45" i="616" s="1"/>
  <c r="J41" i="617" s="1"/>
  <c r="G40" i="619" s="1"/>
  <c r="D37" i="616"/>
  <c r="D55" i="616"/>
  <c r="E55" i="616" s="1"/>
  <c r="D118" i="616"/>
  <c r="E118" i="616" s="1"/>
  <c r="J114" i="617" s="1"/>
  <c r="D87" i="616"/>
  <c r="E87" i="616" s="1"/>
  <c r="J83" i="617" s="1"/>
  <c r="G82" i="619" s="1"/>
  <c r="D76" i="616"/>
  <c r="E76" i="616" s="1"/>
  <c r="J72" i="617" s="1"/>
  <c r="G71" i="619" s="1"/>
  <c r="D90" i="616"/>
  <c r="E90" i="616" s="1"/>
  <c r="J86" i="617" s="1"/>
  <c r="G85" i="619" s="1"/>
  <c r="D92" i="616"/>
  <c r="E92" i="616" s="1"/>
  <c r="J88" i="617" s="1"/>
  <c r="G87" i="619" s="1"/>
  <c r="D38" i="616"/>
  <c r="D22" i="616"/>
  <c r="E22" i="616" s="1"/>
  <c r="J18" i="617" s="1"/>
  <c r="D80" i="616"/>
  <c r="E80" i="616" s="1"/>
  <c r="J76" i="617" s="1"/>
  <c r="G75" i="619" s="1"/>
  <c r="D107" i="616"/>
  <c r="E107" i="616" s="1"/>
  <c r="J103" i="617" s="1"/>
  <c r="D46" i="616"/>
  <c r="E46" i="616" s="1"/>
  <c r="J42" i="617" s="1"/>
  <c r="G41" i="619" s="1"/>
  <c r="D49" i="616"/>
  <c r="E49" i="616" s="1"/>
  <c r="J45" i="617" s="1"/>
  <c r="G44" i="619" s="1"/>
  <c r="D30" i="616"/>
  <c r="E30" i="616" s="1"/>
  <c r="J26" i="617" s="1"/>
  <c r="D67" i="616"/>
  <c r="E67" i="616" s="1"/>
  <c r="J63" i="617" s="1"/>
  <c r="G62" i="619" s="1"/>
  <c r="D78" i="616"/>
  <c r="E78" i="616" s="1"/>
  <c r="J74" i="617" s="1"/>
  <c r="G73" i="619" s="1"/>
  <c r="D81" i="616"/>
  <c r="E81" i="616" s="1"/>
  <c r="J77" i="617" s="1"/>
  <c r="G76" i="619" s="1"/>
  <c r="D36" i="616"/>
  <c r="D20" i="616"/>
  <c r="E20" i="616" s="1"/>
  <c r="J16" i="617" s="1"/>
  <c r="D69" i="616"/>
  <c r="E69" i="616" s="1"/>
  <c r="J65" i="617" s="1"/>
  <c r="G64" i="619" s="1"/>
  <c r="D53" i="616"/>
  <c r="E53" i="616" s="1"/>
  <c r="J49" i="617" s="1"/>
  <c r="G48" i="619" s="1"/>
  <c r="D85" i="616"/>
  <c r="E85" i="616" s="1"/>
  <c r="D117" i="616"/>
  <c r="E117" i="616" s="1"/>
  <c r="D23" i="616"/>
  <c r="E23" i="616" s="1"/>
  <c r="J19" i="617" s="1"/>
  <c r="D63" i="616"/>
  <c r="E63" i="616" s="1"/>
  <c r="J59" i="617" s="1"/>
  <c r="G58" i="619" s="1"/>
  <c r="D97" i="616"/>
  <c r="E97" i="616" s="1"/>
  <c r="J93" i="617" s="1"/>
  <c r="G92" i="619" s="1"/>
  <c r="D43" i="616"/>
  <c r="E43" i="616" s="1"/>
  <c r="J39" i="617" s="1"/>
  <c r="G38" i="619" s="1"/>
  <c r="D113" i="616"/>
  <c r="E113" i="616" s="1"/>
  <c r="J109" i="617" s="1"/>
  <c r="D19" i="616"/>
  <c r="E19" i="616" s="1"/>
  <c r="J15" i="617" s="1"/>
  <c r="D108" i="616"/>
  <c r="E108" i="616" s="1"/>
  <c r="J104" i="617" s="1"/>
  <c r="G103" i="619" s="1"/>
  <c r="D60" i="616"/>
  <c r="E60" i="616" s="1"/>
  <c r="J56" i="617" s="1"/>
  <c r="G55" i="619" s="1"/>
  <c r="D100" i="616"/>
  <c r="E100" i="616" s="1"/>
  <c r="J96" i="617" s="1"/>
  <c r="G95" i="619" s="1"/>
  <c r="D62" i="616"/>
  <c r="E62" i="616" s="1"/>
  <c r="J58" i="617" s="1"/>
  <c r="G57" i="619" s="1"/>
  <c r="D35" i="616"/>
  <c r="D27" i="616"/>
  <c r="E27" i="616" s="1"/>
  <c r="J23" i="617" s="1"/>
  <c r="D66" i="616"/>
  <c r="E66" i="616" s="1"/>
  <c r="J62" i="617" s="1"/>
  <c r="G61" i="619" s="1"/>
  <c r="D61" i="616"/>
  <c r="E61" i="616" s="1"/>
  <c r="J57" i="617" s="1"/>
  <c r="G56" i="619" s="1"/>
  <c r="D50" i="616"/>
  <c r="E50" i="616" s="1"/>
  <c r="D29" i="616"/>
  <c r="E29" i="616" s="1"/>
  <c r="J25" i="617" s="1"/>
  <c r="D83" i="616"/>
  <c r="E83" i="616" s="1"/>
  <c r="J79" i="617" s="1"/>
  <c r="G78" i="619" s="1"/>
  <c r="D47" i="616"/>
  <c r="E47" i="616" s="1"/>
  <c r="J43" i="617" s="1"/>
  <c r="G42" i="619" s="1"/>
  <c r="D79" i="616"/>
  <c r="E79" i="616" s="1"/>
  <c r="D32" i="616"/>
  <c r="E32" i="616" s="1"/>
  <c r="J28" i="617" s="1"/>
  <c r="D75" i="616"/>
  <c r="E75" i="616" s="1"/>
  <c r="J71" i="617" s="1"/>
  <c r="G70" i="619" s="1"/>
  <c r="D74" i="616"/>
  <c r="E74" i="616" s="1"/>
  <c r="J70" i="617" s="1"/>
  <c r="G69" i="619" s="1"/>
  <c r="D82" i="616"/>
  <c r="E82" i="616" s="1"/>
  <c r="J78" i="617" s="1"/>
  <c r="G77" i="619" s="1"/>
  <c r="L30" i="616"/>
  <c r="M30" i="616" s="1"/>
  <c r="L26" i="617" s="1"/>
  <c r="L19" i="616"/>
  <c r="M19" i="616" s="1"/>
  <c r="L15" i="617" s="1"/>
  <c r="L90" i="616"/>
  <c r="M90" i="616" s="1"/>
  <c r="L86" i="617" s="1"/>
  <c r="I85" i="619" s="1"/>
  <c r="L71" i="616"/>
  <c r="M71" i="616" s="1"/>
  <c r="L67" i="617" s="1"/>
  <c r="I66" i="619" s="1"/>
  <c r="L100" i="616"/>
  <c r="M100" i="616" s="1"/>
  <c r="L96" i="617" s="1"/>
  <c r="I95" i="619" s="1"/>
  <c r="L20" i="616"/>
  <c r="M20" i="616" s="1"/>
  <c r="L16" i="617" s="1"/>
  <c r="L60" i="616"/>
  <c r="M60" i="616" s="1"/>
  <c r="L56" i="617" s="1"/>
  <c r="I55" i="619" s="1"/>
  <c r="L79" i="616"/>
  <c r="M79" i="616" s="1"/>
  <c r="L75" i="617" s="1"/>
  <c r="I74" i="619" s="1"/>
  <c r="L86" i="616"/>
  <c r="M86" i="616" s="1"/>
  <c r="L82" i="617" s="1"/>
  <c r="I81" i="619" s="1"/>
  <c r="L57" i="616"/>
  <c r="M57" i="616" s="1"/>
  <c r="L53" i="617" s="1"/>
  <c r="I52" i="619" s="1"/>
  <c r="L46" i="616"/>
  <c r="M46" i="616" s="1"/>
  <c r="L42" i="617" s="1"/>
  <c r="I41" i="619" s="1"/>
  <c r="L44" i="616"/>
  <c r="M44" i="616" s="1"/>
  <c r="L18" i="616"/>
  <c r="M18" i="616" s="1"/>
  <c r="L14" i="617" s="1"/>
  <c r="L65" i="616"/>
  <c r="M65" i="616" s="1"/>
  <c r="L61" i="617" s="1"/>
  <c r="I60" i="619" s="1"/>
  <c r="L87" i="616"/>
  <c r="M87" i="616" s="1"/>
  <c r="L83" i="617" s="1"/>
  <c r="I82" i="619" s="1"/>
  <c r="L61" i="616"/>
  <c r="M61" i="616" s="1"/>
  <c r="L57" i="617" s="1"/>
  <c r="I56" i="619" s="1"/>
  <c r="L96" i="616"/>
  <c r="M96" i="616" s="1"/>
  <c r="L92" i="617" s="1"/>
  <c r="I91" i="619" s="1"/>
  <c r="L62" i="616"/>
  <c r="M62" i="616" s="1"/>
  <c r="L58" i="617" s="1"/>
  <c r="I57" i="619" s="1"/>
  <c r="L42" i="616"/>
  <c r="M42" i="616" s="1"/>
  <c r="L38" i="617" s="1"/>
  <c r="I37" i="619" s="1"/>
  <c r="L64" i="616"/>
  <c r="M64" i="616" s="1"/>
  <c r="L60" i="617" s="1"/>
  <c r="I59" i="619" s="1"/>
  <c r="L103" i="616"/>
  <c r="M103" i="616" s="1"/>
  <c r="L99" i="617" s="1"/>
  <c r="I98" i="619" s="1"/>
  <c r="L97" i="616"/>
  <c r="M97" i="616" s="1"/>
  <c r="L93" i="617" s="1"/>
  <c r="I92" i="619" s="1"/>
  <c r="L98" i="616"/>
  <c r="M98" i="616" s="1"/>
  <c r="L94" i="617" s="1"/>
  <c r="I93" i="619" s="1"/>
  <c r="L22" i="616"/>
  <c r="M22" i="616" s="1"/>
  <c r="L18" i="617" s="1"/>
  <c r="L66" i="616"/>
  <c r="M66" i="616" s="1"/>
  <c r="L62" i="617" s="1"/>
  <c r="I61" i="619" s="1"/>
  <c r="L53" i="616"/>
  <c r="M53" i="616" s="1"/>
  <c r="L49" i="617" s="1"/>
  <c r="I48" i="619" s="1"/>
  <c r="L88" i="616"/>
  <c r="M88" i="616" s="1"/>
  <c r="L84" i="617" s="1"/>
  <c r="I83" i="619" s="1"/>
  <c r="L101" i="616"/>
  <c r="M101" i="616" s="1"/>
  <c r="L97" i="617" s="1"/>
  <c r="I96" i="619" s="1"/>
  <c r="L55" i="616"/>
  <c r="M55" i="616" s="1"/>
  <c r="L51" i="617" s="1"/>
  <c r="I50" i="619" s="1"/>
  <c r="L94" i="616"/>
  <c r="M94" i="616" s="1"/>
  <c r="L90" i="617" s="1"/>
  <c r="I89" i="619" s="1"/>
  <c r="L118" i="616"/>
  <c r="M118" i="616" s="1"/>
  <c r="L114" i="617" s="1"/>
  <c r="L34" i="616"/>
  <c r="M34" i="616" s="1"/>
  <c r="L30" i="617" s="1"/>
  <c r="L58" i="616"/>
  <c r="M58" i="616" s="1"/>
  <c r="L54" i="617" s="1"/>
  <c r="I53" i="619" s="1"/>
  <c r="L59" i="616"/>
  <c r="M59" i="616" s="1"/>
  <c r="L55" i="617" s="1"/>
  <c r="I54" i="619" s="1"/>
  <c r="L72" i="616"/>
  <c r="M72" i="616" s="1"/>
  <c r="L68" i="617" s="1"/>
  <c r="I67" i="619" s="1"/>
  <c r="L117" i="616"/>
  <c r="M117" i="616" s="1"/>
  <c r="L113" i="616"/>
  <c r="M113" i="616" s="1"/>
  <c r="L109" i="617" s="1"/>
  <c r="L28" i="616"/>
  <c r="M28" i="616" s="1"/>
  <c r="L24" i="617" s="1"/>
  <c r="L91" i="616"/>
  <c r="M91" i="616" s="1"/>
  <c r="L87" i="617" s="1"/>
  <c r="I86" i="619" s="1"/>
  <c r="L73" i="616"/>
  <c r="M73" i="616" s="1"/>
  <c r="L69" i="617" s="1"/>
  <c r="I68" i="619" s="1"/>
  <c r="L54" i="616"/>
  <c r="M54" i="616" s="1"/>
  <c r="L50" i="617" s="1"/>
  <c r="I49" i="619" s="1"/>
  <c r="L112" i="616"/>
  <c r="M112" i="616" s="1"/>
  <c r="L27" i="616"/>
  <c r="M27" i="616" s="1"/>
  <c r="L23" i="617" s="1"/>
  <c r="L107" i="616"/>
  <c r="M107" i="616" s="1"/>
  <c r="L103" i="617" s="1"/>
  <c r="I102" i="619" s="1"/>
  <c r="L56" i="616"/>
  <c r="M56" i="616" s="1"/>
  <c r="L52" i="617" s="1"/>
  <c r="I51" i="619" s="1"/>
  <c r="L52" i="616"/>
  <c r="M52" i="616" s="1"/>
  <c r="L48" i="617" s="1"/>
  <c r="I47" i="619" s="1"/>
  <c r="U12" i="605"/>
  <c r="U13" i="605" s="1"/>
  <c r="U14" i="605" s="1"/>
  <c r="U15" i="605" s="1"/>
  <c r="U16" i="605" s="1"/>
  <c r="U17" i="605" s="1"/>
  <c r="U18" i="605" s="1"/>
  <c r="U19" i="605" s="1"/>
  <c r="U20" i="605" s="1"/>
  <c r="U21" i="605" s="1"/>
  <c r="U22" i="605" s="1"/>
  <c r="U23" i="605" s="1"/>
  <c r="U24" i="605" s="1"/>
  <c r="U25" i="605" s="1"/>
  <c r="U26" i="605" s="1"/>
  <c r="U27" i="605" s="1"/>
  <c r="U28" i="605" s="1"/>
  <c r="U29" i="605" s="1"/>
  <c r="L83" i="616"/>
  <c r="M83" i="616" s="1"/>
  <c r="L79" i="617" s="1"/>
  <c r="I78" i="619" s="1"/>
  <c r="L84" i="616"/>
  <c r="M84" i="616" s="1"/>
  <c r="L80" i="617" s="1"/>
  <c r="I79" i="619" s="1"/>
  <c r="L29" i="616"/>
  <c r="M29" i="616" s="1"/>
  <c r="L25" i="617" s="1"/>
  <c r="L78" i="616"/>
  <c r="M78" i="616" s="1"/>
  <c r="L74" i="617" s="1"/>
  <c r="I73" i="619" s="1"/>
  <c r="L45" i="616"/>
  <c r="M45" i="616" s="1"/>
  <c r="L41" i="617" s="1"/>
  <c r="I40" i="619" s="1"/>
  <c r="L69" i="616"/>
  <c r="M69" i="616" s="1"/>
  <c r="L65" i="617" s="1"/>
  <c r="I64" i="619" s="1"/>
  <c r="L108" i="616"/>
  <c r="M108" i="616" s="1"/>
  <c r="L104" i="617" s="1"/>
  <c r="I103" i="619" s="1"/>
  <c r="L81" i="616"/>
  <c r="M81" i="616" s="1"/>
  <c r="L77" i="617" s="1"/>
  <c r="I76" i="619" s="1"/>
  <c r="L67" i="616"/>
  <c r="M67" i="616" s="1"/>
  <c r="L63" i="617" s="1"/>
  <c r="I62" i="619" s="1"/>
  <c r="L89" i="616"/>
  <c r="M89" i="616" s="1"/>
  <c r="L85" i="617" s="1"/>
  <c r="I84" i="619" s="1"/>
  <c r="L32" i="616"/>
  <c r="M32" i="616" s="1"/>
  <c r="L28" i="617" s="1"/>
  <c r="L95" i="616"/>
  <c r="M95" i="616" s="1"/>
  <c r="L91" i="617" s="1"/>
  <c r="I90" i="619" s="1"/>
  <c r="L102" i="616"/>
  <c r="M102" i="616" s="1"/>
  <c r="L98" i="617" s="1"/>
  <c r="I97" i="619" s="1"/>
  <c r="L21" i="616"/>
  <c r="M21" i="616" s="1"/>
  <c r="L17" i="617" s="1"/>
  <c r="L63" i="616"/>
  <c r="M63" i="616" s="1"/>
  <c r="L59" i="617" s="1"/>
  <c r="I58" i="619" s="1"/>
  <c r="L70" i="616"/>
  <c r="M70" i="616" s="1"/>
  <c r="L66" i="617" s="1"/>
  <c r="I65" i="619" s="1"/>
  <c r="L80" i="616"/>
  <c r="M80" i="616" s="1"/>
  <c r="L76" i="617" s="1"/>
  <c r="I75" i="619" s="1"/>
  <c r="L31" i="616"/>
  <c r="M31" i="616" s="1"/>
  <c r="L27" i="617" s="1"/>
  <c r="L93" i="616"/>
  <c r="M93" i="616" s="1"/>
  <c r="L89" i="617" s="1"/>
  <c r="I88" i="619" s="1"/>
  <c r="L50" i="616"/>
  <c r="M50" i="616" s="1"/>
  <c r="L46" i="617" s="1"/>
  <c r="I45" i="619" s="1"/>
  <c r="L75" i="616"/>
  <c r="M75" i="616" s="1"/>
  <c r="L71" i="617" s="1"/>
  <c r="I70" i="619" s="1"/>
  <c r="L24" i="616"/>
  <c r="M24" i="616" s="1"/>
  <c r="L20" i="617" s="1"/>
  <c r="L25" i="616"/>
  <c r="M25" i="616" s="1"/>
  <c r="L21" i="617" s="1"/>
  <c r="L47" i="616"/>
  <c r="M47" i="616" s="1"/>
  <c r="L43" i="617" s="1"/>
  <c r="I42" i="619" s="1"/>
  <c r="L43" i="616"/>
  <c r="M43" i="616" s="1"/>
  <c r="L39" i="617" s="1"/>
  <c r="I38" i="619" s="1"/>
  <c r="L76" i="616"/>
  <c r="M76" i="616" s="1"/>
  <c r="L72" i="617" s="1"/>
  <c r="I71" i="619" s="1"/>
  <c r="L92" i="616"/>
  <c r="M92" i="616" s="1"/>
  <c r="L88" i="617" s="1"/>
  <c r="I87" i="619" s="1"/>
  <c r="L26" i="616"/>
  <c r="M26" i="616" s="1"/>
  <c r="L22" i="617" s="1"/>
  <c r="L99" i="616"/>
  <c r="M99" i="616" s="1"/>
  <c r="L95" i="617" s="1"/>
  <c r="I94" i="619" s="1"/>
  <c r="L77" i="616"/>
  <c r="M77" i="616" s="1"/>
  <c r="L73" i="617" s="1"/>
  <c r="I72" i="619" s="1"/>
  <c r="L85" i="616"/>
  <c r="M85" i="616" s="1"/>
  <c r="L81" i="617" s="1"/>
  <c r="I80" i="619" s="1"/>
  <c r="L33" i="616"/>
  <c r="M33" i="616" s="1"/>
  <c r="L29" i="617" s="1"/>
  <c r="L48" i="616"/>
  <c r="M48" i="616" s="1"/>
  <c r="L44" i="617" s="1"/>
  <c r="I43" i="619" s="1"/>
  <c r="L74" i="616"/>
  <c r="M74" i="616" s="1"/>
  <c r="L70" i="617" s="1"/>
  <c r="I69" i="619" s="1"/>
  <c r="L68" i="616"/>
  <c r="M68" i="616" s="1"/>
  <c r="L64" i="617" s="1"/>
  <c r="I63" i="619" s="1"/>
  <c r="L23" i="616"/>
  <c r="M23" i="616" s="1"/>
  <c r="L19" i="617" s="1"/>
  <c r="L82" i="616"/>
  <c r="M82" i="616" s="1"/>
  <c r="L78" i="617" s="1"/>
  <c r="I77" i="619" s="1"/>
  <c r="L49" i="616"/>
  <c r="M49" i="616" s="1"/>
  <c r="L45" i="617" s="1"/>
  <c r="I44" i="619" s="1"/>
  <c r="L51" i="616"/>
  <c r="M51" i="616" s="1"/>
  <c r="L47" i="617" s="1"/>
  <c r="I46" i="619" s="1"/>
  <c r="C71" i="612"/>
  <c r="C59" i="612"/>
  <c r="C17" i="612"/>
  <c r="C54" i="612"/>
  <c r="C95" i="612"/>
  <c r="C79" i="612"/>
  <c r="C40" i="612"/>
  <c r="C61" i="612"/>
  <c r="C76" i="612"/>
  <c r="C48" i="612"/>
  <c r="C50" i="612"/>
  <c r="C26" i="612"/>
  <c r="C69" i="612"/>
  <c r="C89" i="612"/>
  <c r="C70" i="612"/>
  <c r="C18" i="612"/>
  <c r="C53" i="612"/>
  <c r="C23" i="612"/>
  <c r="C20" i="612"/>
  <c r="C64" i="612"/>
  <c r="C72" i="612"/>
  <c r="C58" i="612"/>
  <c r="C55" i="612"/>
  <c r="C96" i="612"/>
  <c r="C78" i="612"/>
  <c r="C22" i="612"/>
  <c r="C28" i="612"/>
  <c r="C63" i="612"/>
  <c r="C46" i="612"/>
  <c r="C86" i="612"/>
  <c r="C38" i="612"/>
  <c r="C29" i="612"/>
  <c r="C43" i="612"/>
  <c r="C24" i="612"/>
  <c r="C47" i="612"/>
  <c r="C82" i="612"/>
  <c r="C93" i="612"/>
  <c r="C99" i="612"/>
  <c r="C110" i="612"/>
  <c r="C45" i="612"/>
  <c r="C21" i="612"/>
  <c r="C91" i="612"/>
  <c r="C60" i="612"/>
  <c r="C98" i="612"/>
  <c r="C103" i="612"/>
  <c r="C109" i="612"/>
  <c r="C97" i="612"/>
  <c r="C73" i="612"/>
  <c r="C34" i="612"/>
  <c r="D27" i="614" s="1"/>
  <c r="C16" i="612"/>
  <c r="C65" i="612"/>
  <c r="C41" i="612"/>
  <c r="C51" i="612"/>
  <c r="C62" i="612"/>
  <c r="C30" i="612"/>
  <c r="C25" i="612"/>
  <c r="C94" i="612"/>
  <c r="C92" i="612"/>
  <c r="C87" i="612"/>
  <c r="C15" i="612"/>
  <c r="C104" i="612"/>
  <c r="C80" i="612"/>
  <c r="C100" i="612"/>
  <c r="C33" i="612"/>
  <c r="D26" i="614" s="1"/>
  <c r="C68" i="612"/>
  <c r="C75" i="612"/>
  <c r="C77" i="612"/>
  <c r="C115" i="612"/>
  <c r="C44" i="612"/>
  <c r="C49" i="612"/>
  <c r="C27" i="612"/>
  <c r="C114" i="612"/>
  <c r="C113" i="612"/>
  <c r="C88" i="612"/>
  <c r="C56" i="612"/>
  <c r="C90" i="612"/>
  <c r="C42" i="612"/>
  <c r="C83" i="612"/>
  <c r="C66" i="612"/>
  <c r="C108" i="612"/>
  <c r="C85" i="612"/>
  <c r="C57" i="612"/>
  <c r="C52" i="612"/>
  <c r="C14" i="612"/>
  <c r="C31" i="612"/>
  <c r="D24" i="614" s="1"/>
  <c r="C74" i="612"/>
  <c r="C67" i="612"/>
  <c r="C39" i="612"/>
  <c r="C105" i="612"/>
  <c r="C19" i="612"/>
  <c r="C81" i="612"/>
  <c r="C84" i="612"/>
  <c r="C32" i="612"/>
  <c r="D25" i="614" s="1"/>
  <c r="E53" i="606"/>
  <c r="H37" i="616"/>
  <c r="H22" i="616"/>
  <c r="I22" i="616" s="1"/>
  <c r="K18" i="617" s="1"/>
  <c r="H68" i="616"/>
  <c r="I68" i="616" s="1"/>
  <c r="K64" i="617" s="1"/>
  <c r="H63" i="619" s="1"/>
  <c r="H45" i="616"/>
  <c r="I45" i="616" s="1"/>
  <c r="K41" i="617" s="1"/>
  <c r="H40" i="619" s="1"/>
  <c r="H97" i="616"/>
  <c r="I97" i="616" s="1"/>
  <c r="K93" i="617" s="1"/>
  <c r="H92" i="619" s="1"/>
  <c r="H36" i="616"/>
  <c r="H20" i="616"/>
  <c r="I20" i="616" s="1"/>
  <c r="K16" i="617" s="1"/>
  <c r="H71" i="616"/>
  <c r="I71" i="616" s="1"/>
  <c r="K67" i="617" s="1"/>
  <c r="H66" i="619" s="1"/>
  <c r="H54" i="616"/>
  <c r="I54" i="616" s="1"/>
  <c r="K50" i="617" s="1"/>
  <c r="H49" i="619" s="1"/>
  <c r="H66" i="616"/>
  <c r="I66" i="616" s="1"/>
  <c r="K62" i="617" s="1"/>
  <c r="H61" i="619" s="1"/>
  <c r="H23" i="616"/>
  <c r="I23" i="616" s="1"/>
  <c r="K19" i="617" s="1"/>
  <c r="H99" i="616"/>
  <c r="I99" i="616" s="1"/>
  <c r="K95" i="617" s="1"/>
  <c r="H94" i="619" s="1"/>
  <c r="H89" i="616"/>
  <c r="I89" i="616" s="1"/>
  <c r="K85" i="617" s="1"/>
  <c r="H84" i="619" s="1"/>
  <c r="H94" i="616"/>
  <c r="I94" i="616" s="1"/>
  <c r="K90" i="617" s="1"/>
  <c r="H89" i="619" s="1"/>
  <c r="H118" i="616"/>
  <c r="I118" i="616" s="1"/>
  <c r="K114" i="617" s="1"/>
  <c r="H28" i="616"/>
  <c r="I28" i="616" s="1"/>
  <c r="K24" i="617" s="1"/>
  <c r="H95" i="616"/>
  <c r="I95" i="616" s="1"/>
  <c r="K91" i="617" s="1"/>
  <c r="H90" i="619" s="1"/>
  <c r="H84" i="616"/>
  <c r="I84" i="616" s="1"/>
  <c r="K80" i="617" s="1"/>
  <c r="H79" i="619" s="1"/>
  <c r="H51" i="616"/>
  <c r="I51" i="616" s="1"/>
  <c r="K47" i="617" s="1"/>
  <c r="H46" i="619" s="1"/>
  <c r="H113" i="616"/>
  <c r="I113" i="616" s="1"/>
  <c r="K109" i="617" s="1"/>
  <c r="H33" i="616"/>
  <c r="I33" i="616" s="1"/>
  <c r="K29" i="617" s="1"/>
  <c r="H48" i="616"/>
  <c r="I48" i="616" s="1"/>
  <c r="K44" i="617" s="1"/>
  <c r="H43" i="619" s="1"/>
  <c r="H46" i="616"/>
  <c r="I46" i="616" s="1"/>
  <c r="K42" i="617" s="1"/>
  <c r="H41" i="619" s="1"/>
  <c r="H100" i="616"/>
  <c r="I100" i="616" s="1"/>
  <c r="K96" i="617" s="1"/>
  <c r="H95" i="619" s="1"/>
  <c r="H73" i="616"/>
  <c r="I73" i="616" s="1"/>
  <c r="K69" i="617" s="1"/>
  <c r="H68" i="619" s="1"/>
  <c r="H57" i="616"/>
  <c r="I57" i="616" s="1"/>
  <c r="K53" i="617" s="1"/>
  <c r="H52" i="619" s="1"/>
  <c r="H117" i="616"/>
  <c r="I117" i="616" s="1"/>
  <c r="H18" i="616"/>
  <c r="I18" i="616" s="1"/>
  <c r="K14" i="617" s="1"/>
  <c r="H83" i="616"/>
  <c r="I83" i="616" s="1"/>
  <c r="K79" i="617" s="1"/>
  <c r="H78" i="619" s="1"/>
  <c r="H79" i="616"/>
  <c r="I79" i="616" s="1"/>
  <c r="K75" i="617" s="1"/>
  <c r="H74" i="619" s="1"/>
  <c r="H87" i="616"/>
  <c r="I87" i="616" s="1"/>
  <c r="K83" i="617" s="1"/>
  <c r="H82" i="619" s="1"/>
  <c r="H25" i="616"/>
  <c r="I25" i="616" s="1"/>
  <c r="K21" i="617" s="1"/>
  <c r="H93" i="616"/>
  <c r="I93" i="616" s="1"/>
  <c r="K89" i="617" s="1"/>
  <c r="H88" i="619" s="1"/>
  <c r="H77" i="616"/>
  <c r="I77" i="616" s="1"/>
  <c r="K73" i="617" s="1"/>
  <c r="H72" i="619" s="1"/>
  <c r="H108" i="616"/>
  <c r="I108" i="616" s="1"/>
  <c r="K104" i="617" s="1"/>
  <c r="H103" i="619" s="1"/>
  <c r="H98" i="616"/>
  <c r="I98" i="616" s="1"/>
  <c r="K94" i="617" s="1"/>
  <c r="H93" i="619" s="1"/>
  <c r="H58" i="616"/>
  <c r="I58" i="616" s="1"/>
  <c r="K54" i="617" s="1"/>
  <c r="H53" i="619" s="1"/>
  <c r="H72" i="616"/>
  <c r="I72" i="616" s="1"/>
  <c r="K68" i="617" s="1"/>
  <c r="H67" i="619" s="1"/>
  <c r="H63" i="616"/>
  <c r="I63" i="616" s="1"/>
  <c r="K59" i="617" s="1"/>
  <c r="H58" i="619" s="1"/>
  <c r="H67" i="616"/>
  <c r="I67" i="616" s="1"/>
  <c r="K63" i="617" s="1"/>
  <c r="H62" i="619" s="1"/>
  <c r="H101" i="616"/>
  <c r="I101" i="616" s="1"/>
  <c r="K97" i="617" s="1"/>
  <c r="H96" i="619" s="1"/>
  <c r="H74" i="616"/>
  <c r="I74" i="616" s="1"/>
  <c r="K70" i="617" s="1"/>
  <c r="H69" i="619" s="1"/>
  <c r="H26" i="616"/>
  <c r="I26" i="616" s="1"/>
  <c r="K22" i="617" s="1"/>
  <c r="H53" i="616"/>
  <c r="I53" i="616" s="1"/>
  <c r="K49" i="617" s="1"/>
  <c r="H48" i="619" s="1"/>
  <c r="H61" i="616"/>
  <c r="I61" i="616" s="1"/>
  <c r="K57" i="617" s="1"/>
  <c r="H56" i="619" s="1"/>
  <c r="H80" i="616"/>
  <c r="I80" i="616" s="1"/>
  <c r="K76" i="617" s="1"/>
  <c r="H75" i="619" s="1"/>
  <c r="H24" i="616"/>
  <c r="I24" i="616" s="1"/>
  <c r="K20" i="617" s="1"/>
  <c r="H59" i="616"/>
  <c r="I59" i="616" s="1"/>
  <c r="K55" i="617" s="1"/>
  <c r="H54" i="619" s="1"/>
  <c r="H55" i="616"/>
  <c r="I55" i="616" s="1"/>
  <c r="K51" i="617" s="1"/>
  <c r="H50" i="619" s="1"/>
  <c r="H50" i="616"/>
  <c r="I50" i="616" s="1"/>
  <c r="K46" i="617" s="1"/>
  <c r="H45" i="619" s="1"/>
  <c r="H62" i="616"/>
  <c r="I62" i="616" s="1"/>
  <c r="K58" i="617" s="1"/>
  <c r="H57" i="619" s="1"/>
  <c r="H107" i="616"/>
  <c r="I107" i="616" s="1"/>
  <c r="K103" i="617" s="1"/>
  <c r="H102" i="619" s="1"/>
  <c r="H34" i="616"/>
  <c r="I34" i="616" s="1"/>
  <c r="K30" i="617" s="1"/>
  <c r="H65" i="616"/>
  <c r="I65" i="616" s="1"/>
  <c r="K61" i="617" s="1"/>
  <c r="H60" i="619" s="1"/>
  <c r="H76" i="616"/>
  <c r="I76" i="616" s="1"/>
  <c r="K72" i="617" s="1"/>
  <c r="H71" i="619" s="1"/>
  <c r="H49" i="616"/>
  <c r="I49" i="616" s="1"/>
  <c r="K45" i="617" s="1"/>
  <c r="H44" i="619" s="1"/>
  <c r="H85" i="616"/>
  <c r="I85" i="616" s="1"/>
  <c r="K81" i="617" s="1"/>
  <c r="H80" i="619" s="1"/>
  <c r="H96" i="616"/>
  <c r="I96" i="616" s="1"/>
  <c r="K92" i="617" s="1"/>
  <c r="H91" i="619" s="1"/>
  <c r="H82" i="616"/>
  <c r="I82" i="616" s="1"/>
  <c r="K78" i="617" s="1"/>
  <c r="H77" i="619" s="1"/>
  <c r="H69" i="616"/>
  <c r="I69" i="616" s="1"/>
  <c r="K65" i="617" s="1"/>
  <c r="H64" i="619" s="1"/>
  <c r="H32" i="616"/>
  <c r="I32" i="616" s="1"/>
  <c r="K28" i="617" s="1"/>
  <c r="M12" i="605"/>
  <c r="M13" i="605" s="1"/>
  <c r="M14" i="605" s="1"/>
  <c r="M15" i="605" s="1"/>
  <c r="M16" i="605" s="1"/>
  <c r="M17" i="605" s="1"/>
  <c r="M18" i="605" s="1"/>
  <c r="M19" i="605" s="1"/>
  <c r="M20" i="605" s="1"/>
  <c r="M21" i="605" s="1"/>
  <c r="M22" i="605" s="1"/>
  <c r="M23" i="605" s="1"/>
  <c r="M24" i="605" s="1"/>
  <c r="M25" i="605" s="1"/>
  <c r="M26" i="605" s="1"/>
  <c r="M27" i="605" s="1"/>
  <c r="M28" i="605" s="1"/>
  <c r="M29" i="605" s="1"/>
  <c r="H70" i="616"/>
  <c r="I70" i="616" s="1"/>
  <c r="K66" i="617" s="1"/>
  <c r="H65" i="619" s="1"/>
  <c r="H86" i="616"/>
  <c r="I86" i="616" s="1"/>
  <c r="K82" i="617" s="1"/>
  <c r="H81" i="619" s="1"/>
  <c r="H44" i="616"/>
  <c r="I44" i="616" s="1"/>
  <c r="K40" i="617" s="1"/>
  <c r="H39" i="619" s="1"/>
  <c r="H27" i="616"/>
  <c r="I27" i="616" s="1"/>
  <c r="K23" i="617" s="1"/>
  <c r="H90" i="616"/>
  <c r="I90" i="616" s="1"/>
  <c r="K86" i="617" s="1"/>
  <c r="H85" i="619" s="1"/>
  <c r="H52" i="616"/>
  <c r="I52" i="616" s="1"/>
  <c r="K48" i="617" s="1"/>
  <c r="H47" i="619" s="1"/>
  <c r="H88" i="616"/>
  <c r="I88" i="616" s="1"/>
  <c r="K84" i="617" s="1"/>
  <c r="H83" i="619" s="1"/>
  <c r="H31" i="616"/>
  <c r="I31" i="616" s="1"/>
  <c r="K27" i="617" s="1"/>
  <c r="H81" i="616"/>
  <c r="I81" i="616" s="1"/>
  <c r="K77" i="617" s="1"/>
  <c r="H76" i="619" s="1"/>
  <c r="H91" i="616"/>
  <c r="I91" i="616" s="1"/>
  <c r="K87" i="617" s="1"/>
  <c r="H86" i="619" s="1"/>
  <c r="H64" i="616"/>
  <c r="I64" i="616" s="1"/>
  <c r="K60" i="617" s="1"/>
  <c r="H59" i="619" s="1"/>
  <c r="H19" i="616"/>
  <c r="I19" i="616" s="1"/>
  <c r="K15" i="617" s="1"/>
  <c r="H29" i="616"/>
  <c r="I29" i="616" s="1"/>
  <c r="K25" i="617" s="1"/>
  <c r="H30" i="616"/>
  <c r="I30" i="616" s="1"/>
  <c r="K26" i="617" s="1"/>
  <c r="H78" i="616"/>
  <c r="I78" i="616" s="1"/>
  <c r="K74" i="617" s="1"/>
  <c r="H73" i="619" s="1"/>
  <c r="H102" i="616"/>
  <c r="I102" i="616" s="1"/>
  <c r="K98" i="617" s="1"/>
  <c r="H97" i="619" s="1"/>
  <c r="H56" i="616"/>
  <c r="I56" i="616" s="1"/>
  <c r="K52" i="617" s="1"/>
  <c r="H51" i="619" s="1"/>
  <c r="H42" i="616"/>
  <c r="I42" i="616" s="1"/>
  <c r="K38" i="617" s="1"/>
  <c r="H37" i="619" s="1"/>
  <c r="H92" i="616"/>
  <c r="I92" i="616" s="1"/>
  <c r="K88" i="617" s="1"/>
  <c r="H87" i="619" s="1"/>
  <c r="H47" i="616"/>
  <c r="I47" i="616" s="1"/>
  <c r="K43" i="617" s="1"/>
  <c r="H42" i="619" s="1"/>
  <c r="H43" i="616"/>
  <c r="I43" i="616" s="1"/>
  <c r="K39" i="617" s="1"/>
  <c r="H38" i="619" s="1"/>
  <c r="H112" i="616"/>
  <c r="I112" i="616" s="1"/>
  <c r="H21" i="616"/>
  <c r="I21" i="616" s="1"/>
  <c r="K17" i="617" s="1"/>
  <c r="H103" i="616"/>
  <c r="I103" i="616" s="1"/>
  <c r="K99" i="617" s="1"/>
  <c r="H98" i="619" s="1"/>
  <c r="H75" i="616"/>
  <c r="I75" i="616" s="1"/>
  <c r="K71" i="617" s="1"/>
  <c r="H70" i="619" s="1"/>
  <c r="H60" i="616"/>
  <c r="I60" i="616" s="1"/>
  <c r="K56" i="617" s="1"/>
  <c r="H55" i="619" s="1"/>
  <c r="E46" i="613"/>
  <c r="F46" i="613" s="1"/>
  <c r="G46" i="613" s="1"/>
  <c r="E112" i="613"/>
  <c r="F112" i="613" s="1"/>
  <c r="G112" i="613" s="1"/>
  <c r="E80" i="613"/>
  <c r="F80" i="613" s="1"/>
  <c r="G80" i="613" s="1"/>
  <c r="E94" i="613"/>
  <c r="F94" i="613" s="1"/>
  <c r="G94" i="613" s="1"/>
  <c r="E43" i="613"/>
  <c r="F43" i="613" s="1"/>
  <c r="G43" i="613" s="1"/>
  <c r="E25" i="613"/>
  <c r="F25" i="613" s="1"/>
  <c r="G25" i="613" s="1"/>
  <c r="E16" i="613"/>
  <c r="F16" i="613" s="1"/>
  <c r="E117" i="613"/>
  <c r="F117" i="613" s="1"/>
  <c r="G117" i="613" s="1"/>
  <c r="E90" i="613"/>
  <c r="F90" i="613" s="1"/>
  <c r="G90" i="613" s="1"/>
  <c r="E97" i="613"/>
  <c r="F97" i="613" s="1"/>
  <c r="G97" i="613" s="1"/>
  <c r="E64" i="613"/>
  <c r="F64" i="613" s="1"/>
  <c r="G64" i="613" s="1"/>
  <c r="E81" i="613"/>
  <c r="F81" i="613" s="1"/>
  <c r="G81" i="613" s="1"/>
  <c r="E44" i="613"/>
  <c r="F44" i="613" s="1"/>
  <c r="G44" i="613" s="1"/>
  <c r="E39" i="613"/>
  <c r="F39" i="613" s="1"/>
  <c r="G39" i="613" s="1"/>
  <c r="E147" i="613" s="1"/>
  <c r="G147" i="613" s="1"/>
  <c r="E58" i="615" s="1"/>
  <c r="E72" i="613"/>
  <c r="F72" i="613" s="1"/>
  <c r="G72" i="613" s="1"/>
  <c r="E108" i="613"/>
  <c r="F108" i="613" s="1"/>
  <c r="G108" i="613" s="1"/>
  <c r="E35" i="613"/>
  <c r="F35" i="613" s="1"/>
  <c r="G35" i="613" s="1"/>
  <c r="E107" i="613"/>
  <c r="F107" i="613" s="1"/>
  <c r="G107" i="613" s="1"/>
  <c r="E85" i="613"/>
  <c r="F85" i="613" s="1"/>
  <c r="G85" i="613" s="1"/>
  <c r="E53" i="613"/>
  <c r="F53" i="613" s="1"/>
  <c r="G53" i="613" s="1"/>
  <c r="E26" i="613"/>
  <c r="F26" i="613" s="1"/>
  <c r="G26" i="613" s="1"/>
  <c r="E106" i="613"/>
  <c r="F106" i="613" s="1"/>
  <c r="G106" i="613" s="1"/>
  <c r="E23" i="613"/>
  <c r="F23" i="613" s="1"/>
  <c r="G23" i="613" s="1"/>
  <c r="E101" i="613"/>
  <c r="F101" i="613" s="1"/>
  <c r="G101" i="613" s="1"/>
  <c r="E41" i="613"/>
  <c r="F41" i="613" s="1"/>
  <c r="G41" i="613" s="1"/>
  <c r="E109" i="613"/>
  <c r="F109" i="613" s="1"/>
  <c r="G109" i="613" s="1"/>
  <c r="E33" i="613"/>
  <c r="F33" i="613" s="1"/>
  <c r="G33" i="613" s="1"/>
  <c r="E102" i="613"/>
  <c r="F102" i="613" s="1"/>
  <c r="G102" i="613" s="1"/>
  <c r="E73" i="613"/>
  <c r="F73" i="613" s="1"/>
  <c r="G73" i="613" s="1"/>
  <c r="E118" i="613"/>
  <c r="F118" i="613" s="1"/>
  <c r="G118" i="613" s="1"/>
  <c r="E34" i="613"/>
  <c r="F34" i="613" s="1"/>
  <c r="G34" i="613" s="1"/>
  <c r="E75" i="613"/>
  <c r="F75" i="613" s="1"/>
  <c r="G75" i="613" s="1"/>
  <c r="E82" i="613"/>
  <c r="F82" i="613" s="1"/>
  <c r="G82" i="613" s="1"/>
  <c r="E116" i="613"/>
  <c r="F116" i="613" s="1"/>
  <c r="G116" i="613" s="1"/>
  <c r="E160" i="613" s="1"/>
  <c r="E86" i="613"/>
  <c r="F86" i="613" s="1"/>
  <c r="G86" i="613" s="1"/>
  <c r="E60" i="613"/>
  <c r="F60" i="613" s="1"/>
  <c r="G60" i="613" s="1"/>
  <c r="E52" i="613"/>
  <c r="F52" i="613" s="1"/>
  <c r="G52" i="613" s="1"/>
  <c r="E45" i="613"/>
  <c r="F45" i="613" s="1"/>
  <c r="G45" i="613" s="1"/>
  <c r="E69" i="613"/>
  <c r="F69" i="613" s="1"/>
  <c r="G69" i="613" s="1"/>
  <c r="E61" i="613"/>
  <c r="F61" i="613" s="1"/>
  <c r="G61" i="613" s="1"/>
  <c r="E42" i="613"/>
  <c r="F42" i="613" s="1"/>
  <c r="G42" i="613" s="1"/>
  <c r="E40" i="613"/>
  <c r="F40" i="613" s="1"/>
  <c r="G40" i="613" s="1"/>
  <c r="E56" i="613"/>
  <c r="F56" i="613" s="1"/>
  <c r="G56" i="613" s="1"/>
  <c r="E27" i="613"/>
  <c r="F27" i="613" s="1"/>
  <c r="G27" i="613" s="1"/>
  <c r="E22" i="613"/>
  <c r="F22" i="613" s="1"/>
  <c r="G22" i="613" s="1"/>
  <c r="E93" i="613"/>
  <c r="F93" i="613" s="1"/>
  <c r="G93" i="613" s="1"/>
  <c r="E89" i="613"/>
  <c r="F89" i="613" s="1"/>
  <c r="G89" i="613" s="1"/>
  <c r="E78" i="613"/>
  <c r="F78" i="613" s="1"/>
  <c r="G78" i="613" s="1"/>
  <c r="E98" i="613"/>
  <c r="F98" i="613" s="1"/>
  <c r="G98" i="613" s="1"/>
  <c r="E68" i="613"/>
  <c r="F68" i="613" s="1"/>
  <c r="G68" i="613" s="1"/>
  <c r="E18" i="613"/>
  <c r="F18" i="613" s="1"/>
  <c r="E47" i="613"/>
  <c r="F47" i="613" s="1"/>
  <c r="G47" i="613" s="1"/>
  <c r="E110" i="613"/>
  <c r="F110" i="613" s="1"/>
  <c r="G110" i="613" s="1"/>
  <c r="E180" i="613" s="1"/>
  <c r="G180" i="613" s="1"/>
  <c r="E91" i="615" s="1"/>
  <c r="E48" i="613"/>
  <c r="F48" i="613" s="1"/>
  <c r="G48" i="613" s="1"/>
  <c r="E30" i="613"/>
  <c r="F30" i="613" s="1"/>
  <c r="G30" i="613" s="1"/>
  <c r="E21" i="613"/>
  <c r="F21" i="613" s="1"/>
  <c r="G21" i="613" s="1"/>
  <c r="E65" i="613"/>
  <c r="F65" i="613" s="1"/>
  <c r="G65" i="613" s="1"/>
  <c r="E38" i="613"/>
  <c r="F38" i="613" s="1"/>
  <c r="G38" i="613" s="1"/>
  <c r="E111" i="613"/>
  <c r="F111" i="613" s="1"/>
  <c r="G111" i="613" s="1"/>
  <c r="E28" i="613"/>
  <c r="F28" i="613" s="1"/>
  <c r="G28" i="613" s="1"/>
  <c r="E29" i="613"/>
  <c r="F29" i="613" s="1"/>
  <c r="G29" i="613" s="1"/>
  <c r="E24" i="613"/>
  <c r="F24" i="613" s="1"/>
  <c r="G24" i="613" s="1"/>
  <c r="E92" i="613"/>
  <c r="F92" i="613" s="1"/>
  <c r="G92" i="613" s="1"/>
  <c r="E20" i="613"/>
  <c r="F20" i="613" s="1"/>
  <c r="G20" i="613" s="1"/>
  <c r="E91" i="613"/>
  <c r="F91" i="613" s="1"/>
  <c r="G91" i="613" s="1"/>
  <c r="E115" i="613"/>
  <c r="F115" i="613" s="1"/>
  <c r="G115" i="613" s="1"/>
  <c r="E51" i="613"/>
  <c r="F51" i="613" s="1"/>
  <c r="G51" i="613" s="1"/>
  <c r="E57" i="613"/>
  <c r="F57" i="613" s="1"/>
  <c r="G57" i="613" s="1"/>
  <c r="E63" i="613"/>
  <c r="F63" i="613" s="1"/>
  <c r="G63" i="613" s="1"/>
  <c r="E105" i="613"/>
  <c r="F105" i="613" s="1"/>
  <c r="G105" i="613" s="1"/>
  <c r="E62" i="613"/>
  <c r="F62" i="613" s="1"/>
  <c r="G62" i="613" s="1"/>
  <c r="E79" i="613"/>
  <c r="F79" i="613" s="1"/>
  <c r="G79" i="613" s="1"/>
  <c r="E74" i="613"/>
  <c r="F74" i="613" s="1"/>
  <c r="G74" i="613" s="1"/>
  <c r="G6" i="332"/>
  <c r="E35" i="606"/>
  <c r="J99" i="617"/>
  <c r="G98" i="619" s="1"/>
  <c r="J47" i="617"/>
  <c r="G46" i="619" s="1"/>
  <c r="J54" i="617"/>
  <c r="G53" i="619" s="1"/>
  <c r="J75" i="617"/>
  <c r="G74" i="619" s="1"/>
  <c r="J95" i="617"/>
  <c r="G94" i="619" s="1"/>
  <c r="J46" i="617"/>
  <c r="G45" i="619" s="1"/>
  <c r="J81" i="617"/>
  <c r="G80" i="619" s="1"/>
  <c r="J48" i="617"/>
  <c r="G47" i="619" s="1"/>
  <c r="L40" i="617"/>
  <c r="I39" i="619" s="1"/>
  <c r="J92" i="617"/>
  <c r="G91" i="619" s="1"/>
  <c r="J51" i="617"/>
  <c r="G50" i="619" s="1"/>
  <c r="U15" i="608"/>
  <c r="J105" i="617" l="1"/>
  <c r="J32" i="617" s="1"/>
  <c r="G102" i="619"/>
  <c r="F70" i="613"/>
  <c r="E23" i="615" s="1"/>
  <c r="F99" i="613"/>
  <c r="G99" i="613" s="1"/>
  <c r="L105" i="617"/>
  <c r="L32" i="617" s="1"/>
  <c r="F95" i="613"/>
  <c r="E27" i="615" s="1"/>
  <c r="J103" i="619"/>
  <c r="F103" i="613"/>
  <c r="E29" i="615" s="1"/>
  <c r="I109" i="616"/>
  <c r="I36" i="616" s="1"/>
  <c r="F119" i="613"/>
  <c r="E31" i="615" s="1"/>
  <c r="F87" i="613"/>
  <c r="E26" i="615" s="1"/>
  <c r="E109" i="616"/>
  <c r="E36" i="616" s="1"/>
  <c r="M109" i="616"/>
  <c r="M36" i="616" s="1"/>
  <c r="E52" i="612"/>
  <c r="D53" i="615" s="1"/>
  <c r="D46" i="614"/>
  <c r="D54" i="614"/>
  <c r="E60" i="612"/>
  <c r="D61" i="615" s="1"/>
  <c r="E55" i="612"/>
  <c r="D56" i="615" s="1"/>
  <c r="D49" i="614"/>
  <c r="D10" i="614"/>
  <c r="E17" i="612"/>
  <c r="D18" i="615" s="1"/>
  <c r="D48" i="614"/>
  <c r="E54" i="612"/>
  <c r="D55" i="615" s="1"/>
  <c r="D53" i="614"/>
  <c r="E59" i="612"/>
  <c r="D60" i="615" s="1"/>
  <c r="M104" i="616"/>
  <c r="M35" i="616" s="1"/>
  <c r="E85" i="612"/>
  <c r="D86" i="615" s="1"/>
  <c r="D79" i="614"/>
  <c r="E104" i="612"/>
  <c r="D105" i="615" s="1"/>
  <c r="D98" i="614"/>
  <c r="D14" i="614"/>
  <c r="E21" i="612"/>
  <c r="D22" i="615" s="1"/>
  <c r="D66" i="614"/>
  <c r="E72" i="612"/>
  <c r="D73" i="615" s="1"/>
  <c r="D65" i="614"/>
  <c r="E71" i="612"/>
  <c r="D72" i="615" s="1"/>
  <c r="U30" i="605"/>
  <c r="U33" i="605"/>
  <c r="U34" i="605" s="1"/>
  <c r="U35" i="605" s="1"/>
  <c r="U36" i="605" s="1"/>
  <c r="U37" i="605" s="1"/>
  <c r="U38" i="605" s="1"/>
  <c r="U39" i="605" s="1"/>
  <c r="U40" i="605" s="1"/>
  <c r="U41" i="605" s="1"/>
  <c r="U42" i="605" s="1"/>
  <c r="U43" i="605" s="1"/>
  <c r="U44" i="605" s="1"/>
  <c r="U45" i="605" s="1"/>
  <c r="U46" i="605" s="1"/>
  <c r="D7" i="614"/>
  <c r="E14" i="612"/>
  <c r="D15" i="615" s="1"/>
  <c r="D52" i="614"/>
  <c r="E58" i="612"/>
  <c r="D59" i="615" s="1"/>
  <c r="E104" i="616"/>
  <c r="E35" i="616" s="1"/>
  <c r="K108" i="617"/>
  <c r="K110" i="617" s="1"/>
  <c r="I114" i="616"/>
  <c r="I37" i="616" s="1"/>
  <c r="E108" i="612"/>
  <c r="D102" i="614"/>
  <c r="D8" i="614"/>
  <c r="E15" i="612"/>
  <c r="D16" i="615" s="1"/>
  <c r="D39" i="614"/>
  <c r="E45" i="612"/>
  <c r="D46" i="615" s="1"/>
  <c r="E64" i="612"/>
  <c r="D65" i="615" s="1"/>
  <c r="D58" i="614"/>
  <c r="I104" i="616"/>
  <c r="I35" i="616" s="1"/>
  <c r="D60" i="614"/>
  <c r="E66" i="612"/>
  <c r="D67" i="615" s="1"/>
  <c r="D81" i="614"/>
  <c r="E87" i="612"/>
  <c r="D88" i="615" s="1"/>
  <c r="D13" i="614"/>
  <c r="E20" i="612"/>
  <c r="D21" i="615" s="1"/>
  <c r="J108" i="617"/>
  <c r="J110" i="617" s="1"/>
  <c r="E114" i="616"/>
  <c r="E37" i="616" s="1"/>
  <c r="G8" i="332"/>
  <c r="G6" i="608"/>
  <c r="D77" i="614"/>
  <c r="E83" i="612"/>
  <c r="D84" i="615" s="1"/>
  <c r="D86" i="614"/>
  <c r="E92" i="612"/>
  <c r="D93" i="615" s="1"/>
  <c r="D93" i="614"/>
  <c r="E99" i="612"/>
  <c r="D100" i="615" s="1"/>
  <c r="D16" i="614"/>
  <c r="E23" i="612"/>
  <c r="D24" i="615" s="1"/>
  <c r="K113" i="617"/>
  <c r="K115" i="617" s="1"/>
  <c r="I119" i="616"/>
  <c r="I38" i="616" s="1"/>
  <c r="F54" i="613"/>
  <c r="E20" i="615" s="1"/>
  <c r="D84" i="614"/>
  <c r="E90" i="612"/>
  <c r="D91" i="615" s="1"/>
  <c r="D18" i="614"/>
  <c r="E25" i="612"/>
  <c r="D26" i="615" s="1"/>
  <c r="D76" i="614"/>
  <c r="E82" i="612"/>
  <c r="D83" i="615" s="1"/>
  <c r="D11" i="614"/>
  <c r="E18" i="612"/>
  <c r="D19" i="615" s="1"/>
  <c r="M114" i="616"/>
  <c r="M37" i="616" s="1"/>
  <c r="L108" i="617"/>
  <c r="L110" i="617" s="1"/>
  <c r="E57" i="612"/>
  <c r="D58" i="615" s="1"/>
  <c r="D51" i="614"/>
  <c r="E16" i="615"/>
  <c r="G18" i="613"/>
  <c r="E171" i="613" s="1"/>
  <c r="G171" i="613" s="1"/>
  <c r="E82" i="615" s="1"/>
  <c r="D50" i="614"/>
  <c r="E56" i="612"/>
  <c r="D57" i="615" s="1"/>
  <c r="E30" i="612"/>
  <c r="D31" i="615" s="1"/>
  <c r="D23" i="614"/>
  <c r="D41" i="614"/>
  <c r="E47" i="612"/>
  <c r="D48" i="615" s="1"/>
  <c r="D64" i="614"/>
  <c r="E70" i="612"/>
  <c r="D71" i="615" s="1"/>
  <c r="E30" i="605"/>
  <c r="E33" i="605"/>
  <c r="E34" i="605" s="1"/>
  <c r="E35" i="605" s="1"/>
  <c r="E36" i="605" s="1"/>
  <c r="E37" i="605" s="1"/>
  <c r="E38" i="605" s="1"/>
  <c r="E39" i="605" s="1"/>
  <c r="E40" i="605" s="1"/>
  <c r="E41" i="605" s="1"/>
  <c r="E42" i="605" s="1"/>
  <c r="E43" i="605" s="1"/>
  <c r="E44" i="605" s="1"/>
  <c r="E45" i="605" s="1"/>
  <c r="E46" i="605" s="1"/>
  <c r="E88" i="612"/>
  <c r="D89" i="615" s="1"/>
  <c r="D82" i="614"/>
  <c r="D56" i="614"/>
  <c r="E62" i="612"/>
  <c r="D63" i="615" s="1"/>
  <c r="E24" i="612"/>
  <c r="D25" i="615" s="1"/>
  <c r="D17" i="614"/>
  <c r="D83" i="614"/>
  <c r="E89" i="612"/>
  <c r="D90" i="615" s="1"/>
  <c r="D90" i="614"/>
  <c r="E96" i="612"/>
  <c r="D97" i="615" s="1"/>
  <c r="D36" i="614"/>
  <c r="E42" i="612"/>
  <c r="D43" i="615" s="1"/>
  <c r="D88" i="614"/>
  <c r="E94" i="612"/>
  <c r="D95" i="615" s="1"/>
  <c r="D47" i="614"/>
  <c r="E53" i="612"/>
  <c r="D54" i="615" s="1"/>
  <c r="K105" i="617"/>
  <c r="K32" i="617" s="1"/>
  <c r="E113" i="612"/>
  <c r="D107" i="614"/>
  <c r="D45" i="614"/>
  <c r="E51" i="612"/>
  <c r="D52" i="615" s="1"/>
  <c r="D37" i="614"/>
  <c r="E43" i="612"/>
  <c r="D44" i="615" s="1"/>
  <c r="D63" i="614"/>
  <c r="E69" i="612"/>
  <c r="D70" i="615" s="1"/>
  <c r="F49" i="613"/>
  <c r="G49" i="613" s="1"/>
  <c r="F58" i="613"/>
  <c r="D78" i="614"/>
  <c r="E84" i="612"/>
  <c r="D85" i="615" s="1"/>
  <c r="E114" i="612"/>
  <c r="D115" i="615" s="1"/>
  <c r="D108" i="614"/>
  <c r="D35" i="614"/>
  <c r="E41" i="612"/>
  <c r="D42" i="615" s="1"/>
  <c r="D22" i="614"/>
  <c r="E29" i="612"/>
  <c r="D30" i="615" s="1"/>
  <c r="D19" i="614"/>
  <c r="E26" i="612"/>
  <c r="D27" i="615" s="1"/>
  <c r="M33" i="605"/>
  <c r="M34" i="605" s="1"/>
  <c r="M35" i="605" s="1"/>
  <c r="M36" i="605" s="1"/>
  <c r="M37" i="605" s="1"/>
  <c r="M38" i="605" s="1"/>
  <c r="M39" i="605" s="1"/>
  <c r="M40" i="605" s="1"/>
  <c r="M41" i="605" s="1"/>
  <c r="M42" i="605" s="1"/>
  <c r="M43" i="605" s="1"/>
  <c r="M44" i="605" s="1"/>
  <c r="M45" i="605" s="1"/>
  <c r="M46" i="605" s="1"/>
  <c r="M30" i="605"/>
  <c r="D87" i="614"/>
  <c r="E93" i="612"/>
  <c r="D94" i="615" s="1"/>
  <c r="G16" i="613"/>
  <c r="E136" i="613" s="1"/>
  <c r="G136" i="613" s="1"/>
  <c r="E47" i="615" s="1"/>
  <c r="E15" i="615"/>
  <c r="D75" i="614"/>
  <c r="E81" i="612"/>
  <c r="D82" i="615" s="1"/>
  <c r="D20" i="614"/>
  <c r="E27" i="612"/>
  <c r="D28" i="615" s="1"/>
  <c r="D59" i="614"/>
  <c r="E65" i="612"/>
  <c r="D66" i="615" s="1"/>
  <c r="E38" i="612"/>
  <c r="D32" i="614"/>
  <c r="E50" i="612"/>
  <c r="D51" i="615" s="1"/>
  <c r="D44" i="614"/>
  <c r="E119" i="616"/>
  <c r="E38" i="616" s="1"/>
  <c r="J113" i="617"/>
  <c r="J115" i="617" s="1"/>
  <c r="E80" i="612"/>
  <c r="D81" i="615" s="1"/>
  <c r="D74" i="614"/>
  <c r="D12" i="614"/>
  <c r="E19" i="612"/>
  <c r="D20" i="615" s="1"/>
  <c r="E49" i="612"/>
  <c r="D50" i="615" s="1"/>
  <c r="D43" i="614"/>
  <c r="D9" i="614"/>
  <c r="E16" i="612"/>
  <c r="D17" i="615" s="1"/>
  <c r="D80" i="614"/>
  <c r="E86" i="612"/>
  <c r="D87" i="615" s="1"/>
  <c r="D42" i="614"/>
  <c r="E48" i="612"/>
  <c r="D49" i="615" s="1"/>
  <c r="M119" i="616"/>
  <c r="M38" i="616" s="1"/>
  <c r="L113" i="617"/>
  <c r="L115" i="617" s="1"/>
  <c r="E98" i="612"/>
  <c r="D99" i="615" s="1"/>
  <c r="D92" i="614"/>
  <c r="F31" i="613"/>
  <c r="G31" i="613" s="1"/>
  <c r="E44" i="612"/>
  <c r="D45" i="615" s="1"/>
  <c r="D38" i="614"/>
  <c r="D40" i="614"/>
  <c r="E46" i="612"/>
  <c r="D47" i="615" s="1"/>
  <c r="D70" i="614"/>
  <c r="E76" i="612"/>
  <c r="D77" i="615" s="1"/>
  <c r="D85" i="614"/>
  <c r="E91" i="612"/>
  <c r="D92" i="615" s="1"/>
  <c r="E39" i="612"/>
  <c r="D40" i="615" s="1"/>
  <c r="D33" i="614"/>
  <c r="E73" i="612"/>
  <c r="D74" i="615" s="1"/>
  <c r="D67" i="614"/>
  <c r="D57" i="614"/>
  <c r="E63" i="612"/>
  <c r="D64" i="615" s="1"/>
  <c r="E61" i="612"/>
  <c r="D62" i="615" s="1"/>
  <c r="D55" i="614"/>
  <c r="F66" i="613"/>
  <c r="E22" i="615" s="1"/>
  <c r="D61" i="614"/>
  <c r="E67" i="612"/>
  <c r="D68" i="615" s="1"/>
  <c r="D71" i="614"/>
  <c r="E77" i="612"/>
  <c r="D78" i="615" s="1"/>
  <c r="D91" i="614"/>
  <c r="E97" i="612"/>
  <c r="D98" i="615" s="1"/>
  <c r="E28" i="612"/>
  <c r="D29" i="615" s="1"/>
  <c r="D21" i="614"/>
  <c r="D34" i="614"/>
  <c r="E40" i="612"/>
  <c r="D41" i="615" s="1"/>
  <c r="F83" i="613"/>
  <c r="E25" i="615" s="1"/>
  <c r="F76" i="613"/>
  <c r="G76" i="613" s="1"/>
  <c r="F36" i="613"/>
  <c r="E18" i="615" s="1"/>
  <c r="D68" i="614"/>
  <c r="E74" i="612"/>
  <c r="D75" i="615" s="1"/>
  <c r="E75" i="612"/>
  <c r="D76" i="615" s="1"/>
  <c r="D69" i="614"/>
  <c r="E109" i="612"/>
  <c r="D110" i="615" s="1"/>
  <c r="D103" i="614"/>
  <c r="D15" i="614"/>
  <c r="E22" i="612"/>
  <c r="D23" i="615" s="1"/>
  <c r="D73" i="614"/>
  <c r="E79" i="612"/>
  <c r="D80" i="615" s="1"/>
  <c r="F113" i="613"/>
  <c r="E30" i="615" s="1"/>
  <c r="D62" i="614"/>
  <c r="E68" i="612"/>
  <c r="D69" i="615" s="1"/>
  <c r="D97" i="614"/>
  <c r="E103" i="612"/>
  <c r="D72" i="614"/>
  <c r="E78" i="612"/>
  <c r="D79" i="615" s="1"/>
  <c r="D89" i="614"/>
  <c r="E95" i="612"/>
  <c r="D96" i="615" s="1"/>
  <c r="L33" i="622"/>
  <c r="O15" i="608"/>
  <c r="J51" i="619"/>
  <c r="J71" i="619"/>
  <c r="J57" i="619"/>
  <c r="J48" i="619"/>
  <c r="J42" i="619"/>
  <c r="J50" i="619"/>
  <c r="J92" i="619"/>
  <c r="J84" i="619"/>
  <c r="J78" i="619"/>
  <c r="J86" i="619"/>
  <c r="J70" i="619"/>
  <c r="J69" i="619"/>
  <c r="J61" i="619"/>
  <c r="J47" i="619"/>
  <c r="J87" i="619"/>
  <c r="J88" i="619"/>
  <c r="J89" i="619"/>
  <c r="J83" i="619"/>
  <c r="J44" i="619"/>
  <c r="J39" i="619"/>
  <c r="J59" i="619"/>
  <c r="J97" i="619"/>
  <c r="J82" i="619"/>
  <c r="L100" i="617"/>
  <c r="L31" i="617" s="1"/>
  <c r="J40" i="619"/>
  <c r="J74" i="619"/>
  <c r="J81" i="619"/>
  <c r="J72" i="619"/>
  <c r="J46" i="619"/>
  <c r="J85" i="619"/>
  <c r="J64" i="619"/>
  <c r="J77" i="619"/>
  <c r="J66" i="619"/>
  <c r="J60" i="619"/>
  <c r="J80" i="619"/>
  <c r="J52" i="619"/>
  <c r="J54" i="619"/>
  <c r="J73" i="619"/>
  <c r="J75" i="619"/>
  <c r="J62" i="619"/>
  <c r="J63" i="619"/>
  <c r="J56" i="619"/>
  <c r="J53" i="619"/>
  <c r="J38" i="619"/>
  <c r="J49" i="619"/>
  <c r="J95" i="619"/>
  <c r="J96" i="619"/>
  <c r="J41" i="619"/>
  <c r="J45" i="619"/>
  <c r="J43" i="619"/>
  <c r="J55" i="619"/>
  <c r="J94" i="619"/>
  <c r="J93" i="619"/>
  <c r="J68" i="619"/>
  <c r="J65" i="619"/>
  <c r="J90" i="619"/>
  <c r="J76" i="619"/>
  <c r="J67" i="619"/>
  <c r="J79" i="619"/>
  <c r="J98" i="619"/>
  <c r="H104" i="619"/>
  <c r="H30" i="619" s="1"/>
  <c r="J91" i="619"/>
  <c r="I104" i="619"/>
  <c r="I30" i="619" s="1"/>
  <c r="J58" i="619"/>
  <c r="K100" i="617"/>
  <c r="K31" i="617" s="1"/>
  <c r="J100" i="617"/>
  <c r="J31" i="617" s="1"/>
  <c r="G160" i="613"/>
  <c r="H57" i="615"/>
  <c r="G104" i="619"/>
  <c r="G30" i="619" s="1"/>
  <c r="J102" i="619"/>
  <c r="I99" i="619"/>
  <c r="I29" i="619" s="1"/>
  <c r="G99" i="619"/>
  <c r="G29" i="619" s="1"/>
  <c r="J37" i="619"/>
  <c r="H99" i="619"/>
  <c r="H29" i="619" s="1"/>
  <c r="E28" i="615" l="1"/>
  <c r="G70" i="613"/>
  <c r="G95" i="613"/>
  <c r="I39" i="616"/>
  <c r="M19" i="606" s="1"/>
  <c r="O19" i="606" s="1"/>
  <c r="G103" i="613"/>
  <c r="G119" i="613"/>
  <c r="E39" i="616"/>
  <c r="M17" i="606" s="1"/>
  <c r="N17" i="606" s="1"/>
  <c r="E19" i="615"/>
  <c r="G190" i="613"/>
  <c r="G83" i="613"/>
  <c r="G87" i="613"/>
  <c r="G36" i="613"/>
  <c r="M39" i="616"/>
  <c r="M21" i="606" s="1"/>
  <c r="O21" i="606" s="1"/>
  <c r="G113" i="613"/>
  <c r="F121" i="613"/>
  <c r="G66" i="613"/>
  <c r="H23" i="614"/>
  <c r="J23" i="614" s="1"/>
  <c r="F31" i="615" s="1"/>
  <c r="G31" i="615" s="1"/>
  <c r="C30" i="617" s="1"/>
  <c r="F23" i="614"/>
  <c r="K34" i="617"/>
  <c r="H114" i="619"/>
  <c r="H116" i="619" s="1"/>
  <c r="H32" i="619" s="1"/>
  <c r="H58" i="614"/>
  <c r="J58" i="614" s="1"/>
  <c r="F65" i="615" s="1"/>
  <c r="G65" i="615" s="1"/>
  <c r="F58" i="614"/>
  <c r="H66" i="614"/>
  <c r="J66" i="614" s="1"/>
  <c r="F73" i="615" s="1"/>
  <c r="G73" i="615" s="1"/>
  <c r="F66" i="614"/>
  <c r="H44" i="614"/>
  <c r="J44" i="614" s="1"/>
  <c r="F51" i="615" s="1"/>
  <c r="G51" i="615" s="1"/>
  <c r="F44" i="614"/>
  <c r="H88" i="614"/>
  <c r="J88" i="614" s="1"/>
  <c r="F95" i="615" s="1"/>
  <c r="G95" i="615" s="1"/>
  <c r="F88" i="614"/>
  <c r="H35" i="614"/>
  <c r="J35" i="614" s="1"/>
  <c r="F42" i="615" s="1"/>
  <c r="G42" i="615" s="1"/>
  <c r="F35" i="614"/>
  <c r="H73" i="614"/>
  <c r="J73" i="614" s="1"/>
  <c r="F80" i="615" s="1"/>
  <c r="G80" i="615" s="1"/>
  <c r="F73" i="614"/>
  <c r="H92" i="614"/>
  <c r="J92" i="614" s="1"/>
  <c r="F99" i="615" s="1"/>
  <c r="G99" i="615" s="1"/>
  <c r="F92" i="614"/>
  <c r="H32" i="614"/>
  <c r="F32" i="614"/>
  <c r="F108" i="614"/>
  <c r="H108" i="614"/>
  <c r="J108" i="614" s="1"/>
  <c r="F115" i="615" s="1"/>
  <c r="H36" i="614"/>
  <c r="J36" i="614" s="1"/>
  <c r="F43" i="615" s="1"/>
  <c r="G43" i="615" s="1"/>
  <c r="F36" i="614"/>
  <c r="H50" i="614"/>
  <c r="J50" i="614" s="1"/>
  <c r="F57" i="615" s="1"/>
  <c r="G57" i="615" s="1"/>
  <c r="C56" i="617" s="1"/>
  <c r="F50" i="614"/>
  <c r="H39" i="614"/>
  <c r="J39" i="614" s="1"/>
  <c r="F46" i="615" s="1"/>
  <c r="G46" i="615" s="1"/>
  <c r="F39" i="614"/>
  <c r="F98" i="614"/>
  <c r="H98" i="614"/>
  <c r="J98" i="614" s="1"/>
  <c r="F105" i="615" s="1"/>
  <c r="H61" i="614"/>
  <c r="J61" i="614" s="1"/>
  <c r="F68" i="615" s="1"/>
  <c r="G68" i="615" s="1"/>
  <c r="F61" i="614"/>
  <c r="E100" i="612"/>
  <c r="E31" i="612" s="1"/>
  <c r="D39" i="615"/>
  <c r="D101" i="615" s="1"/>
  <c r="D32" i="615" s="1"/>
  <c r="H93" i="614"/>
  <c r="J93" i="614" s="1"/>
  <c r="F100" i="615" s="1"/>
  <c r="G100" i="615" s="1"/>
  <c r="F93" i="614"/>
  <c r="H71" i="614"/>
  <c r="J71" i="614" s="1"/>
  <c r="F78" i="615" s="1"/>
  <c r="G78" i="615" s="1"/>
  <c r="F71" i="614"/>
  <c r="L34" i="617"/>
  <c r="I114" i="619"/>
  <c r="I116" i="619" s="1"/>
  <c r="I32" i="619" s="1"/>
  <c r="H90" i="614"/>
  <c r="J90" i="614" s="1"/>
  <c r="F97" i="615" s="1"/>
  <c r="G97" i="615" s="1"/>
  <c r="F90" i="614"/>
  <c r="H8" i="614"/>
  <c r="J8" i="614" s="1"/>
  <c r="F16" i="615" s="1"/>
  <c r="G16" i="615" s="1"/>
  <c r="F8" i="614"/>
  <c r="H79" i="614"/>
  <c r="J79" i="614" s="1"/>
  <c r="F86" i="615" s="1"/>
  <c r="G86" i="615" s="1"/>
  <c r="F79" i="614"/>
  <c r="H51" i="614"/>
  <c r="J51" i="614" s="1"/>
  <c r="F58" i="615" s="1"/>
  <c r="G58" i="615" s="1"/>
  <c r="F51" i="614"/>
  <c r="H86" i="614"/>
  <c r="J86" i="614" s="1"/>
  <c r="F93" i="615" s="1"/>
  <c r="G93" i="615" s="1"/>
  <c r="F86" i="614"/>
  <c r="H102" i="614"/>
  <c r="F102" i="614"/>
  <c r="E17" i="615"/>
  <c r="H69" i="614"/>
  <c r="J69" i="614" s="1"/>
  <c r="F76" i="615" s="1"/>
  <c r="G76" i="615" s="1"/>
  <c r="F69" i="614"/>
  <c r="H42" i="614"/>
  <c r="J42" i="614" s="1"/>
  <c r="F49" i="615" s="1"/>
  <c r="G49" i="615" s="1"/>
  <c r="F42" i="614"/>
  <c r="H20" i="614"/>
  <c r="J20" i="614" s="1"/>
  <c r="F28" i="615" s="1"/>
  <c r="F20" i="614"/>
  <c r="H17" i="614"/>
  <c r="J17" i="614" s="1"/>
  <c r="F25" i="615" s="1"/>
  <c r="G25" i="615" s="1"/>
  <c r="H25" i="615" s="1"/>
  <c r="F17" i="614"/>
  <c r="L33" i="617"/>
  <c r="I108" i="619"/>
  <c r="I110" i="619" s="1"/>
  <c r="I31" i="619" s="1"/>
  <c r="H77" i="614"/>
  <c r="J77" i="614" s="1"/>
  <c r="F84" i="615" s="1"/>
  <c r="G84" i="615" s="1"/>
  <c r="F77" i="614"/>
  <c r="F103" i="614"/>
  <c r="H103" i="614"/>
  <c r="J103" i="614" s="1"/>
  <c r="F110" i="615" s="1"/>
  <c r="H57" i="614"/>
  <c r="J57" i="614" s="1"/>
  <c r="F64" i="615" s="1"/>
  <c r="G64" i="615" s="1"/>
  <c r="F57" i="614"/>
  <c r="C5" i="608"/>
  <c r="I15" i="625"/>
  <c r="H108" i="619"/>
  <c r="H110" i="619" s="1"/>
  <c r="H31" i="619" s="1"/>
  <c r="K33" i="617"/>
  <c r="H53" i="614"/>
  <c r="J53" i="614" s="1"/>
  <c r="F60" i="615" s="1"/>
  <c r="G60" i="615" s="1"/>
  <c r="F53" i="614"/>
  <c r="H62" i="614"/>
  <c r="J62" i="614" s="1"/>
  <c r="F69" i="615" s="1"/>
  <c r="G69" i="615" s="1"/>
  <c r="F62" i="614"/>
  <c r="H15" i="614"/>
  <c r="J15" i="614" s="1"/>
  <c r="F23" i="615" s="1"/>
  <c r="G23" i="615" s="1"/>
  <c r="F15" i="614"/>
  <c r="E24" i="615"/>
  <c r="H75" i="614"/>
  <c r="J75" i="614" s="1"/>
  <c r="F82" i="615" s="1"/>
  <c r="G82" i="615" s="1"/>
  <c r="F75" i="614"/>
  <c r="H80" i="614"/>
  <c r="J80" i="614" s="1"/>
  <c r="F87" i="615" s="1"/>
  <c r="G87" i="615" s="1"/>
  <c r="F80" i="614"/>
  <c r="H63" i="614"/>
  <c r="J63" i="614" s="1"/>
  <c r="F70" i="615" s="1"/>
  <c r="G70" i="615" s="1"/>
  <c r="F63" i="614"/>
  <c r="H68" i="614"/>
  <c r="J68" i="614" s="1"/>
  <c r="F75" i="615" s="1"/>
  <c r="G75" i="615" s="1"/>
  <c r="F68" i="614"/>
  <c r="H56" i="614"/>
  <c r="J56" i="614" s="1"/>
  <c r="F63" i="615" s="1"/>
  <c r="G63" i="615" s="1"/>
  <c r="F56" i="614"/>
  <c r="H11" i="614"/>
  <c r="J11" i="614" s="1"/>
  <c r="F19" i="615" s="1"/>
  <c r="F11" i="614"/>
  <c r="H48" i="614"/>
  <c r="J48" i="614" s="1"/>
  <c r="F55" i="615" s="1"/>
  <c r="G55" i="615" s="1"/>
  <c r="F48" i="614"/>
  <c r="H55" i="614"/>
  <c r="J55" i="614" s="1"/>
  <c r="F62" i="615" s="1"/>
  <c r="G62" i="615" s="1"/>
  <c r="F55" i="614"/>
  <c r="D109" i="615"/>
  <c r="C108" i="617" s="1"/>
  <c r="E110" i="612"/>
  <c r="E33" i="612" s="1"/>
  <c r="H67" i="614"/>
  <c r="J67" i="614" s="1"/>
  <c r="F74" i="615" s="1"/>
  <c r="G74" i="615" s="1"/>
  <c r="F67" i="614"/>
  <c r="G54" i="613"/>
  <c r="H33" i="614"/>
  <c r="J33" i="614" s="1"/>
  <c r="F40" i="615" s="1"/>
  <c r="G40" i="615" s="1"/>
  <c r="F33" i="614"/>
  <c r="H9" i="614"/>
  <c r="J9" i="614" s="1"/>
  <c r="F17" i="615" s="1"/>
  <c r="F9" i="614"/>
  <c r="H37" i="614"/>
  <c r="J37" i="614" s="1"/>
  <c r="F44" i="615" s="1"/>
  <c r="G44" i="615" s="1"/>
  <c r="F37" i="614"/>
  <c r="H82" i="614"/>
  <c r="J82" i="614" s="1"/>
  <c r="F89" i="615" s="1"/>
  <c r="G89" i="615" s="1"/>
  <c r="F82" i="614"/>
  <c r="G108" i="619"/>
  <c r="J33" i="617"/>
  <c r="H52" i="614"/>
  <c r="J52" i="614" s="1"/>
  <c r="F59" i="615" s="1"/>
  <c r="G59" i="615" s="1"/>
  <c r="F52" i="614"/>
  <c r="H22" i="614"/>
  <c r="J22" i="614" s="1"/>
  <c r="F30" i="615" s="1"/>
  <c r="G30" i="615" s="1"/>
  <c r="F22" i="614"/>
  <c r="H10" i="614"/>
  <c r="J10" i="614" s="1"/>
  <c r="F18" i="615" s="1"/>
  <c r="G18" i="615" s="1"/>
  <c r="H18" i="615" s="1"/>
  <c r="F10" i="614"/>
  <c r="H16" i="614"/>
  <c r="J16" i="614" s="1"/>
  <c r="F24" i="615" s="1"/>
  <c r="F16" i="614"/>
  <c r="H13" i="614"/>
  <c r="J13" i="614" s="1"/>
  <c r="F21" i="615" s="1"/>
  <c r="F13" i="614"/>
  <c r="H7" i="614"/>
  <c r="J7" i="614" s="1"/>
  <c r="F15" i="615" s="1"/>
  <c r="F7" i="614"/>
  <c r="H49" i="614"/>
  <c r="J49" i="614" s="1"/>
  <c r="F56" i="615" s="1"/>
  <c r="G56" i="615" s="1"/>
  <c r="F49" i="614"/>
  <c r="H38" i="614"/>
  <c r="J38" i="614" s="1"/>
  <c r="F45" i="615" s="1"/>
  <c r="G45" i="615" s="1"/>
  <c r="F38" i="614"/>
  <c r="H59" i="614"/>
  <c r="J59" i="614" s="1"/>
  <c r="F66" i="615" s="1"/>
  <c r="G66" i="615" s="1"/>
  <c r="F59" i="614"/>
  <c r="H43" i="614"/>
  <c r="J43" i="614" s="1"/>
  <c r="F50" i="615" s="1"/>
  <c r="G50" i="615" s="1"/>
  <c r="F43" i="614"/>
  <c r="H85" i="614"/>
  <c r="J85" i="614" s="1"/>
  <c r="F92" i="615" s="1"/>
  <c r="G92" i="615" s="1"/>
  <c r="F85" i="614"/>
  <c r="H107" i="614"/>
  <c r="F107" i="614"/>
  <c r="H18" i="614"/>
  <c r="J18" i="614" s="1"/>
  <c r="F26" i="615" s="1"/>
  <c r="G26" i="615" s="1"/>
  <c r="F18" i="614"/>
  <c r="U48" i="605"/>
  <c r="U47" i="605"/>
  <c r="U49" i="605" s="1"/>
  <c r="U50" i="605" s="1"/>
  <c r="U51" i="605" s="1"/>
  <c r="U52" i="605" s="1"/>
  <c r="U53" i="605" s="1"/>
  <c r="U54" i="605" s="1"/>
  <c r="U55" i="605" s="1"/>
  <c r="U56" i="605" s="1"/>
  <c r="U57" i="605" s="1"/>
  <c r="U58" i="605" s="1"/>
  <c r="U59" i="605" s="1"/>
  <c r="U60" i="605" s="1"/>
  <c r="U61" i="605" s="1"/>
  <c r="U62" i="605" s="1"/>
  <c r="U63" i="605" s="1"/>
  <c r="U64" i="605" s="1"/>
  <c r="U65" i="605" s="1"/>
  <c r="U66" i="605" s="1"/>
  <c r="U67" i="605" s="1"/>
  <c r="U68" i="605" s="1"/>
  <c r="U69" i="605" s="1"/>
  <c r="U70" i="605" s="1"/>
  <c r="U71" i="605" s="1"/>
  <c r="U72" i="605" s="1"/>
  <c r="U73" i="605" s="1"/>
  <c r="U74" i="605" s="1"/>
  <c r="U75" i="605" s="1"/>
  <c r="U76" i="605" s="1"/>
  <c r="U77" i="605" s="1"/>
  <c r="U78" i="605" s="1"/>
  <c r="U79" i="605" s="1"/>
  <c r="H14" i="614"/>
  <c r="J14" i="614" s="1"/>
  <c r="F22" i="615" s="1"/>
  <c r="G22" i="615" s="1"/>
  <c r="F14" i="614"/>
  <c r="H83" i="614"/>
  <c r="J83" i="614" s="1"/>
  <c r="F90" i="615" s="1"/>
  <c r="G90" i="615" s="1"/>
  <c r="F83" i="614"/>
  <c r="H76" i="614"/>
  <c r="J76" i="614" s="1"/>
  <c r="F83" i="615" s="1"/>
  <c r="G83" i="615" s="1"/>
  <c r="F76" i="614"/>
  <c r="H87" i="614"/>
  <c r="J87" i="614" s="1"/>
  <c r="F94" i="615" s="1"/>
  <c r="G94" i="615" s="1"/>
  <c r="F87" i="614"/>
  <c r="E48" i="605"/>
  <c r="E47" i="605"/>
  <c r="E49" i="605" s="1"/>
  <c r="E50" i="605" s="1"/>
  <c r="E51" i="605" s="1"/>
  <c r="E52" i="605" s="1"/>
  <c r="E53" i="605" s="1"/>
  <c r="E54" i="605" s="1"/>
  <c r="E55" i="605" s="1"/>
  <c r="E56" i="605" s="1"/>
  <c r="E57" i="605" s="1"/>
  <c r="E58" i="605" s="1"/>
  <c r="E59" i="605" s="1"/>
  <c r="E60" i="605" s="1"/>
  <c r="E61" i="605" s="1"/>
  <c r="E62" i="605" s="1"/>
  <c r="E63" i="605" s="1"/>
  <c r="E64" i="605" s="1"/>
  <c r="E65" i="605" s="1"/>
  <c r="E66" i="605" s="1"/>
  <c r="E67" i="605" s="1"/>
  <c r="E68" i="605" s="1"/>
  <c r="E69" i="605" s="1"/>
  <c r="E70" i="605" s="1"/>
  <c r="E71" i="605" s="1"/>
  <c r="E72" i="605" s="1"/>
  <c r="E73" i="605" s="1"/>
  <c r="E74" i="605" s="1"/>
  <c r="E75" i="605" s="1"/>
  <c r="E76" i="605" s="1"/>
  <c r="E77" i="605" s="1"/>
  <c r="E78" i="605" s="1"/>
  <c r="E79" i="605" s="1"/>
  <c r="H72" i="614"/>
  <c r="J72" i="614" s="1"/>
  <c r="F79" i="615" s="1"/>
  <c r="G79" i="615" s="1"/>
  <c r="F72" i="614"/>
  <c r="H34" i="614"/>
  <c r="J34" i="614" s="1"/>
  <c r="F41" i="615" s="1"/>
  <c r="G41" i="615" s="1"/>
  <c r="F34" i="614"/>
  <c r="H12" i="614"/>
  <c r="J12" i="614" s="1"/>
  <c r="F20" i="615" s="1"/>
  <c r="G20" i="615" s="1"/>
  <c r="H20" i="615" s="1"/>
  <c r="F12" i="614"/>
  <c r="M48" i="605"/>
  <c r="M47" i="605"/>
  <c r="M49" i="605" s="1"/>
  <c r="M50" i="605" s="1"/>
  <c r="M51" i="605" s="1"/>
  <c r="M52" i="605" s="1"/>
  <c r="M53" i="605" s="1"/>
  <c r="M54" i="605" s="1"/>
  <c r="M55" i="605" s="1"/>
  <c r="M56" i="605" s="1"/>
  <c r="M57" i="605" s="1"/>
  <c r="M58" i="605" s="1"/>
  <c r="M59" i="605" s="1"/>
  <c r="M60" i="605" s="1"/>
  <c r="M61" i="605" s="1"/>
  <c r="M62" i="605" s="1"/>
  <c r="M63" i="605" s="1"/>
  <c r="M64" i="605" s="1"/>
  <c r="M65" i="605" s="1"/>
  <c r="M66" i="605" s="1"/>
  <c r="M67" i="605" s="1"/>
  <c r="M68" i="605" s="1"/>
  <c r="M69" i="605" s="1"/>
  <c r="M70" i="605" s="1"/>
  <c r="M71" i="605" s="1"/>
  <c r="M72" i="605" s="1"/>
  <c r="M73" i="605" s="1"/>
  <c r="M74" i="605" s="1"/>
  <c r="M75" i="605" s="1"/>
  <c r="M76" i="605" s="1"/>
  <c r="M77" i="605" s="1"/>
  <c r="M78" i="605" s="1"/>
  <c r="M79" i="605" s="1"/>
  <c r="D114" i="615"/>
  <c r="D116" i="615" s="1"/>
  <c r="D35" i="615" s="1"/>
  <c r="E115" i="612"/>
  <c r="E34" i="612" s="1"/>
  <c r="H81" i="614"/>
  <c r="J81" i="614" s="1"/>
  <c r="F88" i="615" s="1"/>
  <c r="G88" i="615" s="1"/>
  <c r="F81" i="614"/>
  <c r="H89" i="614"/>
  <c r="J89" i="614" s="1"/>
  <c r="F96" i="615" s="1"/>
  <c r="G96" i="615" s="1"/>
  <c r="F89" i="614"/>
  <c r="H45" i="614"/>
  <c r="J45" i="614" s="1"/>
  <c r="F52" i="615" s="1"/>
  <c r="G52" i="615" s="1"/>
  <c r="F45" i="614"/>
  <c r="E105" i="612"/>
  <c r="E32" i="612" s="1"/>
  <c r="D104" i="615"/>
  <c r="D106" i="615" s="1"/>
  <c r="D33" i="615" s="1"/>
  <c r="H21" i="614"/>
  <c r="J21" i="614" s="1"/>
  <c r="F29" i="615" s="1"/>
  <c r="G29" i="615" s="1"/>
  <c r="H29" i="615" s="1"/>
  <c r="F21" i="614"/>
  <c r="H70" i="614"/>
  <c r="J70" i="614" s="1"/>
  <c r="F77" i="615" s="1"/>
  <c r="G77" i="615" s="1"/>
  <c r="F70" i="614"/>
  <c r="H74" i="614"/>
  <c r="J74" i="614" s="1"/>
  <c r="F81" i="615" s="1"/>
  <c r="G81" i="615" s="1"/>
  <c r="F74" i="614"/>
  <c r="H64" i="614"/>
  <c r="J64" i="614" s="1"/>
  <c r="F71" i="615" s="1"/>
  <c r="F64" i="614"/>
  <c r="H84" i="614"/>
  <c r="J84" i="614" s="1"/>
  <c r="F91" i="615" s="1"/>
  <c r="G91" i="615" s="1"/>
  <c r="H91" i="615" s="1"/>
  <c r="F84" i="614"/>
  <c r="H54" i="614"/>
  <c r="J54" i="614" s="1"/>
  <c r="F61" i="615" s="1"/>
  <c r="G61" i="615" s="1"/>
  <c r="F54" i="614"/>
  <c r="H91" i="614"/>
  <c r="J91" i="614" s="1"/>
  <c r="F98" i="615" s="1"/>
  <c r="G98" i="615" s="1"/>
  <c r="F91" i="614"/>
  <c r="H78" i="614"/>
  <c r="J78" i="614" s="1"/>
  <c r="F85" i="615" s="1"/>
  <c r="G85" i="615" s="1"/>
  <c r="F78" i="614"/>
  <c r="G58" i="613"/>
  <c r="E21" i="615"/>
  <c r="F97" i="614"/>
  <c r="H97" i="614"/>
  <c r="H19" i="614"/>
  <c r="J19" i="614" s="1"/>
  <c r="F27" i="615" s="1"/>
  <c r="G27" i="615" s="1"/>
  <c r="H27" i="615" s="1"/>
  <c r="F19" i="614"/>
  <c r="H60" i="614"/>
  <c r="J60" i="614" s="1"/>
  <c r="F67" i="615" s="1"/>
  <c r="G67" i="615" s="1"/>
  <c r="F60" i="614"/>
  <c r="H65" i="614"/>
  <c r="J65" i="614" s="1"/>
  <c r="F72" i="615" s="1"/>
  <c r="G72" i="615" s="1"/>
  <c r="F65" i="614"/>
  <c r="H46" i="614"/>
  <c r="J46" i="614" s="1"/>
  <c r="F53" i="615" s="1"/>
  <c r="G53" i="615" s="1"/>
  <c r="F46" i="614"/>
  <c r="H40" i="614"/>
  <c r="J40" i="614" s="1"/>
  <c r="F47" i="615" s="1"/>
  <c r="G47" i="615" s="1"/>
  <c r="H47" i="615" s="1"/>
  <c r="F40" i="614"/>
  <c r="J34" i="617"/>
  <c r="G114" i="619"/>
  <c r="H47" i="614"/>
  <c r="J47" i="614" s="1"/>
  <c r="F54" i="615" s="1"/>
  <c r="G54" i="615" s="1"/>
  <c r="F47" i="614"/>
  <c r="H41" i="614"/>
  <c r="J41" i="614" s="1"/>
  <c r="F48" i="615" s="1"/>
  <c r="G48" i="615" s="1"/>
  <c r="F41" i="614"/>
  <c r="O33" i="622"/>
  <c r="P9" i="622"/>
  <c r="C6" i="609"/>
  <c r="E6" i="609" s="1"/>
  <c r="C6" i="611" s="1"/>
  <c r="E6" i="611" s="1"/>
  <c r="C6" i="612" s="1"/>
  <c r="C43" i="608"/>
  <c r="D10" i="608" s="1"/>
  <c r="E10" i="606"/>
  <c r="E11" i="606" s="1"/>
  <c r="N32" i="333"/>
  <c r="M13" i="606"/>
  <c r="N13" i="606" s="1"/>
  <c r="N8" i="333"/>
  <c r="E71" i="615"/>
  <c r="J99" i="619"/>
  <c r="J104" i="619"/>
  <c r="J30" i="619" s="1"/>
  <c r="H100" i="619"/>
  <c r="G100" i="619"/>
  <c r="I100" i="619"/>
  <c r="G28" i="615" l="1"/>
  <c r="G19" i="615"/>
  <c r="N19" i="606"/>
  <c r="O17" i="606"/>
  <c r="H31" i="615"/>
  <c r="D6" i="616"/>
  <c r="N21" i="606"/>
  <c r="K35" i="617"/>
  <c r="C24" i="617"/>
  <c r="L35" i="617"/>
  <c r="F109" i="614"/>
  <c r="F27" i="614" s="1"/>
  <c r="G17" i="615"/>
  <c r="C16" i="617" s="1"/>
  <c r="E35" i="612"/>
  <c r="D6" i="612" s="1"/>
  <c r="E6" i="612" s="1"/>
  <c r="C6" i="615" s="1"/>
  <c r="G21" i="615"/>
  <c r="H21" i="615" s="1"/>
  <c r="C17" i="617"/>
  <c r="C46" i="617"/>
  <c r="D111" i="615"/>
  <c r="D34" i="615" s="1"/>
  <c r="D36" i="615" s="1"/>
  <c r="C28" i="617"/>
  <c r="G24" i="615"/>
  <c r="C26" i="617"/>
  <c r="J35" i="617"/>
  <c r="H26" i="615"/>
  <c r="C25" i="617"/>
  <c r="C21" i="617"/>
  <c r="H22" i="615"/>
  <c r="H23" i="615"/>
  <c r="C22" i="617"/>
  <c r="C29" i="617"/>
  <c r="H30" i="615"/>
  <c r="C18" i="617"/>
  <c r="H19" i="615"/>
  <c r="H58" i="615"/>
  <c r="C57" i="617"/>
  <c r="H28" i="615"/>
  <c r="C27" i="617"/>
  <c r="C81" i="617"/>
  <c r="H82" i="615"/>
  <c r="H42" i="615"/>
  <c r="C41" i="617"/>
  <c r="H66" i="615"/>
  <c r="C65" i="617"/>
  <c r="H89" i="615"/>
  <c r="C88" i="617"/>
  <c r="H68" i="615"/>
  <c r="C67" i="617"/>
  <c r="H52" i="615"/>
  <c r="C51" i="617"/>
  <c r="H45" i="615"/>
  <c r="C44" i="617"/>
  <c r="H44" i="615"/>
  <c r="C43" i="617"/>
  <c r="F99" i="614"/>
  <c r="F25" i="614" s="1"/>
  <c r="C50" i="617"/>
  <c r="H51" i="615"/>
  <c r="H94" i="615"/>
  <c r="C93" i="617"/>
  <c r="H48" i="615"/>
  <c r="C47" i="617"/>
  <c r="C84" i="617"/>
  <c r="H85" i="615"/>
  <c r="H96" i="615"/>
  <c r="C95" i="617"/>
  <c r="H56" i="615"/>
  <c r="C55" i="617"/>
  <c r="H70" i="615"/>
  <c r="C69" i="617"/>
  <c r="H46" i="615"/>
  <c r="C45" i="617"/>
  <c r="C85" i="617"/>
  <c r="H86" i="615"/>
  <c r="H64" i="615"/>
  <c r="C63" i="617"/>
  <c r="H16" i="615"/>
  <c r="C15" i="617"/>
  <c r="H73" i="615"/>
  <c r="C72" i="617"/>
  <c r="H88" i="615"/>
  <c r="C87" i="617"/>
  <c r="H43" i="615"/>
  <c r="C42" i="617"/>
  <c r="H65" i="615"/>
  <c r="C64" i="617"/>
  <c r="U80" i="605"/>
  <c r="U81" i="605"/>
  <c r="U82" i="605" s="1"/>
  <c r="U83" i="605" s="1"/>
  <c r="U84" i="605" s="1"/>
  <c r="U85" i="605" s="1"/>
  <c r="U86" i="605" s="1"/>
  <c r="U87" i="605" s="1"/>
  <c r="U88" i="605" s="1"/>
  <c r="U89" i="605" s="1"/>
  <c r="U90" i="605" s="1"/>
  <c r="H74" i="615"/>
  <c r="C73" i="617"/>
  <c r="H97" i="615"/>
  <c r="C96" i="617"/>
  <c r="J102" i="614"/>
  <c r="H104" i="614"/>
  <c r="H26" i="614" s="1"/>
  <c r="H93" i="615"/>
  <c r="C92" i="617"/>
  <c r="C60" i="617"/>
  <c r="H61" i="615"/>
  <c r="M80" i="605"/>
  <c r="M81" i="605"/>
  <c r="M82" i="605" s="1"/>
  <c r="M83" i="605" s="1"/>
  <c r="M84" i="605" s="1"/>
  <c r="M85" i="605" s="1"/>
  <c r="M86" i="605" s="1"/>
  <c r="M87" i="605" s="1"/>
  <c r="M88" i="605" s="1"/>
  <c r="M89" i="605" s="1"/>
  <c r="M90" i="605" s="1"/>
  <c r="H63" i="615"/>
  <c r="C62" i="617"/>
  <c r="F94" i="614"/>
  <c r="F24" i="614" s="1"/>
  <c r="H90" i="615"/>
  <c r="C89" i="617"/>
  <c r="C52" i="617"/>
  <c r="H53" i="615"/>
  <c r="J32" i="614"/>
  <c r="H94" i="614"/>
  <c r="H24" i="614" s="1"/>
  <c r="H84" i="615"/>
  <c r="C83" i="617"/>
  <c r="C19" i="617"/>
  <c r="H62" i="615"/>
  <c r="C61" i="617"/>
  <c r="H69" i="615"/>
  <c r="C68" i="617"/>
  <c r="C48" i="617"/>
  <c r="H49" i="615"/>
  <c r="H78" i="615"/>
  <c r="C77" i="617"/>
  <c r="H98" i="615"/>
  <c r="C97" i="617"/>
  <c r="G116" i="619"/>
  <c r="G32" i="619" s="1"/>
  <c r="J114" i="619"/>
  <c r="J116" i="619" s="1"/>
  <c r="J32" i="619" s="1"/>
  <c r="H72" i="615"/>
  <c r="C71" i="617"/>
  <c r="H81" i="615"/>
  <c r="C80" i="617"/>
  <c r="J107" i="614"/>
  <c r="H109" i="614"/>
  <c r="H27" i="614" s="1"/>
  <c r="C98" i="617"/>
  <c r="H99" i="615"/>
  <c r="H75" i="615"/>
  <c r="C74" i="617"/>
  <c r="H40" i="615"/>
  <c r="C39" i="617"/>
  <c r="C90" i="617"/>
  <c r="H41" i="615"/>
  <c r="C40" i="617"/>
  <c r="C54" i="617"/>
  <c r="H55" i="615"/>
  <c r="C59" i="617"/>
  <c r="H60" i="615"/>
  <c r="H76" i="615"/>
  <c r="C75" i="617"/>
  <c r="H100" i="615"/>
  <c r="C99" i="617"/>
  <c r="C82" i="617"/>
  <c r="H83" i="615"/>
  <c r="C53" i="617"/>
  <c r="H54" i="615"/>
  <c r="H67" i="615"/>
  <c r="C66" i="617"/>
  <c r="C76" i="617"/>
  <c r="H77" i="615"/>
  <c r="H59" i="615"/>
  <c r="C58" i="617"/>
  <c r="H80" i="615"/>
  <c r="C79" i="617"/>
  <c r="J97" i="614"/>
  <c r="H99" i="614"/>
  <c r="H25" i="614" s="1"/>
  <c r="C94" i="617"/>
  <c r="H95" i="615"/>
  <c r="C86" i="617"/>
  <c r="H87" i="615"/>
  <c r="H92" i="615"/>
  <c r="C91" i="617"/>
  <c r="H79" i="615"/>
  <c r="C78" i="617"/>
  <c r="E81" i="605"/>
  <c r="E82" i="605" s="1"/>
  <c r="E83" i="605" s="1"/>
  <c r="E84" i="605" s="1"/>
  <c r="E85" i="605" s="1"/>
  <c r="E86" i="605" s="1"/>
  <c r="E87" i="605" s="1"/>
  <c r="E88" i="605" s="1"/>
  <c r="E89" i="605" s="1"/>
  <c r="E90" i="605" s="1"/>
  <c r="E80" i="605"/>
  <c r="H50" i="615"/>
  <c r="C49" i="617"/>
  <c r="G110" i="619"/>
  <c r="G31" i="619" s="1"/>
  <c r="J108" i="619"/>
  <c r="J110" i="619" s="1"/>
  <c r="J31" i="619" s="1"/>
  <c r="F104" i="614"/>
  <c r="F26" i="614" s="1"/>
  <c r="H30" i="621"/>
  <c r="I30" i="621" s="1"/>
  <c r="L30" i="621" s="1"/>
  <c r="N35" i="333"/>
  <c r="N34" i="333"/>
  <c r="J29" i="619"/>
  <c r="J100" i="619" s="1"/>
  <c r="P33" i="622"/>
  <c r="E12" i="606"/>
  <c r="E46" i="606"/>
  <c r="N11" i="333"/>
  <c r="O13" i="606"/>
  <c r="D23" i="608"/>
  <c r="D24" i="608"/>
  <c r="D25" i="608"/>
  <c r="D26" i="608"/>
  <c r="D11" i="608"/>
  <c r="D27" i="608"/>
  <c r="D12" i="608"/>
  <c r="D28" i="608"/>
  <c r="D13" i="608"/>
  <c r="D29" i="608"/>
  <c r="D14" i="608"/>
  <c r="D30" i="608"/>
  <c r="D15" i="608"/>
  <c r="D31" i="608"/>
  <c r="D16" i="608"/>
  <c r="D32" i="608"/>
  <c r="D33" i="608"/>
  <c r="D34" i="608"/>
  <c r="D19" i="608"/>
  <c r="D20" i="608"/>
  <c r="D22" i="608"/>
  <c r="D21" i="608"/>
  <c r="D17" i="608"/>
  <c r="D18" i="608"/>
  <c r="D9" i="608"/>
  <c r="C44" i="608"/>
  <c r="C45" i="608" s="1"/>
  <c r="G71" i="615"/>
  <c r="E101" i="615"/>
  <c r="E32" i="615" s="1"/>
  <c r="E36" i="615" s="1"/>
  <c r="G15" i="615"/>
  <c r="H17" i="615" l="1"/>
  <c r="C20" i="617"/>
  <c r="C35" i="612"/>
  <c r="F28" i="614"/>
  <c r="H24" i="615"/>
  <c r="C23" i="617"/>
  <c r="H28" i="614"/>
  <c r="M91" i="605"/>
  <c r="M93" i="605" s="1"/>
  <c r="M92" i="605"/>
  <c r="M94" i="605" s="1"/>
  <c r="E91" i="605"/>
  <c r="E93" i="605" s="1"/>
  <c r="E92" i="605"/>
  <c r="E94" i="605" s="1"/>
  <c r="F114" i="615"/>
  <c r="J109" i="614"/>
  <c r="J27" i="614" s="1"/>
  <c r="J94" i="614"/>
  <c r="J24" i="614" s="1"/>
  <c r="F39" i="615"/>
  <c r="J104" i="614"/>
  <c r="J26" i="614" s="1"/>
  <c r="F109" i="615"/>
  <c r="U92" i="605"/>
  <c r="U94" i="605" s="1"/>
  <c r="U91" i="605"/>
  <c r="U93" i="605" s="1"/>
  <c r="J99" i="614"/>
  <c r="J25" i="614" s="1"/>
  <c r="F104" i="615"/>
  <c r="D40" i="608"/>
  <c r="C110" i="617"/>
  <c r="C33" i="617" s="1"/>
  <c r="H109" i="615"/>
  <c r="H111" i="615" s="1"/>
  <c r="H114" i="615"/>
  <c r="H116" i="615" s="1"/>
  <c r="G191" i="613"/>
  <c r="H71" i="615"/>
  <c r="C70" i="617"/>
  <c r="H15" i="615"/>
  <c r="C14" i="617"/>
  <c r="F111" i="615" l="1"/>
  <c r="F34" i="615" s="1"/>
  <c r="G109" i="615"/>
  <c r="G111" i="615" s="1"/>
  <c r="G34" i="615" s="1"/>
  <c r="H34" i="615" s="1"/>
  <c r="F101" i="615"/>
  <c r="F32" i="615" s="1"/>
  <c r="G39" i="615"/>
  <c r="J28" i="614"/>
  <c r="G114" i="615"/>
  <c r="F116" i="615"/>
  <c r="F35" i="615" s="1"/>
  <c r="F106" i="615"/>
  <c r="F33" i="615" s="1"/>
  <c r="G104" i="615"/>
  <c r="H39" i="615" l="1"/>
  <c r="G101" i="615"/>
  <c r="C38" i="617"/>
  <c r="C100" i="617" s="1"/>
  <c r="C31" i="617" s="1"/>
  <c r="H104" i="615"/>
  <c r="H106" i="615" s="1"/>
  <c r="G106" i="615"/>
  <c r="G33" i="615" s="1"/>
  <c r="H33" i="615" s="1"/>
  <c r="C103" i="617"/>
  <c r="C105" i="617" s="1"/>
  <c r="C32" i="617" s="1"/>
  <c r="C113" i="617"/>
  <c r="C115" i="617" s="1"/>
  <c r="C34" i="617" s="1"/>
  <c r="G116" i="615"/>
  <c r="G35" i="615" s="1"/>
  <c r="H35" i="615" s="1"/>
  <c r="F36" i="615"/>
  <c r="D6" i="615" s="1"/>
  <c r="E6" i="615" s="1"/>
  <c r="C6" i="616" s="1"/>
  <c r="E6" i="616" s="1"/>
  <c r="C6" i="617" s="1"/>
  <c r="L6" i="343" s="1"/>
  <c r="D19" i="617" l="1"/>
  <c r="D21" i="617"/>
  <c r="D29" i="617"/>
  <c r="D22" i="617"/>
  <c r="D15" i="617"/>
  <c r="D23" i="617"/>
  <c r="D24" i="617"/>
  <c r="D18" i="617"/>
  <c r="C35" i="617"/>
  <c r="D57" i="617" s="1"/>
  <c r="H56" i="620" s="1"/>
  <c r="D26" i="617"/>
  <c r="D28" i="617"/>
  <c r="D27" i="617"/>
  <c r="D17" i="617"/>
  <c r="D25" i="617"/>
  <c r="H101" i="615"/>
  <c r="G32" i="615"/>
  <c r="D16" i="617"/>
  <c r="D14" i="617"/>
  <c r="D20" i="617"/>
  <c r="D30" i="617"/>
  <c r="D75" i="617" l="1"/>
  <c r="H74" i="620" s="1"/>
  <c r="D77" i="617"/>
  <c r="H76" i="620" s="1"/>
  <c r="D42" i="617"/>
  <c r="H41" i="620" s="1"/>
  <c r="D52" i="617"/>
  <c r="H51" i="620" s="1"/>
  <c r="D80" i="617"/>
  <c r="H79" i="620" s="1"/>
  <c r="D44" i="617"/>
  <c r="H43" i="620" s="1"/>
  <c r="D76" i="617"/>
  <c r="H75" i="620" s="1"/>
  <c r="D81" i="617"/>
  <c r="H80" i="620" s="1"/>
  <c r="D100" i="617"/>
  <c r="D31" i="617" s="1"/>
  <c r="D98" i="617"/>
  <c r="H97" i="620" s="1"/>
  <c r="D70" i="617"/>
  <c r="H69" i="620" s="1"/>
  <c r="D83" i="617"/>
  <c r="H82" i="620" s="1"/>
  <c r="D62" i="617"/>
  <c r="H61" i="620" s="1"/>
  <c r="D114" i="617"/>
  <c r="E114" i="617" s="1"/>
  <c r="G114" i="617" s="1"/>
  <c r="D96" i="617"/>
  <c r="H95" i="620" s="1"/>
  <c r="D90" i="617"/>
  <c r="H89" i="620" s="1"/>
  <c r="D54" i="617"/>
  <c r="H53" i="620" s="1"/>
  <c r="D67" i="617"/>
  <c r="H66" i="620" s="1"/>
  <c r="D41" i="617"/>
  <c r="H40" i="620" s="1"/>
  <c r="D86" i="617"/>
  <c r="H85" i="620" s="1"/>
  <c r="D64" i="617"/>
  <c r="H63" i="620" s="1"/>
  <c r="D74" i="617"/>
  <c r="H73" i="620" s="1"/>
  <c r="D71" i="617"/>
  <c r="H70" i="620" s="1"/>
  <c r="D40" i="617"/>
  <c r="H39" i="620" s="1"/>
  <c r="D65" i="617"/>
  <c r="H64" i="620" s="1"/>
  <c r="D89" i="617"/>
  <c r="H88" i="620" s="1"/>
  <c r="D63" i="617"/>
  <c r="H62" i="620" s="1"/>
  <c r="D99" i="617"/>
  <c r="H98" i="620" s="1"/>
  <c r="D95" i="617"/>
  <c r="H94" i="620" s="1"/>
  <c r="D93" i="617"/>
  <c r="H92" i="620" s="1"/>
  <c r="D103" i="617"/>
  <c r="H102" i="620" s="1"/>
  <c r="D115" i="617"/>
  <c r="D34" i="617" s="1"/>
  <c r="D92" i="617"/>
  <c r="H91" i="620" s="1"/>
  <c r="D51" i="617"/>
  <c r="H50" i="620" s="1"/>
  <c r="D55" i="617"/>
  <c r="H54" i="620" s="1"/>
  <c r="D82" i="617"/>
  <c r="H81" i="620" s="1"/>
  <c r="D97" i="617"/>
  <c r="H96" i="620" s="1"/>
  <c r="D68" i="617"/>
  <c r="H67" i="620" s="1"/>
  <c r="D85" i="617"/>
  <c r="H84" i="620" s="1"/>
  <c r="D72" i="617"/>
  <c r="H71" i="620" s="1"/>
  <c r="D43" i="617"/>
  <c r="H42" i="620" s="1"/>
  <c r="D69" i="617"/>
  <c r="H68" i="620" s="1"/>
  <c r="D73" i="617"/>
  <c r="H72" i="620" s="1"/>
  <c r="D46" i="617"/>
  <c r="H45" i="620" s="1"/>
  <c r="D50" i="617"/>
  <c r="H49" i="620" s="1"/>
  <c r="D66" i="617"/>
  <c r="H65" i="620" s="1"/>
  <c r="G36" i="615"/>
  <c r="H36" i="615" s="1"/>
  <c r="H32" i="615"/>
  <c r="D79" i="617"/>
  <c r="H78" i="620" s="1"/>
  <c r="D39" i="617"/>
  <c r="H38" i="620" s="1"/>
  <c r="D113" i="617"/>
  <c r="H112" i="620" s="1"/>
  <c r="D53" i="617"/>
  <c r="H52" i="620" s="1"/>
  <c r="D56" i="617"/>
  <c r="H55" i="620" s="1"/>
  <c r="D38" i="617"/>
  <c r="H37" i="620" s="1"/>
  <c r="D91" i="617"/>
  <c r="H90" i="620" s="1"/>
  <c r="D88" i="617"/>
  <c r="H87" i="620" s="1"/>
  <c r="D94" i="617"/>
  <c r="H93" i="620" s="1"/>
  <c r="D58" i="617"/>
  <c r="H57" i="620" s="1"/>
  <c r="D59" i="617"/>
  <c r="H58" i="620" s="1"/>
  <c r="D87" i="617"/>
  <c r="H86" i="620" s="1"/>
  <c r="D61" i="617"/>
  <c r="H60" i="620" s="1"/>
  <c r="D45" i="617"/>
  <c r="H44" i="620" s="1"/>
  <c r="D60" i="617"/>
  <c r="H59" i="620" s="1"/>
  <c r="D49" i="617"/>
  <c r="H48" i="620" s="1"/>
  <c r="D47" i="617"/>
  <c r="H46" i="620" s="1"/>
  <c r="D48" i="617"/>
  <c r="H47" i="620" s="1"/>
  <c r="D84" i="617"/>
  <c r="H83" i="620" s="1"/>
  <c r="D78" i="617"/>
  <c r="H77" i="620" s="1"/>
  <c r="E25" i="617"/>
  <c r="G25" i="617" s="1"/>
  <c r="M25" i="617" s="1"/>
  <c r="E30" i="617"/>
  <c r="G30" i="617" s="1"/>
  <c r="M30" i="617" s="1"/>
  <c r="E24" i="617"/>
  <c r="G24" i="617" s="1"/>
  <c r="M24" i="617" s="1"/>
  <c r="E23" i="617"/>
  <c r="G23" i="617" s="1"/>
  <c r="M23" i="617" s="1"/>
  <c r="E14" i="617"/>
  <c r="E16" i="617"/>
  <c r="G16" i="617" s="1"/>
  <c r="M16" i="617" s="1"/>
  <c r="E29" i="617"/>
  <c r="G29" i="617" s="1"/>
  <c r="M29" i="617" s="1"/>
  <c r="E27" i="617"/>
  <c r="G27" i="617" s="1"/>
  <c r="M27" i="617" s="1"/>
  <c r="E21" i="617"/>
  <c r="G21" i="617" s="1"/>
  <c r="M21" i="617" s="1"/>
  <c r="E20" i="617"/>
  <c r="G20" i="617" s="1"/>
  <c r="M20" i="617" s="1"/>
  <c r="E15" i="617"/>
  <c r="G15" i="617" s="1"/>
  <c r="M15" i="617" s="1"/>
  <c r="E22" i="617"/>
  <c r="G22" i="617" s="1"/>
  <c r="M22" i="617" s="1"/>
  <c r="E17" i="617"/>
  <c r="G17" i="617" s="1"/>
  <c r="M17" i="617" s="1"/>
  <c r="E19" i="617"/>
  <c r="G19" i="617" s="1"/>
  <c r="M19" i="617" s="1"/>
  <c r="E26" i="617"/>
  <c r="G26" i="617" s="1"/>
  <c r="M26" i="617" s="1"/>
  <c r="E18" i="617"/>
  <c r="G18" i="617" s="1"/>
  <c r="M18" i="617" s="1"/>
  <c r="E28" i="617"/>
  <c r="G28" i="617" s="1"/>
  <c r="M28" i="617" s="1"/>
  <c r="D109" i="617"/>
  <c r="H108" i="620" s="1"/>
  <c r="D108" i="617"/>
  <c r="D110" i="617"/>
  <c r="D33" i="617" s="1"/>
  <c r="D104" i="617"/>
  <c r="H103" i="620" s="1"/>
  <c r="D105" i="617"/>
  <c r="D32" i="617" s="1"/>
  <c r="H113" i="620" l="1"/>
  <c r="E113" i="617"/>
  <c r="G113" i="617" s="1"/>
  <c r="M113" i="617" s="1"/>
  <c r="E109" i="618" s="1"/>
  <c r="E103" i="617"/>
  <c r="G103" i="617" s="1"/>
  <c r="M103" i="617" s="1"/>
  <c r="E38" i="617"/>
  <c r="G38" i="617" s="1"/>
  <c r="M38" i="617" s="1"/>
  <c r="C36" i="617"/>
  <c r="E9" i="618"/>
  <c r="E18" i="618"/>
  <c r="E14" i="618"/>
  <c r="E24" i="618"/>
  <c r="E16" i="618"/>
  <c r="E19" i="618"/>
  <c r="Q19" i="618" s="1"/>
  <c r="E12" i="618"/>
  <c r="Q12" i="618" s="1"/>
  <c r="E15" i="618"/>
  <c r="F15" i="618" s="1"/>
  <c r="K15" i="618" s="1"/>
  <c r="T15" i="618" s="1"/>
  <c r="E23" i="618"/>
  <c r="G14" i="617"/>
  <c r="M14" i="617" s="1"/>
  <c r="E13" i="618"/>
  <c r="E21" i="618"/>
  <c r="E10" i="618"/>
  <c r="E17" i="618"/>
  <c r="E22" i="618"/>
  <c r="E20" i="618"/>
  <c r="Q20" i="618" s="1"/>
  <c r="E11" i="618"/>
  <c r="M114" i="617"/>
  <c r="E108" i="617"/>
  <c r="G108" i="617" s="1"/>
  <c r="M108" i="617" s="1"/>
  <c r="H107" i="620"/>
  <c r="D35" i="617"/>
  <c r="E89" i="617"/>
  <c r="G89" i="617" s="1"/>
  <c r="E55" i="617"/>
  <c r="G55" i="617" s="1"/>
  <c r="E86" i="617"/>
  <c r="G86" i="617" s="1"/>
  <c r="E63" i="617"/>
  <c r="G63" i="617" s="1"/>
  <c r="E95" i="617"/>
  <c r="G95" i="617" s="1"/>
  <c r="E93" i="617"/>
  <c r="G93" i="617" s="1"/>
  <c r="E90" i="617"/>
  <c r="G90" i="617" s="1"/>
  <c r="E73" i="617"/>
  <c r="G73" i="617" s="1"/>
  <c r="E91" i="617"/>
  <c r="G91" i="617" s="1"/>
  <c r="E61" i="617"/>
  <c r="G61" i="617" s="1"/>
  <c r="E83" i="617"/>
  <c r="G83" i="617" s="1"/>
  <c r="E80" i="617"/>
  <c r="G80" i="617" s="1"/>
  <c r="E79" i="617"/>
  <c r="G79" i="617" s="1"/>
  <c r="E104" i="617"/>
  <c r="E45" i="617"/>
  <c r="G45" i="617" s="1"/>
  <c r="E48" i="617"/>
  <c r="G48" i="617" s="1"/>
  <c r="E64" i="617"/>
  <c r="G64" i="617" s="1"/>
  <c r="E49" i="617"/>
  <c r="G49" i="617" s="1"/>
  <c r="E97" i="617"/>
  <c r="G97" i="617" s="1"/>
  <c r="E53" i="617"/>
  <c r="G53" i="617" s="1"/>
  <c r="E78" i="617"/>
  <c r="G78" i="617" s="1"/>
  <c r="E77" i="617"/>
  <c r="G77" i="617" s="1"/>
  <c r="E46" i="617"/>
  <c r="G46" i="617" s="1"/>
  <c r="E99" i="617"/>
  <c r="G99" i="617" s="1"/>
  <c r="E70" i="617"/>
  <c r="G70" i="617" s="1"/>
  <c r="E96" i="617"/>
  <c r="G96" i="617" s="1"/>
  <c r="E58" i="617"/>
  <c r="G58" i="617" s="1"/>
  <c r="E51" i="617"/>
  <c r="G51" i="617" s="1"/>
  <c r="E41" i="617"/>
  <c r="G41" i="617" s="1"/>
  <c r="E74" i="617"/>
  <c r="G74" i="617" s="1"/>
  <c r="E75" i="617"/>
  <c r="G75" i="617" s="1"/>
  <c r="E52" i="617"/>
  <c r="G52" i="617" s="1"/>
  <c r="E82" i="617"/>
  <c r="G82" i="617" s="1"/>
  <c r="E88" i="617"/>
  <c r="G88" i="617" s="1"/>
  <c r="E54" i="617"/>
  <c r="G54" i="617" s="1"/>
  <c r="E67" i="617"/>
  <c r="G67" i="617" s="1"/>
  <c r="E94" i="617"/>
  <c r="G94" i="617" s="1"/>
  <c r="E56" i="617"/>
  <c r="G56" i="617" s="1"/>
  <c r="E98" i="617"/>
  <c r="G98" i="617" s="1"/>
  <c r="E62" i="617"/>
  <c r="G62" i="617" s="1"/>
  <c r="E47" i="617"/>
  <c r="G47" i="617" s="1"/>
  <c r="E60" i="617"/>
  <c r="G60" i="617" s="1"/>
  <c r="E40" i="617"/>
  <c r="G40" i="617" s="1"/>
  <c r="E66" i="617"/>
  <c r="G66" i="617" s="1"/>
  <c r="E44" i="617"/>
  <c r="G44" i="617" s="1"/>
  <c r="E59" i="617"/>
  <c r="G59" i="617" s="1"/>
  <c r="E57" i="617"/>
  <c r="G57" i="617" s="1"/>
  <c r="M57" i="617" s="1"/>
  <c r="E92" i="617"/>
  <c r="G92" i="617" s="1"/>
  <c r="E39" i="617"/>
  <c r="G39" i="617" s="1"/>
  <c r="E65" i="617"/>
  <c r="G65" i="617" s="1"/>
  <c r="E68" i="617"/>
  <c r="G68" i="617" s="1"/>
  <c r="E87" i="617"/>
  <c r="G87" i="617" s="1"/>
  <c r="E81" i="617"/>
  <c r="G81" i="617" s="1"/>
  <c r="E84" i="617"/>
  <c r="G84" i="617" s="1"/>
  <c r="E71" i="617"/>
  <c r="G71" i="617" s="1"/>
  <c r="E50" i="617"/>
  <c r="G50" i="617" s="1"/>
  <c r="E85" i="617"/>
  <c r="G85" i="617" s="1"/>
  <c r="E76" i="617"/>
  <c r="G76" i="617" s="1"/>
  <c r="E69" i="617"/>
  <c r="G69" i="617" s="1"/>
  <c r="E43" i="617"/>
  <c r="G43" i="617" s="1"/>
  <c r="E72" i="617"/>
  <c r="G72" i="617" s="1"/>
  <c r="E42" i="617"/>
  <c r="G42" i="617" s="1"/>
  <c r="E109" i="617"/>
  <c r="E115" i="617" l="1"/>
  <c r="E34" i="617" s="1"/>
  <c r="G115" i="617"/>
  <c r="G34" i="617" s="1"/>
  <c r="M34" i="617" s="1"/>
  <c r="M115" i="617"/>
  <c r="E37" i="619"/>
  <c r="E105" i="617"/>
  <c r="E32" i="617" s="1"/>
  <c r="E110" i="618"/>
  <c r="E111" i="618" s="1"/>
  <c r="E28" i="618" s="1"/>
  <c r="K28" i="618" s="1"/>
  <c r="D32" i="619" s="1"/>
  <c r="E31" i="620" s="1"/>
  <c r="Q13" i="618"/>
  <c r="F13" i="618"/>
  <c r="K13" i="618" s="1"/>
  <c r="D17" i="619" s="1"/>
  <c r="F14" i="618"/>
  <c r="K14" i="618" s="1"/>
  <c r="S14" i="618" s="1"/>
  <c r="Q14" i="618"/>
  <c r="Q23" i="618"/>
  <c r="F23" i="618"/>
  <c r="K23" i="618" s="1"/>
  <c r="T23" i="618" s="1"/>
  <c r="F16" i="618"/>
  <c r="K16" i="618" s="1"/>
  <c r="AB19" i="620" s="1"/>
  <c r="Q16" i="618"/>
  <c r="F11" i="618"/>
  <c r="K11" i="618" s="1"/>
  <c r="S11" i="618" s="1"/>
  <c r="Q11" i="618"/>
  <c r="Q24" i="618"/>
  <c r="F24" i="618"/>
  <c r="K24" i="618" s="1"/>
  <c r="D28" i="619" s="1"/>
  <c r="E28" i="619" s="1"/>
  <c r="F22" i="618"/>
  <c r="K22" i="618" s="1"/>
  <c r="T22" i="618" s="1"/>
  <c r="Q22" i="618"/>
  <c r="Q17" i="618"/>
  <c r="F17" i="618"/>
  <c r="K17" i="618" s="1"/>
  <c r="T17" i="618" s="1"/>
  <c r="F10" i="618"/>
  <c r="K10" i="618" s="1"/>
  <c r="AB13" i="620" s="1"/>
  <c r="Q10" i="618"/>
  <c r="F18" i="618"/>
  <c r="K18" i="618" s="1"/>
  <c r="S18" i="618" s="1"/>
  <c r="Q18" i="618"/>
  <c r="Q21" i="618"/>
  <c r="F21" i="618"/>
  <c r="K21" i="618" s="1"/>
  <c r="AB24" i="620" s="1"/>
  <c r="Q9" i="618"/>
  <c r="F9" i="618"/>
  <c r="K9" i="618" s="1"/>
  <c r="D13" i="619" s="1"/>
  <c r="E13" i="619" s="1"/>
  <c r="E83" i="619"/>
  <c r="M84" i="617"/>
  <c r="E78" i="618" s="1"/>
  <c r="F78" i="618" s="1"/>
  <c r="E55" i="619"/>
  <c r="M56" i="617"/>
  <c r="E50" i="618" s="1"/>
  <c r="F50" i="618" s="1"/>
  <c r="E76" i="619"/>
  <c r="M77" i="617"/>
  <c r="E71" i="618" s="1"/>
  <c r="F71" i="618" s="1"/>
  <c r="E89" i="619"/>
  <c r="M90" i="617"/>
  <c r="E84" i="618" s="1"/>
  <c r="F84" i="618" s="1"/>
  <c r="E92" i="619"/>
  <c r="M93" i="617"/>
  <c r="E87" i="618" s="1"/>
  <c r="F87" i="618" s="1"/>
  <c r="E66" i="619"/>
  <c r="M67" i="617"/>
  <c r="E61" i="618" s="1"/>
  <c r="F61" i="618" s="1"/>
  <c r="E52" i="619"/>
  <c r="M53" i="617"/>
  <c r="E47" i="618" s="1"/>
  <c r="F47" i="618" s="1"/>
  <c r="E94" i="619"/>
  <c r="M95" i="617"/>
  <c r="E89" i="618" s="1"/>
  <c r="F89" i="618" s="1"/>
  <c r="E67" i="619"/>
  <c r="M68" i="617"/>
  <c r="E62" i="618" s="1"/>
  <c r="F62" i="618" s="1"/>
  <c r="E93" i="619"/>
  <c r="T93" i="619" s="1"/>
  <c r="M94" i="617"/>
  <c r="E88" i="618" s="1"/>
  <c r="F88" i="618" s="1"/>
  <c r="E53" i="619"/>
  <c r="M54" i="617"/>
  <c r="E48" i="618" s="1"/>
  <c r="F48" i="618" s="1"/>
  <c r="E64" i="619"/>
  <c r="M65" i="617"/>
  <c r="E59" i="618" s="1"/>
  <c r="F59" i="618" s="1"/>
  <c r="E87" i="619"/>
  <c r="M88" i="617"/>
  <c r="E82" i="618" s="1"/>
  <c r="F82" i="618" s="1"/>
  <c r="E48" i="619"/>
  <c r="M49" i="617"/>
  <c r="E43" i="618" s="1"/>
  <c r="F43" i="618" s="1"/>
  <c r="E85" i="619"/>
  <c r="M86" i="617"/>
  <c r="E80" i="618" s="1"/>
  <c r="F80" i="618" s="1"/>
  <c r="Q15" i="618"/>
  <c r="E86" i="619"/>
  <c r="M87" i="617"/>
  <c r="E81" i="618" s="1"/>
  <c r="F81" i="618" s="1"/>
  <c r="E88" i="619"/>
  <c r="M89" i="617"/>
  <c r="E83" i="618" s="1"/>
  <c r="F83" i="618" s="1"/>
  <c r="E73" i="619"/>
  <c r="M74" i="617"/>
  <c r="E68" i="618" s="1"/>
  <c r="F68" i="618" s="1"/>
  <c r="E40" i="619"/>
  <c r="T40" i="619" s="1"/>
  <c r="M41" i="617"/>
  <c r="E35" i="618" s="1"/>
  <c r="F35" i="618" s="1"/>
  <c r="F20" i="618"/>
  <c r="K20" i="618" s="1"/>
  <c r="T20" i="618" s="1"/>
  <c r="E71" i="619"/>
  <c r="T71" i="619" s="1"/>
  <c r="M72" i="617"/>
  <c r="E66" i="618" s="1"/>
  <c r="F66" i="618" s="1"/>
  <c r="E43" i="619"/>
  <c r="M44" i="617"/>
  <c r="E38" i="618" s="1"/>
  <c r="F38" i="618" s="1"/>
  <c r="E42" i="619"/>
  <c r="M43" i="617"/>
  <c r="E37" i="618" s="1"/>
  <c r="E65" i="619"/>
  <c r="M66" i="617"/>
  <c r="E60" i="618" s="1"/>
  <c r="F60" i="618" s="1"/>
  <c r="E50" i="619"/>
  <c r="M51" i="617"/>
  <c r="E45" i="618" s="1"/>
  <c r="F45" i="618" s="1"/>
  <c r="E78" i="619"/>
  <c r="M79" i="617"/>
  <c r="E73" i="618" s="1"/>
  <c r="F73" i="618" s="1"/>
  <c r="F12" i="618"/>
  <c r="K12" i="618" s="1"/>
  <c r="S12" i="618" s="1"/>
  <c r="E77" i="619"/>
  <c r="M78" i="617"/>
  <c r="E72" i="618" s="1"/>
  <c r="F72" i="618" s="1"/>
  <c r="E96" i="619"/>
  <c r="M97" i="617"/>
  <c r="E91" i="618" s="1"/>
  <c r="F91" i="618" s="1"/>
  <c r="E38" i="619"/>
  <c r="M39" i="617"/>
  <c r="E33" i="618" s="1"/>
  <c r="F33" i="618" s="1"/>
  <c r="E63" i="619"/>
  <c r="M64" i="617"/>
  <c r="E58" i="618" s="1"/>
  <c r="F58" i="618" s="1"/>
  <c r="E47" i="619"/>
  <c r="M48" i="617"/>
  <c r="E42" i="618" s="1"/>
  <c r="F42" i="618" s="1"/>
  <c r="E44" i="619"/>
  <c r="M45" i="617"/>
  <c r="E39" i="618" s="1"/>
  <c r="F39" i="618" s="1"/>
  <c r="E68" i="619"/>
  <c r="M69" i="617"/>
  <c r="E63" i="618" s="1"/>
  <c r="F63" i="618" s="1"/>
  <c r="E39" i="619"/>
  <c r="M40" i="617"/>
  <c r="E34" i="618" s="1"/>
  <c r="F34" i="618" s="1"/>
  <c r="E57" i="619"/>
  <c r="M58" i="617"/>
  <c r="E52" i="618" s="1"/>
  <c r="F52" i="618" s="1"/>
  <c r="E79" i="619"/>
  <c r="M80" i="617"/>
  <c r="E74" i="618" s="1"/>
  <c r="F74" i="618" s="1"/>
  <c r="F19" i="618"/>
  <c r="K19" i="618" s="1"/>
  <c r="AB22" i="620" s="1"/>
  <c r="E62" i="619"/>
  <c r="M63" i="617"/>
  <c r="E57" i="618" s="1"/>
  <c r="F57" i="618" s="1"/>
  <c r="E81" i="619"/>
  <c r="M82" i="617"/>
  <c r="E76" i="618" s="1"/>
  <c r="F76" i="618" s="1"/>
  <c r="E91" i="619"/>
  <c r="M92" i="617"/>
  <c r="E86" i="618" s="1"/>
  <c r="F86" i="618" s="1"/>
  <c r="E58" i="619"/>
  <c r="M59" i="617"/>
  <c r="E53" i="618" s="1"/>
  <c r="F53" i="618" s="1"/>
  <c r="E59" i="619"/>
  <c r="M60" i="617"/>
  <c r="E54" i="618" s="1"/>
  <c r="F54" i="618" s="1"/>
  <c r="E46" i="619"/>
  <c r="M47" i="617"/>
  <c r="E41" i="618" s="1"/>
  <c r="F41" i="618" s="1"/>
  <c r="E60" i="619"/>
  <c r="M61" i="617"/>
  <c r="E55" i="618" s="1"/>
  <c r="F55" i="618" s="1"/>
  <c r="E8" i="618"/>
  <c r="Q8" i="618" s="1"/>
  <c r="E80" i="619"/>
  <c r="M81" i="617"/>
  <c r="E75" i="618" s="1"/>
  <c r="F75" i="618" s="1"/>
  <c r="E54" i="619"/>
  <c r="M55" i="617"/>
  <c r="E49" i="618" s="1"/>
  <c r="F49" i="618" s="1"/>
  <c r="E75" i="619"/>
  <c r="M76" i="617"/>
  <c r="E70" i="618" s="1"/>
  <c r="F70" i="618" s="1"/>
  <c r="E82" i="619"/>
  <c r="M83" i="617"/>
  <c r="E77" i="618" s="1"/>
  <c r="F77" i="618" s="1"/>
  <c r="E84" i="619"/>
  <c r="M85" i="617"/>
  <c r="E79" i="618" s="1"/>
  <c r="F79" i="618" s="1"/>
  <c r="E69" i="619"/>
  <c r="M70" i="617"/>
  <c r="E64" i="618" s="1"/>
  <c r="F64" i="618" s="1"/>
  <c r="E49" i="619"/>
  <c r="M50" i="617"/>
  <c r="E44" i="618" s="1"/>
  <c r="F44" i="618" s="1"/>
  <c r="E61" i="619"/>
  <c r="M62" i="617"/>
  <c r="E56" i="618" s="1"/>
  <c r="F56" i="618" s="1"/>
  <c r="E98" i="619"/>
  <c r="M99" i="617"/>
  <c r="E93" i="618" s="1"/>
  <c r="F93" i="618" s="1"/>
  <c r="E90" i="619"/>
  <c r="M91" i="617"/>
  <c r="E85" i="618" s="1"/>
  <c r="F85" i="618" s="1"/>
  <c r="E51" i="619"/>
  <c r="M52" i="617"/>
  <c r="E46" i="618" s="1"/>
  <c r="F46" i="618" s="1"/>
  <c r="E110" i="617"/>
  <c r="E33" i="617" s="1"/>
  <c r="E74" i="619"/>
  <c r="M75" i="617"/>
  <c r="E69" i="618" s="1"/>
  <c r="F69" i="618" s="1"/>
  <c r="E41" i="619"/>
  <c r="M42" i="617"/>
  <c r="E36" i="618" s="1"/>
  <c r="F36" i="618" s="1"/>
  <c r="E95" i="619"/>
  <c r="M96" i="617"/>
  <c r="E90" i="618" s="1"/>
  <c r="F90" i="618" s="1"/>
  <c r="E70" i="619"/>
  <c r="M71" i="617"/>
  <c r="E65" i="618" s="1"/>
  <c r="F65" i="618" s="1"/>
  <c r="E97" i="619"/>
  <c r="T97" i="619" s="1"/>
  <c r="M98" i="617"/>
  <c r="E92" i="618" s="1"/>
  <c r="F92" i="618" s="1"/>
  <c r="E45" i="619"/>
  <c r="M46" i="617"/>
  <c r="E40" i="618" s="1"/>
  <c r="F40" i="618" s="1"/>
  <c r="E72" i="619"/>
  <c r="M73" i="617"/>
  <c r="E67" i="618" s="1"/>
  <c r="F67" i="618" s="1"/>
  <c r="E114" i="619"/>
  <c r="E116" i="619" s="1"/>
  <c r="E32" i="619" s="1"/>
  <c r="T32" i="619" s="1"/>
  <c r="E51" i="618"/>
  <c r="F51" i="618" s="1"/>
  <c r="E56" i="619"/>
  <c r="F109" i="618"/>
  <c r="K109" i="618" s="1"/>
  <c r="D19" i="619"/>
  <c r="E19" i="619" s="1"/>
  <c r="AB18" i="620"/>
  <c r="S15" i="618"/>
  <c r="G104" i="617"/>
  <c r="M104" i="617" s="1"/>
  <c r="M105" i="617" s="1"/>
  <c r="G109" i="617"/>
  <c r="E100" i="617"/>
  <c r="E31" i="617" s="1"/>
  <c r="E104" i="618"/>
  <c r="G100" i="617"/>
  <c r="E102" i="619"/>
  <c r="G19" i="619" l="1"/>
  <c r="I19" i="619"/>
  <c r="H19" i="619"/>
  <c r="N19" i="619"/>
  <c r="P18" i="620" s="1"/>
  <c r="L19" i="619"/>
  <c r="N18" i="620" s="1"/>
  <c r="R19" i="619"/>
  <c r="T18" i="620" s="1"/>
  <c r="R28" i="619"/>
  <c r="T27" i="620" s="1"/>
  <c r="I17" i="619"/>
  <c r="N17" i="619"/>
  <c r="P16" i="620" s="1"/>
  <c r="L17" i="619"/>
  <c r="N16" i="620" s="1"/>
  <c r="H17" i="619"/>
  <c r="G17" i="619"/>
  <c r="R17" i="619"/>
  <c r="T16" i="620" s="1"/>
  <c r="G31" i="617"/>
  <c r="M31" i="617" s="1"/>
  <c r="M100" i="617"/>
  <c r="S17" i="618"/>
  <c r="T18" i="618"/>
  <c r="D21" i="619"/>
  <c r="E21" i="619" s="1"/>
  <c r="AB20" i="620"/>
  <c r="AB16" i="620"/>
  <c r="S13" i="618"/>
  <c r="D22" i="619"/>
  <c r="E22" i="619" s="1"/>
  <c r="D24" i="619"/>
  <c r="E24" i="619" s="1"/>
  <c r="AB23" i="620"/>
  <c r="S20" i="618"/>
  <c r="E16" i="620"/>
  <c r="N40" i="606" s="1"/>
  <c r="S16" i="618"/>
  <c r="T16" i="618"/>
  <c r="D18" i="619"/>
  <c r="AB17" i="620"/>
  <c r="T14" i="618"/>
  <c r="AB21" i="620"/>
  <c r="T13" i="618"/>
  <c r="D20" i="619"/>
  <c r="E20" i="619" s="1"/>
  <c r="S23" i="618"/>
  <c r="T21" i="618"/>
  <c r="D27" i="619"/>
  <c r="E27" i="619" s="1"/>
  <c r="D25" i="619"/>
  <c r="E25" i="619" s="1"/>
  <c r="AB26" i="620"/>
  <c r="S21" i="618"/>
  <c r="S9" i="618"/>
  <c r="T9" i="618"/>
  <c r="I13" i="619"/>
  <c r="G13" i="619"/>
  <c r="L13" i="619"/>
  <c r="N12" i="620" s="1"/>
  <c r="R13" i="619"/>
  <c r="T12" i="620" s="1"/>
  <c r="AB25" i="620"/>
  <c r="H13" i="619"/>
  <c r="N13" i="619"/>
  <c r="P12" i="620" s="1"/>
  <c r="D26" i="619"/>
  <c r="S22" i="618"/>
  <c r="T19" i="618"/>
  <c r="D15" i="619"/>
  <c r="AB12" i="620"/>
  <c r="T11" i="618"/>
  <c r="AB14" i="620"/>
  <c r="D16" i="619"/>
  <c r="T12" i="618"/>
  <c r="AB15" i="620"/>
  <c r="T24" i="618"/>
  <c r="H28" i="619"/>
  <c r="F8" i="618"/>
  <c r="K8" i="618" s="1"/>
  <c r="T8" i="618" s="1"/>
  <c r="N28" i="619"/>
  <c r="P27" i="620" s="1"/>
  <c r="G28" i="619"/>
  <c r="E27" i="620"/>
  <c r="N51" i="606" s="1"/>
  <c r="L28" i="619"/>
  <c r="N27" i="620" s="1"/>
  <c r="S24" i="618"/>
  <c r="AB27" i="620"/>
  <c r="I28" i="619"/>
  <c r="S10" i="618"/>
  <c r="E35" i="617"/>
  <c r="D6" i="617" s="1"/>
  <c r="E6" i="617" s="1"/>
  <c r="D23" i="619"/>
  <c r="E23" i="619" s="1"/>
  <c r="M109" i="617"/>
  <c r="E105" i="618" s="1"/>
  <c r="E106" i="618" s="1"/>
  <c r="E27" i="618" s="1"/>
  <c r="K27" i="618" s="1"/>
  <c r="D31" i="619" s="1"/>
  <c r="E30" i="620" s="1"/>
  <c r="S19" i="618"/>
  <c r="T10" i="618"/>
  <c r="D14" i="619"/>
  <c r="E12" i="620"/>
  <c r="N36" i="606" s="1"/>
  <c r="T114" i="619"/>
  <c r="T116" i="619" s="1"/>
  <c r="V32" i="619" s="1"/>
  <c r="T84" i="619"/>
  <c r="T81" i="619"/>
  <c r="T83" i="619"/>
  <c r="T74" i="619"/>
  <c r="T94" i="619"/>
  <c r="T68" i="619"/>
  <c r="T44" i="619"/>
  <c r="T58" i="619"/>
  <c r="T67" i="619"/>
  <c r="T73" i="619"/>
  <c r="T47" i="619"/>
  <c r="T54" i="619"/>
  <c r="T42" i="619"/>
  <c r="T48" i="619"/>
  <c r="T41" i="619"/>
  <c r="T77" i="619"/>
  <c r="T38" i="619"/>
  <c r="T57" i="619"/>
  <c r="T90" i="619"/>
  <c r="T87" i="619"/>
  <c r="T91" i="619"/>
  <c r="T51" i="619"/>
  <c r="T86" i="619"/>
  <c r="T82" i="619"/>
  <c r="T72" i="619"/>
  <c r="T69" i="619"/>
  <c r="T50" i="619"/>
  <c r="T98" i="619"/>
  <c r="T63" i="619"/>
  <c r="T61" i="619"/>
  <c r="T65" i="619"/>
  <c r="T55" i="619"/>
  <c r="T53" i="619"/>
  <c r="T92" i="619"/>
  <c r="T79" i="619"/>
  <c r="T45" i="619"/>
  <c r="T39" i="619"/>
  <c r="T66" i="619"/>
  <c r="T56" i="619"/>
  <c r="T78" i="619"/>
  <c r="T85" i="619"/>
  <c r="T89" i="619"/>
  <c r="T64" i="619"/>
  <c r="T62" i="619"/>
  <c r="T80" i="619"/>
  <c r="T43" i="619"/>
  <c r="T96" i="619"/>
  <c r="T75" i="619"/>
  <c r="T60" i="619"/>
  <c r="T95" i="619"/>
  <c r="T59" i="619"/>
  <c r="T49" i="619"/>
  <c r="T88" i="619"/>
  <c r="T52" i="619"/>
  <c r="T46" i="619"/>
  <c r="T76" i="619"/>
  <c r="T70" i="619"/>
  <c r="E113" i="620"/>
  <c r="E112" i="620"/>
  <c r="F104" i="618"/>
  <c r="K104" i="618" s="1"/>
  <c r="S109" i="618"/>
  <c r="S111" i="618" s="1"/>
  <c r="T109" i="618"/>
  <c r="Q109" i="618"/>
  <c r="S28" i="618"/>
  <c r="T28" i="618"/>
  <c r="E18" i="620"/>
  <c r="N42" i="606" s="1"/>
  <c r="G110" i="617"/>
  <c r="E95" i="618"/>
  <c r="F95" i="618" s="1"/>
  <c r="K95" i="618" s="1"/>
  <c r="G105" i="617"/>
  <c r="G32" i="617" s="1"/>
  <c r="M32" i="617" s="1"/>
  <c r="E100" i="618"/>
  <c r="E103" i="619"/>
  <c r="F37" i="618"/>
  <c r="E99" i="618"/>
  <c r="T102" i="619"/>
  <c r="E32" i="618"/>
  <c r="T37" i="619"/>
  <c r="E99" i="619"/>
  <c r="T99" i="619" s="1"/>
  <c r="N16" i="619" l="1"/>
  <c r="P15" i="620" s="1"/>
  <c r="E16" i="619"/>
  <c r="N14" i="619"/>
  <c r="P13" i="620" s="1"/>
  <c r="E14" i="619"/>
  <c r="N15" i="619"/>
  <c r="P14" i="620" s="1"/>
  <c r="E15" i="619"/>
  <c r="R27" i="619"/>
  <c r="T26" i="620" s="1"/>
  <c r="N27" i="619"/>
  <c r="P26" i="620" s="1"/>
  <c r="L27" i="619"/>
  <c r="N26" i="620" s="1"/>
  <c r="R26" i="619"/>
  <c r="T25" i="620" s="1"/>
  <c r="G26" i="619"/>
  <c r="L26" i="619"/>
  <c r="N25" i="620" s="1"/>
  <c r="H26" i="619"/>
  <c r="I26" i="619"/>
  <c r="N26" i="619"/>
  <c r="P25" i="620" s="1"/>
  <c r="P17" i="619"/>
  <c r="L24" i="619"/>
  <c r="N23" i="620" s="1"/>
  <c r="R24" i="619"/>
  <c r="T23" i="620" s="1"/>
  <c r="H24" i="619"/>
  <c r="I24" i="619"/>
  <c r="N24" i="619"/>
  <c r="P23" i="620" s="1"/>
  <c r="G24" i="619"/>
  <c r="R22" i="619"/>
  <c r="T21" i="620" s="1"/>
  <c r="G22" i="619"/>
  <c r="N22" i="619"/>
  <c r="P21" i="620" s="1"/>
  <c r="I22" i="619"/>
  <c r="L22" i="619"/>
  <c r="N21" i="620" s="1"/>
  <c r="H22" i="619"/>
  <c r="R20" i="619"/>
  <c r="T19" i="620" s="1"/>
  <c r="L20" i="619"/>
  <c r="N19" i="620" s="1"/>
  <c r="N20" i="619"/>
  <c r="P19" i="620" s="1"/>
  <c r="I20" i="619"/>
  <c r="G20" i="619"/>
  <c r="H20" i="619"/>
  <c r="R23" i="619"/>
  <c r="T22" i="620" s="1"/>
  <c r="H23" i="619"/>
  <c r="I23" i="619"/>
  <c r="N23" i="619"/>
  <c r="P22" i="620" s="1"/>
  <c r="G23" i="619"/>
  <c r="L23" i="619"/>
  <c r="N22" i="620" s="1"/>
  <c r="R18" i="619"/>
  <c r="T17" i="620" s="1"/>
  <c r="H18" i="619"/>
  <c r="L18" i="619"/>
  <c r="I18" i="619"/>
  <c r="N18" i="619"/>
  <c r="P17" i="620" s="1"/>
  <c r="G18" i="619"/>
  <c r="R25" i="619"/>
  <c r="T24" i="620" s="1"/>
  <c r="I25" i="619"/>
  <c r="H25" i="619"/>
  <c r="L25" i="619"/>
  <c r="N24" i="620" s="1"/>
  <c r="N25" i="619"/>
  <c r="P24" i="620" s="1"/>
  <c r="G25" i="619"/>
  <c r="R21" i="619"/>
  <c r="T20" i="620" s="1"/>
  <c r="I21" i="619"/>
  <c r="L21" i="619"/>
  <c r="N20" i="620" s="1"/>
  <c r="H21" i="619"/>
  <c r="N21" i="619"/>
  <c r="P20" i="620" s="1"/>
  <c r="G21" i="619"/>
  <c r="G16" i="619"/>
  <c r="L14" i="619"/>
  <c r="N13" i="620" s="1"/>
  <c r="E26" i="620"/>
  <c r="N50" i="606" s="1"/>
  <c r="P13" i="619"/>
  <c r="P28" i="619"/>
  <c r="P19" i="619"/>
  <c r="E20" i="620"/>
  <c r="N44" i="606" s="1"/>
  <c r="E23" i="620"/>
  <c r="N47" i="606" s="1"/>
  <c r="J17" i="619"/>
  <c r="E21" i="620"/>
  <c r="N45" i="606" s="1"/>
  <c r="E17" i="620"/>
  <c r="N41" i="606" s="1"/>
  <c r="E19" i="620"/>
  <c r="N43" i="606" s="1"/>
  <c r="I27" i="619"/>
  <c r="J13" i="619"/>
  <c r="H27" i="619"/>
  <c r="G27" i="619"/>
  <c r="E13" i="620"/>
  <c r="N37" i="606" s="1"/>
  <c r="E24" i="620"/>
  <c r="N48" i="606" s="1"/>
  <c r="I14" i="619"/>
  <c r="S8" i="618"/>
  <c r="E25" i="620"/>
  <c r="N49" i="606" s="1"/>
  <c r="G15" i="619"/>
  <c r="H15" i="619"/>
  <c r="M110" i="617"/>
  <c r="H14" i="619"/>
  <c r="R15" i="619"/>
  <c r="T14" i="620" s="1"/>
  <c r="H16" i="619"/>
  <c r="L15" i="619"/>
  <c r="N14" i="620" s="1"/>
  <c r="E22" i="620"/>
  <c r="N46" i="606" s="1"/>
  <c r="L16" i="619"/>
  <c r="N15" i="620" s="1"/>
  <c r="E14" i="620"/>
  <c r="N38" i="606" s="1"/>
  <c r="I15" i="619"/>
  <c r="G14" i="619"/>
  <c r="E15" i="620"/>
  <c r="N39" i="606" s="1"/>
  <c r="J28" i="619"/>
  <c r="R14" i="619"/>
  <c r="T13" i="620" s="1"/>
  <c r="D12" i="619"/>
  <c r="E12" i="619" s="1"/>
  <c r="R16" i="619"/>
  <c r="T15" i="620" s="1"/>
  <c r="I16" i="619"/>
  <c r="AB11" i="620"/>
  <c r="T103" i="619"/>
  <c r="T104" i="619" s="1"/>
  <c r="E107" i="620"/>
  <c r="E108" i="620"/>
  <c r="G33" i="617"/>
  <c r="E108" i="619"/>
  <c r="T104" i="618"/>
  <c r="S104" i="618"/>
  <c r="S106" i="618" s="1"/>
  <c r="Q104" i="618"/>
  <c r="S27" i="618"/>
  <c r="T27" i="618"/>
  <c r="J19" i="619"/>
  <c r="M101" i="617"/>
  <c r="E104" i="619"/>
  <c r="E101" i="618"/>
  <c r="E26" i="618" s="1"/>
  <c r="F99" i="618"/>
  <c r="K99" i="618" s="1"/>
  <c r="E94" i="618"/>
  <c r="E96" i="618" s="1"/>
  <c r="F32" i="618"/>
  <c r="E17" i="619" l="1"/>
  <c r="T17" i="619" s="1"/>
  <c r="V17" i="619" s="1"/>
  <c r="P18" i="619"/>
  <c r="N17" i="620"/>
  <c r="P24" i="619"/>
  <c r="P21" i="619"/>
  <c r="T28" i="619"/>
  <c r="W28" i="619" s="1"/>
  <c r="T13" i="619"/>
  <c r="W13" i="619" s="1"/>
  <c r="P15" i="619"/>
  <c r="P14" i="619"/>
  <c r="P26" i="619"/>
  <c r="P20" i="619"/>
  <c r="P25" i="619"/>
  <c r="P22" i="619"/>
  <c r="P23" i="619"/>
  <c r="T19" i="619"/>
  <c r="V19" i="619" s="1"/>
  <c r="P27" i="619"/>
  <c r="P16" i="619"/>
  <c r="J21" i="619"/>
  <c r="M33" i="617"/>
  <c r="M35" i="617" s="1"/>
  <c r="M36" i="617" s="1"/>
  <c r="J22" i="619"/>
  <c r="J24" i="619"/>
  <c r="J18" i="619"/>
  <c r="J20" i="619"/>
  <c r="J27" i="619"/>
  <c r="J25" i="619"/>
  <c r="J26" i="619"/>
  <c r="J16" i="619"/>
  <c r="J15" i="619"/>
  <c r="J23" i="619"/>
  <c r="L12" i="619"/>
  <c r="N11" i="620" s="1"/>
  <c r="J14" i="619"/>
  <c r="I12" i="619"/>
  <c r="R12" i="619"/>
  <c r="T11" i="620" s="1"/>
  <c r="N12" i="619"/>
  <c r="P11" i="620" s="1"/>
  <c r="G12" i="619"/>
  <c r="E11" i="620"/>
  <c r="N35" i="606" s="1"/>
  <c r="H12" i="619"/>
  <c r="G35" i="617"/>
  <c r="E110" i="619"/>
  <c r="E31" i="619" s="1"/>
  <c r="T31" i="619" s="1"/>
  <c r="T108" i="619"/>
  <c r="T110" i="619" s="1"/>
  <c r="F26" i="618"/>
  <c r="K26" i="618" s="1"/>
  <c r="AB29" i="620" s="1"/>
  <c r="E102" i="618"/>
  <c r="F94" i="618"/>
  <c r="K94" i="618" s="1"/>
  <c r="T99" i="618"/>
  <c r="Q99" i="618"/>
  <c r="S99" i="618"/>
  <c r="S101" i="618" s="1"/>
  <c r="E18" i="619" l="1"/>
  <c r="T18" i="619" s="1"/>
  <c r="W18" i="619" s="1"/>
  <c r="E26" i="619"/>
  <c r="T26" i="619" s="1"/>
  <c r="V26" i="619" s="1"/>
  <c r="T24" i="619"/>
  <c r="T20" i="619"/>
  <c r="V20" i="619" s="1"/>
  <c r="T14" i="619"/>
  <c r="V14" i="619" s="1"/>
  <c r="T15" i="619"/>
  <c r="V15" i="619" s="1"/>
  <c r="T25" i="619"/>
  <c r="W25" i="619" s="1"/>
  <c r="T16" i="619"/>
  <c r="V16" i="619" s="1"/>
  <c r="T27" i="619"/>
  <c r="V27" i="619" s="1"/>
  <c r="T23" i="619"/>
  <c r="W23" i="619" s="1"/>
  <c r="L33" i="619"/>
  <c r="L121" i="619" s="1"/>
  <c r="P12" i="619"/>
  <c r="P33" i="619" s="1"/>
  <c r="P121" i="619" s="1"/>
  <c r="T22" i="619"/>
  <c r="W22" i="619" s="1"/>
  <c r="T21" i="619"/>
  <c r="V21" i="619" s="1"/>
  <c r="V31" i="619"/>
  <c r="V24" i="619"/>
  <c r="W17" i="619"/>
  <c r="R33" i="619"/>
  <c r="R121" i="619" s="1"/>
  <c r="I33" i="619"/>
  <c r="H33" i="619"/>
  <c r="V13" i="619"/>
  <c r="V28" i="619"/>
  <c r="N33" i="619"/>
  <c r="N121" i="619" s="1"/>
  <c r="J12" i="619"/>
  <c r="G33" i="619"/>
  <c r="W19" i="619"/>
  <c r="S26" i="618"/>
  <c r="Q26" i="618"/>
  <c r="D30" i="619"/>
  <c r="T26" i="618"/>
  <c r="E25" i="618"/>
  <c r="V18" i="619" l="1"/>
  <c r="E29" i="620"/>
  <c r="E102" i="620" s="1"/>
  <c r="E30" i="619"/>
  <c r="T12" i="619"/>
  <c r="E56" i="606"/>
  <c r="G121" i="619"/>
  <c r="E62" i="606"/>
  <c r="I121" i="619"/>
  <c r="E59" i="606"/>
  <c r="H121" i="619"/>
  <c r="W21" i="619"/>
  <c r="W14" i="619"/>
  <c r="W24" i="619"/>
  <c r="J33" i="619"/>
  <c r="J121" i="619" s="1"/>
  <c r="V22" i="619"/>
  <c r="W15" i="619"/>
  <c r="W20" i="619"/>
  <c r="W27" i="619"/>
  <c r="W26" i="619"/>
  <c r="V25" i="619"/>
  <c r="V23" i="619"/>
  <c r="W16" i="619"/>
  <c r="F25" i="618"/>
  <c r="K25" i="618" s="1"/>
  <c r="E29" i="618"/>
  <c r="E30" i="618" s="1"/>
  <c r="E97" i="618"/>
  <c r="T30" i="619" l="1"/>
  <c r="V30" i="619" s="1"/>
  <c r="N53" i="606"/>
  <c r="E103" i="620"/>
  <c r="V12" i="619"/>
  <c r="W12" i="619"/>
  <c r="K92" i="618"/>
  <c r="Q92" i="618" s="1"/>
  <c r="K85" i="618"/>
  <c r="Q85" i="618" s="1"/>
  <c r="D29" i="619"/>
  <c r="E29" i="619" s="1"/>
  <c r="K75" i="618"/>
  <c r="Q75" i="618" s="1"/>
  <c r="K80" i="618"/>
  <c r="Q80" i="618" s="1"/>
  <c r="K48" i="618"/>
  <c r="Q48" i="618" s="1"/>
  <c r="K39" i="618"/>
  <c r="Q39" i="618" s="1"/>
  <c r="K91" i="618"/>
  <c r="Q91" i="618" s="1"/>
  <c r="K89" i="618"/>
  <c r="Q89" i="618" s="1"/>
  <c r="K49" i="618"/>
  <c r="Q49" i="618" s="1"/>
  <c r="K68" i="618"/>
  <c r="Q68" i="618" s="1"/>
  <c r="T25" i="618"/>
  <c r="T29" i="618" s="1"/>
  <c r="K54" i="618"/>
  <c r="Q54" i="618" s="1"/>
  <c r="K66" i="618"/>
  <c r="Q66" i="618" s="1"/>
  <c r="K70" i="618"/>
  <c r="Q70" i="618" s="1"/>
  <c r="K86" i="618"/>
  <c r="Q86" i="618" s="1"/>
  <c r="K42" i="618"/>
  <c r="Q42" i="618" s="1"/>
  <c r="K82" i="618"/>
  <c r="Q82" i="618" s="1"/>
  <c r="K81" i="618"/>
  <c r="Q81" i="618" s="1"/>
  <c r="K35" i="618"/>
  <c r="Q35" i="618" s="1"/>
  <c r="K72" i="618"/>
  <c r="Q72" i="618" s="1"/>
  <c r="K38" i="618"/>
  <c r="Q38" i="618" s="1"/>
  <c r="K36" i="618"/>
  <c r="Q36" i="618" s="1"/>
  <c r="K71" i="618"/>
  <c r="Q71" i="618" s="1"/>
  <c r="K33" i="618"/>
  <c r="Q33" i="618" s="1"/>
  <c r="K88" i="618"/>
  <c r="Q88" i="618" s="1"/>
  <c r="AB28" i="620"/>
  <c r="K62" i="618"/>
  <c r="Q62" i="618" s="1"/>
  <c r="K45" i="618"/>
  <c r="K76" i="618"/>
  <c r="Q76" i="618" s="1"/>
  <c r="K79" i="618"/>
  <c r="Q79" i="618" s="1"/>
  <c r="K40" i="618"/>
  <c r="Q40" i="618" s="1"/>
  <c r="K77" i="618"/>
  <c r="Q77" i="618" s="1"/>
  <c r="K74" i="618"/>
  <c r="Q74" i="618" s="1"/>
  <c r="K87" i="618"/>
  <c r="Q87" i="618" s="1"/>
  <c r="K93" i="618"/>
  <c r="Q93" i="618" s="1"/>
  <c r="K56" i="618"/>
  <c r="Q56" i="618" s="1"/>
  <c r="K67" i="618"/>
  <c r="Q67" i="618" s="1"/>
  <c r="K84" i="618"/>
  <c r="Q84" i="618" s="1"/>
  <c r="K55" i="618"/>
  <c r="K34" i="618"/>
  <c r="Q34" i="618" s="1"/>
  <c r="K90" i="618"/>
  <c r="Q90" i="618" s="1"/>
  <c r="K64" i="618"/>
  <c r="Q64" i="618" s="1"/>
  <c r="K46" i="618"/>
  <c r="Q46" i="618" s="1"/>
  <c r="K50" i="618"/>
  <c r="K73" i="618"/>
  <c r="Q73" i="618" s="1"/>
  <c r="K69" i="618"/>
  <c r="Q69" i="618" s="1"/>
  <c r="K59" i="618"/>
  <c r="Q59" i="618" s="1"/>
  <c r="K52" i="618"/>
  <c r="Q52" i="618" s="1"/>
  <c r="K83" i="618"/>
  <c r="Q83" i="618" s="1"/>
  <c r="K53" i="618"/>
  <c r="Q53" i="618" s="1"/>
  <c r="S25" i="618"/>
  <c r="S29" i="618" s="1"/>
  <c r="K61" i="618"/>
  <c r="Q61" i="618" s="1"/>
  <c r="K32" i="618"/>
  <c r="Q32" i="618" s="1"/>
  <c r="K44" i="618"/>
  <c r="Q44" i="618" s="1"/>
  <c r="K63" i="618"/>
  <c r="Q63" i="618" s="1"/>
  <c r="K51" i="618"/>
  <c r="Q51" i="618" s="1"/>
  <c r="K58" i="618"/>
  <c r="Q58" i="618" s="1"/>
  <c r="Q25" i="618"/>
  <c r="K37" i="618"/>
  <c r="Q37" i="618" s="1"/>
  <c r="K78" i="618"/>
  <c r="Q78" i="618" s="1"/>
  <c r="K43" i="618"/>
  <c r="Q43" i="618" s="1"/>
  <c r="K65" i="618"/>
  <c r="Q65" i="618" s="1"/>
  <c r="K47" i="618"/>
  <c r="Q47" i="618" s="1"/>
  <c r="K60" i="618"/>
  <c r="Q60" i="618" s="1"/>
  <c r="K41" i="618"/>
  <c r="Q41" i="618" s="1"/>
  <c r="K57" i="618"/>
  <c r="Q57" i="618" s="1"/>
  <c r="W30" i="619" l="1"/>
  <c r="T29" i="619"/>
  <c r="W29" i="619" s="1"/>
  <c r="E100" i="619"/>
  <c r="E33" i="619"/>
  <c r="W39" i="619" s="1"/>
  <c r="T30" i="618"/>
  <c r="Q50" i="618"/>
  <c r="T105" i="618"/>
  <c r="T106" i="618" s="1"/>
  <c r="T100" i="618"/>
  <c r="T101" i="618" s="1"/>
  <c r="Q45" i="618"/>
  <c r="Q55" i="618"/>
  <c r="T110" i="618"/>
  <c r="T111" i="618" s="1"/>
  <c r="E28" i="620"/>
  <c r="E37" i="620" s="1"/>
  <c r="E48" i="606" l="1"/>
  <c r="W33" i="619"/>
  <c r="E121" i="619"/>
  <c r="V29" i="619"/>
  <c r="T100" i="619"/>
  <c r="T33" i="619"/>
  <c r="W40" i="619" s="1"/>
  <c r="V31" i="618"/>
  <c r="T31" i="618"/>
  <c r="E93" i="620"/>
  <c r="E96" i="620"/>
  <c r="E89" i="620"/>
  <c r="E43" i="620"/>
  <c r="E62" i="620"/>
  <c r="E75" i="620"/>
  <c r="E48" i="620"/>
  <c r="E51" i="620"/>
  <c r="E90" i="620"/>
  <c r="E74" i="620"/>
  <c r="E69" i="620"/>
  <c r="E82" i="620"/>
  <c r="E61" i="620"/>
  <c r="E44" i="620"/>
  <c r="E63" i="620"/>
  <c r="E53" i="620"/>
  <c r="E68" i="620"/>
  <c r="E47" i="620"/>
  <c r="E77" i="620"/>
  <c r="E86" i="620"/>
  <c r="E40" i="620"/>
  <c r="E46" i="620"/>
  <c r="E78" i="620"/>
  <c r="E52" i="620"/>
  <c r="E72" i="620"/>
  <c r="E38" i="620"/>
  <c r="E65" i="620"/>
  <c r="E81" i="620"/>
  <c r="E83" i="620"/>
  <c r="E42" i="620"/>
  <c r="E71" i="620"/>
  <c r="E64" i="620"/>
  <c r="E57" i="620"/>
  <c r="E66" i="620"/>
  <c r="E87" i="620"/>
  <c r="E67" i="620"/>
  <c r="E94" i="620"/>
  <c r="E41" i="620"/>
  <c r="E98" i="620"/>
  <c r="E55" i="620"/>
  <c r="E58" i="620"/>
  <c r="E79" i="620"/>
  <c r="E60" i="620"/>
  <c r="N52" i="606"/>
  <c r="E70" i="620"/>
  <c r="E91" i="620"/>
  <c r="E45" i="620"/>
  <c r="E80" i="620"/>
  <c r="E56" i="620"/>
  <c r="E49" i="620"/>
  <c r="E39" i="620"/>
  <c r="E73" i="620"/>
  <c r="E50" i="620"/>
  <c r="E59" i="620"/>
  <c r="E95" i="620"/>
  <c r="E85" i="620"/>
  <c r="E84" i="620"/>
  <c r="E92" i="620"/>
  <c r="E54" i="620"/>
  <c r="E76" i="620"/>
  <c r="E88" i="620"/>
  <c r="E97" i="620"/>
  <c r="W41" i="619" l="1"/>
  <c r="K2" i="620" s="1"/>
  <c r="V34" i="619"/>
  <c r="V35" i="619" s="1"/>
  <c r="T121" i="619"/>
  <c r="N59" i="606"/>
  <c r="N58" i="606"/>
  <c r="K3" i="620" l="1"/>
  <c r="V36" i="619"/>
  <c r="K17" i="620" l="1"/>
  <c r="K20" i="620"/>
  <c r="K25" i="620"/>
  <c r="K16" i="620"/>
  <c r="K21" i="620"/>
  <c r="K26" i="620"/>
  <c r="K22" i="620"/>
  <c r="K23" i="620"/>
  <c r="K18" i="620"/>
  <c r="K15" i="620"/>
  <c r="K19" i="620"/>
  <c r="K24" i="620"/>
  <c r="R27" i="620"/>
  <c r="R21" i="620"/>
  <c r="R13" i="620"/>
  <c r="F25" i="620"/>
  <c r="F17" i="620"/>
  <c r="G17" i="620" s="1"/>
  <c r="F16" i="620"/>
  <c r="G16" i="620" s="1"/>
  <c r="J37" i="620"/>
  <c r="I37" i="620"/>
  <c r="I83" i="620"/>
  <c r="J70" i="620"/>
  <c r="I46" i="620"/>
  <c r="I68" i="620"/>
  <c r="I93" i="620"/>
  <c r="I48" i="620"/>
  <c r="I94" i="620"/>
  <c r="J55" i="620"/>
  <c r="I89" i="620"/>
  <c r="I39" i="620"/>
  <c r="I38" i="620"/>
  <c r="J51" i="620"/>
  <c r="J73" i="620"/>
  <c r="J42" i="620"/>
  <c r="J61" i="620"/>
  <c r="J88" i="620"/>
  <c r="I73" i="620"/>
  <c r="I95" i="620"/>
  <c r="I65" i="620"/>
  <c r="I41" i="620"/>
  <c r="I63" i="620"/>
  <c r="I62" i="620"/>
  <c r="I50" i="620"/>
  <c r="J47" i="620"/>
  <c r="J93" i="620"/>
  <c r="J57" i="620"/>
  <c r="J78" i="620"/>
  <c r="J79" i="620"/>
  <c r="J50" i="620"/>
  <c r="J46" i="620"/>
  <c r="J87" i="620"/>
  <c r="J82" i="620"/>
  <c r="J49" i="620"/>
  <c r="I57" i="620"/>
  <c r="J92" i="620"/>
  <c r="J97" i="620"/>
  <c r="I78" i="620"/>
  <c r="I56" i="620"/>
  <c r="J95" i="620"/>
  <c r="I47" i="620"/>
  <c r="J89" i="620"/>
  <c r="I76" i="620"/>
  <c r="I79" i="620"/>
  <c r="I96" i="620"/>
  <c r="I97" i="620"/>
  <c r="I91" i="620"/>
  <c r="I51" i="620"/>
  <c r="I84" i="620"/>
  <c r="J83" i="620"/>
  <c r="J59" i="620"/>
  <c r="I42" i="620"/>
  <c r="J38" i="620"/>
  <c r="J81" i="620"/>
  <c r="I82" i="620"/>
  <c r="I70" i="620"/>
  <c r="J60" i="620"/>
  <c r="I75" i="620"/>
  <c r="J77" i="620"/>
  <c r="J65" i="620"/>
  <c r="I80" i="620"/>
  <c r="I71" i="620"/>
  <c r="J39" i="620"/>
  <c r="J90" i="620"/>
  <c r="J40" i="620"/>
  <c r="I49" i="620"/>
  <c r="I66" i="620"/>
  <c r="J52" i="620"/>
  <c r="I90" i="620"/>
  <c r="J58" i="620"/>
  <c r="J96" i="620"/>
  <c r="J71" i="620"/>
  <c r="J48" i="620"/>
  <c r="I60" i="620"/>
  <c r="J85" i="620"/>
  <c r="I40" i="620"/>
  <c r="J86" i="620"/>
  <c r="I69" i="620"/>
  <c r="I74" i="620"/>
  <c r="I92" i="620"/>
  <c r="J66" i="620"/>
  <c r="I88" i="620"/>
  <c r="I77" i="620"/>
  <c r="I44" i="620"/>
  <c r="J67" i="620"/>
  <c r="I72" i="620"/>
  <c r="J43" i="620"/>
  <c r="I87" i="620"/>
  <c r="I54" i="620"/>
  <c r="I61" i="620"/>
  <c r="J80" i="620"/>
  <c r="J63" i="620"/>
  <c r="J91" i="620"/>
  <c r="J94" i="620"/>
  <c r="J69" i="620"/>
  <c r="J45" i="620"/>
  <c r="J56" i="620"/>
  <c r="I64" i="620"/>
  <c r="J68" i="620"/>
  <c r="J75" i="620"/>
  <c r="J62" i="620"/>
  <c r="I67" i="620"/>
  <c r="J76" i="620"/>
  <c r="I53" i="620"/>
  <c r="I98" i="620"/>
  <c r="J64" i="620"/>
  <c r="I81" i="620"/>
  <c r="I45" i="620"/>
  <c r="I58" i="620"/>
  <c r="J54" i="620"/>
  <c r="J44" i="620"/>
  <c r="I85" i="620"/>
  <c r="J41" i="620"/>
  <c r="I55" i="620"/>
  <c r="I52" i="620"/>
  <c r="J53" i="620"/>
  <c r="J84" i="620"/>
  <c r="I59" i="620"/>
  <c r="I43" i="620"/>
  <c r="J98" i="620"/>
  <c r="J72" i="620"/>
  <c r="I86" i="620"/>
  <c r="J74" i="620"/>
  <c r="I16" i="620"/>
  <c r="I25" i="620"/>
  <c r="T110" i="620"/>
  <c r="T115" i="620"/>
  <c r="I17" i="620"/>
  <c r="F18" i="620"/>
  <c r="F12" i="620"/>
  <c r="F27" i="620"/>
  <c r="F22" i="620"/>
  <c r="I27" i="620"/>
  <c r="I12" i="620"/>
  <c r="I18" i="620"/>
  <c r="F19" i="620"/>
  <c r="I19" i="620"/>
  <c r="F13" i="620"/>
  <c r="F21" i="620"/>
  <c r="F11" i="620"/>
  <c r="I15" i="620"/>
  <c r="I24" i="620"/>
  <c r="F24" i="620"/>
  <c r="I21" i="620"/>
  <c r="I13" i="620"/>
  <c r="F14" i="620"/>
  <c r="F26" i="620"/>
  <c r="I22" i="620"/>
  <c r="I23" i="620"/>
  <c r="F20" i="620"/>
  <c r="F15" i="620"/>
  <c r="F23" i="620"/>
  <c r="I20" i="620"/>
  <c r="I14" i="620"/>
  <c r="I26" i="620"/>
  <c r="I11" i="620"/>
  <c r="F29" i="620"/>
  <c r="F28" i="620"/>
  <c r="G28" i="620" s="1"/>
  <c r="R55" i="620"/>
  <c r="R75" i="620"/>
  <c r="R49" i="620"/>
  <c r="R41" i="620"/>
  <c r="R79" i="620"/>
  <c r="F97" i="620" a="1"/>
  <c r="F97" i="620" s="1"/>
  <c r="G97" i="620" s="1"/>
  <c r="F65" i="620" a="1"/>
  <c r="F65" i="620" s="1"/>
  <c r="G65" i="620" s="1"/>
  <c r="F78" i="620" a="1"/>
  <c r="F78" i="620" s="1"/>
  <c r="G78" i="620" s="1"/>
  <c r="F92" i="620" a="1"/>
  <c r="F92" i="620" s="1"/>
  <c r="G92" i="620" s="1"/>
  <c r="F91" i="620" a="1"/>
  <c r="F91" i="620" s="1"/>
  <c r="G91" i="620" s="1"/>
  <c r="F41" i="620" a="1"/>
  <c r="F41" i="620" s="1"/>
  <c r="G41" i="620" s="1"/>
  <c r="K49" i="620"/>
  <c r="K84" i="620"/>
  <c r="K44" i="620"/>
  <c r="K92" i="620"/>
  <c r="K52" i="620"/>
  <c r="K38" i="620"/>
  <c r="K46" i="620"/>
  <c r="L48" i="620"/>
  <c r="L103" i="620"/>
  <c r="K37" i="620"/>
  <c r="I102" i="620"/>
  <c r="L79" i="620"/>
  <c r="L82" i="620"/>
  <c r="L46" i="620"/>
  <c r="L90" i="620"/>
  <c r="L85" i="620"/>
  <c r="L45" i="620"/>
  <c r="R97" i="620"/>
  <c r="F107" i="620"/>
  <c r="L74" i="620"/>
  <c r="R46" i="620"/>
  <c r="R66" i="620"/>
  <c r="R71" i="620"/>
  <c r="R91" i="620"/>
  <c r="R81" i="620"/>
  <c r="R89" i="620"/>
  <c r="R95" i="620"/>
  <c r="K12" i="620"/>
  <c r="F93" i="620" a="1"/>
  <c r="F93" i="620" s="1"/>
  <c r="G93" i="620" s="1"/>
  <c r="F81" i="620" a="1"/>
  <c r="F81" i="620" s="1"/>
  <c r="G81" i="620" s="1"/>
  <c r="F96" i="620" a="1"/>
  <c r="F96" i="620" s="1"/>
  <c r="G96" i="620" s="1"/>
  <c r="F85" i="620" a="1"/>
  <c r="F85" i="620" s="1"/>
  <c r="G85" i="620" s="1"/>
  <c r="F95" i="620" a="1"/>
  <c r="F95" i="620" s="1"/>
  <c r="G95" i="620" s="1"/>
  <c r="F86" i="620" a="1"/>
  <c r="F86" i="620" s="1"/>
  <c r="G86" i="620" s="1"/>
  <c r="I113" i="620"/>
  <c r="K67" i="620"/>
  <c r="K89" i="620"/>
  <c r="K54" i="620"/>
  <c r="K57" i="620"/>
  <c r="K82" i="620"/>
  <c r="K42" i="620"/>
  <c r="K98" i="620"/>
  <c r="K73" i="620"/>
  <c r="L43" i="620"/>
  <c r="L62" i="620"/>
  <c r="I107" i="620"/>
  <c r="L71" i="620"/>
  <c r="L51" i="620"/>
  <c r="L38" i="620"/>
  <c r="L58" i="620"/>
  <c r="F64" i="620" a="1"/>
  <c r="F64" i="620" s="1"/>
  <c r="G64" i="620" s="1"/>
  <c r="K53" i="620"/>
  <c r="K103" i="620"/>
  <c r="K79" i="620"/>
  <c r="L39" i="620"/>
  <c r="L80" i="620"/>
  <c r="J24" i="620"/>
  <c r="F84" i="620" a="1"/>
  <c r="F84" i="620" s="1"/>
  <c r="G84" i="620" s="1"/>
  <c r="F102" i="620"/>
  <c r="R87" i="620"/>
  <c r="R60" i="620"/>
  <c r="R50" i="620"/>
  <c r="R58" i="620"/>
  <c r="R48" i="620"/>
  <c r="K14" i="620"/>
  <c r="J22" i="620"/>
  <c r="F40" i="620" a="1"/>
  <c r="F40" i="620" s="1"/>
  <c r="G40" i="620" s="1"/>
  <c r="F73" i="620" a="1"/>
  <c r="F73" i="620" s="1"/>
  <c r="G73" i="620" s="1"/>
  <c r="F46" i="620" a="1"/>
  <c r="F46" i="620" s="1"/>
  <c r="G46" i="620" s="1"/>
  <c r="F94" i="620" a="1"/>
  <c r="F94" i="620" s="1"/>
  <c r="G94" i="620" s="1"/>
  <c r="F63" i="620" a="1"/>
  <c r="F63" i="620" s="1"/>
  <c r="G63" i="620" s="1"/>
  <c r="F39" i="620" a="1"/>
  <c r="F39" i="620" s="1"/>
  <c r="G39" i="620" s="1"/>
  <c r="L108" i="620"/>
  <c r="K45" i="620"/>
  <c r="K95" i="620"/>
  <c r="K91" i="620"/>
  <c r="K77" i="620"/>
  <c r="K60" i="620"/>
  <c r="L64" i="620"/>
  <c r="L73" i="620"/>
  <c r="L95" i="620"/>
  <c r="L40" i="620"/>
  <c r="J15" i="620"/>
  <c r="F80" i="620" a="1"/>
  <c r="F80" i="620" s="1"/>
  <c r="G80" i="620" s="1"/>
  <c r="F53" i="620" a="1"/>
  <c r="F53" i="620" s="1"/>
  <c r="G53" i="620" s="1"/>
  <c r="J113" i="620"/>
  <c r="K56" i="620"/>
  <c r="K70" i="620"/>
  <c r="L75" i="620"/>
  <c r="L112" i="620"/>
  <c r="R83" i="620"/>
  <c r="J18" i="620"/>
  <c r="F60" i="620" a="1"/>
  <c r="F60" i="620" s="1"/>
  <c r="G60" i="620" s="1"/>
  <c r="K113" i="620"/>
  <c r="R40" i="620"/>
  <c r="R76" i="620"/>
  <c r="R82" i="620"/>
  <c r="R90" i="620"/>
  <c r="R65" i="620"/>
  <c r="J23" i="620"/>
  <c r="F112" i="620"/>
  <c r="F38" i="620" a="1"/>
  <c r="F38" i="620" s="1"/>
  <c r="G38" i="620" s="1"/>
  <c r="F37" i="620" a="1"/>
  <c r="F37" i="620" s="1"/>
  <c r="F54" i="620" a="1"/>
  <c r="F54" i="620" s="1"/>
  <c r="G54" i="620" s="1"/>
  <c r="F45" i="620" a="1"/>
  <c r="F45" i="620" s="1"/>
  <c r="G45" i="620" s="1"/>
  <c r="F103" i="620"/>
  <c r="G103" i="620" s="1"/>
  <c r="I108" i="620"/>
  <c r="K93" i="620"/>
  <c r="K39" i="620"/>
  <c r="K86" i="620"/>
  <c r="K80" i="620"/>
  <c r="L49" i="620"/>
  <c r="L50" i="620"/>
  <c r="L70" i="620"/>
  <c r="L94" i="620"/>
  <c r="J107" i="620"/>
  <c r="L107" i="620"/>
  <c r="T104" i="620"/>
  <c r="R56" i="620"/>
  <c r="R61" i="620"/>
  <c r="R98" i="620"/>
  <c r="R59" i="620"/>
  <c r="K11" i="620"/>
  <c r="F72" i="620" a="1"/>
  <c r="F72" i="620" s="1"/>
  <c r="G72" i="620" s="1"/>
  <c r="F87" i="620" a="1"/>
  <c r="F87" i="620" s="1"/>
  <c r="G87" i="620" s="1"/>
  <c r="K41" i="620"/>
  <c r="L72" i="620"/>
  <c r="L54" i="620"/>
  <c r="R72" i="620"/>
  <c r="R44" i="620"/>
  <c r="J12" i="620"/>
  <c r="J14" i="620"/>
  <c r="F56" i="620" a="1"/>
  <c r="F56" i="620" s="1"/>
  <c r="G56" i="620" s="1"/>
  <c r="F44" i="620" a="1"/>
  <c r="F44" i="620" s="1"/>
  <c r="G44" i="620" s="1"/>
  <c r="K94" i="620"/>
  <c r="K87" i="620"/>
  <c r="R42" i="620"/>
  <c r="R54" i="620"/>
  <c r="R68" i="620"/>
  <c r="J20" i="620"/>
  <c r="F108" i="620"/>
  <c r="G108" i="620" s="1"/>
  <c r="F83" i="620" a="1"/>
  <c r="F83" i="620" s="1"/>
  <c r="G83" i="620" s="1"/>
  <c r="F89" i="620" a="1"/>
  <c r="F89" i="620" s="1"/>
  <c r="G89" i="620" s="1"/>
  <c r="K88" i="620"/>
  <c r="K51" i="620"/>
  <c r="K90" i="620"/>
  <c r="K69" i="620"/>
  <c r="K81" i="620"/>
  <c r="L87" i="620"/>
  <c r="L88" i="620"/>
  <c r="L61" i="620"/>
  <c r="L102" i="620"/>
  <c r="K27" i="620"/>
  <c r="F113" i="620"/>
  <c r="G113" i="620" s="1"/>
  <c r="F57" i="620" a="1"/>
  <c r="F57" i="620" s="1"/>
  <c r="G57" i="620" s="1"/>
  <c r="K108" i="620"/>
  <c r="K50" i="620"/>
  <c r="K61" i="620"/>
  <c r="I103" i="620"/>
  <c r="L81" i="620"/>
  <c r="L66" i="620"/>
  <c r="R93" i="620"/>
  <c r="F66" i="620" a="1"/>
  <c r="F66" i="620" s="1"/>
  <c r="G66" i="620" s="1"/>
  <c r="R80" i="620"/>
  <c r="L63" i="620"/>
  <c r="R96" i="620"/>
  <c r="K83" i="620"/>
  <c r="J11" i="620"/>
  <c r="L77" i="620"/>
  <c r="L97" i="620"/>
  <c r="L37" i="620"/>
  <c r="R74" i="620"/>
  <c r="R70" i="620"/>
  <c r="F68" i="620" a="1"/>
  <c r="F68" i="620" s="1"/>
  <c r="G68" i="620" s="1"/>
  <c r="K62" i="620"/>
  <c r="K85" i="620"/>
  <c r="K74" i="620"/>
  <c r="L42" i="620"/>
  <c r="L89" i="620"/>
  <c r="F61" i="620" a="1"/>
  <c r="F61" i="620" s="1"/>
  <c r="G61" i="620" s="1"/>
  <c r="R85" i="620"/>
  <c r="J17" i="620"/>
  <c r="K48" i="620"/>
  <c r="L65" i="620"/>
  <c r="R47" i="620"/>
  <c r="J21" i="620"/>
  <c r="F58" i="620" a="1"/>
  <c r="F58" i="620" s="1"/>
  <c r="G58" i="620" s="1"/>
  <c r="L44" i="620"/>
  <c r="F70" i="620" a="1"/>
  <c r="F70" i="620" s="1"/>
  <c r="G70" i="620" s="1"/>
  <c r="K72" i="620"/>
  <c r="L93" i="620"/>
  <c r="R67" i="620"/>
  <c r="F52" i="620" a="1"/>
  <c r="F52" i="620" s="1"/>
  <c r="G52" i="620" s="1"/>
  <c r="J108" i="620"/>
  <c r="R73" i="620"/>
  <c r="J16" i="620"/>
  <c r="K43" i="620"/>
  <c r="K68" i="620"/>
  <c r="R43" i="620"/>
  <c r="R86" i="620"/>
  <c r="F71" i="620" a="1"/>
  <c r="F71" i="620" s="1"/>
  <c r="G71" i="620" s="1"/>
  <c r="F69" i="620" a="1"/>
  <c r="F69" i="620" s="1"/>
  <c r="G69" i="620" s="1"/>
  <c r="F42" i="620" a="1"/>
  <c r="F42" i="620" s="1"/>
  <c r="G42" i="620" s="1"/>
  <c r="K58" i="620"/>
  <c r="K76" i="620"/>
  <c r="K96" i="620"/>
  <c r="L67" i="620"/>
  <c r="K102" i="620"/>
  <c r="L86" i="620"/>
  <c r="J112" i="620"/>
  <c r="L56" i="620"/>
  <c r="H9" i="605"/>
  <c r="P9" i="605" s="1"/>
  <c r="X9" i="605" s="1"/>
  <c r="J102" i="620"/>
  <c r="L68" i="620"/>
  <c r="R63" i="620"/>
  <c r="L76" i="620"/>
  <c r="R69" i="620"/>
  <c r="K75" i="620"/>
  <c r="L59" i="620"/>
  <c r="F62" i="620" a="1"/>
  <c r="F62" i="620" s="1"/>
  <c r="G62" i="620" s="1"/>
  <c r="K64" i="620"/>
  <c r="K107" i="620"/>
  <c r="F50" i="620" a="1"/>
  <c r="F50" i="620" s="1"/>
  <c r="G50" i="620" s="1"/>
  <c r="L53" i="620"/>
  <c r="R88" i="620"/>
  <c r="R51" i="620"/>
  <c r="J13" i="620"/>
  <c r="L98" i="620"/>
  <c r="R84" i="620"/>
  <c r="L69" i="620"/>
  <c r="R38" i="620"/>
  <c r="F55" i="620" a="1"/>
  <c r="F55" i="620" s="1"/>
  <c r="G55" i="620" s="1"/>
  <c r="R62" i="620"/>
  <c r="R92" i="620"/>
  <c r="K13" i="620"/>
  <c r="F67" i="620" a="1"/>
  <c r="F67" i="620" s="1"/>
  <c r="G67" i="620" s="1"/>
  <c r="F74" i="620" a="1"/>
  <c r="F74" i="620" s="1"/>
  <c r="G74" i="620" s="1"/>
  <c r="F48" i="620" a="1"/>
  <c r="F48" i="620" s="1"/>
  <c r="G48" i="620" s="1"/>
  <c r="K40" i="620"/>
  <c r="J103" i="620"/>
  <c r="K65" i="620"/>
  <c r="K55" i="620"/>
  <c r="L84" i="620"/>
  <c r="F47" i="620" a="1"/>
  <c r="F47" i="620" s="1"/>
  <c r="G47" i="620" s="1"/>
  <c r="L113" i="620"/>
  <c r="R53" i="620"/>
  <c r="R77" i="620"/>
  <c r="J19" i="620"/>
  <c r="F90" i="620" a="1"/>
  <c r="F90" i="620" s="1"/>
  <c r="G90" i="620" s="1"/>
  <c r="F59" i="620" a="1"/>
  <c r="F59" i="620" s="1"/>
  <c r="G59" i="620" s="1"/>
  <c r="K71" i="620"/>
  <c r="L57" i="620"/>
  <c r="K112" i="620"/>
  <c r="F75" i="620" a="1"/>
  <c r="F75" i="620" s="1"/>
  <c r="G75" i="620" s="1"/>
  <c r="K78" i="620"/>
  <c r="L92" i="620"/>
  <c r="R78" i="620"/>
  <c r="F88" i="620" a="1"/>
  <c r="F88" i="620" s="1"/>
  <c r="G88" i="620" s="1"/>
  <c r="K66" i="620"/>
  <c r="L47" i="620"/>
  <c r="R39" i="620"/>
  <c r="F49" i="620" a="1"/>
  <c r="F49" i="620" s="1"/>
  <c r="G49" i="620" s="1"/>
  <c r="K97" i="620"/>
  <c r="K59" i="620"/>
  <c r="L52" i="620"/>
  <c r="R52" i="620"/>
  <c r="F43" i="620" a="1"/>
  <c r="F43" i="620" s="1"/>
  <c r="G43" i="620" s="1"/>
  <c r="L83" i="620"/>
  <c r="R57" i="620"/>
  <c r="L41" i="620"/>
  <c r="L91" i="620"/>
  <c r="R37" i="620"/>
  <c r="J26" i="620"/>
  <c r="F79" i="620" a="1"/>
  <c r="F79" i="620" s="1"/>
  <c r="G79" i="620" s="1"/>
  <c r="L55" i="620"/>
  <c r="R94" i="620"/>
  <c r="R45" i="620"/>
  <c r="J27" i="620"/>
  <c r="F77" i="620" a="1"/>
  <c r="F77" i="620" s="1"/>
  <c r="G77" i="620" s="1"/>
  <c r="F51" i="620" a="1"/>
  <c r="F51" i="620" s="1"/>
  <c r="G51" i="620" s="1"/>
  <c r="L96" i="620"/>
  <c r="L78" i="620"/>
  <c r="J25" i="620"/>
  <c r="F82" i="620" a="1"/>
  <c r="F82" i="620" s="1"/>
  <c r="G82" i="620" s="1"/>
  <c r="R64" i="620"/>
  <c r="K63" i="620"/>
  <c r="I112" i="620"/>
  <c r="F76" i="620" a="1"/>
  <c r="F76" i="620" s="1"/>
  <c r="G76" i="620" s="1"/>
  <c r="K47" i="620"/>
  <c r="L60" i="620"/>
  <c r="F98" i="620" a="1"/>
  <c r="F98" i="620" s="1"/>
  <c r="G98" i="620" s="1"/>
  <c r="R16" i="620" l="1"/>
  <c r="R20" i="620"/>
  <c r="R23" i="620"/>
  <c r="R24" i="620"/>
  <c r="R11" i="620"/>
  <c r="R18" i="620"/>
  <c r="R17" i="620"/>
  <c r="R26" i="620"/>
  <c r="R14" i="620"/>
  <c r="R15" i="620"/>
  <c r="R22" i="620"/>
  <c r="R25" i="620"/>
  <c r="R19" i="620"/>
  <c r="R12" i="620"/>
  <c r="L26" i="620"/>
  <c r="L24" i="620"/>
  <c r="L15" i="620"/>
  <c r="L25" i="620"/>
  <c r="L23" i="620"/>
  <c r="L27" i="620"/>
  <c r="L16" i="620"/>
  <c r="J99" i="620"/>
  <c r="L20" i="620"/>
  <c r="L22" i="620"/>
  <c r="L13" i="620"/>
  <c r="L14" i="620"/>
  <c r="L19" i="620"/>
  <c r="L18" i="620"/>
  <c r="L21" i="620"/>
  <c r="I99" i="620"/>
  <c r="L11" i="620"/>
  <c r="L12" i="620"/>
  <c r="L17" i="620"/>
  <c r="K114" i="620"/>
  <c r="K31" i="620" s="1"/>
  <c r="K115" i="620" s="1"/>
  <c r="T105" i="620"/>
  <c r="V57" i="620"/>
  <c r="X57" i="620" s="1"/>
  <c r="V38" i="620"/>
  <c r="X38" i="620" s="1"/>
  <c r="V53" i="620"/>
  <c r="X53" i="620" s="1"/>
  <c r="V47" i="620"/>
  <c r="X47" i="620" s="1"/>
  <c r="V80" i="620"/>
  <c r="X80" i="620" s="1"/>
  <c r="V45" i="620"/>
  <c r="X45" i="620" s="1"/>
  <c r="V72" i="620"/>
  <c r="X72" i="620" s="1"/>
  <c r="V40" i="620"/>
  <c r="X40" i="620" s="1"/>
  <c r="I114" i="620"/>
  <c r="I31" i="620" s="1"/>
  <c r="V48" i="620"/>
  <c r="X48" i="620" s="1"/>
  <c r="J114" i="620"/>
  <c r="J31" i="620" s="1"/>
  <c r="J115" i="620" s="1"/>
  <c r="V108" i="620"/>
  <c r="X108" i="620" s="1"/>
  <c r="V79" i="620"/>
  <c r="X79" i="620" s="1"/>
  <c r="V86" i="620"/>
  <c r="X86" i="620" s="1"/>
  <c r="V91" i="620"/>
  <c r="X91" i="620" s="1"/>
  <c r="V66" i="620"/>
  <c r="X66" i="620" s="1"/>
  <c r="V92" i="620"/>
  <c r="X92" i="620" s="1"/>
  <c r="V51" i="620"/>
  <c r="X51" i="620" s="1"/>
  <c r="V43" i="620"/>
  <c r="X43" i="620" s="1"/>
  <c r="V46" i="620"/>
  <c r="X46" i="620" s="1"/>
  <c r="V41" i="620"/>
  <c r="X41" i="620" s="1"/>
  <c r="V77" i="620"/>
  <c r="X77" i="620" s="1"/>
  <c r="V75" i="620"/>
  <c r="X75" i="620" s="1"/>
  <c r="V63" i="620"/>
  <c r="X63" i="620" s="1"/>
  <c r="V113" i="620"/>
  <c r="X113" i="620" s="1"/>
  <c r="V98" i="620"/>
  <c r="X98" i="620" s="1"/>
  <c r="F99" i="620"/>
  <c r="G37" i="620"/>
  <c r="V50" i="620"/>
  <c r="X50" i="620" s="1"/>
  <c r="K99" i="620"/>
  <c r="G18" i="620"/>
  <c r="P32" i="620"/>
  <c r="V49" i="620"/>
  <c r="X49" i="620" s="1"/>
  <c r="K104" i="620"/>
  <c r="K29" i="620" s="1"/>
  <c r="K105" i="620" s="1"/>
  <c r="V89" i="620"/>
  <c r="X89" i="620" s="1"/>
  <c r="G25" i="620"/>
  <c r="G19" i="620"/>
  <c r="V55" i="620"/>
  <c r="X55" i="620" s="1"/>
  <c r="V59" i="620"/>
  <c r="X59" i="620" s="1"/>
  <c r="I104" i="620"/>
  <c r="G13" i="620"/>
  <c r="Q32" i="620"/>
  <c r="H38" i="621" s="1"/>
  <c r="I38" i="621" s="1"/>
  <c r="L38" i="621" s="1"/>
  <c r="V93" i="620"/>
  <c r="X93" i="620" s="1"/>
  <c r="V68" i="620"/>
  <c r="X68" i="620" s="1"/>
  <c r="V61" i="620"/>
  <c r="X61" i="620" s="1"/>
  <c r="V65" i="620"/>
  <c r="X65" i="620" s="1"/>
  <c r="V60" i="620"/>
  <c r="X60" i="620" s="1"/>
  <c r="G107" i="620"/>
  <c r="G109" i="620" s="1"/>
  <c r="F109" i="620"/>
  <c r="V103" i="620"/>
  <c r="X103" i="620" s="1"/>
  <c r="G26" i="620"/>
  <c r="G11" i="620"/>
  <c r="V95" i="620"/>
  <c r="X95" i="620" s="1"/>
  <c r="V39" i="620"/>
  <c r="X39" i="620" s="1"/>
  <c r="V64" i="620"/>
  <c r="X64" i="620" s="1"/>
  <c r="V52" i="620"/>
  <c r="X52" i="620" s="1"/>
  <c r="V73" i="620"/>
  <c r="X73" i="620" s="1"/>
  <c r="V85" i="620"/>
  <c r="X85" i="620" s="1"/>
  <c r="L104" i="620"/>
  <c r="V102" i="620"/>
  <c r="V54" i="620"/>
  <c r="X54" i="620" s="1"/>
  <c r="G15" i="620"/>
  <c r="V56" i="620"/>
  <c r="X56" i="620" s="1"/>
  <c r="G112" i="620"/>
  <c r="G114" i="620" s="1"/>
  <c r="F114" i="620"/>
  <c r="V90" i="620"/>
  <c r="X90" i="620" s="1"/>
  <c r="G23" i="620"/>
  <c r="V87" i="620"/>
  <c r="X87" i="620" s="1"/>
  <c r="I109" i="620"/>
  <c r="J109" i="620"/>
  <c r="J30" i="620" s="1"/>
  <c r="J110" i="620" s="1"/>
  <c r="V94" i="620"/>
  <c r="X94" i="620" s="1"/>
  <c r="R99" i="620"/>
  <c r="N28" i="620"/>
  <c r="V67" i="620"/>
  <c r="X67" i="620" s="1"/>
  <c r="G27" i="620"/>
  <c r="V88" i="620"/>
  <c r="X88" i="620" s="1"/>
  <c r="J104" i="620"/>
  <c r="J29" i="620" s="1"/>
  <c r="J105" i="620" s="1"/>
  <c r="V58" i="620"/>
  <c r="X58" i="620" s="1"/>
  <c r="O32" i="620"/>
  <c r="V84" i="620"/>
  <c r="X84" i="620" s="1"/>
  <c r="V69" i="620"/>
  <c r="X69" i="620" s="1"/>
  <c r="V37" i="620"/>
  <c r="X37" i="620" s="1"/>
  <c r="V78" i="620"/>
  <c r="X78" i="620" s="1"/>
  <c r="K109" i="620"/>
  <c r="T99" i="620"/>
  <c r="V96" i="620"/>
  <c r="X96" i="620" s="1"/>
  <c r="V42" i="620"/>
  <c r="X42" i="620" s="1"/>
  <c r="V82" i="620"/>
  <c r="X82" i="620" s="1"/>
  <c r="V83" i="620"/>
  <c r="X83" i="620" s="1"/>
  <c r="G24" i="620"/>
  <c r="G12" i="620"/>
  <c r="V70" i="620"/>
  <c r="X70" i="620" s="1"/>
  <c r="G20" i="620"/>
  <c r="F104" i="620"/>
  <c r="G102" i="620"/>
  <c r="G104" i="620" s="1"/>
  <c r="V74" i="620"/>
  <c r="X74" i="620" s="1"/>
  <c r="V81" i="620"/>
  <c r="X81" i="620" s="1"/>
  <c r="G22" i="620"/>
  <c r="V71" i="620"/>
  <c r="X71" i="620" s="1"/>
  <c r="V62" i="620"/>
  <c r="X62" i="620" s="1"/>
  <c r="G21" i="620"/>
  <c r="G14" i="620"/>
  <c r="V44" i="620"/>
  <c r="X44" i="620" s="1"/>
  <c r="L109" i="620"/>
  <c r="V107" i="620"/>
  <c r="V76" i="620"/>
  <c r="X76" i="620" s="1"/>
  <c r="V112" i="620"/>
  <c r="L114" i="620"/>
  <c r="V97" i="620"/>
  <c r="X97" i="620" s="1"/>
  <c r="V11" i="620" l="1"/>
  <c r="N7" i="621" s="1"/>
  <c r="Q7" i="621" s="1"/>
  <c r="R7" i="621" s="1"/>
  <c r="R28" i="620"/>
  <c r="N32" i="620"/>
  <c r="R32" i="620" s="1"/>
  <c r="O11" i="333" s="1"/>
  <c r="L99" i="620"/>
  <c r="V99" i="620" s="1"/>
  <c r="I28" i="620"/>
  <c r="I100" i="620" s="1"/>
  <c r="V14" i="620"/>
  <c r="V25" i="620"/>
  <c r="V26" i="620"/>
  <c r="V27" i="620"/>
  <c r="L31" i="620"/>
  <c r="L115" i="620" s="1"/>
  <c r="V22" i="620"/>
  <c r="N18" i="621" s="1"/>
  <c r="Q18" i="621" s="1"/>
  <c r="V18" i="620"/>
  <c r="V20" i="620"/>
  <c r="N16" i="621" s="1"/>
  <c r="Q16" i="621" s="1"/>
  <c r="V12" i="620"/>
  <c r="I115" i="620"/>
  <c r="V21" i="620"/>
  <c r="V17" i="620"/>
  <c r="N13" i="621" s="1"/>
  <c r="Q13" i="621" s="1"/>
  <c r="V23" i="620"/>
  <c r="V24" i="620"/>
  <c r="V15" i="620"/>
  <c r="V19" i="620"/>
  <c r="N15" i="621" s="1"/>
  <c r="Q15" i="621" s="1"/>
  <c r="V16" i="620"/>
  <c r="V13" i="620"/>
  <c r="K28" i="620"/>
  <c r="K100" i="620" s="1"/>
  <c r="F105" i="620"/>
  <c r="I29" i="620"/>
  <c r="J28" i="620"/>
  <c r="J32" i="620" s="1"/>
  <c r="O20" i="333" s="1"/>
  <c r="I30" i="620"/>
  <c r="X102" i="620"/>
  <c r="V104" i="620"/>
  <c r="F100" i="620"/>
  <c r="N100" i="620"/>
  <c r="K30" i="620"/>
  <c r="K110" i="620" s="1"/>
  <c r="X107" i="620"/>
  <c r="V109" i="620"/>
  <c r="F30" i="620"/>
  <c r="F110" i="620" s="1"/>
  <c r="G5" i="625"/>
  <c r="H33" i="621"/>
  <c r="I33" i="621" s="1"/>
  <c r="L33" i="621" s="1"/>
  <c r="L133" i="622"/>
  <c r="O133" i="622" s="1"/>
  <c r="F31" i="620"/>
  <c r="F115" i="620" s="1"/>
  <c r="R100" i="620"/>
  <c r="X112" i="620"/>
  <c r="V114" i="620"/>
  <c r="T32" i="620"/>
  <c r="O13" i="333" s="1"/>
  <c r="N13" i="333" l="1"/>
  <c r="N17" i="333" s="1"/>
  <c r="O7" i="621"/>
  <c r="O15" i="621"/>
  <c r="R15" i="621"/>
  <c r="T15" i="621" s="1"/>
  <c r="R18" i="621"/>
  <c r="S18" i="621" s="1"/>
  <c r="W18" i="621" s="1"/>
  <c r="O18" i="621"/>
  <c r="X15" i="620"/>
  <c r="N11" i="621"/>
  <c r="Q11" i="621" s="1"/>
  <c r="AA24" i="620"/>
  <c r="N20" i="621"/>
  <c r="Q20" i="621" s="1"/>
  <c r="AC27" i="620"/>
  <c r="N23" i="621"/>
  <c r="Q23" i="621" s="1"/>
  <c r="X23" i="620"/>
  <c r="N19" i="621"/>
  <c r="Q19" i="621" s="1"/>
  <c r="AC26" i="620"/>
  <c r="N22" i="621"/>
  <c r="Q22" i="621" s="1"/>
  <c r="O13" i="621"/>
  <c r="R13" i="621"/>
  <c r="S13" i="621" s="1"/>
  <c r="W13" i="621" s="1"/>
  <c r="AC25" i="620"/>
  <c r="N21" i="621"/>
  <c r="Q21" i="621" s="1"/>
  <c r="X21" i="620"/>
  <c r="N17" i="621"/>
  <c r="Q17" i="621" s="1"/>
  <c r="X14" i="620"/>
  <c r="N10" i="621"/>
  <c r="Q10" i="621" s="1"/>
  <c r="AC12" i="620"/>
  <c r="N8" i="621"/>
  <c r="Q8" i="621" s="1"/>
  <c r="X13" i="620"/>
  <c r="N9" i="621"/>
  <c r="Q9" i="621" s="1"/>
  <c r="R16" i="621"/>
  <c r="S16" i="621" s="1"/>
  <c r="W16" i="621" s="1"/>
  <c r="O16" i="621"/>
  <c r="AC16" i="620"/>
  <c r="N12" i="621"/>
  <c r="Q12" i="621" s="1"/>
  <c r="AC18" i="620"/>
  <c r="N14" i="621"/>
  <c r="Q14" i="621" s="1"/>
  <c r="S7" i="621"/>
  <c r="L28" i="620"/>
  <c r="X26" i="620"/>
  <c r="AA26" i="620"/>
  <c r="AC14" i="620"/>
  <c r="AA14" i="620"/>
  <c r="AA27" i="620"/>
  <c r="AA12" i="620"/>
  <c r="X12" i="620"/>
  <c r="AA25" i="620"/>
  <c r="AC22" i="620"/>
  <c r="X22" i="620"/>
  <c r="X27" i="620"/>
  <c r="AA22" i="620"/>
  <c r="X25" i="620"/>
  <c r="L29" i="620"/>
  <c r="L105" i="620" s="1"/>
  <c r="AA20" i="620"/>
  <c r="I110" i="620"/>
  <c r="L30" i="620"/>
  <c r="L110" i="620" s="1"/>
  <c r="X20" i="620"/>
  <c r="AC21" i="620"/>
  <c r="AA21" i="620"/>
  <c r="AA18" i="620"/>
  <c r="X18" i="620"/>
  <c r="AC17" i="620"/>
  <c r="X17" i="620"/>
  <c r="AA17" i="620"/>
  <c r="AC20" i="620"/>
  <c r="X24" i="620"/>
  <c r="AC24" i="620"/>
  <c r="AC23" i="620"/>
  <c r="AA23" i="620"/>
  <c r="I105" i="620"/>
  <c r="AA15" i="620"/>
  <c r="J100" i="620"/>
  <c r="AC15" i="620"/>
  <c r="AC13" i="620"/>
  <c r="AA13" i="620"/>
  <c r="AC19" i="620"/>
  <c r="X19" i="620"/>
  <c r="AA19" i="620"/>
  <c r="T100" i="620"/>
  <c r="X16" i="620"/>
  <c r="AA16" i="620"/>
  <c r="L146" i="622"/>
  <c r="G4" i="625"/>
  <c r="H32" i="621"/>
  <c r="I32" i="621" s="1"/>
  <c r="L32" i="621" s="1"/>
  <c r="L114" i="622"/>
  <c r="O114" i="622" s="1"/>
  <c r="G30" i="620"/>
  <c r="G110" i="620" s="1"/>
  <c r="G29" i="620"/>
  <c r="G105" i="620" s="1"/>
  <c r="L147" i="622"/>
  <c r="G6" i="625"/>
  <c r="H34" i="621"/>
  <c r="I34" i="621" s="1"/>
  <c r="L34" i="621" s="1"/>
  <c r="G31" i="620"/>
  <c r="G115" i="620" s="1"/>
  <c r="V31" i="620"/>
  <c r="K32" i="620"/>
  <c r="O21" i="333" s="1"/>
  <c r="H36" i="621"/>
  <c r="I36" i="621" s="1"/>
  <c r="L36" i="621" s="1"/>
  <c r="L279" i="622"/>
  <c r="R20" i="333"/>
  <c r="G8" i="625"/>
  <c r="E60" i="606"/>
  <c r="AC11" i="620"/>
  <c r="X11" i="620"/>
  <c r="AA11" i="620"/>
  <c r="I32" i="620"/>
  <c r="O19" i="333" s="1"/>
  <c r="F32" i="620"/>
  <c r="O17" i="333" l="1"/>
  <c r="T18" i="621"/>
  <c r="T13" i="621"/>
  <c r="S15" i="621"/>
  <c r="W15" i="621" s="1"/>
  <c r="T16" i="621"/>
  <c r="R17" i="621"/>
  <c r="T17" i="621" s="1"/>
  <c r="O17" i="621"/>
  <c r="O23" i="621"/>
  <c r="R23" i="621"/>
  <c r="T23" i="621" s="1"/>
  <c r="O21" i="621"/>
  <c r="R21" i="621"/>
  <c r="S21" i="621" s="1"/>
  <c r="W21" i="621" s="1"/>
  <c r="O20" i="621"/>
  <c r="R20" i="621"/>
  <c r="S20" i="621" s="1"/>
  <c r="W20" i="621" s="1"/>
  <c r="H31" i="621"/>
  <c r="I31" i="621" s="1"/>
  <c r="L31" i="621" s="1"/>
  <c r="O9" i="621"/>
  <c r="R9" i="621"/>
  <c r="S9" i="621" s="1"/>
  <c r="W9" i="621" s="1"/>
  <c r="O11" i="621"/>
  <c r="R11" i="621"/>
  <c r="T11" i="621" s="1"/>
  <c r="T7" i="621"/>
  <c r="W7" i="621"/>
  <c r="O8" i="621"/>
  <c r="R22" i="621"/>
  <c r="O22" i="621"/>
  <c r="R14" i="621"/>
  <c r="S14" i="621" s="1"/>
  <c r="W14" i="621" s="1"/>
  <c r="O14" i="621"/>
  <c r="O10" i="621"/>
  <c r="R10" i="621"/>
  <c r="S10" i="621" s="1"/>
  <c r="W10" i="621" s="1"/>
  <c r="O19" i="621"/>
  <c r="R19" i="621"/>
  <c r="S19" i="621" s="1"/>
  <c r="W19" i="621" s="1"/>
  <c r="O12" i="621"/>
  <c r="R12" i="621"/>
  <c r="T12" i="621" s="1"/>
  <c r="L32" i="620"/>
  <c r="V32" i="620" s="1"/>
  <c r="V29" i="620"/>
  <c r="G32" i="620"/>
  <c r="G15" i="625"/>
  <c r="N22" i="333"/>
  <c r="G3" i="625"/>
  <c r="L35" i="622"/>
  <c r="O35" i="622" s="1"/>
  <c r="X31" i="620"/>
  <c r="V115" i="620"/>
  <c r="L206" i="622"/>
  <c r="G7" i="625"/>
  <c r="H35" i="621"/>
  <c r="I35" i="621" s="1"/>
  <c r="L35" i="621" s="1"/>
  <c r="E57" i="606"/>
  <c r="E63" i="606"/>
  <c r="R21" i="333"/>
  <c r="L344" i="622"/>
  <c r="G9" i="625"/>
  <c r="H37" i="621"/>
  <c r="I37" i="621" s="1"/>
  <c r="L37" i="621" s="1"/>
  <c r="O147" i="622"/>
  <c r="L205" i="622"/>
  <c r="L132" i="622"/>
  <c r="V30" i="620"/>
  <c r="O146" i="622"/>
  <c r="P133" i="622"/>
  <c r="P146" i="622" s="1"/>
  <c r="L100" i="620"/>
  <c r="V28" i="620"/>
  <c r="N24" i="621" s="1"/>
  <c r="Q24" i="621" s="1"/>
  <c r="O279" i="622"/>
  <c r="L343" i="622"/>
  <c r="G99" i="620"/>
  <c r="G100" i="620" s="1"/>
  <c r="E49" i="606" l="1"/>
  <c r="T14" i="621"/>
  <c r="S11" i="621"/>
  <c r="W11" i="621" s="1"/>
  <c r="S17" i="621"/>
  <c r="W17" i="621" s="1"/>
  <c r="T9" i="621"/>
  <c r="T19" i="621"/>
  <c r="T20" i="621"/>
  <c r="S22" i="621"/>
  <c r="W22" i="621" s="1"/>
  <c r="T22" i="621"/>
  <c r="O24" i="621"/>
  <c r="R24" i="621"/>
  <c r="R8" i="621"/>
  <c r="T10" i="621"/>
  <c r="V105" i="620"/>
  <c r="N25" i="621"/>
  <c r="Q25" i="621" s="1"/>
  <c r="S23" i="621"/>
  <c r="W23" i="621" s="1"/>
  <c r="S12" i="621"/>
  <c r="W12" i="621" s="1"/>
  <c r="T21" i="621"/>
  <c r="AC29" i="620"/>
  <c r="AA29" i="620"/>
  <c r="X29" i="620"/>
  <c r="N19" i="333"/>
  <c r="N20" i="333" s="1"/>
  <c r="N21" i="333" s="1"/>
  <c r="R19" i="333"/>
  <c r="O22" i="333"/>
  <c r="L361" i="622"/>
  <c r="O344" i="622"/>
  <c r="R17" i="333"/>
  <c r="L278" i="622"/>
  <c r="O206" i="622"/>
  <c r="G10" i="625"/>
  <c r="H3" i="625" s="1"/>
  <c r="X30" i="620"/>
  <c r="V110" i="620"/>
  <c r="O205" i="622"/>
  <c r="P147" i="622"/>
  <c r="P205" i="622" s="1"/>
  <c r="O343" i="622"/>
  <c r="P279" i="622"/>
  <c r="P343" i="622" s="1"/>
  <c r="O132" i="622"/>
  <c r="P114" i="622"/>
  <c r="P132" i="622" s="1"/>
  <c r="L113" i="622"/>
  <c r="X28" i="620"/>
  <c r="AC28" i="620"/>
  <c r="AA28" i="620"/>
  <c r="V100" i="620"/>
  <c r="N24" i="333" l="1"/>
  <c r="O24" i="333"/>
  <c r="S8" i="621"/>
  <c r="W8" i="621" s="1"/>
  <c r="T8" i="621"/>
  <c r="O25" i="621"/>
  <c r="O26" i="621" s="1"/>
  <c r="N26" i="621"/>
  <c r="P17" i="333"/>
  <c r="AC30" i="620"/>
  <c r="H9" i="625"/>
  <c r="I9" i="625" s="1"/>
  <c r="H7" i="625"/>
  <c r="I7" i="625" s="1"/>
  <c r="L370" i="622"/>
  <c r="L1" i="622" s="1"/>
  <c r="O278" i="622"/>
  <c r="P206" i="622"/>
  <c r="P278" i="622" s="1"/>
  <c r="X32" i="620"/>
  <c r="E50" i="606"/>
  <c r="Z30" i="620"/>
  <c r="Z31" i="620"/>
  <c r="P344" i="622"/>
  <c r="P361" i="622" s="1"/>
  <c r="O361" i="622"/>
  <c r="I3" i="625"/>
  <c r="O113" i="622"/>
  <c r="P35" i="622"/>
  <c r="P113" i="622" s="1"/>
  <c r="H8" i="625"/>
  <c r="I8" i="625" s="1"/>
  <c r="H5" i="625"/>
  <c r="I5" i="625" s="1"/>
  <c r="H4" i="625"/>
  <c r="I4" i="625" s="1"/>
  <c r="G11" i="625"/>
  <c r="H6" i="625"/>
  <c r="I6" i="625" s="1"/>
  <c r="E51" i="606" l="1"/>
  <c r="E54" i="606" s="1"/>
  <c r="O15" i="333" s="1"/>
  <c r="R25" i="621"/>
  <c r="Q26" i="621"/>
  <c r="P20" i="333"/>
  <c r="P13" i="333"/>
  <c r="P11" i="333"/>
  <c r="N26" i="333"/>
  <c r="E45" i="606" s="1"/>
  <c r="P19" i="333"/>
  <c r="P21" i="333"/>
  <c r="I10" i="625"/>
  <c r="I11" i="625" s="1"/>
  <c r="O370" i="622"/>
  <c r="O1" i="622" s="1"/>
  <c r="H10" i="625"/>
  <c r="P370" i="622"/>
  <c r="P1" i="622" s="1"/>
  <c r="T24" i="621"/>
  <c r="S24" i="621"/>
  <c r="W24" i="621" s="1"/>
  <c r="R15" i="333" l="1"/>
  <c r="S21" i="333" s="1"/>
  <c r="M3" i="343"/>
  <c r="S25" i="621"/>
  <c r="W25" i="621" s="1"/>
  <c r="R26" i="621"/>
  <c r="T26" i="621" s="1"/>
  <c r="T25" i="621"/>
  <c r="P24" i="333"/>
  <c r="S20" i="333" l="1"/>
  <c r="S17" i="333"/>
  <c r="S19" i="333"/>
  <c r="S15" i="333"/>
  <c r="P15" i="333"/>
  <c r="S26" i="621"/>
  <c r="W26" i="6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Willis</author>
    <author>James L. Kirkpatrick</author>
  </authors>
  <commentList>
    <comment ref="H17" authorId="0" shapeId="0" xr:uid="{3382A582-2130-4BD9-BBC1-E7D0C5CD79EE}">
      <text>
        <r>
          <rPr>
            <b/>
            <sz val="9"/>
            <color indexed="81"/>
            <rFont val="Tahoma"/>
            <family val="2"/>
          </rPr>
          <t>Melissa Willis:</t>
        </r>
        <r>
          <rPr>
            <sz val="9"/>
            <color indexed="81"/>
            <rFont val="Tahoma"/>
            <family val="2"/>
          </rPr>
          <t xml:space="preserve">
Amounts pulled form payment book, NOT L01</t>
        </r>
      </text>
    </comment>
    <comment ref="H19" authorId="0" shapeId="0" xr:uid="{FBD0F9D1-2F48-4E5D-A571-273D8190D103}">
      <text>
        <r>
          <rPr>
            <b/>
            <sz val="9"/>
            <color indexed="81"/>
            <rFont val="Tahoma"/>
            <family val="2"/>
          </rPr>
          <t>Melissa Willis:</t>
        </r>
        <r>
          <rPr>
            <sz val="9"/>
            <color indexed="81"/>
            <rFont val="Tahoma"/>
            <family val="2"/>
          </rPr>
          <t xml:space="preserve">
Amounts pulled form payment book, NOT L01</t>
        </r>
      </text>
    </comment>
    <comment ref="H21" authorId="0" shapeId="0" xr:uid="{99208A0A-3807-4B97-ADE5-23DC7854B9EE}">
      <text>
        <r>
          <rPr>
            <b/>
            <sz val="9"/>
            <color indexed="81"/>
            <rFont val="Tahoma"/>
            <family val="2"/>
          </rPr>
          <t>Melissa Willis:</t>
        </r>
        <r>
          <rPr>
            <sz val="9"/>
            <color indexed="81"/>
            <rFont val="Tahoma"/>
            <family val="2"/>
          </rPr>
          <t xml:space="preserve">
Amounts pulled form payment book, NOT L01</t>
        </r>
      </text>
    </comment>
    <comment ref="N27" authorId="1" shapeId="0" xr:uid="{EB2B72EE-90CF-487F-880E-C84BD648CFAA}">
      <text>
        <r>
          <rPr>
            <b/>
            <sz val="9"/>
            <color indexed="81"/>
            <rFont val="Tahoma"/>
            <family val="2"/>
          </rPr>
          <t>James L. Kirkpatrick:</t>
        </r>
        <r>
          <rPr>
            <sz val="9"/>
            <color indexed="81"/>
            <rFont val="Tahoma"/>
            <family val="2"/>
          </rPr>
          <t xml:space="preserve">
This is due to the change from FRL to using the grad score for determining ATR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J16" authorId="0" shapeId="0" xr:uid="{85D45291-630A-48DA-83F0-A8B661368888}">
      <text>
        <r>
          <rPr>
            <b/>
            <sz val="9"/>
            <color indexed="81"/>
            <rFont val="Tahoma"/>
            <family val="2"/>
          </rPr>
          <t>Adam Drost:</t>
        </r>
        <r>
          <rPr>
            <sz val="9"/>
            <color indexed="81"/>
            <rFont val="Tahoma"/>
            <family val="2"/>
          </rPr>
          <t xml:space="preserve">
Taxation information from May 2021.  These projections are the tax on net proceeds and do not include the proceeds from the 75-cent rate apply to royalties.  That is why the amount is lower than FY 2022 projections.  However, this information was used to share out NPM.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Adam Drost</author>
    <author>James L. Kirkpatrick</author>
  </authors>
  <commentList>
    <comment ref="F7" authorId="0" shapeId="0" xr:uid="{D2AAFFA5-0C0C-43FB-A641-DB001FEBAD12}">
      <text>
        <r>
          <rPr>
            <b/>
            <sz val="9"/>
            <color indexed="81"/>
            <rFont val="Tahoma"/>
            <family val="2"/>
          </rPr>
          <t>Adam Drost:</t>
        </r>
        <r>
          <rPr>
            <sz val="9"/>
            <color indexed="81"/>
            <rFont val="Tahoma"/>
            <family val="2"/>
          </rPr>
          <t xml:space="preserve">
Applies compounding interest to reflect increases from FY 2020 to FY 2022 (two year period)</t>
        </r>
      </text>
    </comment>
    <comment ref="F9" authorId="1" shapeId="0" xr:uid="{E45E4C81-DDC1-4105-8657-4F12DF451329}">
      <text>
        <r>
          <rPr>
            <b/>
            <sz val="9"/>
            <color indexed="81"/>
            <rFont val="Tahoma"/>
            <family val="2"/>
          </rPr>
          <t>James L. Kirkpatrick:</t>
        </r>
        <r>
          <rPr>
            <sz val="9"/>
            <color indexed="81"/>
            <rFont val="Tahoma"/>
            <family val="2"/>
          </rPr>
          <t xml:space="preserve">
Special Transportation costs for district is included in the actual transportation costs that are used to calculated the 4 year average allocations.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Drost, Adam</author>
    <author>Adam Drost</author>
  </authors>
  <commentList>
    <comment ref="D51" authorId="0" shapeId="0" xr:uid="{5A5DEA2D-11BD-4AA6-97C4-6345784F4633}">
      <text>
        <r>
          <rPr>
            <b/>
            <sz val="9"/>
            <color indexed="81"/>
            <rFont val="Tahoma"/>
            <family val="2"/>
          </rPr>
          <t>Drost, Adam:</t>
        </r>
        <r>
          <rPr>
            <sz val="9"/>
            <color indexed="81"/>
            <rFont val="Tahoma"/>
            <family val="2"/>
          </rPr>
          <t xml:space="preserve">
5/5/2023: This attendance area had an adjustment for the online school, which was remvoed. </t>
        </r>
      </text>
    </comment>
    <comment ref="G126" authorId="1" shapeId="0" xr:uid="{0D9E6F64-364A-46CF-9AE0-76EA6B3D2651}">
      <text>
        <r>
          <rPr>
            <b/>
            <sz val="9"/>
            <color indexed="81"/>
            <rFont val="Tahoma"/>
            <family val="2"/>
          </rPr>
          <t>Adam Drost:</t>
        </r>
        <r>
          <rPr>
            <sz val="9"/>
            <color indexed="81"/>
            <rFont val="Tahoma"/>
            <family val="2"/>
          </rPr>
          <t xml:space="preserve">
Intent is to provide the charter with the same per pupil adjustment that is received by other public schools in that attendance area.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V6" authorId="0" shapeId="0" xr:uid="{15282611-CCB1-4DFC-98E2-07BFC034598E}">
      <text>
        <r>
          <rPr>
            <b/>
            <sz val="9"/>
            <color indexed="81"/>
            <rFont val="Tahoma"/>
            <family val="2"/>
          </rPr>
          <t>Adam Drost:</t>
        </r>
        <r>
          <rPr>
            <sz val="9"/>
            <color indexed="81"/>
            <rFont val="Tahoma"/>
            <family val="2"/>
          </rPr>
          <t xml:space="preserve">
Per LCB Legal, once a school district/charter is on PCFP, they cannot change to hold harmless.  This provides a check for the assignment in the prior fiscal year.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Melissa Willis</author>
  </authors>
  <commentList>
    <comment ref="V39" authorId="0" shapeId="0" xr:uid="{74FBD29B-4F6A-44F8-93E4-A20FFE35CBD4}">
      <text>
        <r>
          <rPr>
            <b/>
            <sz val="9"/>
            <color indexed="81"/>
            <rFont val="Tahoma"/>
            <family val="2"/>
          </rPr>
          <t>Melissa Willis:</t>
        </r>
        <r>
          <rPr>
            <sz val="9"/>
            <color indexed="81"/>
            <rFont val="Tahoma"/>
            <family val="2"/>
          </rPr>
          <t xml:space="preserve">
Total Adj. Base + Weights - Districts with 2020 Baseline (NOT Auxilary,  Local SPED, or 2020 baseline)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K3" authorId="0" shapeId="0" xr:uid="{00DDEACD-0D3C-4029-B3FD-B8DC3A93D8FD}">
      <text>
        <r>
          <rPr>
            <b/>
            <sz val="9"/>
            <color indexed="81"/>
            <rFont val="Tahoma"/>
            <family val="2"/>
          </rPr>
          <t>Adam Drost:</t>
        </r>
        <r>
          <rPr>
            <sz val="9"/>
            <color indexed="81"/>
            <rFont val="Tahoma"/>
            <family val="2"/>
          </rPr>
          <t xml:space="preserve">
Taken from Cell V34 of Tab 3.2a.</t>
        </r>
      </text>
    </comment>
    <comment ref="Z7" authorId="0" shapeId="0" xr:uid="{3BB8D3BD-9005-4502-ACA1-2FE3295B6DFA}">
      <text>
        <r>
          <rPr>
            <b/>
            <sz val="9"/>
            <color indexed="81"/>
            <rFont val="Tahoma"/>
            <family val="2"/>
          </rPr>
          <t>Adam Drost:</t>
        </r>
        <r>
          <rPr>
            <sz val="9"/>
            <color indexed="81"/>
            <rFont val="Tahoma"/>
            <family val="2"/>
          </rPr>
          <t xml:space="preserve">
Per LCB Legal, once a school district/charter is on PCFP, they cannot change to hold harmless.  This provides a check for the assignment in the prior fiscal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Kirkpatrick</author>
    <author>tc={3BA5FE73-A85E-4CCD-999C-ABBC1B8662CC}</author>
  </authors>
  <commentList>
    <comment ref="G49" authorId="0" shapeId="0" xr:uid="{2D87FFDF-0A08-448A-AF4C-7198F9A2D572}">
      <text>
        <r>
          <rPr>
            <b/>
            <sz val="9"/>
            <color indexed="81"/>
            <rFont val="Tahoma"/>
            <family val="2"/>
          </rPr>
          <t>James Kirkpatrick:</t>
        </r>
        <r>
          <rPr>
            <sz val="9"/>
            <color indexed="81"/>
            <rFont val="Tahoma"/>
            <family val="2"/>
          </rPr>
          <t xml:space="preserve">
Adjusted Arbor View to account for Do and Be Arts Academy's 54 students</t>
        </r>
      </text>
    </comment>
    <comment ref="E52" authorId="1" shapeId="0" xr:uid="{3BA5FE73-A85E-4CCD-999C-ABBC1B8662CC}">
      <text>
        <t>[Threaded comment]
Your version of Excel allows you to read this threaded comment; however, any edits to it will get removed if the file is opened in a newer version of Excel. Learn more: https://go.microsoft.com/fwlink/?linkid=870924
Comment:
    Split estimated enrollment of 159.56 evenly among Beacon, Odyssey, and Sage</t>
      </text>
    </comment>
    <comment ref="G81" authorId="0" shapeId="0" xr:uid="{85ED2B36-AF33-4C6E-A562-705528844C1D}">
      <text>
        <r>
          <rPr>
            <b/>
            <sz val="9"/>
            <color indexed="81"/>
            <rFont val="Tahoma"/>
            <family val="2"/>
          </rPr>
          <t>James Kirkpatrick:</t>
        </r>
        <r>
          <rPr>
            <sz val="9"/>
            <color indexed="81"/>
            <rFont val="Tahoma"/>
            <family val="2"/>
          </rPr>
          <t xml:space="preserve">
Thech NV closed reallocated 257 students to Pioneer Techs students and allocated 21.39 addittional  students to Liberty </t>
        </r>
      </text>
    </comment>
    <comment ref="G84" authorId="0" shapeId="0" xr:uid="{D79BDB49-D7B5-4AC7-9327-BD3996B7605B}">
      <text>
        <r>
          <rPr>
            <b/>
            <sz val="9"/>
            <color indexed="81"/>
            <rFont val="Tahoma"/>
            <family val="2"/>
          </rPr>
          <t>James Kirkpatrick:</t>
        </r>
        <r>
          <rPr>
            <sz val="9"/>
            <color indexed="81"/>
            <rFont val="Tahoma"/>
            <family val="2"/>
          </rPr>
          <t xml:space="preserve">
Used 21.39 students from Teach and adjusted corando to account for Rooted 1.61 students</t>
        </r>
      </text>
    </comment>
    <comment ref="G93" authorId="0" shapeId="0" xr:uid="{1266EDA9-80E9-464A-BB5B-F70B311D8615}">
      <text>
        <r>
          <rPr>
            <b/>
            <sz val="9"/>
            <color indexed="81"/>
            <rFont val="Tahoma"/>
            <family val="2"/>
          </rPr>
          <t>James Kirkpatrick:</t>
        </r>
        <r>
          <rPr>
            <sz val="9"/>
            <color indexed="81"/>
            <rFont val="Tahoma"/>
            <family val="2"/>
          </rPr>
          <t xml:space="preserve">
Adjusted Desert Oasis to account for ThrivePoints  149 students</t>
        </r>
      </text>
    </comment>
    <comment ref="G94" authorId="0" shapeId="0" xr:uid="{0C19A401-FF67-40D9-AE35-25B8E1813BD3}">
      <text>
        <r>
          <rPr>
            <b/>
            <sz val="9"/>
            <color indexed="81"/>
            <rFont val="Tahoma"/>
            <family val="2"/>
          </rPr>
          <t>James Kirkpatrick:</t>
        </r>
        <r>
          <rPr>
            <sz val="9"/>
            <color indexed="81"/>
            <rFont val="Tahoma"/>
            <family val="2"/>
          </rPr>
          <t xml:space="preserve">
Adjusted Coronado to account for Vegas Vista 102 students</t>
        </r>
      </text>
    </comment>
    <comment ref="G144" authorId="0" shapeId="0" xr:uid="{855EB92A-7EA5-4543-872F-D558FD257347}">
      <text>
        <r>
          <rPr>
            <b/>
            <sz val="9"/>
            <color indexed="81"/>
            <rFont val="Tahoma"/>
            <family val="2"/>
          </rPr>
          <t>James Kirkpatrick:</t>
        </r>
        <r>
          <rPr>
            <sz val="9"/>
            <color indexed="81"/>
            <rFont val="Tahoma"/>
            <family val="2"/>
          </rPr>
          <t xml:space="preserve">
Adjusted Arbor View to account for Do and Be Arts Academy's 54 students</t>
        </r>
      </text>
    </comment>
    <comment ref="G201" authorId="0" shapeId="0" xr:uid="{8802534F-1F9E-4B17-99BE-9C5E98E95DB1}">
      <text>
        <r>
          <rPr>
            <b/>
            <sz val="9"/>
            <color indexed="81"/>
            <rFont val="Tahoma"/>
            <family val="2"/>
          </rPr>
          <t>James Kirkpatrick:</t>
        </r>
        <r>
          <rPr>
            <sz val="9"/>
            <color indexed="81"/>
            <rFont val="Tahoma"/>
            <family val="2"/>
          </rPr>
          <t xml:space="preserve">
Adjusted Coronado to account for Rooted and Vegas Vista 103.61 students</t>
        </r>
      </text>
    </comment>
    <comment ref="G220" authorId="0" shapeId="0" xr:uid="{6BF7E7B9-DE31-4783-949C-7EC78BD3B259}">
      <text>
        <r>
          <rPr>
            <b/>
            <sz val="9"/>
            <color indexed="81"/>
            <rFont val="Tahoma"/>
            <family val="2"/>
          </rPr>
          <t>James Kirkpatrick:</t>
        </r>
        <r>
          <rPr>
            <sz val="9"/>
            <color indexed="81"/>
            <rFont val="Tahoma"/>
            <family val="2"/>
          </rPr>
          <t xml:space="preserve">
Adjusted Desert Oasis to account for ThrivePoints  149 students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tc={3D79EA33-8EC2-427F-B26D-43BD6E6FED7A}</author>
    <author>Adam Drost</author>
  </authors>
  <commentList>
    <comment ref="H13" authorId="0" shapeId="0" xr:uid="{3D79EA33-8EC2-427F-B26D-43BD6E6FED7A}">
      <text>
        <t>[Threaded comment]
Your version of Excel allows you to read this threaded comment; however, any edits to it will get removed if the file is opened in a newer version of Excel. Learn more: https://go.microsoft.com/fwlink/?linkid=870924
Comment:
    Rounded to 5 decimal places to balance the model.</t>
      </text>
    </comment>
    <comment ref="J16" authorId="1" shapeId="0" xr:uid="{939CA71F-47AE-42E3-95FB-DDEDC6B28234}">
      <text>
        <r>
          <rPr>
            <b/>
            <sz val="9"/>
            <color indexed="81"/>
            <rFont val="Tahoma"/>
            <family val="2"/>
          </rPr>
          <t>Adam Drost:</t>
        </r>
        <r>
          <rPr>
            <sz val="9"/>
            <color indexed="81"/>
            <rFont val="Tahoma"/>
            <family val="2"/>
          </rPr>
          <t xml:space="preserve">
Taxation information from May 2021.  These projections are the tax on net proceeds and do not include the proceeds from the 75-cent rate apply to royalties.  That is why the amount is lower than FY 2022 projections.  However, this information was used to share out NPM.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J35" authorId="0" shapeId="0" xr:uid="{C0B2CCDF-0394-4E4C-A1DF-B6EDC1D07214}">
      <text>
        <r>
          <rPr>
            <b/>
            <sz val="9"/>
            <color indexed="81"/>
            <rFont val="Tahoma"/>
            <family val="2"/>
          </rPr>
          <t>Adam Drost:</t>
        </r>
        <r>
          <rPr>
            <sz val="9"/>
            <color indexed="81"/>
            <rFont val="Tahoma"/>
            <family val="2"/>
          </rPr>
          <t xml:space="preserve">
Revised per 5/14/21 NDE email for kindergarten.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Adam Drost</author>
    <author>James L. Kirkpatrick</author>
  </authors>
  <commentList>
    <comment ref="F7" authorId="0" shapeId="0" xr:uid="{06465483-132C-4F57-B9D8-1D6FF3E43EB2}">
      <text>
        <r>
          <rPr>
            <b/>
            <sz val="9"/>
            <color indexed="81"/>
            <rFont val="Tahoma"/>
            <family val="2"/>
          </rPr>
          <t>Adam Drost:</t>
        </r>
        <r>
          <rPr>
            <sz val="9"/>
            <color indexed="81"/>
            <rFont val="Tahoma"/>
            <family val="2"/>
          </rPr>
          <t xml:space="preserve">
Applies compounding interest to reflect increases from FY 2020 to FY 2022 (two year period)</t>
        </r>
      </text>
    </comment>
    <comment ref="F9" authorId="1" shapeId="0" xr:uid="{15DE558C-A24B-4390-AC8C-0482DBAF6C15}">
      <text>
        <r>
          <rPr>
            <b/>
            <sz val="9"/>
            <color indexed="81"/>
            <rFont val="Tahoma"/>
            <family val="2"/>
          </rPr>
          <t>James L. Kirkpatrick:</t>
        </r>
        <r>
          <rPr>
            <sz val="9"/>
            <color indexed="81"/>
            <rFont val="Tahoma"/>
            <family val="2"/>
          </rPr>
          <t xml:space="preserve">
Special Transportation costs for district is included in the actual transportation costs that are used to calculated the 4 year average allocations.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G126" authorId="0" shapeId="0" xr:uid="{8507FD10-4BDE-4C2D-9F25-EA99C9B22CE4}">
      <text>
        <r>
          <rPr>
            <b/>
            <sz val="9"/>
            <color indexed="81"/>
            <rFont val="Tahoma"/>
            <family val="2"/>
          </rPr>
          <t>Adam Drost:</t>
        </r>
        <r>
          <rPr>
            <sz val="9"/>
            <color indexed="81"/>
            <rFont val="Tahoma"/>
            <family val="2"/>
          </rPr>
          <t xml:space="preserve">
Intent is to provide the charter with the same per pupil adjustment that is received by other public schools in that attendance area.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T6" authorId="0" shapeId="0" xr:uid="{1399707F-1FC4-41AC-9CF2-426DECC5DFCF}">
      <text>
        <r>
          <rPr>
            <b/>
            <sz val="9"/>
            <color indexed="81"/>
            <rFont val="Tahoma"/>
            <family val="2"/>
          </rPr>
          <t>Adam Drost:</t>
        </r>
        <r>
          <rPr>
            <sz val="9"/>
            <color indexed="81"/>
            <rFont val="Tahoma"/>
            <family val="2"/>
          </rPr>
          <t xml:space="preserve">
Per LCB Legal, once a school district/charter is on PCFP, they cannot change to hold harmless.  This provides a check for the assignment in the prior fiscal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Willis</author>
  </authors>
  <commentList>
    <comment ref="V38" authorId="0" shapeId="0" xr:uid="{928363EB-03B1-4D98-AD91-F7244A2B9A47}">
      <text>
        <r>
          <rPr>
            <b/>
            <sz val="9"/>
            <color indexed="81"/>
            <rFont val="Tahoma"/>
            <family val="2"/>
          </rPr>
          <t>Melissa Willis:</t>
        </r>
        <r>
          <rPr>
            <sz val="9"/>
            <color indexed="81"/>
            <rFont val="Tahoma"/>
            <family val="2"/>
          </rPr>
          <t xml:space="preserve">
Total Adj. Base + Weights - Districts with FY2020 Baseline (NOT Auxilary,  Local SPED, or 2020 baseline) since this is included in the FY20 amount.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Adam Drost</author>
  </authors>
  <commentList>
    <comment ref="Z7" authorId="0" shapeId="0" xr:uid="{CEEE93C2-2E6F-4E1A-922C-4184570D1199}">
      <text>
        <r>
          <rPr>
            <b/>
            <sz val="9"/>
            <color indexed="81"/>
            <rFont val="Tahoma"/>
            <family val="2"/>
          </rPr>
          <t>Adam Drost:</t>
        </r>
        <r>
          <rPr>
            <sz val="9"/>
            <color indexed="81"/>
            <rFont val="Tahoma"/>
            <family val="2"/>
          </rPr>
          <t xml:space="preserve">
Per LCB Legal, once a school district/charter is on PCFP, they cannot change to hold harmless.  This provides a check for the assignment in the prior fiscal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<sst xmlns="http://schemas.openxmlformats.org/spreadsheetml/2006/main" count="7013" uniqueCount="2329">
  <si>
    <t>NDE PCFP model summary of modification and enhancements</t>
  </si>
  <si>
    <t>NDE Adjustments</t>
  </si>
  <si>
    <t>3/29/2024 - New charter School added to the model</t>
  </si>
  <si>
    <t>3/29/2024 - Updated model to include the Federal CPI 3 year average inflationary rate in Tabs 1.1 and 5.1</t>
  </si>
  <si>
    <t>3/29/2024 - FY 2025 PCFP outputs have been updated in Tab 1.1</t>
  </si>
  <si>
    <t>3/29/2024 - FY 2025 PCFP tax and fee revenues have been updated Tabs 1.3 and 5.3</t>
  </si>
  <si>
    <t>3/29/2024 - Updated Tabs 2.1 and 6.1 Axillary Services 4 year average</t>
  </si>
  <si>
    <t>4/1/2024 - Updated Tabs 2.2 and 6.2 Local Sp Ed</t>
  </si>
  <si>
    <t xml:space="preserve">4/29/2024 - Updated Revenues </t>
  </si>
  <si>
    <t>5/30/2024 - Updated model to calculate whole numbers</t>
  </si>
  <si>
    <t>6/15/2024 - Four additional charters schools were added to the model</t>
  </si>
  <si>
    <t>7/3/2024 - Added the city of Henderson and North Las Vegas to the model.</t>
  </si>
  <si>
    <t>7/5/2024 - Added the BLS data Series and the Inflation/caseload (M100/M200) distribution adjustments</t>
  </si>
  <si>
    <t>12/12/2024 - Use FY24 Audited Attendance for Enrollment Projected</t>
  </si>
  <si>
    <t>LCB Adjustments</t>
  </si>
  <si>
    <t>Nevada Department of Education</t>
  </si>
  <si>
    <t>Table of Contents</t>
  </si>
  <si>
    <t>Section References</t>
  </si>
  <si>
    <t>Cell References</t>
  </si>
  <si>
    <t>Pupil Centered Funding Plan Inputs</t>
  </si>
  <si>
    <t>Plan Inputs</t>
  </si>
  <si>
    <t>Pupil Centered Funding Plan Calculations</t>
  </si>
  <si>
    <t>Calculated Assumptions</t>
  </si>
  <si>
    <t>Pupil Centered Funding Plan Results</t>
  </si>
  <si>
    <t>Cross Referenced or Linked Cell</t>
  </si>
  <si>
    <t>Pupil Centered Funding Plan Summary</t>
  </si>
  <si>
    <t>Funds Available for Allocation</t>
  </si>
  <si>
    <t>Pupil Centered Funding Plan Adjustments</t>
  </si>
  <si>
    <t>Funds Allocated by the Active Schedule</t>
  </si>
  <si>
    <t>Funds Available for Subsequent Allocations</t>
  </si>
  <si>
    <t>1.0</t>
  </si>
  <si>
    <t>Year 1 Pupil Centered Funding Plan Inputs (Red Tabs)</t>
  </si>
  <si>
    <t>1.1</t>
  </si>
  <si>
    <t>1.2</t>
  </si>
  <si>
    <t>1.3</t>
  </si>
  <si>
    <t>1.4</t>
  </si>
  <si>
    <t>2.0</t>
  </si>
  <si>
    <t xml:space="preserve"> Pupil Centered Funding Plan Calculations (Green Tabs)</t>
  </si>
  <si>
    <t>2.1</t>
  </si>
  <si>
    <t>2.2</t>
  </si>
  <si>
    <t>2.3</t>
  </si>
  <si>
    <t>2.4</t>
  </si>
  <si>
    <t>2.5</t>
  </si>
  <si>
    <t>2.6</t>
  </si>
  <si>
    <t>2.7</t>
  </si>
  <si>
    <t>2.8</t>
  </si>
  <si>
    <t>2.9</t>
  </si>
  <si>
    <t>3.0</t>
  </si>
  <si>
    <t xml:space="preserve"> Pupil Centered Funding Plan Results (Blue Tabs)</t>
  </si>
  <si>
    <t>3.1a</t>
  </si>
  <si>
    <t>3.1b</t>
  </si>
  <si>
    <t>4.0</t>
  </si>
  <si>
    <t>5.0</t>
  </si>
  <si>
    <t>Year 2 Pupil Centered Funding Plan Inputs (Red Tabs)</t>
  </si>
  <si>
    <t>6.0</t>
  </si>
  <si>
    <t>Auxiliary Services Allocations (Transportation and Food Service) (Year 1)</t>
  </si>
  <si>
    <t>Special Education, Local Funding for Special Education (Year 1)</t>
  </si>
  <si>
    <t>Statewide Base Per Pupil Funding for School Districts and Charter Schools (Year 1)</t>
  </si>
  <si>
    <t>District Size Adjustment by Attendance Area (Year 1)</t>
  </si>
  <si>
    <t>Nevada Cost of Education Index (NCEI) for School Districts and Charter Schools (Year 1)</t>
  </si>
  <si>
    <t>Adjusted Base Funding Summary for School Districts and Charter Schools (Year 1)</t>
  </si>
  <si>
    <t>Weighted Funding for School Districts and Charter Schools (Year 1)</t>
  </si>
  <si>
    <t>Allocation of Excess Revenues (Year 1)</t>
  </si>
  <si>
    <t>Comparison of PCFP with FY 2020 Baseline (Year 1)</t>
  </si>
  <si>
    <t>7.0</t>
  </si>
  <si>
    <t xml:space="preserve"> Pupil Centered Funding Plan Results After application of Hold Harmless (Blue Tabs)</t>
  </si>
  <si>
    <t>7.1a</t>
  </si>
  <si>
    <t>Initial Results, Allocation of K12 Education Funding, Prior to Proportional FY 2020 Baseline Reductions (Year 1)</t>
  </si>
  <si>
    <t>7.1b</t>
  </si>
  <si>
    <t>Final Results, Allocation of K12 Education Funding, After Proportional FY 2020 Baseline Reductions (Year 1)</t>
  </si>
  <si>
    <t>8.0</t>
  </si>
  <si>
    <t>PCFP Mid Biennial Weighted Adjustment (Year 2)</t>
  </si>
  <si>
    <t>Inputs, Master Assumptions Control Panel Administrative References and Notes</t>
  </si>
  <si>
    <t>Notes</t>
  </si>
  <si>
    <t>Sources</t>
  </si>
  <si>
    <t>Dependent Model Schedules</t>
  </si>
  <si>
    <t>[1]</t>
  </si>
  <si>
    <t xml:space="preserve">The Modeled Fiscal Year is the one for which the model is being constructed and simulated. </t>
  </si>
  <si>
    <t>All Schedules</t>
  </si>
  <si>
    <t>[2]</t>
  </si>
  <si>
    <t>The State Education Fund Balance is used to determine Statewide Base Per Pupil Funding (SB 543, Section 4.1). This value you should be the total funds allocated to the State Education Fund in the immediately preceding fiscal year.</t>
  </si>
  <si>
    <t>Nevada Department of Education, Previous Year's Pupil Centered Funding Model</t>
  </si>
  <si>
    <t xml:space="preserve">2.1 State Education Fund
2.1.1 State Education Fund Balance
</t>
  </si>
  <si>
    <t>[3]</t>
  </si>
  <si>
    <t xml:space="preserve">Pursuant to SB 543, Section 4.1, the State Education Fund Balance used to determine State Base Per Pupil Funding (SB 543, Section 4.1) must be net of federal funds and net of funds held in the Education Stabilization Fund. </t>
  </si>
  <si>
    <t>[4]</t>
  </si>
  <si>
    <t>Statewide Base Per Pupil Funding from the preceding fiscal year is required to estimate Statewide Base Per Pupil Funding for the model fiscal year.</t>
  </si>
  <si>
    <t xml:space="preserve">2.4 Statewide Base Funding
</t>
  </si>
  <si>
    <t>[5]</t>
  </si>
  <si>
    <t xml:space="preserve">An inflation factor is required to estimate Statewide Base Per Pupil Funding for the model fiscal year. Inflation is the difference between the latest available value of the Consumer Price Index for All Consumer (Seasonally Adjusted, US City Average, All Items, Monthly Series) and the value for the same period of the immediately preceding calendar year. </t>
  </si>
  <si>
    <t>United State Bureau of Labor Statistics, Consumer Price Index (available at https://data.bls.gov/cgi-bin/dsrv)</t>
  </si>
  <si>
    <t>[6]</t>
  </si>
  <si>
    <t xml:space="preserve">Initial weighted funding is used to establish the prior years effective weights or multipliers. Pursuant to SB543, Section  4.1(a), it is the intent of the legislature that weighted the multiplier for each category of pupils for any fiscal year be not less than the multiplier for the immediately preceding fiscal years unless revenues in the State Education Fund decline or there is insufficient growth in the State Education Fund to fully fund the base. </t>
  </si>
  <si>
    <t>2.6 Weighted Funding, Initial
2.7 Weighted Funding, Increment</t>
  </si>
  <si>
    <t>[7]</t>
  </si>
  <si>
    <t>Aspiration weights are used to allocate any additional funds that are available after allocations for Adjusted Base Funding Per Pupil and initial weighted funding. Aspirational weights are based on recommendation made by the Commission on School Funding (latest approved April 17, 2020 meeting).</t>
  </si>
  <si>
    <t>2.7 Weighted Funding, Increment</t>
  </si>
  <si>
    <t>[8]</t>
  </si>
  <si>
    <t xml:space="preserve">Toggle allows the user to include or exclude charter schools in the hold harmless calculation. The Commission on School Funding recommended that charter be included in its July 2020 meeting. </t>
  </si>
  <si>
    <t xml:space="preserve">2.10 Hold Harmless
2.10A Hold Harmless_Charter
2.10B Hold Harmless_Charter HH
3.3 Alloc by Entity_Level HH
3.3A District Detail_HH
3.3B Charter Detail_HH
 </t>
  </si>
  <si>
    <t>Inputs, Enrollment Assumptions References and Notes</t>
  </si>
  <si>
    <t>Source(s)</t>
  </si>
  <si>
    <t xml:space="preserve">Enrollment assumptions are utilized throughout the Pupil Centered Funding Model the allocation calculations. </t>
  </si>
  <si>
    <t>Nevada Department of Education, District, Charter and School Enrollment estimates for modeled year</t>
  </si>
  <si>
    <t>Consumer Price Index for All Urban Consumers (CPI-U)</t>
  </si>
  <si>
    <t>Original Data Value</t>
  </si>
  <si>
    <t>Series Id:</t>
  </si>
  <si>
    <t>CUUR0400SA0</t>
  </si>
  <si>
    <t>Not Seasonally Adjusted</t>
  </si>
  <si>
    <t>Series Title:</t>
  </si>
  <si>
    <t>All items in West urban, all urban consumers, not seasonally adjusted</t>
  </si>
  <si>
    <t>Area:</t>
  </si>
  <si>
    <t>West</t>
  </si>
  <si>
    <t>Item:</t>
  </si>
  <si>
    <t>All items</t>
  </si>
  <si>
    <t>Base Period:</t>
  </si>
  <si>
    <t>1982-84=100</t>
  </si>
  <si>
    <t>Years:</t>
  </si>
  <si>
    <t>2014 to 2024</t>
  </si>
  <si>
    <t>Year</t>
  </si>
  <si>
    <t>Jan</t>
  </si>
  <si>
    <t>Feb</t>
  </si>
  <si>
    <t>Mar</t>
  </si>
  <si>
    <t>Apr</t>
  </si>
  <si>
    <t>May</t>
  </si>
  <si>
    <t>Jun</t>
  </si>
  <si>
    <t>Jul</t>
  </si>
  <si>
    <t>Aug</t>
  </si>
  <si>
    <t>Sep</t>
  </si>
  <si>
    <t>Oct</t>
  </si>
  <si>
    <t>Nov</t>
  </si>
  <si>
    <t>Dec</t>
  </si>
  <si>
    <t>Annual</t>
  </si>
  <si>
    <t>HALF1</t>
  </si>
  <si>
    <t>HALF2</t>
  </si>
  <si>
    <t>3 year average</t>
  </si>
  <si>
    <t xml:space="preserve">Inflation </t>
  </si>
  <si>
    <t>Inflation</t>
  </si>
  <si>
    <t>YR 1</t>
  </si>
  <si>
    <t>Allocation</t>
  </si>
  <si>
    <t>%</t>
  </si>
  <si>
    <t>Adjustment</t>
  </si>
  <si>
    <t>YR 2</t>
  </si>
  <si>
    <t>CAT 08</t>
  </si>
  <si>
    <t>CAT 09</t>
  </si>
  <si>
    <t>CAT 10</t>
  </si>
  <si>
    <t>CAT 11</t>
  </si>
  <si>
    <t>CAT 12</t>
  </si>
  <si>
    <t>CAT 13</t>
  </si>
  <si>
    <t>CAT 14</t>
  </si>
  <si>
    <t xml:space="preserve">Caseload </t>
  </si>
  <si>
    <t>Assumptions Controls (Year 1)</t>
  </si>
  <si>
    <t>for NDE use only; not part of the PCFP model</t>
  </si>
  <si>
    <t>Modeled Fiscal Year</t>
  </si>
  <si>
    <t>Prior Year Amounts</t>
  </si>
  <si>
    <t>Source</t>
  </si>
  <si>
    <t>Total</t>
  </si>
  <si>
    <t>Modeled Year Data Outputs</t>
  </si>
  <si>
    <t>Totals</t>
  </si>
  <si>
    <t>Increase/(Decrease)</t>
  </si>
  <si>
    <t>% of Growth</t>
  </si>
  <si>
    <t>Pre-PCFP Revenue Inputs and Assumptions</t>
  </si>
  <si>
    <t>Inputs</t>
  </si>
  <si>
    <t>Projections</t>
  </si>
  <si>
    <t>Weighted Multiplier: English Learner</t>
  </si>
  <si>
    <t>PY Data Input</t>
  </si>
  <si>
    <t>Prior Year Weighted Multiplier: English Learner</t>
  </si>
  <si>
    <t>Tab 1.1</t>
  </si>
  <si>
    <t>1) Revenue Growth</t>
  </si>
  <si>
    <t>Weighted Multiplier: At-Risk</t>
  </si>
  <si>
    <t>Prior Year Weighted Multiplier: At-Risk</t>
  </si>
  <si>
    <t>Estimated Increase/(Decrease)</t>
  </si>
  <si>
    <t>Weighted Multiplier: Gifted and Talented</t>
  </si>
  <si>
    <t>Prior Year Weighted Multiplier: Gifted and Talented</t>
  </si>
  <si>
    <t>Percentage of Increase/-Decrease</t>
  </si>
  <si>
    <t>K-12 PCFP Revenue:</t>
  </si>
  <si>
    <t>K-12 PCFP Revenue identified for current year:</t>
  </si>
  <si>
    <t>Tab 1.3</t>
  </si>
  <si>
    <t>2) Inflation Growth</t>
  </si>
  <si>
    <t>K-12 Statewide Base Per Pupil:</t>
  </si>
  <si>
    <t>PY Data Output [1]</t>
  </si>
  <si>
    <t>K-12 Statewide Base Per Pupil identified for current year:</t>
  </si>
  <si>
    <t>Federal CPI - Inflationary Value Per Pupil</t>
  </si>
  <si>
    <t>Prior Year State English Learner Funding</t>
  </si>
  <si>
    <t>PY Actual Allocated</t>
  </si>
  <si>
    <t>State English Learner Funding identified for current year:</t>
  </si>
  <si>
    <t>Tab 2.7</t>
  </si>
  <si>
    <t>3) Inflationary Growth Adjustment</t>
  </si>
  <si>
    <t>Inflation Growth Amount</t>
  </si>
  <si>
    <t>Prior Year State At-Risk Student Funding</t>
  </si>
  <si>
    <t>State At-Risk Funding identified for current year:</t>
  </si>
  <si>
    <t>Inflationary Value Per Pupil (M150)</t>
  </si>
  <si>
    <t>Prior Year State Gifted and Talented Funding</t>
  </si>
  <si>
    <t>State Gifted and Talented Funding identified for current year:</t>
  </si>
  <si>
    <t>Total Enrollment for current year:</t>
  </si>
  <si>
    <t>Tab 1.2</t>
  </si>
  <si>
    <t>4) Statewide Base Funding including residual funding for | FY2024</t>
  </si>
  <si>
    <t>Total English Learner Enrollment:</t>
  </si>
  <si>
    <t>English Learner Enrollment for current year:</t>
  </si>
  <si>
    <t>Allocation of residual revenue to the Statewide Base</t>
  </si>
  <si>
    <t>Tab 2.8</t>
  </si>
  <si>
    <t>Per Pupil Change from FY23</t>
  </si>
  <si>
    <t>Total At-Risk Enrollment:</t>
  </si>
  <si>
    <t>At-Risk Enrollment for current year:</t>
  </si>
  <si>
    <t>Total Gifted and Talented Enrollment:</t>
  </si>
  <si>
    <t>Gifted and Talented Enrollment for current year:</t>
  </si>
  <si>
    <t>5) Enrollment Growth</t>
  </si>
  <si>
    <t>Enrollment Growth Amount</t>
  </si>
  <si>
    <t>Total Distant Education Enrollment:</t>
  </si>
  <si>
    <t>Distant Education Enrollment for current year:</t>
  </si>
  <si>
    <t>Enrollment/Caseload Growth</t>
  </si>
  <si>
    <t>Tab 3.1b</t>
  </si>
  <si>
    <t>PCFP Funding Status</t>
  </si>
  <si>
    <t>PCFP</t>
  </si>
  <si>
    <t>6) Weighted Multiplier Determination</t>
  </si>
  <si>
    <t>Weighted Multiplier</t>
  </si>
  <si>
    <t>Per Pupil Amount</t>
  </si>
  <si>
    <t>State English Learner Funding</t>
  </si>
  <si>
    <t>State At-Risk Student Funding</t>
  </si>
  <si>
    <t>FY 2020 Baseline</t>
  </si>
  <si>
    <t>State Gifted and Talented Funding</t>
  </si>
  <si>
    <t>7) Projected Revenue</t>
  </si>
  <si>
    <t>Tab 3.1a</t>
  </si>
  <si>
    <t>Reduction ($):</t>
  </si>
  <si>
    <t>Reduction (%):</t>
  </si>
  <si>
    <t>Charter Schools (All)</t>
  </si>
  <si>
    <t>Tab 2.3</t>
  </si>
  <si>
    <t>Davidson Academy</t>
  </si>
  <si>
    <t>City of Henderson</t>
  </si>
  <si>
    <t>City of Las Vegas</t>
  </si>
  <si>
    <t>City of North Las Vegas</t>
  </si>
  <si>
    <t>Results</t>
  </si>
  <si>
    <t>Entities on PCFP:</t>
  </si>
  <si>
    <t>Entities on FY 2020 Baseline:</t>
  </si>
  <si>
    <t>Data Source References</t>
  </si>
  <si>
    <t>[1] The initial SWB/P funding amount is from the (FY 25 PCFP) final statewide base per pupil amount after the reduction adjustment was applied.</t>
  </si>
  <si>
    <t>[2] In accordance with Section 2, subsection 6 of AB523 passed during the 82nd Legislative session:  Rate of Inflation: “rate of inflation” means the average percentage of increase or decrease in the Consumer Price Index for All Urban Consumers, West Region (All Items), as published by the United States Department of Labor for the immediately preceding 3 calendar years. Please see "BLS Data Series" tab.</t>
  </si>
  <si>
    <t>[3] Weighed Funding multipliers remained the same as they were approved during the 82nd Legislative session for the FY 2024 and 2025 PCFP model.</t>
  </si>
  <si>
    <t>[4] At-risk enrollment is based on the new At-risk definition as codified in NRS 387.1211.</t>
  </si>
  <si>
    <t>[5] Nevada Cost of Education Index remains at 1.0 to nullify the effect of the adjustment that was approved during the 82nd legislative session and was recomended by the Commission of School Funding on March 22, 2024. The Department has an updated NCEI as of June 30th 2024.  The data source for NCEI CWI update: Contractor Chris Stoddard. Data Source for NCEI RPP: U.S. Department of Labor and Statistics</t>
  </si>
  <si>
    <t>Yes</t>
  </si>
  <si>
    <t>No</t>
  </si>
  <si>
    <t>NOTES:</t>
  </si>
  <si>
    <t>FY 2026 and 27 total enrollment was projected based on updated FY 2024 actual total enrollment.</t>
  </si>
  <si>
    <t>FY 2026 and 27 weighted enrollment is based on the October 1st validation day counts as of October 2024.</t>
  </si>
  <si>
    <t>Budgeted Enrollment Projections (Year 1)</t>
  </si>
  <si>
    <t>FY 2026 and 27 distant education enrollment is based on the October 1st validation day counts as of October 2024.</t>
  </si>
  <si>
    <t>UPK Enhancement</t>
  </si>
  <si>
    <t>New Charter school enrollments are based on the approved application enrollment projections.</t>
  </si>
  <si>
    <t>City of Henderson and North Las Vegas have been approved to sponsor new charter schools.  No data available as of 7/12/2024</t>
  </si>
  <si>
    <t>Initial Weights:</t>
  </si>
  <si>
    <t>STATEWIDE PROJECTED ENROLLMENT SUMMARY</t>
  </si>
  <si>
    <t xml:space="preserve"> Revised Initial Weights:</t>
  </si>
  <si>
    <t>County</t>
  </si>
  <si>
    <t>District #</t>
  </si>
  <si>
    <t>DOHQ#</t>
  </si>
  <si>
    <t>Attendance Area</t>
  </si>
  <si>
    <t>District Name</t>
  </si>
  <si>
    <t>Addresses</t>
  </si>
  <si>
    <t>Enrollment (projected)</t>
  </si>
  <si>
    <t>PK Enrollment</t>
  </si>
  <si>
    <t xml:space="preserve">English Learner, Not Also Special Education 
(actual count day data) </t>
  </si>
  <si>
    <t>At-Risk, 
Not Also Special Education or English Learner (actual count day data)</t>
  </si>
  <si>
    <t>GATE, 
Not Also Special Education or English Learner or At-Risk
(actual count day data)</t>
  </si>
  <si>
    <t>Enrollment  
FT in Distance Ed, 
(projected)</t>
  </si>
  <si>
    <t>English Learners Percent of Total Enrollment</t>
  </si>
  <si>
    <t>At-risk Percent of Total Enrollment</t>
  </si>
  <si>
    <t>Gifted and Talented Percent of Total Enrollment</t>
  </si>
  <si>
    <t>District</t>
  </si>
  <si>
    <t>Attendance Areas</t>
  </si>
  <si>
    <t>Carson City</t>
  </si>
  <si>
    <t>Churchill</t>
  </si>
  <si>
    <t>Fallon</t>
  </si>
  <si>
    <t>Clark</t>
  </si>
  <si>
    <t>Blue Diamond</t>
  </si>
  <si>
    <t>Douglas</t>
  </si>
  <si>
    <t>Boulder City</t>
  </si>
  <si>
    <t>Elko</t>
  </si>
  <si>
    <t>Goodsprings</t>
  </si>
  <si>
    <t>Esmeralda</t>
  </si>
  <si>
    <t>Indian Springs</t>
  </si>
  <si>
    <t>Eureka</t>
  </si>
  <si>
    <t>Las Vegas (includes N.Las Vegas, Henderson)</t>
  </si>
  <si>
    <t>Humboldt</t>
  </si>
  <si>
    <t>Laughlin</t>
  </si>
  <si>
    <t>Lander</t>
  </si>
  <si>
    <t>Lundy</t>
  </si>
  <si>
    <t>Lincoln</t>
  </si>
  <si>
    <t>Mesquite</t>
  </si>
  <si>
    <t>Lyon</t>
  </si>
  <si>
    <t>Moapa Valley</t>
  </si>
  <si>
    <t>Mineral</t>
  </si>
  <si>
    <t>Sandy Valley</t>
  </si>
  <si>
    <t>Nye</t>
  </si>
  <si>
    <t>Searchlight</t>
  </si>
  <si>
    <t>Pershing</t>
  </si>
  <si>
    <t>Gardnerville/Minden</t>
  </si>
  <si>
    <t>Storey</t>
  </si>
  <si>
    <t>Jacobsen</t>
  </si>
  <si>
    <t>Washoe</t>
  </si>
  <si>
    <t>Zephyr Cove</t>
  </si>
  <si>
    <t>White Pine</t>
  </si>
  <si>
    <t>Carlin</t>
  </si>
  <si>
    <t>Statewide</t>
  </si>
  <si>
    <t>All</t>
  </si>
  <si>
    <t>Charter Schools</t>
  </si>
  <si>
    <t>University Schools</t>
  </si>
  <si>
    <t>Independence</t>
  </si>
  <si>
    <t>Jackpot</t>
  </si>
  <si>
    <t>Montello</t>
  </si>
  <si>
    <t>cross check: SD enrollment</t>
  </si>
  <si>
    <t>Mound Valley</t>
  </si>
  <si>
    <t>CHARTER SCHOOL PROJECTED ENROLLMENT SUMMARY</t>
  </si>
  <si>
    <t>cross check: Charter enrollment</t>
  </si>
  <si>
    <t>Owyhee</t>
  </si>
  <si>
    <t>Charter Name</t>
  </si>
  <si>
    <t>Address</t>
  </si>
  <si>
    <t>cross check: DE enrollment</t>
  </si>
  <si>
    <t>Ruby Valley</t>
  </si>
  <si>
    <t>Las Vegas</t>
  </si>
  <si>
    <t>FuturEdge (Formerly 100 Academy Of Excellence)</t>
  </si>
  <si>
    <t>2341 Comstock Dr, North Las Vegas, NV 89032</t>
  </si>
  <si>
    <t>Spring Creek</t>
  </si>
  <si>
    <t>Reno</t>
  </si>
  <si>
    <t>Academy For Career Education</t>
  </si>
  <si>
    <t>2800 Vassar St, Reno, NV 89502</t>
  </si>
  <si>
    <t>Wells</t>
  </si>
  <si>
    <t xml:space="preserve">Alpine Academy </t>
  </si>
  <si>
    <t>605 Boxington Way Ste 112, Sparks, NV 89434</t>
  </si>
  <si>
    <t>West Wendover</t>
  </si>
  <si>
    <t xml:space="preserve">Amplus (Formerly American Preparatory Academy) </t>
  </si>
  <si>
    <t>6000 W Oakey Blvd, Las Vegas, NV 89146</t>
  </si>
  <si>
    <t xml:space="preserve">Esmerelda </t>
  </si>
  <si>
    <t>Dyer</t>
  </si>
  <si>
    <t>Bailey Charter School</t>
  </si>
  <si>
    <t>210 Gentry Way, Reno, NV 89502</t>
  </si>
  <si>
    <t>Goldfield</t>
  </si>
  <si>
    <t>Battle Born Academy</t>
  </si>
  <si>
    <t>2101 E. Owens Ave Las Vegas, NV 89030</t>
  </si>
  <si>
    <t>Silver Peak</t>
  </si>
  <si>
    <t>Beacon Academy</t>
  </si>
  <si>
    <t>7360 West Flamingo Road Las Vegas, NV 89147</t>
  </si>
  <si>
    <t>Crescent Valley</t>
  </si>
  <si>
    <t>Cactus Park</t>
  </si>
  <si>
    <t>3115 Las Vegas Blvd N, Las Vegas, NV 89115</t>
  </si>
  <si>
    <t>Carson Montessori</t>
  </si>
  <si>
    <t>2263 Mouton Dr, Carson City, NV 89706</t>
  </si>
  <si>
    <t>Denio</t>
  </si>
  <si>
    <t>CIVICA Nevada Career &amp; Collegiate Academy</t>
  </si>
  <si>
    <t>1501 E Carey Ave, North Las Vegas, NV 89030</t>
  </si>
  <si>
    <t>Kings River</t>
  </si>
  <si>
    <t>Coral Academy of Science Las Vegas</t>
  </si>
  <si>
    <t>8185 Tamarus St, Las Vegas, NV 89123</t>
  </si>
  <si>
    <t>McDermitt</t>
  </si>
  <si>
    <t>Coral Academy Washoe</t>
  </si>
  <si>
    <t>1350 E 9th St, Reno, NV 89512 </t>
  </si>
  <si>
    <t>Orovada</t>
  </si>
  <si>
    <t>Delta Academy</t>
  </si>
  <si>
    <t>818 W Brooks Ave, North Las Vegas, NV 89030</t>
  </si>
  <si>
    <t>Paradise Valley</t>
  </si>
  <si>
    <t>Democracy Prep</t>
  </si>
  <si>
    <t>1201 W Lake Mead Blvd, Las Vegas, NV 89106</t>
  </si>
  <si>
    <t>Winnemucca</t>
  </si>
  <si>
    <t>Discovery Charter</t>
  </si>
  <si>
    <t>3975 S Sandhill Rd, Las Vegas, NV 89121</t>
  </si>
  <si>
    <t>Adjustments to Enrollment for New Charters</t>
  </si>
  <si>
    <t>Lander County</t>
  </si>
  <si>
    <t>Austin</t>
  </si>
  <si>
    <t>Do and Be Academy of Excellence</t>
  </si>
  <si>
    <t>North Las Vegas</t>
  </si>
  <si>
    <t>New School</t>
  </si>
  <si>
    <t>Battle Mountain</t>
  </si>
  <si>
    <t>Doral Academy</t>
  </si>
  <si>
    <t>9625 W Saddle Ave, Las Vegas, NV 89147</t>
  </si>
  <si>
    <t>Alamo</t>
  </si>
  <si>
    <t>Doral Academy of Northern Nevada</t>
  </si>
  <si>
    <t>3725 Butch Cassidy Dr, Reno, NV 89511</t>
  </si>
  <si>
    <t>Caliente</t>
  </si>
  <si>
    <t>Eagle Charter School (CLOSED)</t>
  </si>
  <si>
    <t>999A Locust St NE, Salem, OR 97301</t>
  </si>
  <si>
    <t>Panaca</t>
  </si>
  <si>
    <t>Elko Institute for Academic Achievement</t>
  </si>
  <si>
    <t>1031 Railroad St Ste 107, Elko, NV 89801</t>
  </si>
  <si>
    <t>Pioche</t>
  </si>
  <si>
    <t>enCompass Academy</t>
  </si>
  <si>
    <t>1300 Foster Dr, Reno, NV 89509</t>
  </si>
  <si>
    <t>Dayton</t>
  </si>
  <si>
    <t>Equipo Academy</t>
  </si>
  <si>
    <t>4131 E Bonanza Rd. Las Vegas, NV 89110</t>
  </si>
  <si>
    <t>Fernley</t>
  </si>
  <si>
    <t>Explore Academy</t>
  </si>
  <si>
    <t>4660 North Rancho, Las Vegas, NV 89130</t>
  </si>
  <si>
    <t>Teach Las Vegas - Closed</t>
  </si>
  <si>
    <t>Silver Springs</t>
  </si>
  <si>
    <t>Explore Knowledge Academy</t>
  </si>
  <si>
    <t>5871 Mountain Vista St, Las Vegas, NV 89120</t>
  </si>
  <si>
    <t>Smith Valley</t>
  </si>
  <si>
    <t>Founders Academy of Las Vegas</t>
  </si>
  <si>
    <t>5730 W Alexander Rd, Las Vegas, NV 89130</t>
  </si>
  <si>
    <t>Clark CSD</t>
  </si>
  <si>
    <t>Hawthorne</t>
  </si>
  <si>
    <t>Freedom Classical Academy</t>
  </si>
  <si>
    <t>777 E Ann Rd North, Las Vegas, NV 89081</t>
  </si>
  <si>
    <t>Abor view</t>
  </si>
  <si>
    <t>Schurz</t>
  </si>
  <si>
    <t>Futuro Academy Elementary</t>
  </si>
  <si>
    <t>920 N. Lamb Boulevard, Las Vegas, Nevada 89110</t>
  </si>
  <si>
    <t>Desert Oasis</t>
  </si>
  <si>
    <t>Amargosa Valley</t>
  </si>
  <si>
    <t>High Desert Montessori</t>
  </si>
  <si>
    <t>2590 Orovada St, Reno, NV 89512</t>
  </si>
  <si>
    <t>Coronado</t>
  </si>
  <si>
    <t>Beatty</t>
  </si>
  <si>
    <t>Honors Academy of Literature</t>
  </si>
  <si>
    <t>195 N Arlington Ave, Reno, NV 89501</t>
  </si>
  <si>
    <t>Gabbs</t>
  </si>
  <si>
    <t>Imagine School Mountain View</t>
  </si>
  <si>
    <t>6610 Grand Montecito Pkwy, Las Vegas, NV 89149</t>
  </si>
  <si>
    <t>Pahrump</t>
  </si>
  <si>
    <t>Innovations Int'l Charter</t>
  </si>
  <si>
    <t>1600 E Oakey Blvd, Las Vegas, NV 89104</t>
  </si>
  <si>
    <t>Round Mountain</t>
  </si>
  <si>
    <t>Leadership Academy of Nevada</t>
  </si>
  <si>
    <t>7495 W Azure Dr Ste 120, Las Vegas, NV 89130</t>
  </si>
  <si>
    <t>Tonopah</t>
  </si>
  <si>
    <t>Ely</t>
  </si>
  <si>
    <t>Learning Bridge</t>
  </si>
  <si>
    <t>505 S Pioche Hwy, Ely, NV 89301-3156</t>
  </si>
  <si>
    <t xml:space="preserve">Pershing </t>
  </si>
  <si>
    <t>Imlay</t>
  </si>
  <si>
    <t>Legacy Traditional Schools</t>
  </si>
  <si>
    <t>7077 W Wigwam Ave, Las Vegas, NV 89113</t>
  </si>
  <si>
    <t>Lovelock</t>
  </si>
  <si>
    <t xml:space="preserve">Mariposa Language and Learning Academy </t>
  </si>
  <si>
    <t>3875 Glen Street, Reno, NV 89502</t>
  </si>
  <si>
    <t>Hillside</t>
  </si>
  <si>
    <t>Mater Academy</t>
  </si>
  <si>
    <t>3445 Mountain Vista, Las Vegas, NV 89121</t>
  </si>
  <si>
    <t>Virginia City</t>
  </si>
  <si>
    <t>Mater Academy of Northern Nevada</t>
  </si>
  <si>
    <t xml:space="preserve">2680 E 9th St, Reno, NV 89512 </t>
  </si>
  <si>
    <t>Bordertown</t>
  </si>
  <si>
    <t>Nevada Connections Academy</t>
  </si>
  <si>
    <t>555 Double Eagle Ct Ste 2000, Reno, NV 89521</t>
  </si>
  <si>
    <t>Gerlach</t>
  </si>
  <si>
    <t>Nevada Prep</t>
  </si>
  <si>
    <t>2525 Emerson Ave Las Vegas, NV 89121</t>
  </si>
  <si>
    <t>Incline Village</t>
  </si>
  <si>
    <t xml:space="preserve">Nevada Rise </t>
  </si>
  <si>
    <t>Reno/Sparks</t>
  </si>
  <si>
    <t>Nevada State High School</t>
  </si>
  <si>
    <t>303 South Water Street, Suite 120 Henderson, NV 89015</t>
  </si>
  <si>
    <t>Stead</t>
  </si>
  <si>
    <t>Nevada State High School-Meadowwood</t>
  </si>
  <si>
    <t>7530 Longley Lane, Suite 103 Reno, NV 89115</t>
  </si>
  <si>
    <t>Verdi</t>
  </si>
  <si>
    <t>Nevada Virtual Academy</t>
  </si>
  <si>
    <t>4801 S. Sandhill Road, Las Vegas, NV 89121</t>
  </si>
  <si>
    <t>Wadsworth</t>
  </si>
  <si>
    <t>Oasis Academy</t>
  </si>
  <si>
    <t>920 West Williams Avenue, Fallon, NV 89406</t>
  </si>
  <si>
    <t xml:space="preserve">White Pine </t>
  </si>
  <si>
    <t>Baker</t>
  </si>
  <si>
    <t>Odyssey Charter Schools</t>
  </si>
  <si>
    <t>2251 S. Jones Blvd. Las Vegas, NV 89146</t>
  </si>
  <si>
    <t>Pinecrest Academy of Northern Nevada</t>
  </si>
  <si>
    <t>1150 Silent Sparrow Dr. Sparks, NV 89441</t>
  </si>
  <si>
    <t>Lund</t>
  </si>
  <si>
    <t>Pinecrest Academy of Nevada</t>
  </si>
  <si>
    <t>1360 S Boulder Hwy, Henderson, NV 89015</t>
  </si>
  <si>
    <t>McGill</t>
  </si>
  <si>
    <t>Pioneer Technical Arts Academy</t>
  </si>
  <si>
    <t>Quest Academy</t>
  </si>
  <si>
    <t>7550 W Alexander Rd, Las Vegas, NV 89129</t>
  </si>
  <si>
    <t>Rainbow Dreams Academy</t>
  </si>
  <si>
    <t>950 W Lake Mead Blvd, Las Vegas, NV 89106</t>
  </si>
  <si>
    <t>Rooted Charter School</t>
  </si>
  <si>
    <t>2401 E Tonopah Ave Las Vegas, NV 89030</t>
  </si>
  <si>
    <t>Sage Collegiate Academy</t>
  </si>
  <si>
    <t>10303 Songsparrow Ct, Las Vegas, NV 89135</t>
  </si>
  <si>
    <t>Sierra Nevada Academy Charter</t>
  </si>
  <si>
    <t>13880 Stead Blvd, Reno, NV 89506</t>
  </si>
  <si>
    <t>Signature Preparatory</t>
  </si>
  <si>
    <t>498 S Boulder Hwy, Henderson, NV 89015</t>
  </si>
  <si>
    <t>Silver Sands Montessori</t>
  </si>
  <si>
    <t>1841 Whitney Mesa Dr, Henderson, NV 89014</t>
  </si>
  <si>
    <t>Somerset Academy</t>
  </si>
  <si>
    <t>385 W. Centennial Parkway, North Las Vegas, NV 89084</t>
  </si>
  <si>
    <t>Southern Nevada Trade High School</t>
  </si>
  <si>
    <t>1580 Bledsoe Ln Las Vegas, NV 89110,</t>
  </si>
  <si>
    <t>Sports Leadership and Management Academy</t>
  </si>
  <si>
    <t>1095 Fielders St., Henderson, NV 89011</t>
  </si>
  <si>
    <t>Strong Start Academy</t>
  </si>
  <si>
    <t>310 S 9th St, Las Vegas, NV 89101</t>
  </si>
  <si>
    <t>ThrivePoint</t>
  </si>
  <si>
    <t>3802 Meadows Lane, Las Vegas, NV 89107</t>
  </si>
  <si>
    <t>Vegas Vista Academy</t>
  </si>
  <si>
    <t>5355 Madre Mesa Dr. Las Vegas, NV 89108</t>
  </si>
  <si>
    <t>Young Women's Leadership Academy</t>
  </si>
  <si>
    <t>Total Charter Schools</t>
  </si>
  <si>
    <t>1164 N, Reno, NV 89503</t>
  </si>
  <si>
    <t>TBD</t>
  </si>
  <si>
    <t>Total University Schools</t>
  </si>
  <si>
    <t>Total Charter and University Schools</t>
  </si>
  <si>
    <t>SCHOOL DISTRICT SCHOOL ENROLLMENT SUMMARY</t>
  </si>
  <si>
    <t>School Name</t>
  </si>
  <si>
    <t>Al Seeliger Elementary</t>
  </si>
  <si>
    <t>Bordewich/Bray Elementary</t>
  </si>
  <si>
    <t>Carson High School</t>
  </si>
  <si>
    <t>Carson Middle School</t>
  </si>
  <si>
    <t>Eagle Valley Middle School</t>
  </si>
  <si>
    <t>Early Childhood Center</t>
  </si>
  <si>
    <t>Edith W. Fritsch Elementary</t>
  </si>
  <si>
    <t>Empire Elementary</t>
  </si>
  <si>
    <t>Fremont Elementary</t>
  </si>
  <si>
    <t>Mark Twain Elementary</t>
  </si>
  <si>
    <t>Pioneer Academy</t>
  </si>
  <si>
    <t>Churchill County High School</t>
  </si>
  <si>
    <t>Churchill County Middle School</t>
  </si>
  <si>
    <t>E C Best Elementary</t>
  </si>
  <si>
    <t>Lahontan Elementary School</t>
  </si>
  <si>
    <t>Northside Early Learning Center</t>
  </si>
  <si>
    <t>Numa Elementary School</t>
  </si>
  <si>
    <t>Abston, Sandra B ES</t>
  </si>
  <si>
    <t>Acceleration Academy</t>
  </si>
  <si>
    <t>Adams, Kirk ES</t>
  </si>
  <si>
    <t>Adcock, O K ES</t>
  </si>
  <si>
    <t>Advanced Technologies Academy HS</t>
  </si>
  <si>
    <t>Alamo, Tony ES</t>
  </si>
  <si>
    <t>Allen, Dean LaMar ES</t>
  </si>
  <si>
    <t>Antonello, Lee ES</t>
  </si>
  <si>
    <t>Arbor View HS</t>
  </si>
  <si>
    <t>adj</t>
  </si>
  <si>
    <t>Bailey, Dr William H MS</t>
  </si>
  <si>
    <t>Bailey, Sister Robert Joseph ES</t>
  </si>
  <si>
    <t>Barber, Shirley A ES</t>
  </si>
  <si>
    <t>Bartlett, Selma F ES</t>
  </si>
  <si>
    <t>Basic Academy of Int'l Studies HS</t>
  </si>
  <si>
    <t>Bass, John C ES</t>
  </si>
  <si>
    <t>Batterman, Kathy L ES</t>
  </si>
  <si>
    <t>Beatty, John R ES</t>
  </si>
  <si>
    <t>Becker, Ernest MS</t>
  </si>
  <si>
    <t>Beckley, Will ES</t>
  </si>
  <si>
    <t>Bell, Rex ES</t>
  </si>
  <si>
    <t>Bendorf, Patricia A ES</t>
  </si>
  <si>
    <t>Bennett, William G ES</t>
  </si>
  <si>
    <t>Berkley, Shelley ES</t>
  </si>
  <si>
    <t>Bilbray, James ES</t>
  </si>
  <si>
    <t>Blue Diamond ES</t>
  </si>
  <si>
    <t>Bonanza HS</t>
  </si>
  <si>
    <t>Bonner, John W ES</t>
  </si>
  <si>
    <t>Booker, Kermit R Sr ES</t>
  </si>
  <si>
    <t>Boulder City HS</t>
  </si>
  <si>
    <t>Bowler, Grant ES</t>
  </si>
  <si>
    <t>Bowler, Joseph L ES</t>
  </si>
  <si>
    <t>Bozarth, Henry &amp; Evelyn ES</t>
  </si>
  <si>
    <t>Bracken, Walter ES</t>
  </si>
  <si>
    <t>Bridger, Jim MS</t>
  </si>
  <si>
    <t>Brinley, J Harold MS</t>
  </si>
  <si>
    <t>Brookman, Eileen B ES</t>
  </si>
  <si>
    <t>Brown, B Mahlon JHS</t>
  </si>
  <si>
    <t>Brown, Hannah Marie ES</t>
  </si>
  <si>
    <t>Bruner, Lucile ES</t>
  </si>
  <si>
    <t>Bryan, Richard H ES</t>
  </si>
  <si>
    <t>Bryan, Roger M ES</t>
  </si>
  <si>
    <t>Bunker, Berkeley L ES</t>
  </si>
  <si>
    <t>Burk Horizon-Southwest Sunset HS</t>
  </si>
  <si>
    <t>Burkholder, Lyal MS</t>
  </si>
  <si>
    <t>Cadwallader, Ralph MS</t>
  </si>
  <si>
    <t>Cahlan, Marion ES</t>
  </si>
  <si>
    <t>Cambeiro, Arturo ES</t>
  </si>
  <si>
    <t>Canarelli, Lawrence &amp; Heidi MS</t>
  </si>
  <si>
    <t>Cannon, Helen C JHS</t>
  </si>
  <si>
    <t>Canyon Springs HS</t>
  </si>
  <si>
    <t>Carl, Kay ES</t>
  </si>
  <si>
    <t>Cartwright, Roberta C ES</t>
  </si>
  <si>
    <t>Cashman, James MS</t>
  </si>
  <si>
    <t>Centennial HS</t>
  </si>
  <si>
    <t>Central Technical Training Academy</t>
  </si>
  <si>
    <t>Chaparral HS</t>
  </si>
  <si>
    <t>Cheyenne HS</t>
  </si>
  <si>
    <t>Christensen, M J ES</t>
  </si>
  <si>
    <t>Cimarron-Memorial HS</t>
  </si>
  <si>
    <t>Clark County Detention Ctr J-SHS</t>
  </si>
  <si>
    <t>Clark, Ed W HS</t>
  </si>
  <si>
    <t>College of So NV HS East</t>
  </si>
  <si>
    <t>College of So NV HS South</t>
  </si>
  <si>
    <t>College of So NV HS West</t>
  </si>
  <si>
    <t>Conners, Eileen ES</t>
  </si>
  <si>
    <t>Coronado HS</t>
  </si>
  <si>
    <t>Cortez, Manuel J ES</t>
  </si>
  <si>
    <t>Cortney, Francis H JHS</t>
  </si>
  <si>
    <t>Cowan Academic Center J-SHS</t>
  </si>
  <si>
    <t>Cowan Sunset Southeast HS</t>
  </si>
  <si>
    <t>Cox, Clyde C ES</t>
  </si>
  <si>
    <t>Cox, David M ES</t>
  </si>
  <si>
    <t>Cozine, Steve and Linda ES</t>
  </si>
  <si>
    <t>Craig, Lois ES</t>
  </si>
  <si>
    <t>Cram, Brian &amp; Teri MS</t>
  </si>
  <si>
    <t>Crestwood ES</t>
  </si>
  <si>
    <t>Culley, Paul E ES</t>
  </si>
  <si>
    <t>Cunningham, Cynthia ES</t>
  </si>
  <si>
    <t>Dailey, Jack ES</t>
  </si>
  <si>
    <t>Darnell, Marshall C ES</t>
  </si>
  <si>
    <t>Dearing, Laura ES</t>
  </si>
  <si>
    <t>Decker, C H ES</t>
  </si>
  <si>
    <t>Del Sol Academy of Performing Arts HS</t>
  </si>
  <si>
    <t>Derfelt, Herbert A ES</t>
  </si>
  <si>
    <t>Desert Oasis HS</t>
  </si>
  <si>
    <t>Desert Pines HS</t>
  </si>
  <si>
    <t>Desert Rose HS</t>
  </si>
  <si>
    <t>Desert Willow ES</t>
  </si>
  <si>
    <t>Desert Willow J-SHS</t>
  </si>
  <si>
    <t>Deskin, Ruthe ES</t>
  </si>
  <si>
    <t>Detwiler, Ollie ES</t>
  </si>
  <si>
    <t>Diaz, Ruben P ES</t>
  </si>
  <si>
    <t>Dickens, D L Dusty ES</t>
  </si>
  <si>
    <t>Diskin, P A ES</t>
  </si>
  <si>
    <t>Divich, Kenneth ES</t>
  </si>
  <si>
    <t>Dondero, Harvey N ES</t>
  </si>
  <si>
    <t>Dooley, John ES</t>
  </si>
  <si>
    <t>Duncan, Ruby ES</t>
  </si>
  <si>
    <t>Durango HS</t>
  </si>
  <si>
    <t>Earl, Ira J ES</t>
  </si>
  <si>
    <t>Earl, Marion B ES</t>
  </si>
  <si>
    <t>Early Childhood ES</t>
  </si>
  <si>
    <t>East Career and Technical Academy HS</t>
  </si>
  <si>
    <t>Edwards, Elbert ES</t>
  </si>
  <si>
    <t>Eisenberg, Dorothy ES</t>
  </si>
  <si>
    <t>Eldorado HS</t>
  </si>
  <si>
    <t>Elizondo, Raul P ES</t>
  </si>
  <si>
    <t>Ellis, Robert &amp; Sandy ES</t>
  </si>
  <si>
    <t>Escobedo, Edmundo Eddie Sr MS</t>
  </si>
  <si>
    <t>Faiss, Wilbur &amp; Theresa MS</t>
  </si>
  <si>
    <t>Ferron, William E ES</t>
  </si>
  <si>
    <t>Fertitta, Victoria MS</t>
  </si>
  <si>
    <t>Findlay, Clifford O MS</t>
  </si>
  <si>
    <t>Fine, Mark L ES</t>
  </si>
  <si>
    <t>Fitzgerald, H P ES</t>
  </si>
  <si>
    <t>Fong, Wing and Lilly ES</t>
  </si>
  <si>
    <t>Foothill HS</t>
  </si>
  <si>
    <t>Forbuss, Robert L ES</t>
  </si>
  <si>
    <t>Fremont, John C Professional Dev MS</t>
  </si>
  <si>
    <t>French, Doris ES</t>
  </si>
  <si>
    <t>Frias, Charles &amp; Phyllis ES</t>
  </si>
  <si>
    <t>Galloway, Fay ES</t>
  </si>
  <si>
    <t>Garehime, Edith ES</t>
  </si>
  <si>
    <t>Garrett, Elton M JHS</t>
  </si>
  <si>
    <t>Garside, Frank F JHS</t>
  </si>
  <si>
    <t>Gehring, Roger D Acad of Science &amp; Technology ES</t>
  </si>
  <si>
    <t>Gibson, James ES</t>
  </si>
  <si>
    <t>Gibson, Robert O MS Leadership Academy</t>
  </si>
  <si>
    <t>Gilbert, CVT ES</t>
  </si>
  <si>
    <t>Givens, Linda Rankin ES</t>
  </si>
  <si>
    <t>Global Community HS</t>
  </si>
  <si>
    <t>Goldfarb, Daniel ES</t>
  </si>
  <si>
    <t>Goodsprings ES</t>
  </si>
  <si>
    <t>Goolsby, Judy &amp; John L ES</t>
  </si>
  <si>
    <t>Goynes, Theron H &amp; Naomi D ES</t>
  </si>
  <si>
    <t>Gragson, Oran K ES</t>
  </si>
  <si>
    <t>Gray, R Guild ES</t>
  </si>
  <si>
    <t>Green Valley HS</t>
  </si>
  <si>
    <t>Greenspun, Barbara &amp; Hank JHS</t>
  </si>
  <si>
    <t>Griffith, E W ES</t>
  </si>
  <si>
    <t>Guinn, Kenny C MS</t>
  </si>
  <si>
    <t>Gunderson, Barry and June MS</t>
  </si>
  <si>
    <t>Guy, Addeliar D III ES</t>
  </si>
  <si>
    <t>Hancock, Doris ES</t>
  </si>
  <si>
    <t>Harmon, Harley ES</t>
  </si>
  <si>
    <t>Harney, Kathleen &amp; Tim MS</t>
  </si>
  <si>
    <t>Harris, George E ES</t>
  </si>
  <si>
    <t>Hayden, Don E ES</t>
  </si>
  <si>
    <t>Hayes, Keith C &amp; Karen W ES</t>
  </si>
  <si>
    <t>Heard, Lomie G ES</t>
  </si>
  <si>
    <t>Heckethorn, Howard E ES</t>
  </si>
  <si>
    <t>Herr, Helen ES</t>
  </si>
  <si>
    <t>Herron, Fay ES</t>
  </si>
  <si>
    <t>Hewetson, Halle ES</t>
  </si>
  <si>
    <t>Hickey, Liliam Lujan ES</t>
  </si>
  <si>
    <t>Hill, Charlotte ES</t>
  </si>
  <si>
    <t>Hinman, Edna F ES</t>
  </si>
  <si>
    <t>Hoggard, Mabel ES</t>
  </si>
  <si>
    <t>Hollingsworth, Howard ES</t>
  </si>
  <si>
    <t>Hughes, Charles Arthur MS</t>
  </si>
  <si>
    <t>Hummel, John R ES</t>
  </si>
  <si>
    <t>Hyde Park MS</t>
  </si>
  <si>
    <t>Indian Springs ES</t>
  </si>
  <si>
    <t>Indian Springs HS</t>
  </si>
  <si>
    <t>Indian Springs MS</t>
  </si>
  <si>
    <t>Iverson, Mervin ES</t>
  </si>
  <si>
    <t>Jacobson, Walter ES</t>
  </si>
  <si>
    <t>Jeffers, Jay W ES</t>
  </si>
  <si>
    <t>Jenkins, Earl N ES</t>
  </si>
  <si>
    <t>Johnson, Walter JHS Academy of Int'l Studies</t>
  </si>
  <si>
    <t>Johnston, Carroll M MS</t>
  </si>
  <si>
    <t>Jones Blackhurst, Jan L ES</t>
  </si>
  <si>
    <t>Juvenile Detention 6-12 J-SHS</t>
  </si>
  <si>
    <t>Jydstrup, Helen ES</t>
  </si>
  <si>
    <t>Kahre, Marc ES</t>
  </si>
  <si>
    <t>Katz, Edythe &amp; Lloyd ES</t>
  </si>
  <si>
    <t>Keller, Charlotte &amp; Jerry ES</t>
  </si>
  <si>
    <t>Keller, Duane D MS</t>
  </si>
  <si>
    <t>Kelly, Matt ES</t>
  </si>
  <si>
    <t>Kesterson, Lorna J ES</t>
  </si>
  <si>
    <t>Kim, Frank ES</t>
  </si>
  <si>
    <t>King Jr , Martin Luther ES</t>
  </si>
  <si>
    <t>King, Martha P ES</t>
  </si>
  <si>
    <t>Knudson, K O Academy of the Arts</t>
  </si>
  <si>
    <t>Lake, Robert E ES</t>
  </si>
  <si>
    <t>Lamping, Frank ES</t>
  </si>
  <si>
    <t>Las Vegas Academy of the Arts HS</t>
  </si>
  <si>
    <t>Las Vegas HS</t>
  </si>
  <si>
    <t>Laughlin J-SHS</t>
  </si>
  <si>
    <t>Lawrence, Clifford J JHS</t>
  </si>
  <si>
    <t>Leavitt, Justice Myron E MS</t>
  </si>
  <si>
    <t>Legacy HS</t>
  </si>
  <si>
    <t>Liberty HS</t>
  </si>
  <si>
    <t>Lied STEM Academy MS</t>
  </si>
  <si>
    <t>Lincoln ES</t>
  </si>
  <si>
    <t>Long, Walter V ES</t>
  </si>
  <si>
    <t>Lowman, Mary &amp; Zel ES</t>
  </si>
  <si>
    <t>Lummis, William ES</t>
  </si>
  <si>
    <t>Lundy, Earl B ES</t>
  </si>
  <si>
    <t>Lunt, Robert ES</t>
  </si>
  <si>
    <t>Lynch, Ann ES</t>
  </si>
  <si>
    <t>Lyon, Mack MS</t>
  </si>
  <si>
    <t>Mack, Jerome MS</t>
  </si>
  <si>
    <t>Mack, Nate ES</t>
  </si>
  <si>
    <t>Mackey, Jo ES</t>
  </si>
  <si>
    <t>Mackey, Jo MS</t>
  </si>
  <si>
    <t>Manch, J E ES</t>
  </si>
  <si>
    <t>Mannion, Jack &amp; Terry MS</t>
  </si>
  <si>
    <t>Martin, Roy W MS</t>
  </si>
  <si>
    <t>Martinez, Reynaldo L ES</t>
  </si>
  <si>
    <t>Mathis, Dr. Beverly S ES</t>
  </si>
  <si>
    <t>May, Ernest ES</t>
  </si>
  <si>
    <t>McCall, Quannah ES</t>
  </si>
  <si>
    <t>McCaw, Gordon ES</t>
  </si>
  <si>
    <t>McDoniel, Estes M ES</t>
  </si>
  <si>
    <t>McMillan, James B ES</t>
  </si>
  <si>
    <t>McWilliams, J T ES</t>
  </si>
  <si>
    <t>Mendoza, John F ES</t>
  </si>
  <si>
    <t>Miley Achievement Center ES</t>
  </si>
  <si>
    <t>Miley Achievement Ctr J-SHS</t>
  </si>
  <si>
    <t>Miller, Bob MS</t>
  </si>
  <si>
    <t>Miller, John F</t>
  </si>
  <si>
    <t>Miller, Sandy Searles ES</t>
  </si>
  <si>
    <t>Mission High School</t>
  </si>
  <si>
    <t>Mitchell, Andrew ES</t>
  </si>
  <si>
    <t>Moapa Valley HS</t>
  </si>
  <si>
    <t>Mojave HS</t>
  </si>
  <si>
    <t>Molasky, Irwin &amp; Susan JHS</t>
  </si>
  <si>
    <t>Monaco, Mario C &amp; JoAnne MS</t>
  </si>
  <si>
    <t>Moore, William K ES</t>
  </si>
  <si>
    <t>Morris Sunset HS</t>
  </si>
  <si>
    <t>Morrow, Sue H ES</t>
  </si>
  <si>
    <t>Mountain View ES</t>
  </si>
  <si>
    <t>Neal, Joseph M ES</t>
  </si>
  <si>
    <t>Newton, Ulis ES</t>
  </si>
  <si>
    <t>Northeast Career and Technical Academy HS</t>
  </si>
  <si>
    <t>Northwest Career-Technical Academy HS</t>
  </si>
  <si>
    <t>NV Learning Academy ES</t>
  </si>
  <si>
    <t>NV Learning Academy J-SHS</t>
  </si>
  <si>
    <t>NW Career-Technical Academy ES</t>
  </si>
  <si>
    <t>O Roarke, Thomas ES</t>
  </si>
  <si>
    <t>Ober, D'Vorre &amp; Hal ES</t>
  </si>
  <si>
    <t>O'Callaghan, Mike MS i3 Learn Academy</t>
  </si>
  <si>
    <t>Orr, William E MS</t>
  </si>
  <si>
    <t>Ortwein, Dennis ES</t>
  </si>
  <si>
    <t>Palo Verde HS</t>
  </si>
  <si>
    <t>Paradise Prof Dev ES</t>
  </si>
  <si>
    <t>Park, John S ES</t>
  </si>
  <si>
    <t>Parson, Claude &amp; Stella ES</t>
  </si>
  <si>
    <t>Perkins, Dr Claude G ES</t>
  </si>
  <si>
    <t>Perkins, Ute ES</t>
  </si>
  <si>
    <t>Petersen, Dean ES</t>
  </si>
  <si>
    <t>Peterson Academic Center J-SHS</t>
  </si>
  <si>
    <t>Piggott Academy ES</t>
  </si>
  <si>
    <t>Pittman, Vail ES</t>
  </si>
  <si>
    <t>Priest, Richard C ES</t>
  </si>
  <si>
    <t>Quest Program</t>
  </si>
  <si>
    <t>Rancho HS</t>
  </si>
  <si>
    <t>Red Rock ES</t>
  </si>
  <si>
    <t>Reed, Doris M ES</t>
  </si>
  <si>
    <t>Reedom, Carolyn S ES</t>
  </si>
  <si>
    <t>Reid, Harry ES</t>
  </si>
  <si>
    <t>Rhodes, Betsy ES</t>
  </si>
  <si>
    <t>Ries, Aldeane Comito ES</t>
  </si>
  <si>
    <t>Roberts, Aggie ES</t>
  </si>
  <si>
    <t>Robison, Dell H MS</t>
  </si>
  <si>
    <t>Rogers, Lucille S ES</t>
  </si>
  <si>
    <t>Rogich, Sig MS</t>
  </si>
  <si>
    <t>Ronnow, C C ES</t>
  </si>
  <si>
    <t>Ronzone, Bertha ES</t>
  </si>
  <si>
    <t>Roundy, Dr C Owen ES</t>
  </si>
  <si>
    <t>Rowe, Lewis E ES</t>
  </si>
  <si>
    <t>Rundle, Richard ES</t>
  </si>
  <si>
    <t>Sandy Valley ES</t>
  </si>
  <si>
    <t>Sandy Valley J-SHS</t>
  </si>
  <si>
    <t>Saville, Anthony MS</t>
  </si>
  <si>
    <t>Sawyer, Grant MS</t>
  </si>
  <si>
    <t>Scherkenbach, William &amp; Mary ES</t>
  </si>
  <si>
    <t>Schofield, Jack Lund MS</t>
  </si>
  <si>
    <t>Schorr, Steve ES</t>
  </si>
  <si>
    <t>Scott, Jesse D ES</t>
  </si>
  <si>
    <t>Sedway, Marvin M MS</t>
  </si>
  <si>
    <t>Sewell, C T ES</t>
  </si>
  <si>
    <t>Shadow Ridge HS</t>
  </si>
  <si>
    <t>Sierra Vista HS</t>
  </si>
  <si>
    <t>Silverado HS</t>
  </si>
  <si>
    <t>Silvestri, Charles JHS</t>
  </si>
  <si>
    <t>Simmons, Eva G ES</t>
  </si>
  <si>
    <t>Smalley, James E &amp; A Rae ES</t>
  </si>
  <si>
    <t>Smith, Hal ES</t>
  </si>
  <si>
    <t>Smith, Helen M ES</t>
  </si>
  <si>
    <t>Smith, J D MS</t>
  </si>
  <si>
    <t>Snyder, Don &amp; Dee ES</t>
  </si>
  <si>
    <t>Snyder, William E ES</t>
  </si>
  <si>
    <t>South Academic Center J-SHS</t>
  </si>
  <si>
    <t>Southeast Career Technical Academy HS</t>
  </si>
  <si>
    <t>Southeast Career Technical Academy PK</t>
  </si>
  <si>
    <t>Southwest Career &amp; Technical Academy HS</t>
  </si>
  <si>
    <t>Spring Mountain J-SHS</t>
  </si>
  <si>
    <t>Spring Valley HS</t>
  </si>
  <si>
    <t>Squires, C P ES</t>
  </si>
  <si>
    <t>Stanford ES</t>
  </si>
  <si>
    <t>Staton, Ethel W ES</t>
  </si>
  <si>
    <t>Steele, Judith D ES</t>
  </si>
  <si>
    <t>Stevens, Josh ES</t>
  </si>
  <si>
    <t>Stewart, Helen J</t>
  </si>
  <si>
    <t>Stuckey, Evelyn ES</t>
  </si>
  <si>
    <t>Summit View Youth J-SHS</t>
  </si>
  <si>
    <t>Sunrise Acres ES</t>
  </si>
  <si>
    <t>Sunrise Mountain HS</t>
  </si>
  <si>
    <t>Swainston, Theron L MS</t>
  </si>
  <si>
    <t>Tanaka, Wayne N ES</t>
  </si>
  <si>
    <t>Tarkanian, Lois &amp; Jerry MS</t>
  </si>
  <si>
    <t>Tarr, Sheila Academy of Int'l Studies ES</t>
  </si>
  <si>
    <t>Tartan, John ES</t>
  </si>
  <si>
    <t>Tate, Myrtle ES</t>
  </si>
  <si>
    <t>Taylor, Glen C ES</t>
  </si>
  <si>
    <t>Taylor, Robert L ES</t>
  </si>
  <si>
    <t>Thiriot, Joseph E ES</t>
  </si>
  <si>
    <t>Thomas, Ruby S ES</t>
  </si>
  <si>
    <t>Thompson, Sandra L ES</t>
  </si>
  <si>
    <t>Thompson, Tyrone ES</t>
  </si>
  <si>
    <t>Thorpe, Jim ES</t>
  </si>
  <si>
    <t>Tobler, R E ES</t>
  </si>
  <si>
    <t>Toland, Helen Anderson Intl Academy</t>
  </si>
  <si>
    <t>Tomiyasu, Bill Y ES</t>
  </si>
  <si>
    <t>Treem, Harriet ES</t>
  </si>
  <si>
    <t>Triggs, Vincent L ES</t>
  </si>
  <si>
    <t>Twin Lakes ES</t>
  </si>
  <si>
    <t>Twitchell, Neil C ES</t>
  </si>
  <si>
    <t>Ullom, J M ES</t>
  </si>
  <si>
    <t>Valley HS</t>
  </si>
  <si>
    <t>Vanderburg, John ES</t>
  </si>
  <si>
    <t>Variety ES</t>
  </si>
  <si>
    <t>Variety J-SHS</t>
  </si>
  <si>
    <t>Vassiliadis, Billy &amp; Rosemary ES</t>
  </si>
  <si>
    <t>Vegas Verdes ES</t>
  </si>
  <si>
    <t>Veterans Tribute CTA HS</t>
  </si>
  <si>
    <t>Virgin Valley ES</t>
  </si>
  <si>
    <t>Virgin Valley HS</t>
  </si>
  <si>
    <t>Von Tobel, Ed MS</t>
  </si>
  <si>
    <t>Walker, J Marlan Int'l School ES</t>
  </si>
  <si>
    <t>Wallin, Shirley &amp; Bill ES</t>
  </si>
  <si>
    <t>Ward, Gene ES</t>
  </si>
  <si>
    <t>Ward, Kitty McDonough ES</t>
  </si>
  <si>
    <t>Warren, Rose ES</t>
  </si>
  <si>
    <t>Wasden, Howard ES</t>
  </si>
  <si>
    <t>Watson, Fredric W ES</t>
  </si>
  <si>
    <t>Webb, Del E MS</t>
  </si>
  <si>
    <t>Wengert, Cyril ES</t>
  </si>
  <si>
    <t>West Career &amp; Technical Academy HS</t>
  </si>
  <si>
    <t>West Prep ES</t>
  </si>
  <si>
    <t>West Preparatory Institute J-SHS</t>
  </si>
  <si>
    <t>Western HS</t>
  </si>
  <si>
    <t>White, Thurman Academy of the Arts MS</t>
  </si>
  <si>
    <t>Whitney ES</t>
  </si>
  <si>
    <t>Wiener, Jr , Louis ES</t>
  </si>
  <si>
    <t>Wilhelm, Elizabeth ES</t>
  </si>
  <si>
    <t>Williams, Tom ES</t>
  </si>
  <si>
    <t>Williams, Wendell ES</t>
  </si>
  <si>
    <t>Wolfe, Eva ES</t>
  </si>
  <si>
    <t>Wolff, Elise L ES</t>
  </si>
  <si>
    <t>Woodbury, C W MS</t>
  </si>
  <si>
    <t>Woolley, Gwendolyn ES</t>
  </si>
  <si>
    <t>Wright, William V ES</t>
  </si>
  <si>
    <t>Wynn, Elaine ES</t>
  </si>
  <si>
    <t>ALT School</t>
  </si>
  <si>
    <t>ASPIRE Academy High School</t>
  </si>
  <si>
    <t>C. C. Meneley Elementary School</t>
  </si>
  <si>
    <t>Carson Valley Middle School</t>
  </si>
  <si>
    <t>Douglas High School</t>
  </si>
  <si>
    <t xml:space="preserve">Douglas Nevada Online </t>
  </si>
  <si>
    <t>G. L. Scarselli Elementary School</t>
  </si>
  <si>
    <t>Gardnerville Elementary School</t>
  </si>
  <si>
    <t>George Whittell High School</t>
  </si>
  <si>
    <t>Jacks Valley Elementary School</t>
  </si>
  <si>
    <t>Jacobsen High School</t>
  </si>
  <si>
    <t>Minden Elementary School</t>
  </si>
  <si>
    <t>Pau Wa Lu Middle School</t>
  </si>
  <si>
    <t>Pinon Hills Elementary School</t>
  </si>
  <si>
    <t>Zephyr Cove Elementary School</t>
  </si>
  <si>
    <t>Adobe Middle School</t>
  </si>
  <si>
    <t>Battle Born Youth Challenge Academy</t>
  </si>
  <si>
    <t>Carlin Elementary School</t>
  </si>
  <si>
    <t>Carlin High School</t>
  </si>
  <si>
    <t>Carlin Jr High School</t>
  </si>
  <si>
    <t>Early Childhood</t>
  </si>
  <si>
    <t>Elko High School</t>
  </si>
  <si>
    <t>Flagview Intermediate School</t>
  </si>
  <si>
    <t>Grammar School #2</t>
  </si>
  <si>
    <t>Independence Valley Elementary School</t>
  </si>
  <si>
    <t>Jackpot Elementary School</t>
  </si>
  <si>
    <t>Jackpot High School</t>
  </si>
  <si>
    <t>Jackpot Jr High School</t>
  </si>
  <si>
    <t>Liberty Peak Elementary School</t>
  </si>
  <si>
    <t>Montello Elementary School</t>
  </si>
  <si>
    <t>Mound Valley Elementary School</t>
  </si>
  <si>
    <t>Mountain View Elementary School</t>
  </si>
  <si>
    <t>Northeastern Nevada Virtual Academy</t>
  </si>
  <si>
    <t>Northside Elementary School</t>
  </si>
  <si>
    <t>Owyhee Elementary School</t>
  </si>
  <si>
    <t>Owyhee High School</t>
  </si>
  <si>
    <t>Owyhee Jr High School</t>
  </si>
  <si>
    <t>Ruby Valley Elementary School</t>
  </si>
  <si>
    <t>Sage Elementary School</t>
  </si>
  <si>
    <t>Southside Elementary School</t>
  </si>
  <si>
    <t>Spring Creek Elementary School</t>
  </si>
  <si>
    <t>Spring Creek High School</t>
  </si>
  <si>
    <t>Spring Creek Middle School</t>
  </si>
  <si>
    <t>Wells Elementary School</t>
  </si>
  <si>
    <t>Wells High School</t>
  </si>
  <si>
    <t>Wells Jr High School</t>
  </si>
  <si>
    <t>West Wendover Elementary School</t>
  </si>
  <si>
    <t>West Wendover High School</t>
  </si>
  <si>
    <t>West Wendover Middle School</t>
  </si>
  <si>
    <t>Dyer Elementary School</t>
  </si>
  <si>
    <t>Esmeralda Virtual High School</t>
  </si>
  <si>
    <t>Goldfield Elementary School</t>
  </si>
  <si>
    <t>Out of State</t>
  </si>
  <si>
    <t>Silver Peak Elementary School</t>
  </si>
  <si>
    <t>Crescent Valley Elementary</t>
  </si>
  <si>
    <t>Eureka County High School</t>
  </si>
  <si>
    <t>Eureka Elementary School</t>
  </si>
  <si>
    <t>Albert M. Lowry High School</t>
  </si>
  <si>
    <t>Denio - Includes Child Find</t>
  </si>
  <si>
    <t>French Ford Middle School</t>
  </si>
  <si>
    <t>Grass Valley Elementary</t>
  </si>
  <si>
    <t>McDermitt Elementary</t>
  </si>
  <si>
    <t>McDermitt High School</t>
  </si>
  <si>
    <t>McDermitt Junior High School</t>
  </si>
  <si>
    <t>Orovada School</t>
  </si>
  <si>
    <t>Paradise Valley School</t>
  </si>
  <si>
    <t>Sonoma Heights Elementary</t>
  </si>
  <si>
    <t>Winnemucca Grammar School</t>
  </si>
  <si>
    <t>Winnemucca Junior High School</t>
  </si>
  <si>
    <t>Austin Combined Schools</t>
  </si>
  <si>
    <t>Battle Mountain Elementary School</t>
  </si>
  <si>
    <t>Battle Mountain High School</t>
  </si>
  <si>
    <t>Eleanor Lemaire Junior High School</t>
  </si>
  <si>
    <t>C O Bastian High School</t>
  </si>
  <si>
    <t>Caliente Elementary School</t>
  </si>
  <si>
    <t>Lincoln County High School</t>
  </si>
  <si>
    <t>Meadow Valley Middle School</t>
  </si>
  <si>
    <t>Pahranagat Valley Elementary School</t>
  </si>
  <si>
    <t>Pahranagat Valley High School</t>
  </si>
  <si>
    <t>Pahranagat Valley Middle School</t>
  </si>
  <si>
    <t>Panaca Elementary School</t>
  </si>
  <si>
    <t>Pioche Elementary School</t>
  </si>
  <si>
    <t>Cottonwood Elementary School</t>
  </si>
  <si>
    <t>Dayton Elementary School</t>
  </si>
  <si>
    <t>Dayton High School</t>
  </si>
  <si>
    <t>Dayton Intermediate School</t>
  </si>
  <si>
    <t>Eagle Ridge High School</t>
  </si>
  <si>
    <t>East Valley Elementary School</t>
  </si>
  <si>
    <t>Fernley Elementary School</t>
  </si>
  <si>
    <t>Fernley High School</t>
  </si>
  <si>
    <t>Fernley Intermediate School</t>
  </si>
  <si>
    <t>Riverview Elementary School</t>
  </si>
  <si>
    <t>Silver Stage Elementary School</t>
  </si>
  <si>
    <t>Silver Stage High School</t>
  </si>
  <si>
    <t>Silver Stage Middle School</t>
  </si>
  <si>
    <t>Silverland Middle School</t>
  </si>
  <si>
    <t>Smith Valley Schools</t>
  </si>
  <si>
    <t>Sutro Elementary School</t>
  </si>
  <si>
    <t>Yerington</t>
  </si>
  <si>
    <t>Yerington Elementary School</t>
  </si>
  <si>
    <t>Yerington High School</t>
  </si>
  <si>
    <t>Yerington Intermediate School</t>
  </si>
  <si>
    <t>Hawthorne Elementary</t>
  </si>
  <si>
    <t>Hawthorne Junior High</t>
  </si>
  <si>
    <t>Mineral County High School</t>
  </si>
  <si>
    <t>Schurz Elementary</t>
  </si>
  <si>
    <t>Amargosa Valley Elementary School</t>
  </si>
  <si>
    <t>Amargosa Valley Middle School</t>
  </si>
  <si>
    <t>Beatty Elementary School</t>
  </si>
  <si>
    <t>Beatty High School</t>
  </si>
  <si>
    <t>Beatty Middle School</t>
  </si>
  <si>
    <t>Floyd Elementary School</t>
  </si>
  <si>
    <t>Gabbs Elementary School</t>
  </si>
  <si>
    <t>Gabbs High School</t>
  </si>
  <si>
    <t>Gabbs Middle School</t>
  </si>
  <si>
    <t>Hafen Elementary School</t>
  </si>
  <si>
    <t>J G Johnson Elementary School</t>
  </si>
  <si>
    <t>Manse Elementary School</t>
  </si>
  <si>
    <t>Mt Charleston Elementary School</t>
  </si>
  <si>
    <t>Pahrump Valley High School</t>
  </si>
  <si>
    <t>Pathways Elementary School</t>
  </si>
  <si>
    <t>Pathways High School</t>
  </si>
  <si>
    <t>Pathways Middle School</t>
  </si>
  <si>
    <t>Rosemary Clarke Middle School</t>
  </si>
  <si>
    <t>Round Mountain Elementary School</t>
  </si>
  <si>
    <t>Round Mountain High School</t>
  </si>
  <si>
    <t>Round Mountain Middle School</t>
  </si>
  <si>
    <t>Tonopah Elementary School</t>
  </si>
  <si>
    <t>Tonopah High School</t>
  </si>
  <si>
    <t>Tonopah Middle School</t>
  </si>
  <si>
    <t>Early Childhood Education PK</t>
  </si>
  <si>
    <t>Imlay Elementary School</t>
  </si>
  <si>
    <t>Lovelock Elementary School</t>
  </si>
  <si>
    <t>Pershing County High School</t>
  </si>
  <si>
    <t>Pershing County Middle School</t>
  </si>
  <si>
    <t>Hillside Elementary School</t>
  </si>
  <si>
    <t>Hugh Gallagher Elementary School</t>
  </si>
  <si>
    <t>Virginia City High School</t>
  </si>
  <si>
    <t>Virginia City Middle School</t>
  </si>
  <si>
    <t>ACADEMY OF ARTS CAREERS &amp; TECH</t>
  </si>
  <si>
    <t>AGNES RISLEY ELEMENTARY</t>
  </si>
  <si>
    <t>ALICE MAXWELL ELEMENTARY</t>
  </si>
  <si>
    <t>ALICE SMITH ELEMENTARY</t>
  </si>
  <si>
    <t>ALYCE TAYLOR ELEMENTARY</t>
  </si>
  <si>
    <t>ANDERSON ELEMENTARY</t>
  </si>
  <si>
    <t>ARCHIE CLAYTON PRE-A.P. ACADEMY</t>
  </si>
  <si>
    <t>BERNICE MATHEWS ELEMENTARY</t>
  </si>
  <si>
    <t>BILLINGHURST MIDDLE SCHOOL</t>
  </si>
  <si>
    <t>BROWN ELEMENTARY</t>
  </si>
  <si>
    <t>BUD BEASLEY ELEMENTARY</t>
  </si>
  <si>
    <t>CAUGHLIN RANCH ELEMENTARY</t>
  </si>
  <si>
    <t>COLD SPRINGS MIDDLE SCHOOL</t>
  </si>
  <si>
    <t>DAMONTE RANCH HIGH SCHOOL</t>
  </si>
  <si>
    <t>DARREL SWOPE MIDDLE SCHOOL</t>
  </si>
  <si>
    <t>DESERT HEIGHTS ELEMENTARY</t>
  </si>
  <si>
    <t>DESERT SKIES MIDDLE SCHOOL</t>
  </si>
  <si>
    <t>DONNER SPRINGS ELEMENTARY</t>
  </si>
  <si>
    <t>DOROTHY LEMELSON S.T.E.M. ACADEMY ES</t>
  </si>
  <si>
    <t>DOUBLE DIAMOND ELEMENTARY</t>
  </si>
  <si>
    <t>E. OTIS VAUGHN MIDDLE SCHOOL</t>
  </si>
  <si>
    <t>EARL WOOSTER HIGH SCHOOL</t>
  </si>
  <si>
    <t>ECHO LODER ELEMENTARY SCHOOL</t>
  </si>
  <si>
    <t>EDWARD C. REED HIGH SCHOOL</t>
  </si>
  <si>
    <t>EDWARD L. PINE MIDDLE SCHOOL</t>
  </si>
  <si>
    <t>EDWIN S. DODSON ELEMENTARY</t>
  </si>
  <si>
    <t>ELIZABETH LENZ ELEMENTARY</t>
  </si>
  <si>
    <t>ELMCREST ELEMENTARY</t>
  </si>
  <si>
    <t>ESTHER BENNETT ELEMENTARY</t>
  </si>
  <si>
    <t>FLORENCE DRAKE ELEMENTARY</t>
  </si>
  <si>
    <t>FRED W. TRANER MIDDLE SCHOOL</t>
  </si>
  <si>
    <t>GALENA HIGH SCHOOL</t>
  </si>
  <si>
    <t>GEORGE L. DILWORTH S.T.E.M ACADEMY</t>
  </si>
  <si>
    <t>GEORGE WESTERGARD ELEMENTARY</t>
  </si>
  <si>
    <t>GERLACH K-12 SCHOOL</t>
  </si>
  <si>
    <t>GLENN DUNCAN S.T.E.M. ACADEMY</t>
  </si>
  <si>
    <t>GRACE WARNER ELEMENTARY</t>
  </si>
  <si>
    <t>GREENBRAE ELEMENTARY</t>
  </si>
  <si>
    <t>HIDDEN VALLEY ELEMENTARY</t>
  </si>
  <si>
    <t>HUFFAKER ELEMENTARY</t>
  </si>
  <si>
    <t>HUNTER LAKE ELEMENTARY</t>
  </si>
  <si>
    <t>INCLINE ELEMENTARY</t>
  </si>
  <si>
    <t>INCLINE HIGH SCHOOL</t>
  </si>
  <si>
    <t>INCLINE MIDDLE SCHOOL</t>
  </si>
  <si>
    <t>INNOVATIONS HIGH SCHOOL</t>
  </si>
  <si>
    <t>JERRY WHITEHEAD ELEMENTARY</t>
  </si>
  <si>
    <t>JESSE HALL ELEMENTARY SCHOOL</t>
  </si>
  <si>
    <t>JESSIE BECK ELEMENTARY</t>
  </si>
  <si>
    <t>JOHN BOHACH ELEMENTARY SCHOOL</t>
  </si>
  <si>
    <t>JWOOD RAW ELEMENTARY SCHOOL</t>
  </si>
  <si>
    <t>KATE SMITH ELEMENTARY</t>
  </si>
  <si>
    <t>KATHERINE DUNN ELEMENTARY</t>
  </si>
  <si>
    <t>KENDYL DEPOALI MIDDLE SCHOOL</t>
  </si>
  <si>
    <t>LEMMON VALLEY ELEMENTARY</t>
  </si>
  <si>
    <t>LENA JUNIPER ELEMENTARY</t>
  </si>
  <si>
    <t>LIBBY BOOTH ELEMENTARY</t>
  </si>
  <si>
    <t>LINCOLN PARK ELEMENTARY</t>
  </si>
  <si>
    <t>LLOYD DIEDRICHSEN ELEMENTARY</t>
  </si>
  <si>
    <t>LOIS ALLEN ELEMENTARY</t>
  </si>
  <si>
    <t>LOU MENDIVE MIDDLE SCHOOL</t>
  </si>
  <si>
    <t>MAMIE TOWLES ELEMENTARY</t>
  </si>
  <si>
    <t>MARCE HERZ MIDDLE SCHOOL</t>
  </si>
  <si>
    <t>MARVIN MOSS ELEMENTARY</t>
  </si>
  <si>
    <t>MARVIN PICOLLO ELEMENTARY</t>
  </si>
  <si>
    <t>MICHAEL INSKEEP ELEMENTARY SCHOOL</t>
  </si>
  <si>
    <t>MIGUEL SEPULVEDA ELEMENTARY SCHOOL</t>
  </si>
  <si>
    <t>MOUNT ROSE K-8 ACADEMY OF LANGUAGES</t>
  </si>
  <si>
    <t>NANCY GOMES ELEMENTARY</t>
  </si>
  <si>
    <t>NATCHEZ ELEMENTARY</t>
  </si>
  <si>
    <t>NICK POULAKIDAS ELEMENTARY SCHOOL</t>
  </si>
  <si>
    <t>NORTH STAR ONLINE SCHOOL</t>
  </si>
  <si>
    <t>NORTH VALLEYS HIGH SCHOOL</t>
  </si>
  <si>
    <t>PEAVINE ELEMENTARY</t>
  </si>
  <si>
    <t>Pleasant Valley</t>
  </si>
  <si>
    <t>PLEASANT VALLEY ELEMENTARY</t>
  </si>
  <si>
    <t>PROCTER R. HUG HIGH SCHOOL</t>
  </si>
  <si>
    <t>RENO HIGH SCHOOL</t>
  </si>
  <si>
    <t>RITA CANNAN ELEMENTARY</t>
  </si>
  <si>
    <t>ROBERT MCQUEEN HIGH SCHOOL</t>
  </si>
  <si>
    <t>ROBERT MITCHELL ELEMENTARY</t>
  </si>
  <si>
    <t>ROGER CORBETT ELEMENTARY</t>
  </si>
  <si>
    <t>ROLLAN MELTON ELEMENTARY</t>
  </si>
  <si>
    <t>ROY GOMM ELEMENTARY</t>
  </si>
  <si>
    <t>SARAH WINNEMUCCA ELEMENTARY</t>
  </si>
  <si>
    <t>SILVER LAKE ELEMENTARY</t>
  </si>
  <si>
    <t>SKY RANCH MIDDLE SCHOOL</t>
  </si>
  <si>
    <t>SMITHRIDGE S.T.E.M. ACADEMY</t>
  </si>
  <si>
    <t>SPANISH SPRINGS ELEMENTARY</t>
  </si>
  <si>
    <t>SPANISH SPRINGS HIGH SCHOOL</t>
  </si>
  <si>
    <t>SPARKS HIGH SCHOOL</t>
  </si>
  <si>
    <t>SPARKS MIDDLE SCHOOL</t>
  </si>
  <si>
    <t>STEAD ELEMENTARY</t>
  </si>
  <si>
    <t>SUN VALLEY ELEMENTARY</t>
  </si>
  <si>
    <t>TED HUNSBERGER ELEMENTARY</t>
  </si>
  <si>
    <t>TMCC MAGNET SCHOOL</t>
  </si>
  <si>
    <t>TURNING POINT</t>
  </si>
  <si>
    <t>VAN GORDER ELEMENTARY</t>
  </si>
  <si>
    <t>VERDI ELEMENTARY</t>
  </si>
  <si>
    <t>VETERANS MEMORIAL S.T.E.M. ACADEMY</t>
  </si>
  <si>
    <t>VIRGINIA PALMER ELEMENTARY</t>
  </si>
  <si>
    <t>WASHOE INSPIRE ACADEMY</t>
  </si>
  <si>
    <t>WILLIAM OBRIEN S.T.E.M. ACADEMY</t>
  </si>
  <si>
    <t>YVONNE SHAW MIDDLE SCHOOL</t>
  </si>
  <si>
    <t>Baker Elementary</t>
  </si>
  <si>
    <t>David E Norman Elementary</t>
  </si>
  <si>
    <t>Lund Elementary</t>
  </si>
  <si>
    <t>Lund High School</t>
  </si>
  <si>
    <t>McGill Elementary</t>
  </si>
  <si>
    <t>Steptoe Valley High School</t>
  </si>
  <si>
    <t>White Pine High School</t>
  </si>
  <si>
    <t>White Pine Middle School</t>
  </si>
  <si>
    <t>Total School District Schools</t>
  </si>
  <si>
    <t>FY 24</t>
  </si>
  <si>
    <t>FY 25 Base</t>
  </si>
  <si>
    <t xml:space="preserve">Total General Fund </t>
  </si>
  <si>
    <t>Budgeted Revenue Projections (Year 1)</t>
  </si>
  <si>
    <t>FY26</t>
  </si>
  <si>
    <t>FY27</t>
  </si>
  <si>
    <t>FY 2025 Base Funding</t>
  </si>
  <si>
    <t>TOTAL GENERAL FUND APPROPRIATION</t>
  </si>
  <si>
    <t>BASE GF APPROPRIATION</t>
  </si>
  <si>
    <t>RGL</t>
  </si>
  <si>
    <t>Pupil Centered Funding Plan Revenue Sources</t>
  </si>
  <si>
    <t>Amount</t>
  </si>
  <si>
    <t>% of Total</t>
  </si>
  <si>
    <t>Projected FY 2026 GFUND</t>
  </si>
  <si>
    <t>GENERAL FUND APPROPRIATION</t>
  </si>
  <si>
    <t xml:space="preserve">	BAL FWD FROM PREVIOUS YEAR (PROCEEDS OF MINERALS (NPM) - (Received in prior year for expenditure in current year)</t>
  </si>
  <si>
    <t>Revised Consensus Forecast</t>
  </si>
  <si>
    <t>BAL FWD FROM PREVIOUS YEAR (Excess Revenue From Education Stabilization Account Above 15%)</t>
  </si>
  <si>
    <t xml:space="preserve">Net Proceeds of Minerals </t>
  </si>
  <si>
    <t>NET PROCEEDS OF MINERALS TAX (NPM) - STATE</t>
  </si>
  <si>
    <t>Carson</t>
  </si>
  <si>
    <t>GOLD AND SILVER EXCISE TAX</t>
  </si>
  <si>
    <t>FY2023</t>
  </si>
  <si>
    <t>BASIC GOVT SERVICE TAX</t>
  </si>
  <si>
    <t>CANNABIS RETAIL EXCISE TAX</t>
  </si>
  <si>
    <t>LOCAL SCHOOL SUPPORT TAX</t>
  </si>
  <si>
    <t>ANNUAL SLOT TAX</t>
  </si>
  <si>
    <t>ROOM TAX REVENUE (AB 579 TRANSIENT LODGING TAX)</t>
  </si>
  <si>
    <t>PROPERTY TAX</t>
  </si>
  <si>
    <t>FEDERAL MINERAL LEASING ACT REVENUE</t>
  </si>
  <si>
    <t>FRANCHISE FEES</t>
  </si>
  <si>
    <t>NET PROCEEDS MNRLS - DISTRICTS (NPM) - (Received in current year for expenditure in future year)</t>
  </si>
  <si>
    <t>FORFEITURES OF PROPERTY</t>
  </si>
  <si>
    <t>ADMINISTRATIVE FINES</t>
  </si>
  <si>
    <t>PCFP YR END TRUE UP REFUND</t>
  </si>
  <si>
    <t>GIFTS AND DONATIONS</t>
  </si>
  <si>
    <t>TREASURER'S INTEREST DISTRIB</t>
  </si>
  <si>
    <t>FINE COLLECTIONS (FUEL VIOLATIONS) - DEPARTMENT OF AGRICULTURE - AGRICULTURE FINES</t>
  </si>
  <si>
    <t>TRANS FROM UNCLAIMED PROPERTY</t>
  </si>
  <si>
    <t>Total NPM</t>
  </si>
  <si>
    <t>TRANS FROM OTHER B/A SAME FUND</t>
  </si>
  <si>
    <t>TRANS BOATING REVENUE</t>
  </si>
  <si>
    <t>TRANSFER FROM CCB</t>
  </si>
  <si>
    <t>TRANS FROM PERMNT SCHOOL FUND</t>
  </si>
  <si>
    <t xml:space="preserve"> (NPM RECEIVED IN CURRENT YEAR FOR EXPENDITURE IN FOLLOWING FISCAL YEAR)</t>
  </si>
  <si>
    <t>Transfer from Permanent School Fund often occur after July 1st</t>
  </si>
  <si>
    <t>Transfer from CCB often occur after July 1st</t>
  </si>
  <si>
    <t>1 months transfer of Local Support Tax often occur after late June/and July transfers)</t>
  </si>
  <si>
    <t>Local Property tax Transfer are 1 month behind estimated balance forward June transfers</t>
  </si>
  <si>
    <t>Total K-12 Education Revenue Sources to be Distributed Through the Pupil-Centered Funding Plan</t>
  </si>
  <si>
    <t>Revenues projected to be received after July 1st for use in next FY</t>
  </si>
  <si>
    <t>NEBS Total</t>
  </si>
  <si>
    <t>Historically, PCFP revenues do not keep pace with outgoing obligations and BA 2609 continues to receive revenues well after the 12th payment of the PCFP is issued on June 27 to ensure compliance with NRS 387.124.  To meet the requirement of NRS 387.124, the projected revenues in this model reflect the estimated $570,722,083 of revenues that would be transferred after the issuance of the 12th PCFP payment. To compensate for the future use of the identified revenues, the General Fund Appropriations have been front loaded to offset the late transfers from the other revenue sources.</t>
  </si>
  <si>
    <t>Inputs, Net Proceeds of Minerials References and Notes</t>
  </si>
  <si>
    <t xml:space="preserve">Pursuant to SB543, Section 4, Subsection 6, Net Proceeds of Minerals revenues are to be deemed to be the first money allocated to school districts under the Pupil Centered Funding Plan. Schedule provides Net Proceeds of Minerials collections in each county to be used as part of the hold harmless calculation. </t>
  </si>
  <si>
    <t>2.9A Hold Harmless, Calcs</t>
  </si>
  <si>
    <t>Inputs, Hold Harmless FY2020 Freeze Calculation References and Notes</t>
  </si>
  <si>
    <t>Pursuant to SB543, Section 15, Subsection 2, a hold harmless is established such that no district shall receive less funding that it did for the fiscal year ending on June 30, 2020. This schedule provides the calculation of the FY2020 for each school district.</t>
  </si>
  <si>
    <t>2.9 Hold Harmless
2.9A Hold Harmless, Calcs</t>
  </si>
  <si>
    <t xml:space="preserve">2020 Freeze Calculation reflects total funds allocated to each school district. It excludes direct and indirect allocations to charter schools as well an minor revenues that are considered to be outside of the Public Centered Funding Plan. </t>
  </si>
  <si>
    <t>Calculation</t>
  </si>
  <si>
    <t>FY 2020 Baseline Revenue Received (All Years)</t>
  </si>
  <si>
    <t>Updated 5.13.2022</t>
  </si>
  <si>
    <t>Original FY 2020 Baseline Revenues Received</t>
  </si>
  <si>
    <t>Prior Year adjusted Baseline</t>
  </si>
  <si>
    <t>FY 2020</t>
  </si>
  <si>
    <t>FY 2020 Funding Levels</t>
  </si>
  <si>
    <t xml:space="preserve">*State DSA                  Basic Support               Payments       </t>
  </si>
  <si>
    <t>State Categorical Grant Awards</t>
  </si>
  <si>
    <t>Local Revenue  Received</t>
  </si>
  <si>
    <t>SFY 2020 Baseline Total              Revenue Received</t>
  </si>
  <si>
    <t>Baseline Amount that Districts and Charter Schools May Not Go Below Unless Revenues Decline</t>
  </si>
  <si>
    <t xml:space="preserve"> Validated Enrollment</t>
  </si>
  <si>
    <t>Local Funding in the Special Education Fund in FY 2020</t>
  </si>
  <si>
    <t>Total Spec Ed</t>
  </si>
  <si>
    <t>Fed Funding in Spec Ed</t>
  </si>
  <si>
    <t>State Funding in Spec Ed</t>
  </si>
  <si>
    <t>Opening Balance</t>
  </si>
  <si>
    <t>New NV Funding Plan</t>
  </si>
  <si>
    <t xml:space="preserve">Zoom </t>
  </si>
  <si>
    <t>Victory</t>
  </si>
  <si>
    <t>GATE</t>
  </si>
  <si>
    <t>Transportation</t>
  </si>
  <si>
    <t>Nutrition</t>
  </si>
  <si>
    <t>Special Ed</t>
  </si>
  <si>
    <t>FY 2020 Hold Harmless Base Funding</t>
  </si>
  <si>
    <t>Total FY 2020 Categorical</t>
  </si>
  <si>
    <t>School District</t>
  </si>
  <si>
    <t>Opened after FY 2020</t>
  </si>
  <si>
    <t>Notes:</t>
  </si>
  <si>
    <t xml:space="preserve">*State DSA Basic Support Payment totals were updated to reflect the correct DSA payments in FY 2020 </t>
  </si>
  <si>
    <r>
      <t>Calculations, K12 Education Funding Sources (</t>
    </r>
    <r>
      <rPr>
        <b/>
        <u/>
        <sz val="11"/>
        <color theme="1"/>
        <rFont val="Arial Narrow"/>
        <family val="2"/>
      </rPr>
      <t>Administrative References</t>
    </r>
    <r>
      <rPr>
        <sz val="11"/>
        <color theme="1"/>
        <rFont val="Arial Narrow"/>
        <family val="2"/>
      </rPr>
      <t>)</t>
    </r>
  </si>
  <si>
    <t>Statutory References</t>
  </si>
  <si>
    <t>Senate Bill 543, Section 2</t>
  </si>
  <si>
    <t>Section 2</t>
  </si>
  <si>
    <t>Subsection 1</t>
  </si>
  <si>
    <t>The State Education Fund is hereby created as a special revenue fund to be administered by the Superintendent of Public Instruction for the purpose of supporting the operation of the public schools in this State. The interest and income earned on the money in the Fund, after deducting any applicable charges, must be credited to the Fund.</t>
  </si>
  <si>
    <t>Subsection 2</t>
  </si>
  <si>
    <t>Money which must be deposited for credit to the State Education Fund includes, without limitation:</t>
  </si>
  <si>
    <t>Paragraph (a)</t>
  </si>
  <si>
    <t>All money derived from interest on the State Permanent School Fund, as provided in NRS 387.030;</t>
  </si>
  <si>
    <t>Transient Lodging (Room) Tax</t>
  </si>
  <si>
    <t>Paragraph (b)</t>
  </si>
  <si>
    <t>The proceeds of the tax imposed pursuant to NRS 244.33561 and any applicable penalty or interest, less any amount retained by the county treasurer for the actual cost of collecting and administering the tax;</t>
  </si>
  <si>
    <t>Paragraph (c)</t>
  </si>
  <si>
    <t>The proceeds of the tax imposed pursuant to subsection 1 of NRS 387.195;</t>
  </si>
  <si>
    <t>Net Proceed of Minerals Tax</t>
  </si>
  <si>
    <t>Paragraph (d)</t>
  </si>
  <si>
    <t>The portion of the money in each special account created pursuant to subsection 1 of NRS 179.1187 which is identified in paragraph (d) of subsection 2 of NRS 179.1187;</t>
  </si>
  <si>
    <t>Real Property Transfer Tax</t>
  </si>
  <si>
    <t>Paragraph (e)</t>
  </si>
  <si>
    <t>The money identified in subsection 1 of NRS 328.450;</t>
  </si>
  <si>
    <t>Federal Lands Taxes</t>
  </si>
  <si>
    <t>Paragraph (f)</t>
  </si>
  <si>
    <t>The money identified in subsection 1 of NRS 328.460;</t>
  </si>
  <si>
    <t>Paragraph (g)</t>
  </si>
  <si>
    <t>The money identified in paragraph (a) of subsection 2 of NRS 360.850;</t>
  </si>
  <si>
    <t>Retail Sales and Use Tax</t>
  </si>
  <si>
    <t>Paragraph (h)</t>
  </si>
  <si>
    <t>The money identified in paragraph (a) of subsection 2 of NRS 360.855;</t>
  </si>
  <si>
    <t>General Provisions Tax</t>
  </si>
  <si>
    <t>Paragraph (i)</t>
  </si>
  <si>
    <t>The money required to be paid over to the State Treasurer for deposit to the credit of the State Education Fund pursuant to subsection 4 of NRS 362.170;</t>
  </si>
  <si>
    <t>Taxes on Patented Mines and Proceeds of Minerals</t>
  </si>
  <si>
    <t>Paragraph (j)</t>
  </si>
  <si>
    <t>The portion of the proceeds of the tax imposed pursuant to subsection 1 of NRS 372A.290 identified in paragraph (b) of subsection 3 of NRS 372A.290;</t>
  </si>
  <si>
    <t>Marijuana Tax</t>
  </si>
  <si>
    <t>Paragraph (k)</t>
  </si>
  <si>
    <t>The proceeds of the tax imposed pursuant to subsection 2 of NRS 372A.290;</t>
  </si>
  <si>
    <t>Paragraph (l)</t>
  </si>
  <si>
    <t>The proceeds of the fees, taxes, interest and penalties imposed pursuant to chapter 374 of NRS, as transferred pursuant to subsection 3 of NRS 374.785;</t>
  </si>
  <si>
    <t>Paragraph (m)</t>
  </si>
  <si>
    <t>The money identified in paragraph (b) of subsection 3 of NRS 453A.344;</t>
  </si>
  <si>
    <t>Paragraph (n)</t>
  </si>
  <si>
    <t>The money identified in NRS 453D.510;</t>
  </si>
  <si>
    <t>Paragraph (o)</t>
  </si>
  <si>
    <t>The portion of the proceeds of the excise tax imposed pursuant to subsection 1 of NRS 463.385 identified in paragraph (c) of subsection 5 of NRS 463.385;</t>
  </si>
  <si>
    <t>Slot Machines Excise Tax</t>
  </si>
  <si>
    <t>Paragraph (p)</t>
  </si>
  <si>
    <t>The money required to be distributed to the State Education Fund pursuant to subsection 3 of NRS 482.181;</t>
  </si>
  <si>
    <t>Governmental Services Taxes</t>
  </si>
  <si>
    <t>Paragraph (q)</t>
  </si>
  <si>
    <t>The portion of the net profits of the grantee of a franchise, right or privilege identified in NRS 709.110;</t>
  </si>
  <si>
    <t>Local Government Franchise Taxes</t>
  </si>
  <si>
    <t>Paragraph (r)</t>
  </si>
  <si>
    <t>The portion of the net profits of the grantee of a franchise identified in NRS 709.230;</t>
  </si>
  <si>
    <t>Paragraph (s)</t>
  </si>
  <si>
    <t>The portion of the net profits of the grantee of a franchise identified in NRS 709.270; and</t>
  </si>
  <si>
    <t>Paragraph (t)</t>
  </si>
  <si>
    <t>The direct legislative appropriation from the State General Fund required by subsection 3.</t>
  </si>
  <si>
    <t>State General Fund Distribution</t>
  </si>
  <si>
    <t>Subsection 3</t>
  </si>
  <si>
    <t>In addition to money from any other source provided by law, support for the State Education Fund must be provided by direct legislative appropriation from the State General Fund in an amount determined by the Legislature to be sufficient to fund the operation of the public schools in this State for kindergarten through grade 12 for the next ensuing biennium for the population reasonably estimated for that biennium. Money in the State Education Fund does not revert to the State General Fund at the end of a fiscal year, and the balance in the State Education Fund must be carried forward to the next fiscal year.</t>
  </si>
  <si>
    <t>Senate Bill 543, Section 4</t>
  </si>
  <si>
    <t>Section 4</t>
  </si>
  <si>
    <r>
      <t xml:space="preserve">After a direct legislative appropriation is made to the State Education Fund from the State General Fund pursuant to section 2 of this act, the Legislature shall determine the statewide base per pupil funding amount for each fiscal year of the biennium, which is the amount of money expressed on a per pupil basis for the projected enrollment of the public schools in this State, determined to be sufficient by the Legislature to fund the costs of all public schools in this State to operate and provide general education to all pupils for any purpose for which specific funding is not appropriated pursuant to paragraph (a), (b) or (e) of subsection 2. </t>
    </r>
    <r>
      <rPr>
        <b/>
        <u/>
        <sz val="11"/>
        <color theme="1"/>
        <rFont val="Arial Narrow"/>
        <family val="2"/>
      </rPr>
      <t>It is the intent of the Legislature that the statewide base per pupil funding amount for any fiscal year, to the extent practicable, be not less than the statewide base per pupil funding amount for the immediately preceding fiscal year, adjusted by inflation, unless the amount of money contained in the State Education Fund, excluding the Education Stabilization Account or any account created pursuant to subsection 5 of section 2 of this act, decreases from the preceding fiscal year. If the amount of money contained in the State Education Fund, excluding the Education Stabilization Account or any account created pursuant to subsection 5 of section 2 of this act, decreases from the preceding fiscal year, it is the intent of the Legislature that a proportional reduction be made in both the statewide base per pupil funding amount and the weighted funding appropriated pursuant to paragraph (e) of subsection 2.</t>
    </r>
  </si>
  <si>
    <t>Required calculation to determine if revenues in the State Education Fund are increasing or decreasing.</t>
  </si>
  <si>
    <t>Source Materials</t>
  </si>
  <si>
    <t>File Name</t>
  </si>
  <si>
    <t>File Source</t>
  </si>
  <si>
    <t>FY20 Revenues by BA 3.18.xls</t>
  </si>
  <si>
    <t xml:space="preserve">Nevada Department of Education </t>
  </si>
  <si>
    <t xml:space="preserve">File provides all state-level revenues to be deposited into the State Education Fund.
 </t>
  </si>
  <si>
    <t>All District Rev &amp; Expenditure Summary.xls</t>
  </si>
  <si>
    <t>Files provides a summary of budgeted revenues for each school district in the State. Sources are delineated to identify those that are deposited into the State Education Fund.</t>
  </si>
  <si>
    <t>Update Instructions</t>
  </si>
  <si>
    <t xml:space="preserve">Step 1. </t>
  </si>
  <si>
    <t>Obtain source materials from the Nevada Department of Education.</t>
  </si>
  <si>
    <t xml:space="preserve">Step 2. </t>
  </si>
  <si>
    <r>
      <t xml:space="preserve">Population </t>
    </r>
    <r>
      <rPr>
        <b/>
        <sz val="11"/>
        <color theme="1"/>
        <rFont val="Arial Narrow"/>
        <family val="2"/>
      </rPr>
      <t>2.1 Total Funding</t>
    </r>
    <r>
      <rPr>
        <sz val="11"/>
        <color theme="1"/>
        <rFont val="Arial Narrow"/>
        <family val="2"/>
      </rPr>
      <t xml:space="preserve"> schedule with update state and local revenues.</t>
    </r>
  </si>
  <si>
    <t xml:space="preserve">Step 3. </t>
  </si>
  <si>
    <t xml:space="preserve">Ensure that there is no double county created by revenue transfers. If there is, net out any revenues that may be counted twice. </t>
  </si>
  <si>
    <t xml:space="preserve">Step 4. </t>
  </si>
  <si>
    <t xml:space="preserve">Compare current year funding the previous years funding to ensure reasonableness and consistency. </t>
  </si>
  <si>
    <t>Modification Log</t>
  </si>
  <si>
    <t>Date of Modification</t>
  </si>
  <si>
    <t>Summary of Modification</t>
  </si>
  <si>
    <t>XX.XX.XXXX</t>
  </si>
  <si>
    <r>
      <t xml:space="preserve">Provide a general summary of the modifications made to schedule </t>
    </r>
    <r>
      <rPr>
        <b/>
        <i/>
        <sz val="11"/>
        <color theme="1"/>
        <rFont val="Arial Narrow"/>
        <family val="2"/>
      </rPr>
      <t xml:space="preserve">2.1 State Education Fund Sources </t>
    </r>
    <r>
      <rPr>
        <i/>
        <sz val="11"/>
        <color theme="1"/>
        <rFont val="Arial Narrow"/>
        <family val="2"/>
      </rPr>
      <t>and the reasoning for the modification.</t>
    </r>
  </si>
  <si>
    <t xml:space="preserve">Modification notes should include the potential impact of the modification. </t>
  </si>
  <si>
    <r>
      <t>Calculations, Level A: State Oversight, Administration and Non-District Programs Allocation (</t>
    </r>
    <r>
      <rPr>
        <b/>
        <u/>
        <sz val="11"/>
        <color theme="1"/>
        <rFont val="Arial Narrow"/>
        <family val="2"/>
      </rPr>
      <t>Administrative References</t>
    </r>
    <r>
      <rPr>
        <sz val="11"/>
        <color theme="1"/>
        <rFont val="Arial Narrow"/>
        <family val="2"/>
      </rPr>
      <t>)</t>
    </r>
  </si>
  <si>
    <t xml:space="preserve">After a direct legislative appropriation is made to the State Education Fund from the State General Fund pursuant to section 2 of this act, the money in the State Education Fund, excluding any amount of money in the Education Stabilization Account or in any account established pursuant to subsection 5 of section 2 of this act, must be appropriated as established by law for each fiscal year of the biennium for the following purposes:
</t>
  </si>
  <si>
    <t>To the Department, an amount of money determined to be sufficient by the Legislature, when combined with any other resources available for this purpose, to fund the operation of the State Board, the Superintendent of Public Instruction and the Department, including, without limitation, the statewide administration and oversight of the public schools and any educational programs administered by this State.</t>
  </si>
  <si>
    <t>FY20 Expend by Tier 3.18</t>
  </si>
  <si>
    <t>Level A Column</t>
  </si>
  <si>
    <t xml:space="preserve">Revise budget account detail to reflected updated state administration, oversight and non-district programs for the modeled fiscal year. </t>
  </si>
  <si>
    <t>Review resulting calculations for reasonablenss.</t>
  </si>
  <si>
    <r>
      <t xml:space="preserve">Provide a general summary of the modifications made to schedule </t>
    </r>
    <r>
      <rPr>
        <b/>
        <i/>
        <sz val="11"/>
        <color theme="1"/>
        <rFont val="Arial Narrow"/>
        <family val="2"/>
      </rPr>
      <t xml:space="preserve">2.2 NDE Admin, Non-District </t>
    </r>
    <r>
      <rPr>
        <i/>
        <sz val="11"/>
        <color theme="1"/>
        <rFont val="Arial Narrow"/>
        <family val="2"/>
      </rPr>
      <t>and the reasoning for the modification.</t>
    </r>
  </si>
  <si>
    <t>Auxiliary Services Calculations (Transportation and Food Service) (Year 1)</t>
  </si>
  <si>
    <t xml:space="preserve">Include Inflation for </t>
  </si>
  <si>
    <t>Available</t>
  </si>
  <si>
    <t>Allocated</t>
  </si>
  <si>
    <t>Remaining</t>
  </si>
  <si>
    <t>Base Transportation?</t>
  </si>
  <si>
    <t>Food Services?</t>
  </si>
  <si>
    <t>PCFM Resources:</t>
  </si>
  <si>
    <t>District Enrollment</t>
  </si>
  <si>
    <t>Food Services</t>
  </si>
  <si>
    <t>Total Auxiliary Services</t>
  </si>
  <si>
    <t>Prior Year Actual</t>
  </si>
  <si>
    <t>Inflation Adjustment</t>
  </si>
  <si>
    <t>Special Transport</t>
  </si>
  <si>
    <t xml:space="preserve">Combined Total </t>
  </si>
  <si>
    <t>Per Pupil</t>
  </si>
  <si>
    <t xml:space="preserve">PCFP does not allocate Auxiliary Services on a per pupil basis. </t>
  </si>
  <si>
    <t>Calculation or Source of Data</t>
  </si>
  <si>
    <t>4 year Average</t>
  </si>
  <si>
    <t>= D x Cell F7</t>
  </si>
  <si>
    <t>4 Year Average</t>
  </si>
  <si>
    <t>= G x Cell H7</t>
  </si>
  <si>
    <t>= D + E + F</t>
  </si>
  <si>
    <t>= H / C</t>
  </si>
  <si>
    <t>Per pupil funding amount provided as FYI only.</t>
  </si>
  <si>
    <t>Total School Districts</t>
  </si>
  <si>
    <t>Data Source: FY 2019; FY 2020, FY 2021 and FY 2022 - 387 reports</t>
  </si>
  <si>
    <t>Amounts are not adjusted for inflation or enrollment growth</t>
  </si>
  <si>
    <t xml:space="preserve">for NDE purposes only; not part of the PCFP model </t>
  </si>
  <si>
    <t>Transportation Four Year Average:</t>
  </si>
  <si>
    <t xml:space="preserve">Average for </t>
  </si>
  <si>
    <t>Data Source:</t>
  </si>
  <si>
    <t>2021 NRS 387 Report</t>
  </si>
  <si>
    <t>2022 NRS 387 Report</t>
  </si>
  <si>
    <t>2023 NRS 387 Report</t>
  </si>
  <si>
    <t>2024 NRS 387 Report</t>
  </si>
  <si>
    <t>25 and 26</t>
  </si>
  <si>
    <t>Food Services Four Year Average</t>
  </si>
  <si>
    <t>Average</t>
  </si>
  <si>
    <t>Data Source: (Rev Code 5200)</t>
  </si>
  <si>
    <t xml:space="preserve"> $-   </t>
  </si>
  <si>
    <r>
      <t>Calculations, Level B: Auxiliary Services Allocations (Transportation and Food Service) (</t>
    </r>
    <r>
      <rPr>
        <b/>
        <u/>
        <sz val="11"/>
        <color theme="1"/>
        <rFont val="Arial Narrow"/>
        <family val="2"/>
      </rPr>
      <t>Administrative References</t>
    </r>
    <r>
      <rPr>
        <sz val="11"/>
        <color theme="1"/>
        <rFont val="Arial Narrow"/>
        <family val="2"/>
      </rPr>
      <t xml:space="preserve">) </t>
    </r>
  </si>
  <si>
    <t>(b) To each school district, an amount of money determined to be sufficient by the Legislature, when combined with any other resources available for this purpose, to provide food services and transportation for pupils and any other similar service that the Legislature deems appropriate.</t>
  </si>
  <si>
    <t xml:space="preserve">Note allocation includes only school districts; charter schools are not included in auxillary cost calculation. </t>
  </si>
  <si>
    <t>Food Service and Transportation Funding Schedules</t>
  </si>
  <si>
    <t>Obtain information on funds required to provide food service in each school district for the model year. Update schedule accordingly.</t>
  </si>
  <si>
    <t>Obtain information on funds required to provide transportation in each school district for the model year. Update schedule accordingly.</t>
  </si>
  <si>
    <r>
      <t>Calculations, Level C &amp; D: Statewide Base Funding for School Districts and Charter Schools (</t>
    </r>
    <r>
      <rPr>
        <b/>
        <u/>
        <sz val="11"/>
        <color theme="1"/>
        <rFont val="Arial Narrow"/>
        <family val="2"/>
      </rPr>
      <t>Administrative References</t>
    </r>
    <r>
      <rPr>
        <sz val="11"/>
        <color theme="1"/>
        <rFont val="Arial Narrow"/>
        <family val="2"/>
      </rPr>
      <t>)</t>
    </r>
  </si>
  <si>
    <t>Senate Bill 543, Section X</t>
  </si>
  <si>
    <r>
      <t xml:space="preserve">After a direct legislative appropriation is made to the State Education Fund from the State General Fund pursuant to section 2 of this act, the Legislature shall determine the statewide base per pupil funding amount for each fiscal year of the biennium, which is the amount of money expressed on a per pupil basis for the projected enrollment of the public schools in this State, determined to be sufficient by the Legislature to fund the costs of all public schools in this State to operate and provide general education to all pupils for any purpose for which specific funding is not appropriated pursuant to paragraph (a), (b) or (e) of subsection 2. </t>
    </r>
    <r>
      <rPr>
        <b/>
        <u/>
        <sz val="11"/>
        <color theme="1"/>
        <rFont val="Arial Narrow"/>
        <family val="2"/>
      </rPr>
      <t>It is the intent of the Legislature that the statewide base per pupil funding amount for any fiscal year, to the extent practicable, be not less than the statewide base per pupil funding amount for the immediately preceding fiscal year, adjusted by inflation, unless the amount of money contained in the State Education Fund, excluding the Education Stabilization Account or any account created pursuant to subsection 5 of section 2 of this act, decreases from the preceding fiscal year.</t>
    </r>
    <r>
      <rPr>
        <sz val="11"/>
        <color theme="1"/>
        <rFont val="Arial Narrow"/>
        <family val="2"/>
      </rPr>
      <t xml:space="preserve"> </t>
    </r>
    <r>
      <rPr>
        <b/>
        <u/>
        <sz val="11"/>
        <color theme="1"/>
        <rFont val="Arial Narrow"/>
        <family val="2"/>
      </rPr>
      <t>If the amount of money contained in the State Education Fund, excluding the Education Stabilization Account or any account created pursuant to subsection 5 of section 2 of this act, decreases from the preceding fiscal year, it is the intent of the Legislature that a proportional reduction be made in both the statewide base per pupil funding amount and the weighted funding appropriated pursuant to paragraph (e) of subsection 2.</t>
    </r>
  </si>
  <si>
    <r>
      <t xml:space="preserve">Confirm Statewide Base Funding Per Pupil and inflation factor is property pulling from </t>
    </r>
    <r>
      <rPr>
        <b/>
        <u/>
        <sz val="11"/>
        <color theme="1"/>
        <rFont val="Arial Narrow"/>
        <family val="2"/>
      </rPr>
      <t>1.1 Assumptions Control</t>
    </r>
    <r>
      <rPr>
        <sz val="11"/>
        <color theme="1"/>
        <rFont val="Arial Narrow"/>
        <family val="2"/>
      </rPr>
      <t xml:space="preserve">. </t>
    </r>
  </si>
  <si>
    <r>
      <t xml:space="preserve">Update charter schools as necessary to be consistent with </t>
    </r>
    <r>
      <rPr>
        <b/>
        <u/>
        <sz val="11"/>
        <color theme="1"/>
        <rFont val="Arial Narrow"/>
        <family val="2"/>
      </rPr>
      <t>1.3 Enrollment Assumptions</t>
    </r>
    <r>
      <rPr>
        <sz val="11"/>
        <color theme="1"/>
        <rFont val="Arial Narrow"/>
        <family val="2"/>
      </rPr>
      <t xml:space="preserve">. </t>
    </r>
  </si>
  <si>
    <r>
      <t xml:space="preserve">Confirm district and enrollment values are consistent with </t>
    </r>
    <r>
      <rPr>
        <b/>
        <u/>
        <sz val="11"/>
        <color theme="1"/>
        <rFont val="Arial Narrow"/>
        <family val="2"/>
      </rPr>
      <t>1.3 Enrollment Assumptions</t>
    </r>
    <r>
      <rPr>
        <sz val="11"/>
        <color theme="1"/>
        <rFont val="Arial Narrow"/>
        <family val="2"/>
      </rPr>
      <t xml:space="preserve">. </t>
    </r>
  </si>
  <si>
    <t xml:space="preserve">Review resulting calculations for reasonableness. </t>
  </si>
  <si>
    <r>
      <t xml:space="preserve">Provide a general summary of the modifications made to schedule </t>
    </r>
    <r>
      <rPr>
        <b/>
        <i/>
        <sz val="11"/>
        <color theme="1"/>
        <rFont val="Arial Narrow"/>
        <family val="2"/>
      </rPr>
      <t xml:space="preserve">2.4 Statewide Base PP Funding </t>
    </r>
    <r>
      <rPr>
        <i/>
        <sz val="11"/>
        <color theme="1"/>
        <rFont val="Arial Narrow"/>
        <family val="2"/>
      </rPr>
      <t>and the reasoning for the modification.</t>
    </r>
  </si>
  <si>
    <t>Local Special Education Funding Calculations (Year 1)</t>
  </si>
  <si>
    <t>Special Education Enrollment 
(FY 2020)</t>
  </si>
  <si>
    <t>Statewide Total:</t>
  </si>
  <si>
    <t>Total:</t>
  </si>
  <si>
    <t xml:space="preserve">Notes: </t>
  </si>
  <si>
    <t>Local SpEd updated by NDE 4.1.24</t>
  </si>
  <si>
    <t>Statewide Base Per Pupil Funding Calculations for School Districts and Charter Schools (Year 1)</t>
  </si>
  <si>
    <t>Statewide Base</t>
  </si>
  <si>
    <t>Total Statewide</t>
  </si>
  <si>
    <t>Per Pupil Funding</t>
  </si>
  <si>
    <t>Enrollment</t>
  </si>
  <si>
    <t xml:space="preserve"> Base Funding</t>
  </si>
  <si>
    <t>Cell C8</t>
  </si>
  <si>
    <t>= C * D</t>
  </si>
  <si>
    <t>Charter Total</t>
  </si>
  <si>
    <t>District Size Adjustment by Attendance Area Calculations (Year 1)</t>
  </si>
  <si>
    <t>APA Final Recommendation (Single Small School and Small District Adjustment Factor)</t>
  </si>
  <si>
    <t>Minimum District Size</t>
  </si>
  <si>
    <t>Maximum District Size</t>
  </si>
  <si>
    <t>Size Adjustment Constant</t>
  </si>
  <si>
    <t>Size Adjustment Enrollment Coefficient</t>
  </si>
  <si>
    <t>Formula to Be Applied</t>
  </si>
  <si>
    <t>25.003*(enrollment^-0.791)</t>
  </si>
  <si>
    <t>(-0.281*ln(enrollment)) + 3.4</t>
  </si>
  <si>
    <t>(-.000001735*enrollment) + 1.0868</t>
  </si>
  <si>
    <t xml:space="preserve">District </t>
  </si>
  <si>
    <t>Enrollment by  Attendance Area less Distant Education Students</t>
  </si>
  <si>
    <t>District Size         Adjustment Factor</t>
  </si>
  <si>
    <t>Statewide Base            Per Pupil Amount</t>
  </si>
  <si>
    <t>District Size Adjustment Amount</t>
  </si>
  <si>
    <t>Adjusted Per Pupil Amount</t>
  </si>
  <si>
    <t>Calcs based on rows 7-9</t>
  </si>
  <si>
    <t xml:space="preserve">Cell E11 </t>
  </si>
  <si>
    <t>= D * E</t>
  </si>
  <si>
    <t>= F / C</t>
  </si>
  <si>
    <t>Clark Total</t>
  </si>
  <si>
    <t>Douglas Total</t>
  </si>
  <si>
    <t>Elko Total</t>
  </si>
  <si>
    <t>Esmerelda Total</t>
  </si>
  <si>
    <t>Eureka Total</t>
  </si>
  <si>
    <t>Humboldt Total</t>
  </si>
  <si>
    <t>Lander Total</t>
  </si>
  <si>
    <t>Lyon Total</t>
  </si>
  <si>
    <t>Mineral Total</t>
  </si>
  <si>
    <t>Nye Total</t>
  </si>
  <si>
    <t>Pershing Total</t>
  </si>
  <si>
    <t>Storey Total</t>
  </si>
  <si>
    <t>Washoe Total</t>
  </si>
  <si>
    <t>White Pine Total</t>
  </si>
  <si>
    <t>Total District Size Adjustments:</t>
  </si>
  <si>
    <t>All School Districts</t>
  </si>
  <si>
    <t>Crosscheck</t>
  </si>
  <si>
    <t>Charter</t>
  </si>
  <si>
    <t>Adjustment amount per pupil based on Attendance Area</t>
  </si>
  <si>
    <t>Size Adjustment consistent with other public schools in the Attendance Area Where the charter operates</t>
  </si>
  <si>
    <t>Total Charter School Size Adjustments:</t>
  </si>
  <si>
    <t>Enrollment by  Attendance Area</t>
  </si>
  <si>
    <t>Nevada Cost of Education Index (NCEI) Calculations for School Districts and Charter Schools (Year 1)</t>
  </si>
  <si>
    <t>Districts</t>
  </si>
  <si>
    <t>Statewide Base Per pupil Funding</t>
  </si>
  <si>
    <t>Distant Education Enrollment</t>
  </si>
  <si>
    <t>Statewide Base Total for Distant Education</t>
  </si>
  <si>
    <t>Total Enrollment less Distant Education</t>
  </si>
  <si>
    <t xml:space="preserve">Total Statewide base less Distant Education </t>
  </si>
  <si>
    <t>NCEI, Using CWI All Workers for Wages, and RPP “Goods” for Non-wages</t>
  </si>
  <si>
    <t xml:space="preserve">Nevada Cost of Education Index (NCEI) Adjustment </t>
  </si>
  <si>
    <t>N/A</t>
  </si>
  <si>
    <t>=(D * E)</t>
  </si>
  <si>
    <t>=Tab 1.2 - E</t>
  </si>
  <si>
    <t>Tab 2.2</t>
  </si>
  <si>
    <t>=(E * (G - 1))</t>
  </si>
  <si>
    <t>SWB Validation</t>
  </si>
  <si>
    <t xml:space="preserve">Total </t>
  </si>
  <si>
    <t>Adjusted Base Funding Amount</t>
  </si>
  <si>
    <t>These amounts may change when the hold harmless provision is applied on Tab 3.2b</t>
  </si>
  <si>
    <t>School</t>
  </si>
  <si>
    <t xml:space="preserve">Statewide </t>
  </si>
  <si>
    <t>Adjustment 1</t>
  </si>
  <si>
    <t>Adjustment 2</t>
  </si>
  <si>
    <t>Initial</t>
  </si>
  <si>
    <t xml:space="preserve">Initial </t>
  </si>
  <si>
    <t xml:space="preserve">Base </t>
  </si>
  <si>
    <t>District Size</t>
  </si>
  <si>
    <t>NCEI</t>
  </si>
  <si>
    <t xml:space="preserve"> Adjusted Base </t>
  </si>
  <si>
    <t>Adjusted Base</t>
  </si>
  <si>
    <t>Funding</t>
  </si>
  <si>
    <t>Tab 2.4</t>
  </si>
  <si>
    <t>= G / C</t>
  </si>
  <si>
    <r>
      <t>Calculations, Level C &amp; D: Adjusted Base Funding for School Districts and Charter Schools (</t>
    </r>
    <r>
      <rPr>
        <b/>
        <u/>
        <sz val="11"/>
        <color theme="1"/>
        <rFont val="Arial Narrow"/>
        <family val="2"/>
      </rPr>
      <t>Administrative References</t>
    </r>
    <r>
      <rPr>
        <sz val="11"/>
        <color theme="1"/>
        <rFont val="Arial Narrow"/>
        <family val="2"/>
      </rPr>
      <t>)</t>
    </r>
  </si>
  <si>
    <t>After a direct legislative appropriation is made to the State Education Fund from the State General Fund pursuant to section 2 of this act, the money in the State Education Fund, excluding any amount of money in the Education Stabilization Account or in any account established pursuant to subsection 5 of section 2 of this act, must be appropriated as established by law for each fiscal year of the biennium for the following purposes:</t>
  </si>
  <si>
    <t xml:space="preserve">Paragraph (c) </t>
  </si>
  <si>
    <t>To each school district, an amount of money determined to be sufficient by the Legislature, when combined with any other resources available for this purpose, to provide adjusted base per pupil funding for each pupil estimated to be enrolled in the school district.</t>
  </si>
  <si>
    <t>Adjusted Base Per Pupil finding to school districts</t>
  </si>
  <si>
    <t xml:space="preserve">Paragraph (d) </t>
  </si>
  <si>
    <t>To each charter school or university school for profoundly gifted pupils, an amount of money determined to be sufficient by the Legislature, when combined with any other resources available for this purpose, to provide:</t>
  </si>
  <si>
    <t>Adjusted Base Per Pupil Funding to charter schools</t>
  </si>
  <si>
    <t>Subparagraph (d1)</t>
  </si>
  <si>
    <t xml:space="preserve">(1) The statewide base per pupil funding amount for each pupil estimated to be enrolled full-time in a program of distance education provided by the charter school or university school for profoundly gifted pupils; and
</t>
  </si>
  <si>
    <t>Charter school students enrolled in distance learning only receive Statewide Base Per Pupil Funding</t>
  </si>
  <si>
    <t>Subparagraph (d2)</t>
  </si>
  <si>
    <t>(2) Adjusted base per pupil funding for each pupil estimated to be enrolled in the charter school or university school for profoundly gifted pupils other than a pupil identified in subparagraph (1).</t>
  </si>
  <si>
    <t>Charter school students enrolled in traditional classrooms received Adjusted Base Per Pupil Funding</t>
  </si>
  <si>
    <t>The adjusted base per pupil funding appropriated pursuant to paragraph (c) of subsection 2 for each school district must be determined by applying the cost adjustment factor established pursuant to section 5 of this act which applies to the school district, the adjustment for necessarily small schools established pursuant to section 6 of this act which applies to the school district and the small district equity adjustment established pursuant to section 7 of this act which applies to the school district to the statewide base per pupil funding amount.</t>
  </si>
  <si>
    <t>Adjusted Base Per Pupil Funding for school districts must include application of (i) cost adjustment factor; (ii) necessary small schools adjustment; and (iii) small district equity adjustment</t>
  </si>
  <si>
    <t>Subsection 4</t>
  </si>
  <si>
    <t>The adjusted base per pupil funding appropriated pursuant to subparagraph (2) of paragraph (d) of subsection 2 for each charter school or university school for profoundly gifted pupils must be determined by applying the cost adjustment factor established pursuant to section 5 of this act which applies to the charter school or university school to the statewide base per pupil funding amount.</t>
  </si>
  <si>
    <t>Adjusted Base Per Pupil Finding for charter schools is to include only a cost adjustment factor</t>
  </si>
  <si>
    <t>Section 5</t>
  </si>
  <si>
    <t>To account for variation between the counties of this State in the cost of living and the cost of labor, the Department shall establish by regulation cost adjustment factors for the school district located in, and each charter school that provides classroom-based instruction in, each county of this State.</t>
  </si>
  <si>
    <r>
      <rPr>
        <b/>
        <u/>
        <sz val="11"/>
        <color theme="1"/>
        <rFont val="Arial Narrow"/>
        <family val="2"/>
      </rPr>
      <t>Cost factor adjustments</t>
    </r>
    <r>
      <rPr>
        <sz val="11"/>
        <color theme="1"/>
        <rFont val="Arial Narrow"/>
        <family val="2"/>
      </rPr>
      <t xml:space="preserve"> to apply to school districts and charter schools providing classroom-based instruction; note cross reference to Section 4, Subsection 2, Paragraph (d), which applied the cost adjustment factor to only those students that are not enrolled in a full-time distance education program</t>
    </r>
  </si>
  <si>
    <t>Not later than May 1 of each even-numbered year, the Department shall review and determine whether revisions are necessary to the cost adjustment factors for the school district located in each county of this State. The Department shall present the review and any revisions at a meeting of the Legislative Committee on Education for consideration and recommendations by the Committee. After the meeting, the Department shall consider any recommendations of the Legislative Committee on Education, determine whether to include those recommendations and adopt by regulation any revision to the cost adjustment factors. The Department shall submit any revision to the cost adjustment factors to each school district, the Governor and the Director of the Legislative Counsel Bureau.</t>
  </si>
  <si>
    <t xml:space="preserve">Department to review and propose any modifications to the cost adjustment factor(s) not later than May 1 of each even-numbered year. </t>
  </si>
  <si>
    <t>Section 6</t>
  </si>
  <si>
    <t>To account for the increased cost to a school district to operate a public school for a small number of pupils which may be necessary in certain circumstances, the Department shall establish by regulation a method to calculate an adjustment for each necessarily small school.</t>
  </si>
  <si>
    <r>
      <rPr>
        <b/>
        <u/>
        <sz val="11"/>
        <color theme="1"/>
        <rFont val="Arial Narrow"/>
        <family val="2"/>
      </rPr>
      <t>Necessarily schall school adjustment</t>
    </r>
    <r>
      <rPr>
        <sz val="11"/>
        <color theme="1"/>
        <rFont val="Arial Narrow"/>
        <family val="2"/>
      </rPr>
      <t xml:space="preserve"> to apply to school districts; charters schools do not receive small school adjustment</t>
    </r>
  </si>
  <si>
    <t>Not later than May 1 of each even-numbered year, the Department shall review and determine whether revisions are necessary to the method for determining the adjustment for each necessarily small school. The Department shall present the review and any revisions at a meeting of the Legislative Committee on Education for consideration and recommendations by the Committee. After the meeting, the Department shall consider any recommendations of the Legislative Committee on Education, determine whether to include those recommendations and adopt by regulation any revision to the method. The Department shall submit any revision to the method to each school district, the Governor and the Director of the Legislative Counsel Bureau.</t>
  </si>
  <si>
    <t xml:space="preserve">Department to review and propose any modifications to the necessarily small schools factor(s) not later than May 1 of each even-numbered year. </t>
  </si>
  <si>
    <t>To account for the increased cost per pupil to operate a school district in which relatively fewer pupils are enrolled, the Department shall establish by regulation a small district equity adjustment.</t>
  </si>
  <si>
    <r>
      <rPr>
        <b/>
        <u/>
        <sz val="11"/>
        <color theme="1"/>
        <rFont val="Arial Narrow"/>
        <family val="2"/>
      </rPr>
      <t>Small district adjustment</t>
    </r>
    <r>
      <rPr>
        <sz val="11"/>
        <color theme="1"/>
        <rFont val="Arial Narrow"/>
        <family val="2"/>
      </rPr>
      <t xml:space="preserve"> to apply to school districts; charters schools do not receive small school adjustment.</t>
    </r>
  </si>
  <si>
    <t>Not later than May 1 of each even-numbered year, the Department shall review and determine whether revisions are necessary to the method for calculating the small district equity adjustment. The Department shall present the review and any revisions at a meeting of the Legislative Committee on Education for consideration and recommendations by the Committee. After the meeting, the Department shall consider any recommendations of the Legislative Committee on Education, determine whether to include those recommendations and adopt by regulation any revision to the method. The Department shall submit any revision to the method to each school district, the Governor and the Director of the Legislative Counsel Bureau.</t>
  </si>
  <si>
    <t xml:space="preserve">Department to review and propose any modifications to the small district factor(s) not later than May 1 of each even-numbered year. </t>
  </si>
  <si>
    <r>
      <t xml:space="preserve">Update district and charter enrollment figures to be consistent with </t>
    </r>
    <r>
      <rPr>
        <b/>
        <u/>
        <sz val="11"/>
        <color theme="1"/>
        <rFont val="Arial Narrow"/>
        <family val="2"/>
      </rPr>
      <t>1.3 Enrollment Assumptions</t>
    </r>
    <r>
      <rPr>
        <sz val="11"/>
        <color theme="1"/>
        <rFont val="Arial Narrow"/>
        <family val="2"/>
      </rPr>
      <t xml:space="preserve">. </t>
    </r>
  </si>
  <si>
    <r>
      <t xml:space="preserve">Update updated distance learning enrollment to be consistent with </t>
    </r>
    <r>
      <rPr>
        <b/>
        <u/>
        <sz val="11"/>
        <color theme="1"/>
        <rFont val="Arial Narrow"/>
        <family val="2"/>
      </rPr>
      <t>1.3 Enrollment Assumptions</t>
    </r>
    <r>
      <rPr>
        <sz val="11"/>
        <color theme="1"/>
        <rFont val="Arial Narrow"/>
        <family val="2"/>
      </rPr>
      <t xml:space="preserve">. </t>
    </r>
  </si>
  <si>
    <t>Commission on School Funding Recommended Targeted Weights</t>
  </si>
  <si>
    <t>[1] Targeted Multipliers:  Recommended by the CSF during their April 17, 2020 meeting and formally recommended to Gov and Leg in July 15, 2020 letter; CSF targeted weight for GATE was .14.</t>
  </si>
  <si>
    <t>Weighted Funding Calculations for School Districts and Charter Schools (Year 1)</t>
  </si>
  <si>
    <t>Targeted Weights</t>
  </si>
  <si>
    <t>Difference</t>
  </si>
  <si>
    <t>English Learner Targeted Multiplier:</t>
  </si>
  <si>
    <t>At-Risk Targeted Multiplier:</t>
  </si>
  <si>
    <t>PCFP Resources:</t>
  </si>
  <si>
    <t>GATE Targeted Multiplier:</t>
  </si>
  <si>
    <t xml:space="preserve"> [2] Weight for GATE set to .12 per Legislature</t>
  </si>
  <si>
    <t xml:space="preserve"> English Learners (EL) - Initial Weighted Allocations</t>
  </si>
  <si>
    <t>At-Risk Student (At-Risk) - Initial Weighted Allocations</t>
  </si>
  <si>
    <t>Gifted and Talented Education (GATE) - Initial Weighted Allocations</t>
  </si>
  <si>
    <t>English Learners Total Enrollment</t>
  </si>
  <si>
    <t>At-Risk Student Total Enrollment</t>
  </si>
  <si>
    <t>Gifted and Talented Total Enrollment</t>
  </si>
  <si>
    <t>Initial English Learner Per Pupil Funding</t>
  </si>
  <si>
    <t>Initial At-Risk Student Per Pupil Funding</t>
  </si>
  <si>
    <t>Initial Gifted and Talented Per Pupil Funding</t>
  </si>
  <si>
    <t>Weight</t>
  </si>
  <si>
    <t>GATE Student Count</t>
  </si>
  <si>
    <t>English Learner Student Count</t>
  </si>
  <si>
    <t>Baseline English</t>
  </si>
  <si>
    <t>At-Risk Student Count</t>
  </si>
  <si>
    <t>Baseline At-Risk</t>
  </si>
  <si>
    <t>Not Also Special Education</t>
  </si>
  <si>
    <t>Baseline GATE</t>
  </si>
  <si>
    <t>Learner Funding</t>
  </si>
  <si>
    <t>Student Funding</t>
  </si>
  <si>
    <t>Not Also English Learner</t>
  </si>
  <si>
    <t>Per Pupil Rate</t>
  </si>
  <si>
    <t>Not Also At-Risk</t>
  </si>
  <si>
    <t>= Cell D11</t>
  </si>
  <si>
    <t>= Cell H11</t>
  </si>
  <si>
    <t>= G * H</t>
  </si>
  <si>
    <t>= Cell L11</t>
  </si>
  <si>
    <t>= K * L</t>
  </si>
  <si>
    <t xml:space="preserve">(e) To each school district, charter school or university school for profoundly gifted pupils, an amount of money determined to be sufficient by the Legislature, when combined with any other resources available for this purpose, to provide additional weighted funding for each pupil estimated to be enrolled in the school district, charter school or university school for profoundly gifted pupils who is:
(1) An English learner;
(2) An at-risk pupil;
(3) A pupil with a disability; or
(4) A gifted and talented pupil. </t>
  </si>
  <si>
    <t>Subsection 5</t>
  </si>
  <si>
    <t>The weighted funding appropriated pursuant to paragraph (e) of subsection 2 must be established separately for each category of pupils identified in that paragraph and expressed as a multiplier to be applied to the statewide base per pupil funding amount determined pursuant to subsection 1. A pupil who belongs to more than one category of pupils must receive only the weighted funding for the single category to which the pupil belongs which has the largest multiplier. It is the intent of the Legislature that, to the extent practicable:</t>
  </si>
  <si>
    <t>1. Weights must be expressed as a multiplier.
2. Each pupil receives only a single weight (highest for which that pupil would qualify)</t>
  </si>
  <si>
    <r>
      <t xml:space="preserve">(a) </t>
    </r>
    <r>
      <rPr>
        <b/>
        <u/>
        <sz val="11"/>
        <color theme="1"/>
        <rFont val="Arial Narrow"/>
        <family val="2"/>
      </rPr>
      <t>The multiplier for each category of pupils for any fiscal year be not less than the multiplier for the immediately preceding fiscal year unless</t>
    </r>
    <r>
      <rPr>
        <sz val="11"/>
        <color theme="1"/>
        <rFont val="Arial Narrow"/>
        <family val="2"/>
      </rPr>
      <t>:</t>
    </r>
  </si>
  <si>
    <t>Multiplier must be no lower than that provided in the preceding fiscal year if (i) State Education Fund is increasing and (ii) the base is fully funded</t>
  </si>
  <si>
    <t>Subparagraph (a1)</t>
  </si>
  <si>
    <t xml:space="preserve">The amount of money contained in the State Education Fund, excluding the Education Stabilization Account or any account created pursuant to subsection 5 of section 2 of this act, decreases from the preceding fiscal year, in which event it is the intent of the Legislature that a proportional reduction be made in both the statewide base per pupil funding amount and the weighted funding appropriated pursuant to paragraph (e) of subsection 2; or
</t>
  </si>
  <si>
    <t>If the State Education Fund is decreases, weight multipliers should remain unchanged as a result of a proportional reduction</t>
  </si>
  <si>
    <t>Subparagraph (a2)</t>
  </si>
  <si>
    <t>(2) The amount of money contained in the State Education Fund, excluding the Education Stabilization Account or any account created pursuant to subsection 5 of section 2 of this act, increases from the preceding fiscal year but in an amount which, after funding the appropriations required by paragraphs (a) to (d), inclusive, of subsection 2, is insufficient to fund the multiplier for each category of pupils, in which event it is the intent of the Legislature that the remaining money in the State Education Fund be used to provide a multiplier for each category of pupils which is as close as practicable to the multiplier for the preceding fiscal year;</t>
  </si>
  <si>
    <t xml:space="preserve">If the State Education Fund is increase is insufficient to fully fund the base, weighted student multipliers may decrease </t>
  </si>
  <si>
    <r>
      <t>Calculations, Level E: Weighted Student Funding, Incremental (</t>
    </r>
    <r>
      <rPr>
        <b/>
        <u/>
        <sz val="11"/>
        <color theme="1"/>
        <rFont val="Arial Narrow"/>
        <family val="2"/>
      </rPr>
      <t>Administrative References</t>
    </r>
    <r>
      <rPr>
        <sz val="11"/>
        <color theme="1"/>
        <rFont val="Arial Narrow"/>
        <family val="2"/>
      </rPr>
      <t>)</t>
    </r>
  </si>
  <si>
    <t>(a) The multiplier for each category of pupils for any fiscal year be not less than the multiplier for the immediately preceding fiscal year unless:</t>
  </si>
  <si>
    <t>If the State Education Fund decreases, weight multipliers should remain unchanged as a result of a proportional reduction</t>
  </si>
  <si>
    <t>The recommendations of the Commission for the multiplier for each category of pupils be considered and the multiplier for one category of pupils may be changed by an amount that is not proportional to the change in the multiplier for one or more other categories of pupils if the Legislature determines that a disproportionate need to serve the pupils in the affected category exists; and</t>
  </si>
  <si>
    <t>Aspirational weights may augment the distribribution of weighted revenues where there is a disproprortation need</t>
  </si>
  <si>
    <r>
      <t>Calculations, Allocation of Excess Funds (</t>
    </r>
    <r>
      <rPr>
        <b/>
        <u/>
        <sz val="11"/>
        <color theme="1"/>
        <rFont val="Arial Narrow"/>
        <family val="2"/>
      </rPr>
      <t>Administrative References</t>
    </r>
    <r>
      <rPr>
        <sz val="11"/>
        <color theme="1"/>
        <rFont val="Arial Narrow"/>
        <family val="2"/>
      </rPr>
      <t>)</t>
    </r>
  </si>
  <si>
    <t>If the multipliers for all categories of pupils in a fiscal year are increased from the multipliers in the immediately preceding fiscal year, a proportional increase is considered for the statewide base per pupil funding amount.</t>
  </si>
  <si>
    <t xml:space="preserve">Once aspirational weights are fully funded, the base and aspirational weights should be increased proportionally. </t>
  </si>
  <si>
    <t>Allocation of Residual Revenue (Year 1)</t>
  </si>
  <si>
    <t>Manual redistribution of residual revenue back into the Statewide Base (SWB).</t>
  </si>
  <si>
    <t>Year 1</t>
  </si>
  <si>
    <t>Added Increase</t>
  </si>
  <si>
    <t>Year 2</t>
  </si>
  <si>
    <t>Increase SWB by:</t>
  </si>
  <si>
    <t>Remaining residual funding in year 2</t>
  </si>
  <si>
    <t>Original increase</t>
  </si>
  <si>
    <t>Adjustment to</t>
  </si>
  <si>
    <t>Summary of PCFP allocations after distribution of excess funding</t>
  </si>
  <si>
    <t xml:space="preserve">Adjusted </t>
  </si>
  <si>
    <t xml:space="preserve">Share of Adjusted </t>
  </si>
  <si>
    <t>Local</t>
  </si>
  <si>
    <t>Base Per Pupil</t>
  </si>
  <si>
    <t>Auxiliary</t>
  </si>
  <si>
    <t>Special</t>
  </si>
  <si>
    <t>English</t>
  </si>
  <si>
    <t xml:space="preserve">Gifted &amp; </t>
  </si>
  <si>
    <t>Services</t>
  </si>
  <si>
    <t>Education</t>
  </si>
  <si>
    <t>Learners</t>
  </si>
  <si>
    <t>At-Risk</t>
  </si>
  <si>
    <t>Talented</t>
  </si>
  <si>
    <t>Tab 2.6</t>
  </si>
  <si>
    <t>= C / C33</t>
  </si>
  <si>
    <t>= D * C6</t>
  </si>
  <si>
    <t>= C+E</t>
  </si>
  <si>
    <t>Tab 2.1</t>
  </si>
  <si>
    <t>Sum of G - L</t>
  </si>
  <si>
    <t>Without Excess</t>
  </si>
  <si>
    <t>Comparison of PCFP allocations with FY 2020 Baseline (Year 1)</t>
  </si>
  <si>
    <t>Comparison of PCFP vs FY 2020 Funding Received/Awarded</t>
  </si>
  <si>
    <t>Consideration of Net Proceeds of Minerals:  Funding Due to Host County?</t>
  </si>
  <si>
    <t xml:space="preserve">School District </t>
  </si>
  <si>
    <t>FY 2020
Enrollment</t>
  </si>
  <si>
    <t>Calculated PCFP Allocation 
(Current Year PCFP Allocation)</t>
  </si>
  <si>
    <t>PCFP   Per Pupil</t>
  </si>
  <si>
    <t>FY 2020 Revenues Received/Awarded 
 (PCFP FY 2020 Baseline Amount)</t>
  </si>
  <si>
    <t>PCFP    FY 2020 Baseline Per Pupil</t>
  </si>
  <si>
    <t>Will the School District or Charter School be funded by the PCFP?</t>
  </si>
  <si>
    <t>Projected Revenue: 
Net Proceeds of Minerals 
(Tab 1.3)</t>
  </si>
  <si>
    <t>Are Net Proceeds greater than the Hold Harmless Amount? (Y/N)</t>
  </si>
  <si>
    <t>Are Net Proceeds greater than the Current Year PCFP Allocation? (Y/N)</t>
  </si>
  <si>
    <t>Funding for those School Districts/Charter Schools on PCFP Per Pupil Amount</t>
  </si>
  <si>
    <t>Funding for those School Districts/Charter Schools on the FY 2020 Baseline Per Pupil Amount</t>
  </si>
  <si>
    <t>Prior Year Final Funding Designation</t>
  </si>
  <si>
    <t>District and Charter Summary</t>
  </si>
  <si>
    <t>Total for PCFP/2020 Baseline:</t>
  </si>
  <si>
    <t>Charter Schools Detail</t>
  </si>
  <si>
    <t>Did the charter school open after FY 2020?</t>
  </si>
  <si>
    <t>Difference from Revenue</t>
  </si>
  <si>
    <t>Charter funded prior to FY 2020</t>
  </si>
  <si>
    <t>Charter funded After FY 2020</t>
  </si>
  <si>
    <t>University Schools Detail</t>
  </si>
  <si>
    <r>
      <t>Calculation, Hold Harmless Calculation (</t>
    </r>
    <r>
      <rPr>
        <b/>
        <u/>
        <sz val="11"/>
        <color theme="1"/>
        <rFont val="Arial Narrow"/>
        <family val="2"/>
      </rPr>
      <t>Administrative References</t>
    </r>
    <r>
      <rPr>
        <sz val="11"/>
        <color theme="1"/>
        <rFont val="Arial Narrow"/>
        <family val="2"/>
      </rPr>
      <t>)</t>
    </r>
  </si>
  <si>
    <t>Subsection 6</t>
  </si>
  <si>
    <t>For any money identified in subsection 4 of NRS 362.170 which is deposited to the credit of the State Education Fund:</t>
  </si>
  <si>
    <t>Refers to Net Proceeds of Minerals</t>
  </si>
  <si>
    <t>The amount of such money for the county from which the money was collected that does not exceed the total amount of money appropriated pursuant to subsection 2 to the county school district is deemed to be the first money appropriated pursuant to subsection 2 for that county school district.</t>
  </si>
  <si>
    <t xml:space="preserve">Net Proceeds of Minerals funds are to be allocated back to the school district in the county of origin and are to be the first funds allocated. Net proceeds allocations are not in addition to, but are part of, the allocations made to school districts in counties where net proceeds taxes are generated. </t>
  </si>
  <si>
    <t>The amount of such money for the county from which the money was collected which exceeds the total amount of money appropriated pursuant to subsection 2 to the county school district must be transferred to the county school district and is hereby authorized for expenditure as a continuing appropriation for the purpose of mitigating the adverse effects of the cyclical nature of the industry of extracting and processing minerals on the ability of the county school district to offer its pupils a reasonably equal educational opportunity.</t>
  </si>
  <si>
    <t xml:space="preserve">Net Proceeds of Minerals Funds are to remain with the school district in to perpetuity to mitigate the cyclical nature of the mining industry in those districts. </t>
  </si>
  <si>
    <t>Section 15</t>
  </si>
  <si>
    <r>
      <rPr>
        <b/>
        <u/>
        <sz val="11"/>
        <color theme="1"/>
        <rFont val="Arial Narrow"/>
        <family val="2"/>
      </rPr>
      <t>It is the intent of the Legislature  to accomplish the transition to the Pupil-Centered Funding Plan without causing an unexpected loss of revenue to any school district which may receive less money under the Pupil- Centered Funding Plan than the district received during the fiscal year ending on June 30, 2020</t>
    </r>
    <r>
      <rPr>
        <sz val="11"/>
        <color theme="1"/>
        <rFont val="Arial Narrow"/>
        <family val="2"/>
      </rPr>
      <t>. Except as otherwise provided in subsection 3, if a school district would receive less money under the Pupil-Centered Funding Plan than the district received during the fiscal year ending on June 30, 2020, it is the intent of the Legislature that the school district instead receive the same level of funding that the district received during the fiscal year ending on June 30, 2020, and be given the flexibility to reapportion money between its adjusted base per pupil funding and weighted funding in a manner similar to the apportionment of such money in the fiscal year ending on June 30, 2020, to ensure that each pupil in the district receives a reasonably equal educational opportunity.</t>
    </r>
  </si>
  <si>
    <t xml:space="preserve">Hold harmless is established as the amount each district received during FY2020. The hold harmless only applies to school district and does not apply to charter schools. </t>
  </si>
  <si>
    <t>Initial Designation</t>
  </si>
  <si>
    <t xml:space="preserve">Adjusted Base </t>
  </si>
  <si>
    <t xml:space="preserve">Gifted and </t>
  </si>
  <si>
    <t xml:space="preserve">Change </t>
  </si>
  <si>
    <t>Prior to Proportional</t>
  </si>
  <si>
    <t>Weighted</t>
  </si>
  <si>
    <t>Spec  Transport</t>
  </si>
  <si>
    <t xml:space="preserve">Auxiliary </t>
  </si>
  <si>
    <t>Spec Ed Local</t>
  </si>
  <si>
    <t>K12 Education</t>
  </si>
  <si>
    <t>Compared to</t>
  </si>
  <si>
    <t>Funding Reduction</t>
  </si>
  <si>
    <t>FY 2020 Funding</t>
  </si>
  <si>
    <t>Tab 2.8 / 2.9</t>
  </si>
  <si>
    <t>Tab 2.8 / 1.4</t>
  </si>
  <si>
    <t>= G + H + I</t>
  </si>
  <si>
    <t xml:space="preserve"> S - Tab 2.9</t>
  </si>
  <si>
    <t>Reduction Needed to Balance to Revenue</t>
  </si>
  <si>
    <t>Tab 2.9</t>
  </si>
  <si>
    <t>= F + G + H</t>
  </si>
  <si>
    <t>Tab 2.9.1</t>
  </si>
  <si>
    <t>Tab 2.1.1</t>
  </si>
  <si>
    <t>= D + I + M</t>
  </si>
  <si>
    <t>% Reduction</t>
  </si>
  <si>
    <t>Charter School</t>
  </si>
  <si>
    <t>Net %</t>
  </si>
  <si>
    <t>Tab 3.1a Funded Level</t>
  </si>
  <si>
    <t>Less Reduction</t>
  </si>
  <si>
    <t>Reduced Funding Level</t>
  </si>
  <si>
    <t>NEBS Input:</t>
  </si>
  <si>
    <t>Cat 08</t>
  </si>
  <si>
    <t>Cat 12</t>
  </si>
  <si>
    <t>Cat 13</t>
  </si>
  <si>
    <t>Cat 14</t>
  </si>
  <si>
    <t>Cat 09</t>
  </si>
  <si>
    <t>Cat 10</t>
  </si>
  <si>
    <t>Cat 11</t>
  </si>
  <si>
    <t>Total Spec</t>
  </si>
  <si>
    <t>Avg Per Pupil</t>
  </si>
  <si>
    <t>Prior Year</t>
  </si>
  <si>
    <t xml:space="preserve">FUNDED </t>
  </si>
  <si>
    <t>Final Funding</t>
  </si>
  <si>
    <t xml:space="preserve">Per Pupil </t>
  </si>
  <si>
    <t>Amt Based on</t>
  </si>
  <si>
    <t>Final</t>
  </si>
  <si>
    <t xml:space="preserve">BY </t>
  </si>
  <si>
    <t xml:space="preserve">Compared to </t>
  </si>
  <si>
    <t>Designation</t>
  </si>
  <si>
    <t>Total Funding</t>
  </si>
  <si>
    <t>FY2023 PCFP</t>
  </si>
  <si>
    <t>Tab 3.2 * K3</t>
  </si>
  <si>
    <t>E / Tab 2.9</t>
  </si>
  <si>
    <t>=F11+L11+Q11+S11</t>
  </si>
  <si>
    <t>= U / Tab 2.9</t>
  </si>
  <si>
    <t>Cross Checks</t>
  </si>
  <si>
    <t>TAB 6.9</t>
  </si>
  <si>
    <t>Model</t>
  </si>
  <si>
    <t>Rounding Adjustement:</t>
  </si>
  <si>
    <t>Total Reduction</t>
  </si>
  <si>
    <t>Reduction Percentage</t>
  </si>
  <si>
    <t>Pupil-Centered Funding Plan Allocation Summary for Year 1 and Year 2</t>
  </si>
  <si>
    <t>Results, Final Allocations after the FY 2020 Baseline Adjustments (Year 2)</t>
  </si>
  <si>
    <t>Total Pupil Centered Funding Revenue Sources</t>
  </si>
  <si>
    <t>Note</t>
  </si>
  <si>
    <t>Budgeted Revenues</t>
  </si>
  <si>
    <t>1.4 Total Revenue</t>
  </si>
  <si>
    <t>Total Revenue</t>
  </si>
  <si>
    <t>Tab 5.3</t>
  </si>
  <si>
    <t>Total Funding Allocations</t>
  </si>
  <si>
    <t>Budgeted Revenues Available</t>
  </si>
  <si>
    <t>Projected Allocations</t>
  </si>
  <si>
    <t>Budgeted Enrollments</t>
  </si>
  <si>
    <t>Funding Per Pupil</t>
  </si>
  <si>
    <t>Effective Weights</t>
  </si>
  <si>
    <t>Auxiliary Education Services Funding (Level B), After Reduction</t>
  </si>
  <si>
    <t>Tab 7.1b</t>
  </si>
  <si>
    <t>Local Special Education Funding (Level B1), After Reduction</t>
  </si>
  <si>
    <t>Statewide Base PP Funding, After Reduction</t>
  </si>
  <si>
    <t>Tab 1.1 X Tab 1.2</t>
  </si>
  <si>
    <t>Tab 5.1 X Tab 5.2</t>
  </si>
  <si>
    <t>Adjusted Base Per Pupil K-12 Education Allocations (Level C&amp;D), After Reduction</t>
  </si>
  <si>
    <t>English Learner Initial Allocations, After Reduction</t>
  </si>
  <si>
    <t>At-Risk Learner Initial Allocations, After Reduction</t>
  </si>
  <si>
    <t>Gifted and Talented Initial Allocations, After Reduction</t>
  </si>
  <si>
    <t>Total Weighed Program Allocations (Level E), After Reduction</t>
  </si>
  <si>
    <t>Total Pupil Centered Funding Budgeted Allocations, After Reduction</t>
  </si>
  <si>
    <t>Total Pupil Centered Funding Budgeted Allocations</t>
  </si>
  <si>
    <t>PCFP Budgeted Revenue verses Projected Allocation Cross Check:</t>
  </si>
  <si>
    <t>Revenues</t>
  </si>
  <si>
    <t>Net Change</t>
  </si>
  <si>
    <t>Assumption Control (Year 2)</t>
  </si>
  <si>
    <t>Prior Year Data Inputs</t>
  </si>
  <si>
    <t xml:space="preserve">Tab 5.1 </t>
  </si>
  <si>
    <t>K-12 PCFP Revenue from Prior year:</t>
  </si>
  <si>
    <t>K-12 Statewide Base Per Pupil from prior year:</t>
  </si>
  <si>
    <t>Tab 5.1</t>
  </si>
  <si>
    <t>Federal CPI Inflationary Value Per Pupil</t>
  </si>
  <si>
    <t>Prior Year State English Learner Funding Allocated</t>
  </si>
  <si>
    <t>Tab 6.7</t>
  </si>
  <si>
    <t>Prior Year State At-Risk Student Allocated</t>
  </si>
  <si>
    <t>Inflationary Value Per Pupil</t>
  </si>
  <si>
    <t>Prior Year State Gifted and Talented Funding Allocated</t>
  </si>
  <si>
    <t>Total Enrollment from prior year:</t>
  </si>
  <si>
    <t>Tab 5.2</t>
  </si>
  <si>
    <t>Total English Learner Enrollment from prior year:</t>
  </si>
  <si>
    <t>Tab 6.8</t>
  </si>
  <si>
    <t>Per Pupil Rate of Change from FY24</t>
  </si>
  <si>
    <t>Total At-Risk Enrollment from prior year:</t>
  </si>
  <si>
    <t>Total Gifted and Talented Enrollment from prior year:</t>
  </si>
  <si>
    <t>Total Distant Education Enrollment from prior year:</t>
  </si>
  <si>
    <t>Enrollment Growth</t>
  </si>
  <si>
    <t>Tab 7.1a</t>
  </si>
  <si>
    <t>Tab 6.3</t>
  </si>
  <si>
    <t>Budgeted Enrollment Projections (Year 2)</t>
  </si>
  <si>
    <t>Projected   Enrollment Growth</t>
  </si>
  <si>
    <t>Informational Only</t>
  </si>
  <si>
    <t xml:space="preserve"> </t>
  </si>
  <si>
    <t>Duckwater</t>
  </si>
  <si>
    <t>Biennium total</t>
  </si>
  <si>
    <t>Budgeted Revenue Projections  (Year 2)</t>
  </si>
  <si>
    <t>BASE GENERAL FUND APPROPRIATION</t>
  </si>
  <si>
    <t xml:space="preserve">	BAL FWD FROM PREVIOUS YEAR (PROCEEDS OF MINERALS (NPM and Other Revenue late Transfers received in prior year for expenditure in current year)</t>
  </si>
  <si>
    <t>Balance Forward</t>
  </si>
  <si>
    <t>Auxiliary Services Calculations (Transportation and Food Service) (Year 2)</t>
  </si>
  <si>
    <t>added per LCB (4-9-21)</t>
  </si>
  <si>
    <t>Transportation Totals:</t>
  </si>
  <si>
    <t>Food Services Totals:</t>
  </si>
  <si>
    <t>Local Special Education Funding Calculations  (Year 2)</t>
  </si>
  <si>
    <t>Statewide Base Per Pupil Funding Calculations for School Districts and Charter Schools (Year 2)</t>
  </si>
  <si>
    <t>Non-participating districts</t>
  </si>
  <si>
    <t>District Size Adjustment by Attendance Area Calculations (Year 2)</t>
  </si>
  <si>
    <t>Adjustment Amount Per Pupil Based on Public School Area</t>
  </si>
  <si>
    <t>Size Adjustment Consistent with Other Public Schools in the Area Where the Charter Operates</t>
  </si>
  <si>
    <t>Nevada Cost of Education Index (NCEI) Calculations for School Districts and Charter Schools (Year 2)</t>
  </si>
  <si>
    <t>= D * G</t>
  </si>
  <si>
    <t>=(H * (G - 1))</t>
  </si>
  <si>
    <t>Column D13:D29</t>
  </si>
  <si>
    <t>Adjusted Base Funding Summary for School Districts and Charter Schools (Year 2)</t>
  </si>
  <si>
    <t>Tab 6.4</t>
  </si>
  <si>
    <t>Tab 6.5</t>
  </si>
  <si>
    <t xml:space="preserve">Commission on School Funding Recommended Targeted Multipliers </t>
  </si>
  <si>
    <t>Weighted Funding Calculations for School Districts and Charter Schools (Year 2)</t>
  </si>
  <si>
    <t>Targeted Multiplier</t>
  </si>
  <si>
    <t>Allocation of Residual Revenue (Year 2)</t>
  </si>
  <si>
    <t>Tab 6.6</t>
  </si>
  <si>
    <t>= C+ E</t>
  </si>
  <si>
    <t>Tab 6.1</t>
  </si>
  <si>
    <t>Tab 6.2</t>
  </si>
  <si>
    <t>University Total</t>
  </si>
  <si>
    <t>Comparison of PCFP allocations with FY 2020 Baseline (Year 2)</t>
  </si>
  <si>
    <t>FY 2025
Enrollment</t>
  </si>
  <si>
    <t>PCFP           Per Pupil Amount</t>
  </si>
  <si>
    <t>FY 2020 Revenues Received/Awarded 
 (FY 2020 Baseline Funding)</t>
  </si>
  <si>
    <t>PCFP FY 2020 Baseline Per Pupil Amount</t>
  </si>
  <si>
    <t>Are Net Proceeds greater than the FY 2020 Baseline Amount? (Y/N)</t>
  </si>
  <si>
    <t>Funding for those School Districts/Charter Schools on PCFP Per Pupil</t>
  </si>
  <si>
    <t>Funding for those School Districts/Charter Schools at the FY 2020 Baseline Per Pupil Rate</t>
  </si>
  <si>
    <t>Total for PCFP/Hold Harmless:</t>
  </si>
  <si>
    <t>Initial Results, Allocation of K12 Education Funding, Prior to Proportional FY 2020 Baseline Reductions (Year 2)</t>
  </si>
  <si>
    <t>Tab 6.9</t>
  </si>
  <si>
    <t>Tab 6.8 / 6.9</t>
  </si>
  <si>
    <t>Tab 6.8 / 1.4</t>
  </si>
  <si>
    <t>Tab 6.1 / 1.4</t>
  </si>
  <si>
    <t>= M + N + O</t>
  </si>
  <si>
    <t>= S - Tab 2.9</t>
  </si>
  <si>
    <t>Tab 3.2a Funded Level</t>
  </si>
  <si>
    <t>Final Results, Allocation of K12 Education Funding, After Proportional FY 2020 Baseline Reductions (Year 2)</t>
  </si>
  <si>
    <t>Change</t>
  </si>
  <si>
    <t>Tab 7.1a * K3</t>
  </si>
  <si>
    <t>F / Tab 6.9</t>
  </si>
  <si>
    <t>= U / Tab 6.9</t>
  </si>
  <si>
    <t>Turn on</t>
  </si>
  <si>
    <t>Adjustment?</t>
  </si>
  <si>
    <t>PCFP Year 2 Weighted Adjustments</t>
  </si>
  <si>
    <t xml:space="preserve">LO1 </t>
  </si>
  <si>
    <t>Mid Biennium</t>
  </si>
  <si>
    <t>LO1</t>
  </si>
  <si>
    <t>Adjusted</t>
  </si>
  <si>
    <t xml:space="preserve">FY 23 Adjusted </t>
  </si>
  <si>
    <t xml:space="preserve">Approved </t>
  </si>
  <si>
    <t xml:space="preserve"> Adjusted </t>
  </si>
  <si>
    <t xml:space="preserve">Change in </t>
  </si>
  <si>
    <t xml:space="preserve">Less Proportional </t>
  </si>
  <si>
    <t xml:space="preserve">Gifted  and </t>
  </si>
  <si>
    <t>Increase</t>
  </si>
  <si>
    <t>LO1 Reduction</t>
  </si>
  <si>
    <t>Pupils</t>
  </si>
  <si>
    <t>Legislatively</t>
  </si>
  <si>
    <t>(Decrease)</t>
  </si>
  <si>
    <t>Approved</t>
  </si>
  <si>
    <t>= C - B</t>
  </si>
  <si>
    <t>= Column C</t>
  </si>
  <si>
    <t>= E x F</t>
  </si>
  <si>
    <t>= G x H9</t>
  </si>
  <si>
    <t>= K - J</t>
  </si>
  <si>
    <t>Column K</t>
  </si>
  <si>
    <t>= M x N</t>
  </si>
  <si>
    <t>= O x P9</t>
  </si>
  <si>
    <t>= S - R</t>
  </si>
  <si>
    <t>Column S</t>
  </si>
  <si>
    <t>= U x V</t>
  </si>
  <si>
    <t>= W x X9</t>
  </si>
  <si>
    <t>Allocations</t>
  </si>
  <si>
    <t>Summary of Charter Schools</t>
  </si>
  <si>
    <t>FY2022 Total</t>
  </si>
  <si>
    <t>FY2023 Total</t>
  </si>
  <si>
    <t xml:space="preserve">FY21-23 </t>
  </si>
  <si>
    <t>FY2024 Total</t>
  </si>
  <si>
    <t>FY2025 Total</t>
  </si>
  <si>
    <t xml:space="preserve">FY23-25 </t>
  </si>
  <si>
    <t xml:space="preserve">Biennium </t>
  </si>
  <si>
    <t>Biennium</t>
  </si>
  <si>
    <t>Biennium Total</t>
  </si>
  <si>
    <t>Budget Account Line Item Data by Decision Unit</t>
  </si>
  <si>
    <t>R/E Check Data:</t>
  </si>
  <si>
    <t>Date:</t>
  </si>
  <si>
    <t>Directions for use of this tab to update NEBS/BASN utilizing M150 as the balancing mechanism:</t>
  </si>
  <si>
    <t>Budget Period:</t>
  </si>
  <si>
    <t>Download the BADU from NEBS/BASN</t>
  </si>
  <si>
    <t>Budget Account:</t>
  </si>
  <si>
    <t>2609 NDE - PUPIL-CENTERED FUNDING PLAN ACCOUNT</t>
  </si>
  <si>
    <t>Copy the Actual, WP, and B000 columns, and paste as values into this spreadsheet. Do not copy and paste over the M150 columns, Yr 1 Total, or Yr 2 Total column.</t>
  </si>
  <si>
    <t>Version:</t>
  </si>
  <si>
    <t>G01 GOVERNOR RECOMMENDS</t>
  </si>
  <si>
    <t>Update the total forumula's that were pasted over.</t>
  </si>
  <si>
    <t>Cat</t>
  </si>
  <si>
    <t>GL</t>
  </si>
  <si>
    <t>Description</t>
  </si>
  <si>
    <t>Actual</t>
  </si>
  <si>
    <t>WP</t>
  </si>
  <si>
    <t>B000</t>
  </si>
  <si>
    <t>M150</t>
  </si>
  <si>
    <t>Yr 1 Total</t>
  </si>
  <si>
    <t>Yr 2 Total</t>
  </si>
  <si>
    <t>Grand Total</t>
  </si>
  <si>
    <t>00</t>
  </si>
  <si>
    <t>APPROPRIATION CONTROL</t>
  </si>
  <si>
    <t>BALANCE FORWARD FROM PREVIOUS YEAR</t>
  </si>
  <si>
    <t>BALANCE FORWARD TO NEW YEAR</t>
  </si>
  <si>
    <t>NET PROCEEDS MINERALS - STATE</t>
  </si>
  <si>
    <t>GOLD AND SILVER TAX</t>
  </si>
  <si>
    <t>MV GOVERNMENTAL SERVICES TAX COMMISSIONS</t>
  </si>
  <si>
    <t>EXCISE TAX RETAIL</t>
  </si>
  <si>
    <t>SCHOOL SUPPORT TAX</t>
  </si>
  <si>
    <t>AB 579 TRANSIENT LODGING TAX</t>
  </si>
  <si>
    <t>UNIVERSAL ENERGY CHARGE</t>
  </si>
  <si>
    <t>FED MINERAL LEASING ACT REV</t>
  </si>
  <si>
    <t>GEOTHERMAL TAX</t>
  </si>
  <si>
    <t>NET PROCEEDS OF MINERALS</t>
  </si>
  <si>
    <t>FINES/FORFEITURES/PENALTIES</t>
  </si>
  <si>
    <t>FINES</t>
  </si>
  <si>
    <t>PRIOR YEAR REFUNDS</t>
  </si>
  <si>
    <t>TRANS FROM PETRLM DISCHRG TRST</t>
  </si>
  <si>
    <t>TRANSFER FROM TAXATION</t>
  </si>
  <si>
    <t>TRANSFER FROM PERMANENT FUNDS</t>
  </si>
  <si>
    <t xml:space="preserve"> 00  Total</t>
  </si>
  <si>
    <t>08</t>
  </si>
  <si>
    <t>7438</t>
  </si>
  <si>
    <t>PROFESSIONAL SERVICES-H</t>
  </si>
  <si>
    <t>8600</t>
  </si>
  <si>
    <t>AID FOR EDUCATION AND TRAINING</t>
  </si>
  <si>
    <t>8601</t>
  </si>
  <si>
    <t>CARSON CITY SCHOOL DISTRICT</t>
  </si>
  <si>
    <t>8602</t>
  </si>
  <si>
    <t>CHURCHILL CO SCHOOL DISTRICT</t>
  </si>
  <si>
    <t>8603</t>
  </si>
  <si>
    <t>CLARK CO SCHOOL DISTRICT</t>
  </si>
  <si>
    <t>8604</t>
  </si>
  <si>
    <t>DOUGLAS CO SCHOOL DISTRICT</t>
  </si>
  <si>
    <t>8605</t>
  </si>
  <si>
    <t>ELKO CO SCHOOL DISTRICT</t>
  </si>
  <si>
    <t>8606</t>
  </si>
  <si>
    <t>ESMERALDA CO SCHOOL DISTRICT</t>
  </si>
  <si>
    <t>8607</t>
  </si>
  <si>
    <t>EUREKA CO SCHOOL DISTRICT</t>
  </si>
  <si>
    <t>8608</t>
  </si>
  <si>
    <t>HUMBOLDT CO SCHOOL DISTRICT</t>
  </si>
  <si>
    <t>8609</t>
  </si>
  <si>
    <t>LANDER CO SCHOOL DISTRICT</t>
  </si>
  <si>
    <t>8610</t>
  </si>
  <si>
    <t>LINCOLN CO SCHOOL DISTRICT</t>
  </si>
  <si>
    <t>8611</t>
  </si>
  <si>
    <t>LYON CO SCHOOL DISTRICT</t>
  </si>
  <si>
    <t>8612</t>
  </si>
  <si>
    <t>MINERAL CO SCHOOL DISTRICT</t>
  </si>
  <si>
    <t>8613</t>
  </si>
  <si>
    <t>NYE CO SCHOOL DISTRICT</t>
  </si>
  <si>
    <t>8614</t>
  </si>
  <si>
    <t>PERSHING CO SCHOOL DISTRICT</t>
  </si>
  <si>
    <t>8615</t>
  </si>
  <si>
    <t>STOREY CO SCHOOL DISTRICT</t>
  </si>
  <si>
    <t>8616</t>
  </si>
  <si>
    <t>WASHOE CO SCHOOL DISTRICT</t>
  </si>
  <si>
    <t>8617</t>
  </si>
  <si>
    <t>WHITE PINE CO SCHOOL DISTRICT</t>
  </si>
  <si>
    <t>8621</t>
  </si>
  <si>
    <t>CHARTER-HIGH DESERT MONTESSORI</t>
  </si>
  <si>
    <t>8622</t>
  </si>
  <si>
    <t>CHARTER-CORAL ACADEMY</t>
  </si>
  <si>
    <t>8623</t>
  </si>
  <si>
    <t>CHARTER-NEVADA LEADERSHIP</t>
  </si>
  <si>
    <t>8624</t>
  </si>
  <si>
    <t>CHARTER-ACADEMY FOR CAREER EDU</t>
  </si>
  <si>
    <t>8625</t>
  </si>
  <si>
    <t>CHARTER-SIERRA CREST ACADEMY</t>
  </si>
  <si>
    <t>8627</t>
  </si>
  <si>
    <t>CHARTER-WASHOE TEAM ACADEMY</t>
  </si>
  <si>
    <t>8628</t>
  </si>
  <si>
    <t>CHARTER-CLARK TEAM ACADEMY</t>
  </si>
  <si>
    <t>8629</t>
  </si>
  <si>
    <t>CHARTER-TRANSITIONS SCHOOL</t>
  </si>
  <si>
    <t>8630</t>
  </si>
  <si>
    <t>AID OR GRANTS TO SCHOOLS</t>
  </si>
  <si>
    <t>8631</t>
  </si>
  <si>
    <t>CHARTER-ODYSSEY ELEMENTARY</t>
  </si>
  <si>
    <t>8632</t>
  </si>
  <si>
    <t>CHARTER-BAILEY</t>
  </si>
  <si>
    <t>8633</t>
  </si>
  <si>
    <t>CHARTER-SIERRA NEVADA ACADEMY</t>
  </si>
  <si>
    <t>8637</t>
  </si>
  <si>
    <t>CHARTER-ODYSSEY SECONDARY</t>
  </si>
  <si>
    <t>8638</t>
  </si>
  <si>
    <t>CHARTER-EXPLORE KNOWLEDGE ACAD</t>
  </si>
  <si>
    <t>8639</t>
  </si>
  <si>
    <t>CHARTER-MARIPOSA ACADEMY</t>
  </si>
  <si>
    <t>8659</t>
  </si>
  <si>
    <t>CHARTER - CIVICA</t>
  </si>
  <si>
    <t>8660</t>
  </si>
  <si>
    <t>CHARTER-RAINSHADOW SCHOOL</t>
  </si>
  <si>
    <t>8661</t>
  </si>
  <si>
    <t>CHARTER - NV STATE HIGH SCHOOL</t>
  </si>
  <si>
    <t>8662</t>
  </si>
  <si>
    <t>CHARTER - EVOLUTIONS</t>
  </si>
  <si>
    <t>8663</t>
  </si>
  <si>
    <t>CHARTER - CARSON MONTESSORI</t>
  </si>
  <si>
    <t>8665</t>
  </si>
  <si>
    <t>CHARTER-INNOVATIONS INTERNATNL</t>
  </si>
  <si>
    <t>8666</t>
  </si>
  <si>
    <t>CHARTER-RAINBOW DREAMS</t>
  </si>
  <si>
    <t>8667</t>
  </si>
  <si>
    <t>CHARTER-EPERANZA BILINGUAL</t>
  </si>
  <si>
    <t>8668</t>
  </si>
  <si>
    <t>CHARTER-E TECHS</t>
  </si>
  <si>
    <t>8669</t>
  </si>
  <si>
    <t>CHARTER-100 ACADEMY OF EXCELLENCE</t>
  </si>
  <si>
    <t>8670</t>
  </si>
  <si>
    <t>CHARTER-WESTCARE</t>
  </si>
  <si>
    <t>8671</t>
  </si>
  <si>
    <t>CHARTER - BEACON ACADEMY</t>
  </si>
  <si>
    <t>8672</t>
  </si>
  <si>
    <t>CHARTER - IMAGINE SCHOOL IN VALLEY</t>
  </si>
  <si>
    <t>8673</t>
  </si>
  <si>
    <t>CHARTER - ELKO INSTITUTE</t>
  </si>
  <si>
    <t>8674</t>
  </si>
  <si>
    <t>CHARTER - SILVER SANDS MONTESS</t>
  </si>
  <si>
    <t>8675</t>
  </si>
  <si>
    <t>CHARTER - ALPINE ACADEMY</t>
  </si>
  <si>
    <t>8677</t>
  </si>
  <si>
    <t>CHARTER-SOMERSET ACADEMY</t>
  </si>
  <si>
    <t>8678</t>
  </si>
  <si>
    <t>CHARTER-LEARNING BRIDGE</t>
  </si>
  <si>
    <t>8679</t>
  </si>
  <si>
    <t>CHARTER-DORAL</t>
  </si>
  <si>
    <t>8680</t>
  </si>
  <si>
    <t>CHARTER-FOUNDERS ACADEMY</t>
  </si>
  <si>
    <t>8681</t>
  </si>
  <si>
    <t>CHARTER - OTHER SCHOOLS</t>
  </si>
  <si>
    <t>8682</t>
  </si>
  <si>
    <t>CHARTER-MATER</t>
  </si>
  <si>
    <t>8683</t>
  </si>
  <si>
    <t>CHARTER - SCHOOL</t>
  </si>
  <si>
    <t>8684</t>
  </si>
  <si>
    <t>CHARTER-EQUIPO ACADEMY CS</t>
  </si>
  <si>
    <t>8685</t>
  </si>
  <si>
    <t>CHARTER/SLAM</t>
  </si>
  <si>
    <t>8686</t>
  </si>
  <si>
    <t>CHARTER - AMER LEADRSHP ACAD NLV</t>
  </si>
  <si>
    <t>8687</t>
  </si>
  <si>
    <t>CHARTER - FUTURO ACADEMY</t>
  </si>
  <si>
    <t>8688</t>
  </si>
  <si>
    <t>CHARTER - DEMOCRACY PREP</t>
  </si>
  <si>
    <t>8689</t>
  </si>
  <si>
    <t>CHARTER - DORAL NORTH</t>
  </si>
  <si>
    <t>8690</t>
  </si>
  <si>
    <t>CHARTER - MATER NORTH</t>
  </si>
  <si>
    <t>8691</t>
  </si>
  <si>
    <t>CHARTER - NVSTATE HS II SUNRISE</t>
  </si>
  <si>
    <t>8692</t>
  </si>
  <si>
    <t>CHARTER - NV RISE ACADEMY</t>
  </si>
  <si>
    <t>8693</t>
  </si>
  <si>
    <t>CHARTER - NV ST HS III MEADOWOOD</t>
  </si>
  <si>
    <t>8694</t>
  </si>
  <si>
    <t>CHARTER - NV PREP</t>
  </si>
  <si>
    <t>8697</t>
  </si>
  <si>
    <t>CHARTER-EXPLORE ACADEMY</t>
  </si>
  <si>
    <t>8698</t>
  </si>
  <si>
    <t>CHARTER-PINECREST ACADEMY NO NV</t>
  </si>
  <si>
    <t>8699</t>
  </si>
  <si>
    <t>CHARTER-TEACH LAS VEGAS</t>
  </si>
  <si>
    <t xml:space="preserve"> 08  Total</t>
  </si>
  <si>
    <t>09</t>
  </si>
  <si>
    <t xml:space="preserve"> 09  Total</t>
  </si>
  <si>
    <t>10</t>
  </si>
  <si>
    <t xml:space="preserve"> 10  Total</t>
  </si>
  <si>
    <t>11</t>
  </si>
  <si>
    <t xml:space="preserve"> 11  Total</t>
  </si>
  <si>
    <t>12</t>
  </si>
  <si>
    <t xml:space="preserve"> 12  Total</t>
  </si>
  <si>
    <t>13</t>
  </si>
  <si>
    <t xml:space="preserve"> 13  Total</t>
  </si>
  <si>
    <t>14</t>
  </si>
  <si>
    <t xml:space="preserve"> 14  Total</t>
  </si>
  <si>
    <t>25</t>
  </si>
  <si>
    <t xml:space="preserve"> 25  Total</t>
  </si>
  <si>
    <t>32</t>
  </si>
  <si>
    <t>9027</t>
  </si>
  <si>
    <t>TRANS TO EDUCATION</t>
  </si>
  <si>
    <t xml:space="preserve"> 32  Total</t>
  </si>
  <si>
    <t>85</t>
  </si>
  <si>
    <t>9178</t>
  </si>
  <si>
    <t>RESERVE - BAL FWD TO SUBSEQUENT FY</t>
  </si>
  <si>
    <t xml:space="preserve"> 85  Total</t>
  </si>
  <si>
    <t>STATE EDUCATION FUNDING SOURCE FORECASTS FOR FY 2023, FY 2024, AND FY 2025 - BUDGET DIVISION/FISCAL ANALYSIS DIVISION MAY 2023 CONSENSUS</t>
  </si>
  <si>
    <t>FY 2022 ACTUAL AND FY 2023, FY 2024, &amp; FY 2025 MAY 2023 FORECAST</t>
  </si>
  <si>
    <t>2021-23 Biennium (FY 2022 &amp; FY 2023)</t>
  </si>
  <si>
    <t>2023-25 Biennium (FY 2024 &amp; FY 2025)</t>
  </si>
  <si>
    <t>Biennium Difference:  
2023-25 Biennium less 
2021-23 Biennium</t>
  </si>
  <si>
    <t>Paragraph of Subsection 2 of NRS 387.1212</t>
  </si>
  <si>
    <t>NRS Reference for Revenue Source</t>
  </si>
  <si>
    <t>BA 2609 GL</t>
  </si>
  <si>
    <t>FY 2022</t>
  </si>
  <si>
    <t>FY 2023</t>
  </si>
  <si>
    <t>2021-23 Biennium</t>
  </si>
  <si>
    <t>FY 2024</t>
  </si>
  <si>
    <t>FY 2025</t>
  </si>
  <si>
    <t>2023-25 Biennium</t>
  </si>
  <si>
    <t>Reversions</t>
  </si>
  <si>
    <t>Beginning Cash</t>
  </si>
  <si>
    <t>Prior Year Refunds</t>
  </si>
  <si>
    <t>387.1212, Sub. 2, (a)</t>
  </si>
  <si>
    <t>Interest from the Permanent School Fund</t>
  </si>
  <si>
    <t>387.1212, Sub. 2, (b)</t>
  </si>
  <si>
    <t>State 3% Room Tax</t>
  </si>
  <si>
    <t>387.1212, Sub. 2, (c)</t>
  </si>
  <si>
    <t>Property Tax - 75-cent Operating Rate for Schools (total 75-cent rate amount)</t>
  </si>
  <si>
    <t>387.1212, Sub. 2, (d)</t>
  </si>
  <si>
    <t>120A.610</t>
  </si>
  <si>
    <t>Expired/abandoned gift certificates (unredeemed/uncharged value portion)</t>
  </si>
  <si>
    <t>387.1212, Sub. 2, (e)</t>
  </si>
  <si>
    <t>Proceeds from the Sale of Forfeited Property</t>
  </si>
  <si>
    <t>387.1212, Sub. 2, (f)</t>
  </si>
  <si>
    <t>278C.250</t>
  </si>
  <si>
    <t>Proceeds from the Tax Increment Areas</t>
  </si>
  <si>
    <t>387.1212, Sub. 2, (g)</t>
  </si>
  <si>
    <t>Lease of Federal Lands</t>
  </si>
  <si>
    <t>387.1212, Sub. 2, (h)</t>
  </si>
  <si>
    <t>387.1212, Sub. 2, (i)</t>
  </si>
  <si>
    <t>Distribution of Excess Sales Tax Proceeds Pledged for a Project by a County Pursuant to the Provisions Established in NRS 271.650 Authorizing a County Whose Population is Less Than 700,000 to Pledge Up to 75% of Sales Tax for Certain Projects in Support of Economic Development and Tourism</t>
  </si>
  <si>
    <t>387.1212, Sub. 2, (j)</t>
  </si>
  <si>
    <t xml:space="preserve">Distribution of Excess Sales Tax Proceeds Pledged for a Project by a County Pursuant to the Provisions Established in NRS 271A.070 Authorizing a County to Create a Tourism Improvement District (TID) and Pledge Up to 75% of Sales Tax Proceeds in the TID for Certain Projects in Support of Economic Development and Tourism.  This is also generally referred to as the STAR Bonds. </t>
  </si>
  <si>
    <t>387.1212, Sub. 2, (k)</t>
  </si>
  <si>
    <t>Net Proceeds of Minerals Collections Attributable to State Portion</t>
  </si>
  <si>
    <t>387.1212, Sub. 2, (l)</t>
  </si>
  <si>
    <t>Net Proceeds of Minerals Collections Attributable to 75-Cent Property Tax Rate</t>
  </si>
  <si>
    <t>387.1212, Sub. 2, (m)</t>
  </si>
  <si>
    <t>372A.290</t>
  </si>
  <si>
    <t>15% Wholesale Excise Tax on marijuana sold by cultivation establishments</t>
  </si>
  <si>
    <t>387.1212, Sub. 2,(q)</t>
  </si>
  <si>
    <t>678B.390</t>
  </si>
  <si>
    <t>Medical/Adult Use Marijuana Establishments - Application Fees, Initial and Renewal License Fees, and Agent Card Fees</t>
  </si>
  <si>
    <t>387.1212,  Sub. 2, (n)</t>
  </si>
  <si>
    <t>10% Retail Excise Tax on marijuana sold by retail marijuana establishments</t>
  </si>
  <si>
    <t>387.1212, Sub. 2, (o)</t>
  </si>
  <si>
    <t>Local School Support Tax (LSST)</t>
  </si>
  <si>
    <t>387.1212, Sub. 2, (p)</t>
  </si>
  <si>
    <t>445B.640</t>
  </si>
  <si>
    <t>Proceeds from Penalties Related to Program for Control of Air Pollution Violations</t>
  </si>
  <si>
    <t>387.1212, Sub. 2, (r)</t>
  </si>
  <si>
    <t>Annual Slot Tax</t>
  </si>
  <si>
    <t>387.1212, Sub. 2, (s)</t>
  </si>
  <si>
    <t>GST - School District Allocation: Portion Allocated Based on 75-cent Property Tax Operating Rate</t>
  </si>
  <si>
    <t>387.1212, Sub. 2, (t)</t>
  </si>
  <si>
    <t>Portion of annual boat registration fees - NDOW (NRS 488.075)</t>
  </si>
  <si>
    <t>387.1212, Sub. 2, (u)</t>
  </si>
  <si>
    <t>Franchise Fee of 2% on Net Profits of a Business Granted a Franchise to Operate Electric Light, Heat, and Power Lines in a County</t>
  </si>
  <si>
    <t>387.1212, Sub. 2, (v)</t>
  </si>
  <si>
    <t>387.1212, Sub. 2, (w)</t>
  </si>
  <si>
    <t>Franchise Fee of 2% of Net Profits for Granting an Extension of the Franchise to a Business to Operate Electric Light, Heat, and Power Lines in a County</t>
  </si>
  <si>
    <t>387.1212, Sub 2., (x)</t>
  </si>
  <si>
    <t>363D.290</t>
  </si>
  <si>
    <t>Tax on Gross Revenue of Gold and Silver Mining Businesses</t>
  </si>
  <si>
    <t>387.1212, Sub. 1</t>
  </si>
  <si>
    <t>Interest Income on Revenue in the SEF - Excluding General Fund Appropriation</t>
  </si>
  <si>
    <t>None</t>
  </si>
  <si>
    <t>Transfer Prior Year Revenue - FY22 4th Qtr SEF Interest</t>
  </si>
  <si>
    <t>120A.645</t>
  </si>
  <si>
    <t>Gifts and Donations of Unclaimed Property Proceeds</t>
  </si>
  <si>
    <t>387.1212, Sub. 2, (y)</t>
  </si>
  <si>
    <t>General Fund Appropriation</t>
  </si>
  <si>
    <t>TOTAL - ALL ITEMS</t>
  </si>
  <si>
    <t>TOTAL - REVENUE SOURCES: EXCLUDES GENERAL FUND APPROPRIATION, REVERSIONS, BEGINNING CASH, AND PRIOR YEAR REFUNDS</t>
  </si>
  <si>
    <t>TOTAL - FUNDING SOURCES WITH GENERAL FUND APPROPRIATION EXCLUDING REVERSIONS, BEGINNING CASH, AND PRIOR YEAR REFUNDS</t>
  </si>
  <si>
    <t>STATE EDUCATION FUNDING SOURCE FORECASTS FOR FY 2023, FY 2024, AND FY 2025 - BUDGET DIVISION/FISCAL ANALYSIS DIVISION DECEMBER 2022 CONSENSUS</t>
  </si>
  <si>
    <t>FY 2022 ACTUAL AND FY 2023, FY 2024, &amp; FY 2025 DECEMBER 2022 FORECAST</t>
  </si>
  <si>
    <t>15% Wholesale Marijuana Excise Tax - BA 4207</t>
  </si>
  <si>
    <t>All Other Marijuana Revenue Sources - BA 4207</t>
  </si>
  <si>
    <t>Marijuana Revenues: TOTAL</t>
  </si>
  <si>
    <t>Model Check</t>
  </si>
  <si>
    <t xml:space="preserve">FY25-27 </t>
  </si>
  <si>
    <t>25-27 to 23-25</t>
  </si>
  <si>
    <t>Checks</t>
  </si>
  <si>
    <t>Catg</t>
  </si>
  <si>
    <t>Grp</t>
  </si>
  <si>
    <t>FY2024</t>
  </si>
  <si>
    <t>FY2025</t>
  </si>
  <si>
    <t>FY2026</t>
  </si>
  <si>
    <t>FY2027</t>
  </si>
  <si>
    <t>REVENUE</t>
  </si>
  <si>
    <t>REV</t>
  </si>
  <si>
    <t>ADJUSTED BASE PUPIL FUNDING</t>
  </si>
  <si>
    <t>EXP</t>
  </si>
  <si>
    <t>TRANSPORTATION FUNDING</t>
  </si>
  <si>
    <t>FOOD SERVICES FUNDING</t>
  </si>
  <si>
    <t>LOCAL SPECIAL EDUCATION FUNDING</t>
  </si>
  <si>
    <t>ENGLISH LEARNER WEIGHTED FUNDING</t>
  </si>
  <si>
    <t>AT-RISK PUPIL WEIGHTED FUNDING</t>
  </si>
  <si>
    <t>GIFTED AND TALENTED WEIGHTED FUNDING</t>
  </si>
  <si>
    <t>S.E.F. MISCELLANEOUS PAYMENTS</t>
  </si>
  <si>
    <t>TRANSFER TO 2608</t>
  </si>
  <si>
    <t>33</t>
  </si>
  <si>
    <t>RESERVE FUTURE YR NET PROCEEDS</t>
  </si>
  <si>
    <t>FY2022</t>
  </si>
  <si>
    <t>FY21-23 Total</t>
  </si>
  <si>
    <t>FY23-25 Total</t>
  </si>
  <si>
    <t>FY25-27 Total</t>
  </si>
  <si>
    <t>2501</t>
  </si>
  <si>
    <t>2511</t>
  </si>
  <si>
    <t>2512</t>
  </si>
  <si>
    <t>3064</t>
  </si>
  <si>
    <t>3074</t>
  </si>
  <si>
    <t>3324</t>
  </si>
  <si>
    <t>3325</t>
  </si>
  <si>
    <t>3328</t>
  </si>
  <si>
    <t>3329</t>
  </si>
  <si>
    <t>3335</t>
  </si>
  <si>
    <t>3340</t>
  </si>
  <si>
    <t>3536</t>
  </si>
  <si>
    <t>3867</t>
  </si>
  <si>
    <t>3868</t>
  </si>
  <si>
    <t>SCHOOL DISTRICT REIMBURSEMENTS</t>
  </si>
  <si>
    <t>4152</t>
  </si>
  <si>
    <t>4157</t>
  </si>
  <si>
    <t>4203</t>
  </si>
  <si>
    <t>4251</t>
  </si>
  <si>
    <t>4326</t>
  </si>
  <si>
    <t>4588</t>
  </si>
  <si>
    <t>FINE COLLECTIONS (FUEL VIOLATIONS</t>
  </si>
  <si>
    <t>4621</t>
  </si>
  <si>
    <t>4770</t>
  </si>
  <si>
    <t>4771</t>
  </si>
  <si>
    <t>4869</t>
  </si>
  <si>
    <t>BAV Line Item Summary by GL</t>
  </si>
  <si>
    <t xml:space="preserve">
Date: 12/8/24 1:12 PM
</t>
  </si>
  <si>
    <t>Budget Period: 2021-2023 Biennium (FY22-23)</t>
  </si>
  <si>
    <t>Budget Account: 2609 NDE - PUPIL-CENTERED FUNDING PLAN ACCOUNT</t>
  </si>
  <si>
    <t>Version: L01 LEGISLATIVELY APPROVED</t>
  </si>
  <si>
    <t>Work Program</t>
  </si>
  <si>
    <t>4661</t>
  </si>
  <si>
    <t>INTERAGENCY TRANSFER</t>
  </si>
  <si>
    <t xml:space="preserve">
Date: 12/8/24 1:13 PM
</t>
  </si>
  <si>
    <t>Budget Period: 2023-2025 Biennium (FY24-25)</t>
  </si>
  <si>
    <t>3736</t>
  </si>
  <si>
    <t>Budget Period: 2025-2027 Biennium (FY26-27)</t>
  </si>
  <si>
    <t>2025-2027 Biennium (FY26-27)</t>
  </si>
  <si>
    <t>8626</t>
  </si>
  <si>
    <t>CHARTER-LV. SCHOOL FOR DEAF</t>
  </si>
  <si>
    <t>8634</t>
  </si>
  <si>
    <t>CHARTER-KEYSTONE ACADEMY</t>
  </si>
  <si>
    <t>8635</t>
  </si>
  <si>
    <t>CHARTER-ANDRE AGASSI</t>
  </si>
  <si>
    <t>8636</t>
  </si>
  <si>
    <t>CHARTER-I CAN DO ANYTHING</t>
  </si>
  <si>
    <t>8655</t>
  </si>
  <si>
    <t>CHARTER-CLV STRONG START ACDMY</t>
  </si>
  <si>
    <t>8658</t>
  </si>
  <si>
    <t>CHARTER - SAGE COLLEGIATE PCS</t>
  </si>
  <si>
    <t>8780</t>
  </si>
  <si>
    <t>AID TO NON-PROFIT ORGS</t>
  </si>
  <si>
    <t>9730</t>
  </si>
  <si>
    <t>LOAN DISBURSEMENTS - E</t>
  </si>
  <si>
    <t xml:space="preserve"> 33  Total</t>
  </si>
  <si>
    <t>Salary Adjustment Funds</t>
  </si>
  <si>
    <t>Statewide Total</t>
  </si>
  <si>
    <t>Salary Adjustment</t>
  </si>
  <si>
    <t>= L + M + N+O</t>
  </si>
  <si>
    <t>= E + J + P + R</t>
  </si>
  <si>
    <t>= E + J + P+ R</t>
  </si>
  <si>
    <t>12/19/2024-Added raises for school districts ($125m/YR), charter schools ($19m/YR)</t>
  </si>
  <si>
    <t>12/19/2024-Updated GF revenue (FY26 $1,605,397,182, FY27 $1,524,854,798)</t>
  </si>
  <si>
    <t>12/19/2024-Added transportation costs for charter schools (FY26 $8m, FY27 $9m)</t>
  </si>
  <si>
    <t>12/19/2024- Updated Cannabis revenues (FY26 $17,832,115, FY27 $16,713,499)</t>
  </si>
  <si>
    <t>GFO Requested Adjustments</t>
  </si>
  <si>
    <t>Allocations avaiable to adjust</t>
  </si>
  <si>
    <t>Reduction Needed</t>
  </si>
  <si>
    <t xml:space="preserve">Tab 7.1a </t>
  </si>
  <si>
    <t>Tab 3.2</t>
  </si>
  <si>
    <t xml:space="preserve">Tab 3.2 </t>
  </si>
  <si>
    <t>Tab 3.1a * K3</t>
  </si>
  <si>
    <t>F / Tab 2.9</t>
  </si>
  <si>
    <t xml:space="preserve">Amount of increase associated with raises, SB231. </t>
  </si>
  <si>
    <t>FY24 Prior Year Actual divided by 2</t>
  </si>
  <si>
    <t>FY24 Allocations per ePage</t>
  </si>
  <si>
    <t>FY24 Transportation Awards, per SCPSA-Informational only.</t>
  </si>
  <si>
    <t>12/26/2024- Updated model to calculate reduction on Adjusted Base and Weighted catergories only</t>
  </si>
  <si>
    <t>12/27/2024 - Updated Local Sped per 387/388A Reported 2024 Actuals</t>
  </si>
  <si>
    <t>E125</t>
  </si>
  <si>
    <t>E126</t>
  </si>
  <si>
    <t>23-25 to 25-27</t>
  </si>
  <si>
    <t>SALARY INCREASES</t>
  </si>
  <si>
    <t>2026-2025 Change</t>
  </si>
  <si>
    <t>2026 E125 Salary Increases</t>
  </si>
  <si>
    <t>FY2026 Total K12 Education Funding</t>
  </si>
  <si>
    <t>FY2027 Total K12 Education Funding</t>
  </si>
  <si>
    <t>2027 E125 Salary Increases</t>
  </si>
  <si>
    <t>2027-2026 Change</t>
  </si>
  <si>
    <t xml:space="preserve">FY2027 </t>
  </si>
  <si>
    <t>C</t>
  </si>
  <si>
    <t>D</t>
  </si>
  <si>
    <t>E</t>
  </si>
  <si>
    <t>F</t>
  </si>
  <si>
    <t>G</t>
  </si>
  <si>
    <t>H</t>
  </si>
  <si>
    <t>I</t>
  </si>
  <si>
    <t>J</t>
  </si>
  <si>
    <t>K</t>
  </si>
  <si>
    <t>M</t>
  </si>
  <si>
    <t>O</t>
  </si>
  <si>
    <t>P</t>
  </si>
  <si>
    <t>Q</t>
  </si>
  <si>
    <t>S</t>
  </si>
  <si>
    <t>T</t>
  </si>
  <si>
    <t>U</t>
  </si>
  <si>
    <t>V</t>
  </si>
  <si>
    <t>I - G</t>
  </si>
  <si>
    <t>F + G</t>
  </si>
  <si>
    <t>C + D</t>
  </si>
  <si>
    <t>I + K + L</t>
  </si>
  <si>
    <t>O - I</t>
  </si>
  <si>
    <t>R + Q + O</t>
  </si>
  <si>
    <t>S + M</t>
  </si>
  <si>
    <t>T - H</t>
  </si>
  <si>
    <t>PCFP Projected</t>
  </si>
  <si>
    <t>FY25 Amount</t>
  </si>
  <si>
    <t>FY 2026</t>
  </si>
  <si>
    <t>FY 2027</t>
  </si>
  <si>
    <t>Base After Reduction</t>
  </si>
  <si>
    <t>1/24/25 5:48 PM</t>
  </si>
  <si>
    <t>Statewide Base Per-Pupil</t>
  </si>
  <si>
    <t>SB 458 81st Legislative Session</t>
  </si>
  <si>
    <t xml:space="preserve"> SB 503 82nd Legislative Session</t>
  </si>
  <si>
    <t>25-27 G01 (As amended)</t>
  </si>
  <si>
    <t>G01 As Submitted</t>
  </si>
  <si>
    <t>Difference of G01</t>
  </si>
  <si>
    <t>Submitted Budget Amendment</t>
  </si>
  <si>
    <t>General Fund</t>
  </si>
  <si>
    <t>All other Funds</t>
  </si>
  <si>
    <t>Total Increase</t>
  </si>
  <si>
    <t>Biennium Change</t>
  </si>
  <si>
    <t xml:space="preserve">
Date: 1/30/25 6:52 PM
</t>
  </si>
  <si>
    <t>Version: G08 SUBMITTED BUDGET AMENDMENT</t>
  </si>
  <si>
    <t>Difference Of G01 and Both Budget Amendments Combined</t>
  </si>
  <si>
    <t>and Budget Amendments</t>
  </si>
  <si>
    <t>Projected Total Enrollment FY25:</t>
  </si>
  <si>
    <t>5/07/2025 - Updated 7.1a Initial Allocations YR2 Column E formula to match 3.1a</t>
  </si>
  <si>
    <t>5/07/2025 - Updated Revenues to May Consensus Forecast</t>
  </si>
  <si>
    <t>5/07/2025 - Updated enrollment counts to FY 2025 projections</t>
  </si>
  <si>
    <t>5/07/2025 - Removed Salary Adjustment Tier costs</t>
  </si>
  <si>
    <t>5/07/2025 - Updated General Fund Appropriations to match $2.733 Billion based on Subcommittee action</t>
  </si>
  <si>
    <t>5/07/2025 - Updated Local Special based on finalized amounts from NDE</t>
  </si>
  <si>
    <t>Sub. All Expend.
Row L184</t>
  </si>
  <si>
    <t>OC 810 Dues &amp; Fees
Row L186</t>
  </si>
  <si>
    <t>OC 890 Oth. Misc.
Row L194</t>
  </si>
  <si>
    <t>ALL ELIGIBLE EXPENDITURES</t>
  </si>
  <si>
    <t>Total State Rev.
Row L80</t>
  </si>
  <si>
    <t>Opening Fund Bal.
Row L101</t>
  </si>
  <si>
    <t>Total Federal Rev.
Row L93</t>
  </si>
  <si>
    <t>INELIGIBLE REVENUES</t>
  </si>
  <si>
    <t>PCPF MODEL LOCAL SPED ACTUALS (3.20.25)</t>
  </si>
  <si>
    <t>Updated for Negative</t>
  </si>
  <si>
    <t>Adj Base &amp; Weighted Funding Prior to Reductions</t>
  </si>
  <si>
    <t>Adjusted Base &amp; Weighted Funding After Reductions</t>
  </si>
  <si>
    <t>FY 2026
Enrollment</t>
  </si>
  <si>
    <t>5/7/2025 - Technical Corrections to the Attendance Area Adjustment</t>
  </si>
  <si>
    <t>5/7/2025 - Updated Formula on Assumption Control Tabs, Cells E48 - E51</t>
  </si>
  <si>
    <t>5/7/2025 - Updated Holdharmless to include funding for weighted, adjusted base and tier</t>
  </si>
  <si>
    <t>5/7/2025 - Proportional reduction methodology updated to apply to all LEAs, but not to Tier Funding</t>
  </si>
  <si>
    <t>TRANSFER FROM EDUCATION STABILIZATION ACCOUNT</t>
  </si>
  <si>
    <r>
      <t xml:space="preserve">S/b Pincecrest Academy of </t>
    </r>
    <r>
      <rPr>
        <b/>
        <sz val="11"/>
        <color rgb="FFFF0000"/>
        <rFont val="Arial Narrow"/>
        <family val="2"/>
      </rPr>
      <t>Northern</t>
    </r>
    <r>
      <rPr>
        <sz val="11"/>
        <color theme="1"/>
        <rFont val="Arial Narrow"/>
        <family val="2"/>
      </rPr>
      <t xml:space="preserve"> Nevada</t>
    </r>
  </si>
  <si>
    <t>S/b Pincecrest Academy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</si>
</sst>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_);_(* \(#,##0.000\);_(* &quot;-&quot;??_);_(@_)"/>
    <numFmt numFmtId="167" formatCode="&quot;$&quot;#,##0\ ;\(&quot;$&quot;#,##0\)"/>
    <numFmt numFmtId="168" formatCode="[$-409]mmmm\ d\,\ yyyy;@"/>
    <numFmt numFmtId="169" formatCode="_(* #,##0.00_);_(* \(#,##0.00\);_(* \-??_);_(@_)"/>
    <numFmt numFmtId="170" formatCode="_(\$* #,##0.00_);_(\$* \(#,##0.00\);_(\$* \-??_);_(@_)"/>
    <numFmt numFmtId="171" formatCode="_ * #,##0.00_ ;_ * \-#,##0.00_ ;_ * \-??_ ;_ @_ "/>
    <numFmt numFmtId="172" formatCode="&quot;$&quot;#,##0"/>
    <numFmt numFmtId="173" formatCode="0.0%"/>
    <numFmt numFmtId="174" formatCode="0.00\x"/>
    <numFmt numFmtId="175" formatCode="_(* #,##0.00000_);_(* \(#,##0.00000\);_(* &quot;-&quot;??_);_(@_)"/>
    <numFmt numFmtId="176" formatCode="00"/>
    <numFmt numFmtId="177" formatCode="0.000"/>
    <numFmt numFmtId="178" formatCode="_(* #,##0.000000_);_(* \(#,##0.000000\);_(* &quot;-&quot;??_);_(@_)"/>
    <numFmt numFmtId="179" formatCode="_(* #,##0.0000000000_);_(* \(#,##0.0000000000\);_(* &quot;-&quot;??_);_(@_)"/>
    <numFmt numFmtId="180" formatCode="_(* #,##0.000_);_(* \(#,##0.000\);_(* &quot;-&quot;???_);_(@_)"/>
    <numFmt numFmtId="181" formatCode="#,##0.000_);\(#,##0.000\)"/>
    <numFmt numFmtId="182" formatCode="0.0000%"/>
    <numFmt numFmtId="183" formatCode="0.00_);[Red]\(0.00\)"/>
    <numFmt numFmtId="184" formatCode="_(&quot;$&quot;* #,##0.000000000000_);_(&quot;$&quot;* \(#,##0.000000000000\);_(&quot;$&quot;* &quot;-&quot;??_);_(@_)"/>
    <numFmt numFmtId="185" formatCode="_(* #,##0.00_);_(* \(#,##0.00\);_(* &quot;-&quot;???_);_(@_)"/>
    <numFmt numFmtId="186" formatCode="_(&quot;$&quot;* #,##0_);[Red]_(&quot;$&quot;* \(#,##0\);_(&quot;$&quot;* &quot;-&quot;??_);_(@_)"/>
    <numFmt numFmtId="187" formatCode="_(&quot;$&quot;* #,##0.0000_);_(&quot;$&quot;* \(#,##0.0000\);_(&quot;$&quot;* &quot;-&quot;??_);_(@_)"/>
    <numFmt numFmtId="188" formatCode="0.000%"/>
    <numFmt numFmtId="189" formatCode="_(* #,##0.0_);_(* \(#,##0.0\);_(* &quot;-&quot;??_);_(@_)"/>
    <numFmt numFmtId="190" formatCode="_(&quot;$&quot;* #,##0.00_);_(&quot;$&quot;* \(#,##0.00\);_(&quot;$&quot;* &quot;-&quot;_);_(@_)"/>
    <numFmt numFmtId="191" formatCode="#0.000"/>
    <numFmt numFmtId="192" formatCode="###,###,###,##0"/>
    <numFmt numFmtId="193" formatCode="0.00000%"/>
    <numFmt numFmtId="194" formatCode="_(* #,##0.0000_);_(* \(#,##0.0000\);_(* &quot;-&quot;_);_(@_)"/>
    <numFmt numFmtId="195" formatCode="0.000000000%"/>
  </numFmts>
  <fonts count="144" x14ac:knownFonts="1">
    <font>
      <sz val="11"/>
      <color theme="1"/>
      <name val="Calibri"/>
      <family val="2"/>
      <scheme val="minor"/>
    </font>
    <font>
      <sz val="11"/>
      <color theme="1"/>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Times New Roman"/>
      <family val="1"/>
    </font>
    <font>
      <sz val="18"/>
      <name val="Times New Roman"/>
      <family val="1"/>
    </font>
    <font>
      <sz val="8"/>
      <name val="Times New Roman"/>
      <family val="1"/>
    </font>
    <font>
      <u/>
      <sz val="10"/>
      <color indexed="12"/>
      <name val="Arial"/>
      <family val="2"/>
    </font>
    <font>
      <sz val="12"/>
      <name val="Helv"/>
    </font>
    <font>
      <sz val="10"/>
      <name val="Helv"/>
    </font>
    <font>
      <i/>
      <sz val="10"/>
      <color rgb="FF7F7F7F"/>
      <name val="Arial"/>
      <family val="2"/>
    </font>
    <font>
      <b/>
      <sz val="11"/>
      <color theme="3"/>
      <name val="Arial"/>
      <family val="2"/>
    </font>
    <font>
      <sz val="11"/>
      <color indexed="8"/>
      <name val="Calibri"/>
      <family val="2"/>
    </font>
    <font>
      <sz val="10"/>
      <name val="Courier"/>
      <family val="3"/>
    </font>
    <font>
      <sz val="10"/>
      <color indexed="10"/>
      <name val="Arial"/>
      <family val="2"/>
    </font>
    <font>
      <b/>
      <sz val="11"/>
      <color indexed="62"/>
      <name val="Arial"/>
      <family val="2"/>
    </font>
    <font>
      <sz val="11"/>
      <color indexed="10"/>
      <name val="Calibri"/>
      <family val="2"/>
    </font>
    <font>
      <sz val="12"/>
      <color indexed="8"/>
      <name val="Verdana"/>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Arial"/>
      <family val="2"/>
      <charset val="1"/>
    </font>
    <font>
      <b/>
      <sz val="10"/>
      <color indexed="8"/>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u/>
      <sz val="10"/>
      <color rgb="FF0000FF"/>
      <name val="Arial"/>
      <family val="2"/>
      <charset val="1"/>
    </font>
    <font>
      <sz val="11"/>
      <color indexed="10"/>
      <name val="Calibri"/>
      <family val="2"/>
      <scheme val="minor"/>
    </font>
    <font>
      <sz val="11"/>
      <color indexed="19"/>
      <name val="Calibri"/>
      <family val="2"/>
      <scheme val="minor"/>
    </font>
    <font>
      <b/>
      <sz val="18"/>
      <color indexed="62"/>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u/>
      <sz val="10"/>
      <color theme="10"/>
      <name val="Arial"/>
      <family val="2"/>
    </font>
    <font>
      <sz val="11"/>
      <name val="Arial Narrow"/>
      <family val="2"/>
    </font>
    <font>
      <i/>
      <sz val="11"/>
      <color theme="1"/>
      <name val="Calibri"/>
      <family val="2"/>
      <scheme val="minor"/>
    </font>
    <font>
      <b/>
      <sz val="11"/>
      <color theme="1"/>
      <name val="Arial Narrow"/>
      <family val="2"/>
    </font>
    <font>
      <b/>
      <u/>
      <sz val="11"/>
      <color theme="1"/>
      <name val="Arial Narrow"/>
      <family val="2"/>
    </font>
    <font>
      <sz val="11"/>
      <color theme="0" tint="-0.249977111117893"/>
      <name val="Arial Narrow"/>
      <family val="2"/>
    </font>
    <font>
      <u val="singleAccounting"/>
      <sz val="11"/>
      <color theme="1"/>
      <name val="Arial Narrow"/>
      <family val="2"/>
    </font>
    <font>
      <b/>
      <sz val="11"/>
      <color rgb="FFFF0000"/>
      <name val="Arial Narrow"/>
      <family val="2"/>
    </font>
    <font>
      <i/>
      <sz val="11"/>
      <color theme="1"/>
      <name val="Arial Narrow"/>
      <family val="2"/>
    </font>
    <font>
      <b/>
      <sz val="11"/>
      <color indexed="8"/>
      <name val="Arial Narrow"/>
      <family val="2"/>
    </font>
    <font>
      <sz val="11"/>
      <color indexed="8"/>
      <name val="Arial Narrow"/>
      <family val="2"/>
    </font>
    <font>
      <b/>
      <sz val="11"/>
      <name val="Arial Narrow"/>
      <family val="2"/>
    </font>
    <font>
      <sz val="11"/>
      <color theme="3"/>
      <name val="Arial Narrow"/>
      <family val="2"/>
    </font>
    <font>
      <b/>
      <sz val="32"/>
      <color theme="0"/>
      <name val="Arial Narrow"/>
      <family val="2"/>
    </font>
    <font>
      <sz val="32"/>
      <color theme="0"/>
      <name val="Arial Narrow"/>
      <family val="2"/>
    </font>
    <font>
      <b/>
      <sz val="40"/>
      <color theme="4" tint="0.79998168889431442"/>
      <name val="Arial Narrow"/>
      <family val="2"/>
    </font>
    <font>
      <sz val="40"/>
      <color theme="4" tint="0.79998168889431442"/>
      <name val="Arial Narrow"/>
      <family val="2"/>
    </font>
    <font>
      <b/>
      <sz val="11"/>
      <color theme="0"/>
      <name val="Arial Narrow"/>
      <family val="2"/>
    </font>
    <font>
      <sz val="11"/>
      <color theme="0"/>
      <name val="Arial Narrow"/>
      <family val="2"/>
    </font>
    <font>
      <b/>
      <i/>
      <sz val="11"/>
      <color theme="1"/>
      <name val="Arial Narrow"/>
      <family val="2"/>
    </font>
    <font>
      <u/>
      <sz val="11"/>
      <color theme="10"/>
      <name val="Calibri"/>
      <family val="2"/>
      <scheme val="minor"/>
    </font>
    <font>
      <sz val="8"/>
      <name val="Calibri"/>
      <family val="2"/>
      <scheme val="minor"/>
    </font>
    <font>
      <sz val="11"/>
      <color rgb="FFFF0000"/>
      <name val="Arial Narrow"/>
      <family val="2"/>
    </font>
    <font>
      <sz val="24"/>
      <color theme="0"/>
      <name val="Arial Narrow"/>
      <family val="2"/>
    </font>
    <font>
      <sz val="11"/>
      <color theme="0" tint="-4.9989318521683403E-2"/>
      <name val="Arial Narrow"/>
      <family val="2"/>
    </font>
    <font>
      <sz val="24"/>
      <color rgb="FFFFFF00"/>
      <name val="Arial Narrow"/>
      <family val="2"/>
    </font>
    <font>
      <i/>
      <sz val="11"/>
      <name val="Arial Narrow"/>
      <family val="2"/>
    </font>
    <font>
      <b/>
      <sz val="11"/>
      <color rgb="FFFF0000"/>
      <name val="Calibri"/>
      <family val="2"/>
      <scheme val="minor"/>
    </font>
    <font>
      <sz val="9"/>
      <color indexed="81"/>
      <name val="Tahoma"/>
      <family val="2"/>
    </font>
    <font>
      <b/>
      <sz val="9"/>
      <color indexed="81"/>
      <name val="Tahoma"/>
      <family val="2"/>
    </font>
    <font>
      <u/>
      <sz val="24"/>
      <color theme="0"/>
      <name val="Arial Narrow"/>
      <family val="2"/>
    </font>
    <font>
      <b/>
      <sz val="14"/>
      <color theme="1"/>
      <name val="Arial"/>
      <family val="2"/>
    </font>
    <font>
      <b/>
      <sz val="11"/>
      <name val="Calibri"/>
      <family val="2"/>
      <scheme val="minor"/>
    </font>
    <font>
      <i/>
      <sz val="11"/>
      <color theme="0" tint="-4.9989318521683403E-2"/>
      <name val="Arial Narrow"/>
      <family val="2"/>
    </font>
    <font>
      <b/>
      <sz val="12"/>
      <color theme="1"/>
      <name val="Arial Narrow"/>
      <family val="2"/>
    </font>
    <font>
      <strike/>
      <sz val="11"/>
      <color theme="1"/>
      <name val="Arial Narrow"/>
      <family val="2"/>
    </font>
    <font>
      <sz val="11"/>
      <color theme="0" tint="-0.14999847407452621"/>
      <name val="Arial Narrow"/>
      <family val="2"/>
    </font>
    <font>
      <sz val="10"/>
      <name val="Arial"/>
      <family val="2"/>
    </font>
    <font>
      <sz val="8"/>
      <name val="Arial"/>
      <family val="2"/>
    </font>
    <font>
      <b/>
      <sz val="10"/>
      <name val="Arial"/>
      <family val="2"/>
    </font>
    <font>
      <b/>
      <strike/>
      <sz val="11"/>
      <color theme="1"/>
      <name val="Arial Narrow"/>
      <family val="2"/>
    </font>
    <font>
      <sz val="12"/>
      <color theme="1"/>
      <name val="Arial"/>
      <family val="2"/>
    </font>
    <font>
      <b/>
      <sz val="9"/>
      <color theme="1"/>
      <name val="Arial"/>
      <family val="2"/>
    </font>
    <font>
      <sz val="8"/>
      <color theme="1"/>
      <name val="Arial"/>
      <family val="2"/>
    </font>
    <font>
      <b/>
      <sz val="8"/>
      <color theme="1"/>
      <name val="Arial"/>
      <family val="2"/>
    </font>
    <font>
      <sz val="11"/>
      <color theme="1"/>
      <name val="Calibri"/>
      <family val="2"/>
    </font>
    <font>
      <b/>
      <sz val="11"/>
      <color theme="1"/>
      <name val="Calibri"/>
      <family val="2"/>
    </font>
    <font>
      <u/>
      <sz val="11"/>
      <color theme="10"/>
      <name val="Calibri"/>
      <family val="2"/>
    </font>
    <font>
      <b/>
      <sz val="11"/>
      <name val="Calibri"/>
      <family val="2"/>
    </font>
    <font>
      <sz val="11"/>
      <name val="Calibri"/>
      <family val="2"/>
    </font>
    <font>
      <b/>
      <sz val="12"/>
      <color theme="1"/>
      <name val="Calibri"/>
      <family val="2"/>
    </font>
    <font>
      <sz val="12"/>
      <color theme="1"/>
      <name val="Calibri"/>
      <family val="2"/>
    </font>
    <font>
      <u/>
      <sz val="12"/>
      <color theme="10"/>
      <name val="Calibri"/>
      <family val="2"/>
    </font>
    <font>
      <sz val="12"/>
      <name val="Calibri"/>
      <family val="2"/>
    </font>
    <font>
      <sz val="11"/>
      <color theme="0"/>
      <name val="Calibri"/>
      <family val="2"/>
    </font>
    <font>
      <i/>
      <sz val="11"/>
      <color theme="1"/>
      <name val="Calibri"/>
      <family val="2"/>
    </font>
    <font>
      <b/>
      <i/>
      <sz val="11"/>
      <color theme="1"/>
      <name val="Calibri"/>
      <family val="2"/>
    </font>
    <font>
      <sz val="11"/>
      <color rgb="FFFF0000"/>
      <name val="Calibri"/>
      <family val="2"/>
    </font>
    <font>
      <b/>
      <i/>
      <sz val="11"/>
      <color rgb="FFFF0000"/>
      <name val="Calibri"/>
      <family val="2"/>
    </font>
    <font>
      <b/>
      <i/>
      <sz val="11"/>
      <color rgb="FF000000"/>
      <name val="Calibri"/>
      <family val="2"/>
    </font>
    <font>
      <i/>
      <sz val="11"/>
      <name val="Calibri"/>
      <family val="2"/>
    </font>
    <font>
      <b/>
      <sz val="11"/>
      <color theme="0" tint="-0.34998626667073579"/>
      <name val="Calibri"/>
      <family val="2"/>
    </font>
    <font>
      <sz val="11"/>
      <color theme="0" tint="-0.34998626667073579"/>
      <name val="Calibri"/>
      <family val="2"/>
    </font>
    <font>
      <u val="singleAccounting"/>
      <sz val="11"/>
      <color theme="0" tint="-0.34998626667073579"/>
      <name val="Calibri"/>
      <family val="2"/>
    </font>
    <font>
      <sz val="11"/>
      <color theme="9" tint="-0.249977111117893"/>
      <name val="Calibri"/>
      <family val="2"/>
    </font>
    <font>
      <b/>
      <sz val="11"/>
      <color theme="9" tint="-0.249977111117893"/>
      <name val="Calibri"/>
      <family val="2"/>
    </font>
    <font>
      <i/>
      <sz val="11"/>
      <color theme="0" tint="-0.34998626667073579"/>
      <name val="Calibri"/>
      <family val="2"/>
    </font>
    <font>
      <sz val="11"/>
      <color theme="9"/>
      <name val="Calibri"/>
      <family val="2"/>
    </font>
    <font>
      <b/>
      <sz val="11"/>
      <color theme="9"/>
      <name val="Calibri"/>
      <family val="2"/>
    </font>
    <font>
      <u val="singleAccounting"/>
      <sz val="11"/>
      <color theme="1"/>
      <name val="Calibri"/>
      <family val="2"/>
    </font>
    <font>
      <u/>
      <sz val="11"/>
      <color theme="1"/>
      <name val="Calibri"/>
      <family val="2"/>
    </font>
    <font>
      <b/>
      <u/>
      <sz val="11"/>
      <color theme="1"/>
      <name val="Calibri"/>
      <family val="2"/>
    </font>
    <font>
      <sz val="11"/>
      <color theme="0" tint="-0.249977111117893"/>
      <name val="Calibri"/>
      <family val="2"/>
    </font>
    <font>
      <b/>
      <sz val="11"/>
      <color theme="0"/>
      <name val="Calibri"/>
      <family val="2"/>
    </font>
    <font>
      <b/>
      <sz val="11"/>
      <color theme="0" tint="-4.9989318521683403E-2"/>
      <name val="Arial Narrow"/>
      <family val="2"/>
    </font>
    <font>
      <b/>
      <i/>
      <sz val="11"/>
      <color rgb="FF000000"/>
      <name val="Arial Narrow"/>
      <family val="2"/>
    </font>
    <font>
      <sz val="11"/>
      <color theme="9"/>
      <name val="Arial Narrow"/>
      <family val="2"/>
    </font>
    <font>
      <b/>
      <sz val="11"/>
      <color theme="9"/>
      <name val="Arial Narrow"/>
      <family val="2"/>
    </font>
    <font>
      <u/>
      <sz val="11"/>
      <color theme="10"/>
      <name val="Arial Narrow"/>
      <family val="2"/>
    </font>
    <font>
      <b/>
      <i/>
      <sz val="11"/>
      <color rgb="FFFF0000"/>
      <name val="Arial Narrow"/>
      <family val="2"/>
    </font>
    <font>
      <b/>
      <i/>
      <sz val="11"/>
      <name val="Arial Narrow"/>
      <family val="2"/>
    </font>
    <font>
      <sz val="11"/>
      <color indexed="8"/>
      <name val="Calibri"/>
      <family val="2"/>
      <scheme val="minor"/>
    </font>
    <font>
      <b/>
      <sz val="11"/>
      <color indexed="8"/>
      <name val="Calibri"/>
      <family val="2"/>
      <scheme val="minor"/>
    </font>
    <font>
      <b/>
      <i/>
      <sz val="11"/>
      <color theme="1"/>
      <name val="Calibri"/>
      <family val="2"/>
      <scheme val="minor"/>
    </font>
    <font>
      <sz val="11"/>
      <color rgb="FF00B050"/>
      <name val="Arial Narrow"/>
      <family val="2"/>
    </font>
    <font>
      <sz val="10"/>
      <name val="Arial"/>
      <family val="2"/>
    </font>
    <font>
      <sz val="10"/>
      <color rgb="FF000000"/>
      <name val="Times New Roman"/>
      <family val="1"/>
    </font>
    <font>
      <i/>
      <sz val="11"/>
      <color theme="0" tint="-0.249977111117893"/>
      <name val="Arial Narrow"/>
      <family val="2"/>
    </font>
    <font>
      <strike/>
      <sz val="11"/>
      <color theme="0" tint="-0.249977111117893"/>
      <name val="Arial Narrow"/>
      <family val="2"/>
    </font>
    <font>
      <sz val="11"/>
      <name val="Calibri"/>
      <family val="2"/>
      <scheme val="minor"/>
    </font>
    <font>
      <b/>
      <sz val="11"/>
      <name val="Arial Narrow"/>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40"/>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rgb="FFFFFFCC"/>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4" tint="-0.24994659260841701"/>
        <bgColor indexed="64"/>
      </patternFill>
    </fill>
    <fill>
      <patternFill patternType="solid">
        <fgColor rgb="FFFFB7B7"/>
        <bgColor indexed="64"/>
      </patternFill>
    </fill>
    <fill>
      <patternFill patternType="solid">
        <fgColor theme="6" tint="-0.249977111117893"/>
        <bgColor indexed="64"/>
      </patternFill>
    </fill>
    <fill>
      <patternFill patternType="solid">
        <fgColor theme="3"/>
        <bgColor indexed="64"/>
      </patternFill>
    </fill>
    <fill>
      <patternFill patternType="solid">
        <fgColor rgb="FFFFB9B9"/>
        <bgColor indexed="64"/>
      </patternFill>
    </fill>
    <fill>
      <patternFill patternType="solid">
        <fgColor theme="0" tint="-0.34998626667073579"/>
        <bgColor indexed="64"/>
      </patternFill>
    </fill>
    <fill>
      <patternFill patternType="solid">
        <fgColor rgb="FFFFFF00"/>
        <bgColor indexed="64"/>
      </patternFill>
    </fill>
    <fill>
      <patternFill patternType="solid">
        <fgColor theme="2" tint="-0.249977111117893"/>
        <bgColor indexed="64"/>
      </patternFill>
    </fill>
    <fill>
      <patternFill patternType="solid">
        <fgColor theme="5" tint="0.59999389629810485"/>
        <bgColor indexed="64"/>
      </patternFill>
    </fill>
    <fill>
      <patternFill patternType="darkGray">
        <bgColor rgb="FFFFFFCC"/>
      </patternFill>
    </fill>
    <fill>
      <patternFill patternType="solid">
        <fgColor theme="0" tint="-0.249977111117893"/>
        <bgColor indexed="64"/>
      </patternFill>
    </fill>
    <fill>
      <patternFill patternType="solid">
        <fgColor rgb="FF00B0F0"/>
        <bgColor indexed="64"/>
      </patternFill>
    </fill>
    <fill>
      <patternFill patternType="solid">
        <fgColor theme="2" tint="-0.499984740745262"/>
        <bgColor indexed="64"/>
      </patternFill>
    </fill>
    <fill>
      <patternFill patternType="darkGray"/>
    </fill>
    <fill>
      <patternFill patternType="darkGray">
        <bgColor theme="0" tint="-0.14999847407452621"/>
      </patternFill>
    </fill>
    <fill>
      <patternFill patternType="darkGray">
        <bgColor theme="0" tint="-4.9989318521683403E-2"/>
      </patternFill>
    </fill>
    <fill>
      <patternFill patternType="solid">
        <fgColor theme="7"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indexed="6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lightGray">
        <bgColor rgb="FFFFFFCC"/>
      </patternFill>
    </fill>
    <fill>
      <patternFill patternType="solid">
        <fgColor theme="3" tint="0.79998168889431442"/>
        <bgColor indexed="64"/>
      </patternFill>
    </fill>
    <fill>
      <patternFill patternType="solid">
        <fgColor theme="1" tint="0.34998626667073579"/>
        <bgColor indexed="64"/>
      </patternFill>
    </fill>
    <fill>
      <patternFill patternType="solid">
        <fgColor rgb="FFFCD4DD"/>
        <bgColor indexed="64"/>
      </patternFill>
    </fill>
    <fill>
      <patternFill patternType="solid">
        <fgColor rgb="FFF2F2F2"/>
        <bgColor indexed="64"/>
      </patternFill>
    </fill>
  </fills>
  <borders count="2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double">
        <color indexed="8"/>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auto="1"/>
      </bottom>
      <diagonal/>
    </border>
    <border>
      <left/>
      <right/>
      <top/>
      <bottom style="thick">
        <color auto="1"/>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right/>
      <top style="thick">
        <color auto="1"/>
      </top>
      <bottom/>
      <diagonal/>
    </border>
    <border>
      <left/>
      <right/>
      <top/>
      <bottom style="double">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theme="0" tint="-0.34998626667073579"/>
      </left>
      <right style="double">
        <color theme="0" tint="-0.34998626667073579"/>
      </right>
      <top style="double">
        <color theme="0" tint="-0.34998626667073579"/>
      </top>
      <bottom style="double">
        <color theme="0" tint="-0.34998626667073579"/>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double">
        <color theme="0" tint="-0.499984740745262"/>
      </left>
      <right style="double">
        <color theme="0" tint="-0.499984740745262"/>
      </right>
      <top style="double">
        <color theme="0" tint="-0.499984740745262"/>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auto="1"/>
      </left>
      <right style="double">
        <color auto="1"/>
      </right>
      <top style="double">
        <color auto="1"/>
      </top>
      <bottom style="double">
        <color auto="1"/>
      </bottom>
      <diagonal/>
    </border>
    <border>
      <left style="double">
        <color theme="1"/>
      </left>
      <right style="double">
        <color theme="1"/>
      </right>
      <top style="double">
        <color theme="1"/>
      </top>
      <bottom style="double">
        <color theme="1"/>
      </bottom>
      <diagonal/>
    </border>
    <border>
      <left style="double">
        <color theme="0" tint="-0.14996795556505021"/>
      </left>
      <right style="double">
        <color theme="0" tint="-0.14996795556505021"/>
      </right>
      <top style="double">
        <color theme="0" tint="-0.14996795556505021"/>
      </top>
      <bottom style="double">
        <color theme="0" tint="-0.14996795556505021"/>
      </bottom>
      <diagonal/>
    </border>
    <border>
      <left style="double">
        <color theme="0" tint="-0.499984740745262"/>
      </left>
      <right style="thin">
        <color indexed="64"/>
      </right>
      <top/>
      <bottom style="thin">
        <color indexed="64"/>
      </bottom>
      <diagonal/>
    </border>
    <border>
      <left style="thin">
        <color indexed="64"/>
      </left>
      <right style="thin">
        <color indexed="64"/>
      </right>
      <top style="double">
        <color auto="1"/>
      </top>
      <bottom style="double">
        <color auto="1"/>
      </bottom>
      <diagonal/>
    </border>
    <border>
      <left/>
      <right/>
      <top style="medium">
        <color indexed="64"/>
      </top>
      <bottom style="medium">
        <color indexed="64"/>
      </bottom>
      <diagonal/>
    </border>
    <border>
      <left/>
      <right style="thin">
        <color indexed="64"/>
      </right>
      <top style="double">
        <color auto="1"/>
      </top>
      <bottom style="double">
        <color auto="1"/>
      </bottom>
      <diagonal/>
    </border>
    <border>
      <left style="double">
        <color auto="1"/>
      </left>
      <right/>
      <top style="double">
        <color auto="1"/>
      </top>
      <bottom style="double">
        <color auto="1"/>
      </bottom>
      <diagonal/>
    </border>
    <border>
      <left style="double">
        <color auto="1"/>
      </left>
      <right style="double">
        <color auto="1"/>
      </right>
      <top/>
      <bottom style="double">
        <color auto="1"/>
      </bottom>
      <diagonal/>
    </border>
    <border>
      <left style="double">
        <color auto="1"/>
      </left>
      <right style="thin">
        <color indexed="64"/>
      </right>
      <top style="double">
        <color auto="1"/>
      </top>
      <bottom style="double">
        <color auto="1"/>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double">
        <color auto="1"/>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theme="1"/>
      </left>
      <right style="double">
        <color theme="1"/>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double">
        <color theme="1"/>
      </right>
      <top style="double">
        <color theme="1"/>
      </top>
      <bottom style="double">
        <color theme="1"/>
      </bottom>
      <diagonal/>
    </border>
    <border>
      <left style="double">
        <color theme="1"/>
      </left>
      <right style="double">
        <color theme="1"/>
      </right>
      <top/>
      <bottom style="double">
        <color theme="1"/>
      </bottom>
      <diagonal/>
    </border>
    <border>
      <left style="thin">
        <color indexed="64"/>
      </left>
      <right style="thin">
        <color indexed="64"/>
      </right>
      <top style="thin">
        <color indexed="64"/>
      </top>
      <bottom style="double">
        <color theme="1"/>
      </bottom>
      <diagonal/>
    </border>
    <border>
      <left/>
      <right/>
      <top style="double">
        <color theme="0" tint="-0.499984740745262"/>
      </top>
      <bottom/>
      <diagonal/>
    </border>
    <border>
      <left style="double">
        <color theme="0" tint="-0.499984740745262"/>
      </left>
      <right style="double">
        <color theme="0" tint="-0.499984740745262"/>
      </right>
      <top/>
      <bottom style="double">
        <color theme="0" tint="-0.499984740745262"/>
      </bottom>
      <diagonal/>
    </border>
    <border>
      <left style="medium">
        <color indexed="64"/>
      </left>
      <right style="thin">
        <color indexed="64"/>
      </right>
      <top style="thin">
        <color indexed="64"/>
      </top>
      <bottom style="thin">
        <color indexed="64"/>
      </bottom>
      <diagonal/>
    </border>
    <border>
      <left/>
      <right/>
      <top style="double">
        <color auto="1"/>
      </top>
      <bottom style="double">
        <color auto="1"/>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thin">
        <color indexed="64"/>
      </right>
      <top style="thin">
        <color indexed="64"/>
      </top>
      <bottom style="double">
        <color theme="1"/>
      </bottom>
      <diagonal/>
    </border>
    <border>
      <left style="double">
        <color theme="1"/>
      </left>
      <right style="thin">
        <color indexed="64"/>
      </right>
      <top style="double">
        <color theme="1"/>
      </top>
      <bottom style="double">
        <color theme="1"/>
      </bottom>
      <diagonal/>
    </border>
    <border>
      <left style="double">
        <color theme="1"/>
      </left>
      <right style="thin">
        <color indexed="64"/>
      </right>
      <top style="double">
        <color theme="1"/>
      </top>
      <bottom style="thin">
        <color indexed="64"/>
      </bottom>
      <diagonal/>
    </border>
    <border>
      <left/>
      <right style="double">
        <color theme="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indexed="64"/>
      </left>
      <right/>
      <top style="thin">
        <color indexed="64"/>
      </top>
      <bottom style="thin">
        <color theme="0" tint="-0.34998626667073579"/>
      </bottom>
      <diagonal/>
    </border>
    <border>
      <left style="medium">
        <color auto="1"/>
      </left>
      <right style="thin">
        <color auto="1"/>
      </right>
      <top style="thin">
        <color indexed="64"/>
      </top>
      <bottom style="thin">
        <color theme="0" tint="-0.34998626667073579"/>
      </bottom>
      <diagonal/>
    </border>
    <border>
      <left style="thin">
        <color auto="1"/>
      </left>
      <right style="thin">
        <color auto="1"/>
      </right>
      <top style="thin">
        <color indexed="64"/>
      </top>
      <bottom style="thin">
        <color theme="0" tint="-0.34998626667073579"/>
      </bottom>
      <diagonal/>
    </border>
    <border>
      <left style="thin">
        <color indexed="64"/>
      </left>
      <right style="medium">
        <color auto="1"/>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style="thin">
        <color indexed="64"/>
      </left>
      <right/>
      <top style="double">
        <color auto="1"/>
      </top>
      <bottom/>
      <diagonal/>
    </border>
    <border>
      <left style="thin">
        <color indexed="64"/>
      </left>
      <right/>
      <top style="medium">
        <color indexed="64"/>
      </top>
      <bottom style="thin">
        <color indexed="64"/>
      </bottom>
      <diagonal/>
    </border>
    <border>
      <left/>
      <right/>
      <top style="double">
        <color indexed="64"/>
      </top>
      <bottom style="thin">
        <color auto="1"/>
      </bottom>
      <diagonal/>
    </border>
    <border>
      <left style="thin">
        <color indexed="64"/>
      </left>
      <right style="double">
        <color auto="1"/>
      </right>
      <top style="double">
        <color auto="1"/>
      </top>
      <bottom style="double">
        <color auto="1"/>
      </bottom>
      <diagonal/>
    </border>
    <border>
      <left style="thin">
        <color indexed="64"/>
      </left>
      <right style="double">
        <color auto="1"/>
      </right>
      <top style="medium">
        <color auto="1"/>
      </top>
      <bottom style="thin">
        <color auto="1"/>
      </bottom>
      <diagonal/>
    </border>
    <border>
      <left style="thin">
        <color indexed="64"/>
      </left>
      <right style="double">
        <color auto="1"/>
      </right>
      <top/>
      <bottom style="medium">
        <color indexed="64"/>
      </bottom>
      <diagonal/>
    </border>
    <border>
      <left style="thin">
        <color indexed="64"/>
      </left>
      <right style="double">
        <color auto="1"/>
      </right>
      <top style="medium">
        <color indexed="64"/>
      </top>
      <bottom style="medium">
        <color indexed="64"/>
      </bottom>
      <diagonal/>
    </border>
    <border>
      <left style="double">
        <color indexed="64"/>
      </left>
      <right/>
      <top/>
      <bottom/>
      <diagonal/>
    </border>
    <border>
      <left style="double">
        <color indexed="64"/>
      </left>
      <right/>
      <top style="medium">
        <color auto="1"/>
      </top>
      <bottom style="thin">
        <color auto="1"/>
      </bottom>
      <diagonal/>
    </border>
    <border>
      <left style="double">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style="medium">
        <color indexed="64"/>
      </bottom>
      <diagonal/>
    </border>
    <border>
      <left style="thin">
        <color indexed="64"/>
      </left>
      <right/>
      <top style="double">
        <color auto="1"/>
      </top>
      <bottom style="double">
        <color auto="1"/>
      </bottom>
      <diagonal/>
    </border>
    <border>
      <left style="double">
        <color auto="1"/>
      </left>
      <right style="double">
        <color theme="0" tint="-0.499984740745262"/>
      </right>
      <top style="double">
        <color auto="1"/>
      </top>
      <bottom style="double">
        <color auto="1"/>
      </bottom>
      <diagonal/>
    </border>
    <border>
      <left style="double">
        <color theme="0" tint="-0.499984740745262"/>
      </left>
      <right style="double">
        <color theme="0" tint="-0.499984740745262"/>
      </right>
      <top style="double">
        <color theme="0" tint="-0.499984740745262"/>
      </top>
      <bottom/>
      <diagonal/>
    </border>
    <border>
      <left/>
      <right style="double">
        <color theme="0" tint="-0.499984740745262"/>
      </right>
      <top/>
      <bottom style="double">
        <color indexed="64"/>
      </bottom>
      <diagonal/>
    </border>
    <border>
      <left style="thin">
        <color indexed="64"/>
      </left>
      <right style="thin">
        <color indexed="64"/>
      </right>
      <top/>
      <bottom style="double">
        <color theme="0" tint="-0.4999847407452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style="medium">
        <color indexed="64"/>
      </right>
      <top/>
      <bottom style="thin">
        <color indexed="64"/>
      </bottom>
      <diagonal/>
    </border>
    <border>
      <left style="double">
        <color theme="0" tint="-0.499984740745262"/>
      </left>
      <right/>
      <top style="double">
        <color theme="0" tint="-0.499984740745262"/>
      </top>
      <bottom/>
      <diagonal/>
    </border>
    <border>
      <left style="double">
        <color theme="0" tint="-0.499984740745262"/>
      </left>
      <right/>
      <top/>
      <bottom style="double">
        <color theme="0" tint="-0.499984740745262"/>
      </bottom>
      <diagonal/>
    </border>
    <border>
      <left/>
      <right/>
      <top/>
      <bottom style="double">
        <color theme="0" tint="-0.499984740745262"/>
      </bottom>
      <diagonal/>
    </border>
    <border>
      <left style="thin">
        <color indexed="64"/>
      </left>
      <right style="thin">
        <color indexed="64"/>
      </right>
      <top style="thin">
        <color indexed="64"/>
      </top>
      <bottom style="double">
        <color theme="0" tint="-0.499984740745262"/>
      </bottom>
      <diagonal/>
    </border>
    <border>
      <left style="thin">
        <color indexed="64"/>
      </left>
      <right style="thin">
        <color indexed="64"/>
      </right>
      <top style="double">
        <color theme="0" tint="-0.499984740745262"/>
      </top>
      <bottom style="thin">
        <color indexed="64"/>
      </bottom>
      <diagonal/>
    </border>
    <border>
      <left style="thin">
        <color indexed="64"/>
      </left>
      <right/>
      <top/>
      <bottom style="double">
        <color indexed="64"/>
      </bottom>
      <diagonal/>
    </border>
    <border>
      <left style="thin">
        <color indexed="64"/>
      </left>
      <right style="double">
        <color auto="1"/>
      </right>
      <top/>
      <bottom style="double">
        <color auto="1"/>
      </bottom>
      <diagonal/>
    </border>
    <border>
      <left style="thin">
        <color indexed="64"/>
      </left>
      <right style="double">
        <color auto="1"/>
      </right>
      <top style="medium">
        <color indexed="64"/>
      </top>
      <bottom/>
      <diagonal/>
    </border>
    <border>
      <left style="double">
        <color indexed="64"/>
      </left>
      <right/>
      <top style="medium">
        <color indexed="64"/>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right style="thin">
        <color rgb="FF999999"/>
      </right>
      <top style="thin">
        <color rgb="FF999999"/>
      </top>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style="medium">
        <color indexed="64"/>
      </top>
      <bottom style="double">
        <color indexed="64"/>
      </bottom>
      <diagonal/>
    </border>
    <border>
      <left style="medium">
        <color auto="1"/>
      </left>
      <right style="thin">
        <color auto="1"/>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thin">
        <color indexed="64"/>
      </top>
      <bottom/>
      <diagonal/>
    </border>
    <border>
      <left style="double">
        <color theme="0" tint="-0.499984740745262"/>
      </left>
      <right style="medium">
        <color indexed="64"/>
      </right>
      <top style="double">
        <color theme="0" tint="-0.499984740745262"/>
      </top>
      <bottom style="double">
        <color theme="0" tint="-0.499984740745262"/>
      </bottom>
      <diagonal/>
    </border>
    <border>
      <left style="medium">
        <color indexed="64"/>
      </left>
      <right style="thin">
        <color indexed="64"/>
      </right>
      <top style="thin">
        <color indexed="64"/>
      </top>
      <bottom style="double">
        <color indexed="64"/>
      </bottom>
      <diagonal/>
    </border>
    <border>
      <left style="double">
        <color theme="0" tint="-0.499984740745262"/>
      </left>
      <right style="medium">
        <color indexed="64"/>
      </right>
      <top/>
      <bottom style="double">
        <color theme="0" tint="-0.499984740745262"/>
      </bottom>
      <diagonal/>
    </border>
    <border>
      <left style="medium">
        <color indexed="64"/>
      </left>
      <right style="thin">
        <color indexed="64"/>
      </right>
      <top style="double">
        <color indexed="64"/>
      </top>
      <bottom style="medium">
        <color indexed="64"/>
      </bottom>
      <diagonal/>
    </border>
    <border>
      <left style="thin">
        <color indexed="64"/>
      </left>
      <right/>
      <top style="double">
        <color theme="0" tint="-0.499984740745262"/>
      </top>
      <bottom style="medium">
        <color indexed="64"/>
      </bottom>
      <diagonal/>
    </border>
    <border>
      <left/>
      <right/>
      <top style="double">
        <color theme="0" tint="-0.499984740745262"/>
      </top>
      <bottom style="medium">
        <color indexed="64"/>
      </bottom>
      <diagonal/>
    </border>
    <border>
      <left/>
      <right style="medium">
        <color indexed="64"/>
      </right>
      <top style="double">
        <color theme="0" tint="-0.499984740745262"/>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double">
        <color auto="1"/>
      </top>
      <bottom/>
      <diagonal/>
    </border>
  </borders>
  <cellStyleXfs count="33043">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9"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44" fontId="19" fillId="0" borderId="0" applyFont="0" applyFill="0" applyBorder="0" applyAlignment="0" applyProtection="0"/>
    <xf numFmtId="9"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20" fillId="0" borderId="0" applyFont="0" applyFill="0" applyBorder="0" applyAlignment="0" applyProtection="0"/>
    <xf numFmtId="0" fontId="20" fillId="0" borderId="0" applyFont="0" applyFill="0" applyBorder="0" applyAlignment="0" applyProtection="0"/>
    <xf numFmtId="167" fontId="20" fillId="0" borderId="0" applyFont="0" applyFill="0" applyBorder="0" applyAlignment="0" applyProtection="0"/>
    <xf numFmtId="2" fontId="20"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0" fillId="0" borderId="11" applyNumberFormat="0" applyFont="0" applyFill="0" applyAlignment="0" applyProtection="0"/>
    <xf numFmtId="0" fontId="19" fillId="0" borderId="0"/>
    <xf numFmtId="43" fontId="19" fillId="0" borderId="0" applyFont="0" applyFill="0" applyBorder="0" applyAlignment="0" applyProtection="0"/>
    <xf numFmtId="3" fontId="20"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9" fontId="19" fillId="0" borderId="0" applyFont="0" applyFill="0" applyBorder="0" applyAlignment="0" applyProtection="0"/>
    <xf numFmtId="0" fontId="20" fillId="0" borderId="11" applyNumberFormat="0" applyFont="0" applyFill="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1" fillId="0" borderId="0" applyNumberFormat="0" applyFill="0" applyBorder="0" applyAlignment="0" applyProtection="0"/>
    <xf numFmtId="168" fontId="22" fillId="0" borderId="0" applyNumberFormat="0" applyFill="0" applyBorder="0" applyAlignment="0" applyProtection="0"/>
    <xf numFmtId="168" fontId="2" fillId="0" borderId="0"/>
    <xf numFmtId="168" fontId="2" fillId="0" borderId="0"/>
    <xf numFmtId="168" fontId="20" fillId="0" borderId="0" applyFont="0" applyFill="0" applyBorder="0" applyAlignment="0" applyProtection="0"/>
    <xf numFmtId="168" fontId="19" fillId="0" borderId="0"/>
    <xf numFmtId="168" fontId="23" fillId="0" borderId="0" applyNumberFormat="0" applyFill="0" applyBorder="0" applyAlignment="0" applyProtection="0">
      <alignment vertical="top"/>
      <protection locked="0"/>
    </xf>
    <xf numFmtId="168" fontId="20" fillId="0" borderId="11" applyNumberFormat="0" applyFont="0" applyFill="0" applyAlignment="0" applyProtection="0"/>
    <xf numFmtId="168" fontId="2" fillId="0" borderId="0"/>
    <xf numFmtId="168" fontId="19" fillId="0" borderId="0"/>
    <xf numFmtId="0" fontId="2" fillId="0" borderId="0"/>
    <xf numFmtId="0" fontId="2" fillId="0" borderId="0"/>
    <xf numFmtId="0" fontId="2" fillId="0" borderId="0"/>
    <xf numFmtId="0" fontId="2" fillId="0" borderId="0"/>
    <xf numFmtId="168" fontId="19" fillId="0" borderId="0"/>
    <xf numFmtId="168"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2" fillId="0" borderId="0"/>
    <xf numFmtId="0" fontId="2" fillId="0" borderId="0"/>
    <xf numFmtId="44" fontId="19" fillId="0" borderId="0" applyFont="0" applyFill="0" applyBorder="0" applyAlignment="0" applyProtection="0"/>
    <xf numFmtId="0" fontId="2" fillId="0" borderId="0"/>
    <xf numFmtId="0" fontId="2" fillId="0" borderId="0"/>
    <xf numFmtId="0" fontId="19" fillId="0" borderId="0"/>
    <xf numFmtId="9" fontId="19" fillId="0" borderId="0" applyFont="0" applyFill="0" applyBorder="0" applyAlignment="0" applyProtection="0"/>
    <xf numFmtId="0" fontId="19" fillId="0" borderId="0"/>
    <xf numFmtId="0" fontId="2" fillId="0" borderId="0"/>
    <xf numFmtId="0" fontId="24" fillId="0" borderId="0"/>
    <xf numFmtId="0" fontId="24" fillId="0" borderId="0"/>
    <xf numFmtId="44" fontId="19" fillId="0" borderId="0" applyFont="0" applyFill="0" applyBorder="0" applyAlignment="0" applyProtection="0"/>
    <xf numFmtId="0" fontId="22" fillId="0" borderId="0" applyNumberFormat="0" applyFill="0" applyBorder="0" applyAlignment="0" applyProtection="0"/>
    <xf numFmtId="43" fontId="19" fillId="0" borderId="0" applyFont="0" applyFill="0" applyBorder="0" applyAlignment="0" applyProtection="0"/>
    <xf numFmtId="2" fontId="20" fillId="0" borderId="0" applyFont="0" applyFill="0" applyBorder="0" applyAlignment="0" applyProtection="0"/>
    <xf numFmtId="43" fontId="19" fillId="0" borderId="0" applyFont="0" applyFill="0" applyBorder="0" applyAlignment="0" applyProtection="0"/>
    <xf numFmtId="0" fontId="20" fillId="0" borderId="11" applyNumberFormat="0" applyFont="0" applyFill="0" applyAlignment="0" applyProtection="0"/>
    <xf numFmtId="0" fontId="19" fillId="0" borderId="0"/>
    <xf numFmtId="0" fontId="21" fillId="0" borderId="0" applyNumberFormat="0" applyFill="0" applyBorder="0" applyAlignment="0" applyProtection="0"/>
    <xf numFmtId="0" fontId="20" fillId="0" borderId="0" applyFont="0" applyFill="0" applyBorder="0" applyAlignment="0" applyProtection="0"/>
    <xf numFmtId="44" fontId="19" fillId="0" borderId="0" applyFont="0" applyFill="0" applyBorder="0" applyAlignment="0" applyProtection="0"/>
    <xf numFmtId="0" fontId="27" fillId="0" borderId="3" applyNumberFormat="0" applyFill="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3" fontId="20" fillId="0" borderId="0" applyFont="0" applyFill="0" applyBorder="0" applyAlignment="0" applyProtection="0"/>
    <xf numFmtId="0" fontId="26" fillId="0" borderId="0" applyNumberFormat="0" applyFill="0" applyBorder="0" applyAlignment="0" applyProtection="0"/>
    <xf numFmtId="167" fontId="20" fillId="0" borderId="0" applyFont="0" applyFill="0" applyBorder="0" applyAlignment="0" applyProtection="0"/>
    <xf numFmtId="0" fontId="24" fillId="0" borderId="0"/>
    <xf numFmtId="0" fontId="24" fillId="0" borderId="0"/>
    <xf numFmtId="0" fontId="19" fillId="0" borderId="0"/>
    <xf numFmtId="0" fontId="19" fillId="0" borderId="0"/>
    <xf numFmtId="41" fontId="25" fillId="0" borderId="0"/>
    <xf numFmtId="37" fontId="24"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168"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0" fontId="20" fillId="0" borderId="11" applyNumberFormat="0" applyFont="0" applyFill="0" applyAlignment="0" applyProtection="0"/>
    <xf numFmtId="43" fontId="19" fillId="0" borderId="0" applyFont="0" applyFill="0" applyBorder="0" applyAlignment="0" applyProtection="0"/>
    <xf numFmtId="9" fontId="1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2" fillId="15"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19"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0" fontId="41" fillId="4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3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170" fontId="39" fillId="0" borderId="0"/>
    <xf numFmtId="170" fontId="39"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0" borderId="0" applyNumberFormat="0" applyFill="0" applyBorder="0" applyAlignment="0" applyProtection="0"/>
    <xf numFmtId="168" fontId="21" fillId="0" borderId="0" applyNumberFormat="0" applyFill="0" applyBorder="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42"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21" fillId="0" borderId="0" applyNumberFormat="0" applyFill="0" applyBorder="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168" fontId="22"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43"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22"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44" fillId="0" borderId="14" applyNumberFormat="0" applyFill="0" applyAlignment="0" applyProtection="0"/>
    <xf numFmtId="0" fontId="31"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4"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5" fillId="0" borderId="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10" fillId="39" borderId="4" applyNumberFormat="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6"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2" fillId="0" borderId="0"/>
    <xf numFmtId="0" fontId="29"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applyNumberFormat="0" applyFill="0" applyBorder="0" applyProtection="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9" fillId="0" borderId="0"/>
    <xf numFmtId="0" fontId="19" fillId="0" borderId="0"/>
    <xf numFmtId="0" fontId="19" fillId="0" borderId="0"/>
    <xf numFmtId="0" fontId="19" fillId="0" borderId="0"/>
    <xf numFmtId="0" fontId="24" fillId="0" borderId="0"/>
    <xf numFmtId="0" fontId="19" fillId="0" borderId="0"/>
    <xf numFmtId="0" fontId="19" fillId="0" borderId="0"/>
    <xf numFmtId="0" fontId="28" fillId="0" borderId="0"/>
    <xf numFmtId="0" fontId="19" fillId="0" borderId="0"/>
    <xf numFmtId="0" fontId="33" fillId="0" borderId="0" applyNumberFormat="0" applyFill="0" applyBorder="0" applyProtection="0">
      <alignment vertical="top" wrapText="1"/>
    </xf>
    <xf numFmtId="0" fontId="33" fillId="0" borderId="0" applyNumberFormat="0" applyFill="0" applyBorder="0" applyProtection="0">
      <alignment vertical="top" wrapText="1"/>
    </xf>
    <xf numFmtId="0" fontId="33" fillId="0" borderId="0" applyNumberFormat="0" applyFill="0" applyBorder="0" applyProtection="0">
      <alignment vertical="top" wrapText="1"/>
    </xf>
    <xf numFmtId="0" fontId="19" fillId="0" borderId="0" applyFill="0"/>
    <xf numFmtId="0" fontId="29" fillId="0" borderId="0"/>
    <xf numFmtId="168"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 fillId="0" borderId="0"/>
    <xf numFmtId="0" fontId="29" fillId="0" borderId="0"/>
    <xf numFmtId="0" fontId="19" fillId="0" borderId="0"/>
    <xf numFmtId="0" fontId="29" fillId="0" borderId="0"/>
    <xf numFmtId="0" fontId="2" fillId="0" borderId="0"/>
    <xf numFmtId="0" fontId="29" fillId="0" borderId="0"/>
    <xf numFmtId="168" fontId="19" fillId="0" borderId="0"/>
    <xf numFmtId="0" fontId="29" fillId="0" borderId="0"/>
    <xf numFmtId="0" fontId="19" fillId="0" borderId="0"/>
    <xf numFmtId="0" fontId="29" fillId="0" borderId="0"/>
    <xf numFmtId="0" fontId="29" fillId="0" borderId="0"/>
    <xf numFmtId="0" fontId="2"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0" fontId="11" fillId="46" borderId="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39" fillId="0" borderId="0"/>
    <xf numFmtId="9" fontId="39" fillId="0" borderId="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1" fontId="39" fillId="0" borderId="0"/>
    <xf numFmtId="0" fontId="38" fillId="0" borderId="0" applyNumberFormat="0" applyFill="0" applyBorder="0" applyAlignment="0" applyProtection="0"/>
    <xf numFmtId="0" fontId="38" fillId="0" borderId="0" applyNumberFormat="0" applyFill="0" applyBorder="0" applyAlignment="0" applyProtection="0"/>
    <xf numFmtId="0" fontId="4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20" fillId="0" borderId="11" applyNumberFormat="0" applyFon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9" borderId="0" applyNumberFormat="0" applyBorder="0" applyAlignment="0" applyProtection="0"/>
    <xf numFmtId="0" fontId="8" fillId="3" borderId="0" applyNumberFormat="0" applyBorder="0" applyAlignment="0" applyProtection="0"/>
    <xf numFmtId="0" fontId="12" fillId="6" borderId="4"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7" fillId="2" borderId="0" applyNumberFormat="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10" fillId="5" borderId="4" applyNumberFormat="0" applyAlignment="0" applyProtection="0"/>
    <xf numFmtId="0" fontId="13" fillId="0" borderId="6" applyNumberFormat="0" applyFill="0" applyAlignment="0" applyProtection="0"/>
    <xf numFmtId="0" fontId="9" fillId="4" borderId="0" applyNumberFormat="0" applyBorder="0" applyAlignment="0" applyProtection="0"/>
    <xf numFmtId="0" fontId="2" fillId="0" borderId="0"/>
    <xf numFmtId="0" fontId="2" fillId="8" borderId="8" applyNumberFormat="0" applyFont="0" applyAlignment="0" applyProtection="0"/>
    <xf numFmtId="0" fontId="11" fillId="6" borderId="5" applyNumberFormat="0" applyAlignment="0" applyProtection="0"/>
    <xf numFmtId="9" fontId="2" fillId="0" borderId="0" applyFont="0" applyFill="0" applyBorder="0" applyAlignment="0" applyProtection="0"/>
    <xf numFmtId="0" fontId="3" fillId="0" borderId="0" applyNumberFormat="0" applyFill="0" applyBorder="0" applyAlignment="0" applyProtection="0"/>
    <xf numFmtId="0" fontId="17" fillId="0" borderId="9" applyNumberFormat="0" applyFill="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9" fontId="19" fillId="0" borderId="0" applyFont="0" applyFill="0" applyBorder="0" applyAlignment="0" applyProtection="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5" borderId="0" applyNumberFormat="0" applyBorder="0" applyAlignment="0" applyProtection="0"/>
    <xf numFmtId="0" fontId="18" fillId="42"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 fillId="45" borderId="0" applyNumberFormat="0" applyBorder="0" applyAlignment="0" applyProtection="0"/>
    <xf numFmtId="0" fontId="41" fillId="46" borderId="4" applyNumberFormat="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7" fillId="38" borderId="0" applyNumberFormat="0" applyBorder="0" applyAlignment="0" applyProtection="0"/>
    <xf numFmtId="168" fontId="21" fillId="0" borderId="0" applyNumberFormat="0" applyFill="0" applyBorder="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168" fontId="22"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 fillId="39" borderId="4" applyNumberFormat="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7"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9"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168"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168" fontId="19" fillId="0" borderId="0"/>
    <xf numFmtId="168" fontId="19" fillId="0" borderId="0"/>
    <xf numFmtId="168" fontId="19" fillId="0" borderId="0"/>
    <xf numFmtId="0" fontId="2"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1" fillId="46" borderId="5" applyNumberFormat="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1"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 fillId="0" borderId="0"/>
    <xf numFmtId="168" fontId="19" fillId="0" borderId="0"/>
    <xf numFmtId="0" fontId="2" fillId="0" borderId="0"/>
    <xf numFmtId="0" fontId="27" fillId="0" borderId="3" applyNumberFormat="0" applyFill="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4" fontId="19"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168" fontId="22" fillId="0" borderId="0" applyNumberFormat="0" applyFill="0" applyBorder="0" applyAlignment="0" applyProtection="0"/>
    <xf numFmtId="0" fontId="2" fillId="0" borderId="0"/>
    <xf numFmtId="0" fontId="2" fillId="0" borderId="0"/>
    <xf numFmtId="0" fontId="2" fillId="0" borderId="0"/>
    <xf numFmtId="0" fontId="2" fillId="0" borderId="0"/>
    <xf numFmtId="168" fontId="19" fillId="0" borderId="0"/>
    <xf numFmtId="9" fontId="19" fillId="0" borderId="0" applyFont="0" applyFill="0" applyBorder="0" applyAlignment="0" applyProtection="0"/>
    <xf numFmtId="168" fontId="20" fillId="0" borderId="11" applyNumberFormat="0" applyFont="0" applyFill="0" applyAlignment="0" applyProtection="0"/>
    <xf numFmtId="43" fontId="19" fillId="0" borderId="0" applyFont="0" applyFill="0" applyBorder="0" applyAlignment="0" applyProtection="0"/>
    <xf numFmtId="0" fontId="2" fillId="0" borderId="0"/>
    <xf numFmtId="168" fontId="19" fillId="0" borderId="0"/>
    <xf numFmtId="0" fontId="2" fillId="3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0" borderId="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8" borderId="8" applyNumberFormat="0" applyFont="0" applyAlignment="0" applyProtection="0"/>
    <xf numFmtId="0" fontId="2" fillId="38" borderId="0" applyNumberFormat="0" applyBorder="0" applyAlignment="0" applyProtection="0"/>
    <xf numFmtId="9" fontId="2"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3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0" borderId="0"/>
    <xf numFmtId="0" fontId="2" fillId="36" borderId="0" applyNumberFormat="0" applyBorder="0" applyAlignment="0" applyProtection="0"/>
    <xf numFmtId="0" fontId="2" fillId="8" borderId="8" applyNumberFormat="0" applyFont="0" applyAlignment="0" applyProtection="0"/>
    <xf numFmtId="0" fontId="2" fillId="39"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36" borderId="0" applyNumberFormat="0" applyBorder="0" applyAlignment="0" applyProtection="0"/>
    <xf numFmtId="0" fontId="2" fillId="0" borderId="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4" fillId="0" borderId="1" applyNumberFormat="0" applyFill="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7" fillId="0" borderId="9" applyNumberFormat="0" applyFill="0" applyAlignment="0" applyProtection="0"/>
    <xf numFmtId="0" fontId="5" fillId="0" borderId="2" applyNumberFormat="0" applyFill="0" applyAlignment="0" applyProtection="0"/>
    <xf numFmtId="43" fontId="2" fillId="0" borderId="0" applyFont="0" applyFill="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38" borderId="0" applyNumberFormat="0" applyBorder="0" applyAlignment="0" applyProtection="0"/>
    <xf numFmtId="44" fontId="2" fillId="0" borderId="0" applyFont="0" applyFill="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0" borderId="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39" borderId="0" applyNumberFormat="0" applyBorder="0" applyAlignment="0" applyProtection="0"/>
    <xf numFmtId="0" fontId="2" fillId="0" borderId="0"/>
    <xf numFmtId="168" fontId="2" fillId="0" borderId="0"/>
    <xf numFmtId="0" fontId="2" fillId="0" borderId="0"/>
    <xf numFmtId="168" fontId="2" fillId="0" borderId="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14"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1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2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8" fillId="12" borderId="0" applyNumberFormat="0" applyBorder="0" applyAlignment="0" applyProtection="0"/>
    <xf numFmtId="0" fontId="18" fillId="38" borderId="0" applyNumberFormat="0" applyBorder="0" applyAlignment="0" applyProtection="0"/>
    <xf numFmtId="0" fontId="18" fillId="16" borderId="0" applyNumberFormat="0" applyBorder="0" applyAlignment="0" applyProtection="0"/>
    <xf numFmtId="0" fontId="18" fillId="40" borderId="0" applyNumberFormat="0" applyBorder="0" applyAlignment="0" applyProtection="0"/>
    <xf numFmtId="0" fontId="18" fillId="20" borderId="0" applyNumberFormat="0" applyBorder="0" applyAlignment="0" applyProtection="0"/>
    <xf numFmtId="0" fontId="18" fillId="41" borderId="0" applyNumberFormat="0" applyBorder="0" applyAlignment="0" applyProtection="0"/>
    <xf numFmtId="0" fontId="18" fillId="2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38"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9" borderId="0" applyNumberFormat="0" applyBorder="0" applyAlignment="0" applyProtection="0"/>
    <xf numFmtId="0" fontId="18" fillId="42" borderId="0" applyNumberFormat="0" applyBorder="0" applyAlignment="0" applyProtection="0"/>
    <xf numFmtId="0" fontId="18" fillId="13" borderId="0" applyNumberFormat="0" applyBorder="0" applyAlignment="0" applyProtection="0"/>
    <xf numFmtId="0" fontId="18" fillId="40" borderId="0" applyNumberFormat="0" applyBorder="0" applyAlignment="0" applyProtection="0"/>
    <xf numFmtId="0" fontId="18" fillId="17" borderId="0" applyNumberFormat="0" applyBorder="0" applyAlignment="0" applyProtection="0"/>
    <xf numFmtId="0" fontId="18" fillId="41" borderId="0" applyNumberFormat="0" applyBorder="0" applyAlignment="0" applyProtection="0"/>
    <xf numFmtId="0" fontId="18" fillId="21" borderId="0" applyNumberFormat="0" applyBorder="0" applyAlignment="0" applyProtection="0"/>
    <xf numFmtId="0" fontId="18" fillId="43" borderId="0" applyNumberFormat="0" applyBorder="0" applyAlignment="0" applyProtection="0"/>
    <xf numFmtId="0" fontId="18" fillId="29" borderId="0" applyNumberFormat="0" applyBorder="0" applyAlignment="0" applyProtection="0"/>
    <xf numFmtId="0" fontId="18" fillId="44" borderId="0" applyNumberFormat="0" applyBorder="0" applyAlignment="0" applyProtection="0"/>
    <xf numFmtId="0" fontId="8" fillId="3" borderId="0" applyNumberFormat="0" applyBorder="0" applyAlignment="0" applyProtection="0"/>
    <xf numFmtId="0" fontId="8" fillId="45" borderId="0" applyNumberFormat="0" applyBorder="0" applyAlignment="0" applyProtection="0"/>
    <xf numFmtId="0" fontId="12" fillId="6" borderId="4" applyNumberFormat="0" applyAlignment="0" applyProtection="0"/>
    <xf numFmtId="0" fontId="41" fillId="4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39" fillId="0" borderId="0"/>
    <xf numFmtId="43" fontId="19" fillId="0" borderId="0" applyFont="0" applyFill="0" applyBorder="0" applyAlignment="0" applyProtection="0"/>
    <xf numFmtId="169" fontId="39" fillId="0" borderId="0"/>
    <xf numFmtId="44" fontId="19" fillId="0" borderId="0" applyFont="0" applyFill="0" applyBorder="0" applyAlignment="0" applyProtection="0"/>
    <xf numFmtId="170" fontId="39" fillId="0" borderId="0"/>
    <xf numFmtId="44" fontId="19"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9"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0" fontId="39"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7" fillId="2" borderId="0" applyNumberFormat="0" applyBorder="0" applyAlignment="0" applyProtection="0"/>
    <xf numFmtId="0" fontId="7" fillId="38" borderId="0" applyNumberFormat="0" applyBorder="0" applyAlignment="0" applyProtection="0"/>
    <xf numFmtId="0" fontId="42" fillId="0" borderId="12" applyNumberFormat="0" applyFill="0" applyAlignment="0" applyProtection="0"/>
    <xf numFmtId="0" fontId="35" fillId="0" borderId="12" applyNumberFormat="0" applyFill="0" applyAlignment="0" applyProtection="0"/>
    <xf numFmtId="0" fontId="4" fillId="0" borderId="1" applyNumberFormat="0" applyFill="0" applyAlignment="0" applyProtection="0"/>
    <xf numFmtId="0" fontId="35" fillId="0" borderId="12" applyNumberFormat="0" applyFill="0" applyAlignment="0" applyProtection="0"/>
    <xf numFmtId="0" fontId="43" fillId="0" borderId="13" applyNumberFormat="0" applyFill="0" applyAlignment="0" applyProtection="0"/>
    <xf numFmtId="0" fontId="36" fillId="0" borderId="13" applyNumberFormat="0" applyFill="0" applyAlignment="0" applyProtection="0"/>
    <xf numFmtId="0" fontId="5" fillId="0" borderId="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44" fillId="0" borderId="14" applyNumberFormat="0" applyFill="0" applyAlignment="0" applyProtection="0"/>
    <xf numFmtId="0" fontId="37" fillId="0" borderId="14" applyNumberFormat="0" applyFill="0" applyAlignment="0" applyProtection="0"/>
    <xf numFmtId="0" fontId="6" fillId="0" borderId="3" applyNumberFormat="0" applyFill="0" applyAlignment="0" applyProtection="0"/>
    <xf numFmtId="0" fontId="37" fillId="0" borderId="0" applyNumberFormat="0" applyFill="0" applyBorder="0" applyAlignment="0" applyProtection="0"/>
    <xf numFmtId="0" fontId="44" fillId="0" borderId="0" applyNumberFormat="0" applyFill="0" applyBorder="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10" fillId="5" borderId="4" applyNumberFormat="0" applyAlignment="0" applyProtection="0"/>
    <xf numFmtId="0" fontId="10" fillId="39" borderId="4" applyNumberFormat="0" applyAlignment="0" applyProtection="0"/>
    <xf numFmtId="0" fontId="32" fillId="0" borderId="15" applyNumberFormat="0" applyFill="0" applyAlignment="0" applyProtection="0"/>
    <xf numFmtId="0" fontId="46" fillId="0" borderId="15" applyNumberFormat="0" applyFill="0" applyAlignment="0" applyProtection="0"/>
    <xf numFmtId="0" fontId="32" fillId="0" borderId="15" applyNumberFormat="0" applyFill="0" applyAlignment="0" applyProtection="0"/>
    <xf numFmtId="0" fontId="13" fillId="0" borderId="6" applyNumberFormat="0" applyFill="0" applyAlignment="0" applyProtection="0"/>
    <xf numFmtId="0" fontId="9" fillId="4" borderId="0" applyNumberFormat="0" applyBorder="0" applyAlignment="0" applyProtection="0"/>
    <xf numFmtId="0" fontId="47"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applyNumberFormat="0" applyFill="0" applyBorder="0" applyProtection="0">
      <alignment vertical="top" wrapText="1"/>
    </xf>
    <xf numFmtId="0" fontId="2" fillId="0" borderId="0"/>
    <xf numFmtId="0" fontId="39" fillId="0" borderId="0"/>
    <xf numFmtId="0" fontId="2" fillId="0" borderId="0"/>
    <xf numFmtId="0" fontId="19" fillId="0" borderId="0"/>
    <xf numFmtId="0" fontId="19" fillId="0" borderId="0"/>
    <xf numFmtId="0" fontId="19" fillId="0" borderId="0"/>
    <xf numFmtId="0" fontId="19" fillId="0" borderId="0"/>
    <xf numFmtId="0" fontId="33" fillId="0" borderId="0" applyNumberFormat="0" applyFill="0" applyBorder="0" applyProtection="0">
      <alignment vertical="top" wrapText="1"/>
    </xf>
    <xf numFmtId="0" fontId="39" fillId="0" borderId="0"/>
    <xf numFmtId="0" fontId="33" fillId="0" borderId="0" applyNumberFormat="0" applyFill="0" applyBorder="0" applyProtection="0">
      <alignment vertical="top" wrapText="1"/>
    </xf>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19" fillId="0" borderId="0"/>
    <xf numFmtId="0" fontId="19"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2" fillId="0" borderId="0"/>
    <xf numFmtId="0" fontId="19" fillId="0" borderId="0"/>
    <xf numFmtId="0" fontId="19"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1" fillId="6" borderId="5" applyNumberFormat="0" applyAlignment="0" applyProtection="0"/>
    <xf numFmtId="0" fontId="11" fillId="46" borderId="5"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9"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 fillId="0" borderId="0" applyFont="0" applyFill="0" applyBorder="0" applyAlignment="0" applyProtection="0"/>
    <xf numFmtId="9" fontId="39" fillId="0" borderId="0"/>
    <xf numFmtId="9" fontId="19" fillId="0" borderId="0" applyFont="0" applyFill="0" applyBorder="0" applyAlignment="0" applyProtection="0"/>
    <xf numFmtId="0" fontId="38" fillId="0" borderId="0" applyNumberFormat="0" applyFill="0" applyBorder="0" applyAlignment="0" applyProtection="0"/>
    <xf numFmtId="0" fontId="48" fillId="0" borderId="0" applyNumberFormat="0" applyFill="0" applyBorder="0" applyAlignment="0" applyProtection="0"/>
    <xf numFmtId="0" fontId="38" fillId="0" borderId="0" applyNumberFormat="0" applyFill="0" applyBorder="0" applyAlignment="0" applyProtection="0"/>
    <xf numFmtId="0" fontId="3" fillId="0" borderId="0" applyNumberFormat="0" applyFill="0" applyBorder="0" applyAlignment="0" applyProtection="0"/>
    <xf numFmtId="0" fontId="17" fillId="0" borderId="9" applyNumberFormat="0" applyFill="0" applyAlignment="0" applyProtection="0"/>
    <xf numFmtId="0" fontId="17" fillId="0" borderId="16" applyNumberFormat="0" applyFill="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8" fillId="38"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5" borderId="0" applyNumberFormat="0" applyBorder="0" applyAlignment="0" applyProtection="0"/>
    <xf numFmtId="0" fontId="18" fillId="42"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 fillId="45" borderId="0" applyNumberFormat="0" applyBorder="0" applyAlignment="0" applyProtection="0"/>
    <xf numFmtId="0" fontId="41" fillId="46" borderId="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7" fillId="38" borderId="0" applyNumberFormat="0" applyBorder="0" applyAlignment="0" applyProtection="0"/>
    <xf numFmtId="0" fontId="35"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42" fillId="0" borderId="12" applyNumberFormat="0" applyFill="0" applyAlignment="0" applyProtection="0"/>
    <xf numFmtId="0" fontId="36"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37"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3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0" fillId="39" borderId="4" applyNumberFormat="0" applyAlignment="0" applyProtection="0"/>
    <xf numFmtId="0" fontId="32"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7"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1" fillId="4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7" fillId="0" borderId="16" applyNumberFormat="0" applyFill="0" applyAlignment="0" applyProtection="0"/>
    <xf numFmtId="0" fontId="17" fillId="0" borderId="1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168" fontId="2" fillId="0" borderId="0"/>
    <xf numFmtId="44" fontId="2" fillId="0" borderId="0" applyFont="0" applyFill="0" applyBorder="0" applyAlignment="0" applyProtection="0"/>
    <xf numFmtId="43" fontId="2" fillId="0" borderId="0" applyFont="0" applyFill="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19" fillId="0" borderId="0" applyFont="0" applyFill="0" applyBorder="0" applyAlignment="0" applyProtection="0"/>
    <xf numFmtId="0" fontId="19" fillId="0" borderId="0" applyFont="0" applyFill="0" applyBorder="0" applyAlignment="0" applyProtection="0"/>
    <xf numFmtId="2" fontId="19" fillId="0" borderId="0" applyFont="0" applyFill="0" applyBorder="0" applyAlignment="0" applyProtection="0"/>
    <xf numFmtId="0" fontId="2" fillId="0" borderId="0"/>
    <xf numFmtId="0" fontId="2" fillId="0" borderId="0"/>
    <xf numFmtId="0" fontId="2" fillId="0" borderId="0"/>
    <xf numFmtId="0" fontId="19" fillId="0" borderId="0"/>
    <xf numFmtId="0" fontId="19" fillId="0" borderId="0">
      <alignment vertical="top"/>
    </xf>
    <xf numFmtId="168" fontId="2" fillId="0" borderId="0"/>
    <xf numFmtId="0" fontId="2" fillId="0" borderId="0"/>
    <xf numFmtId="168" fontId="2" fillId="0" borderId="0"/>
    <xf numFmtId="168" fontId="2" fillId="0" borderId="0"/>
    <xf numFmtId="0" fontId="19" fillId="0" borderId="0">
      <alignment vertical="top"/>
    </xf>
    <xf numFmtId="0" fontId="2" fillId="0" borderId="0"/>
    <xf numFmtId="0" fontId="2" fillId="0" borderId="0"/>
    <xf numFmtId="0" fontId="2" fillId="0" borderId="0"/>
    <xf numFmtId="0" fontId="19"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 fontId="40" fillId="39" borderId="17" applyNumberFormat="0" applyProtection="0">
      <alignment vertical="center"/>
    </xf>
    <xf numFmtId="4" fontId="49" fillId="39" borderId="17" applyNumberFormat="0" applyProtection="0">
      <alignment vertical="center"/>
    </xf>
    <xf numFmtId="4" fontId="40" fillId="39" borderId="17" applyNumberFormat="0" applyProtection="0">
      <alignment horizontal="left" vertical="center" indent="1"/>
    </xf>
    <xf numFmtId="0" fontId="40" fillId="39" borderId="17" applyNumberFormat="0" applyProtection="0">
      <alignment horizontal="left" vertical="top" indent="1"/>
    </xf>
    <xf numFmtId="4" fontId="40" fillId="47" borderId="0" applyNumberFormat="0" applyProtection="0">
      <alignment horizontal="left" vertical="center" indent="1"/>
    </xf>
    <xf numFmtId="4" fontId="34" fillId="34" borderId="17" applyNumberFormat="0" applyProtection="0">
      <alignment horizontal="right" vertical="center"/>
    </xf>
    <xf numFmtId="4" fontId="34" fillId="35" borderId="17" applyNumberFormat="0" applyProtection="0">
      <alignment horizontal="right" vertical="center"/>
    </xf>
    <xf numFmtId="4" fontId="34" fillId="44" borderId="17" applyNumberFormat="0" applyProtection="0">
      <alignment horizontal="right" vertical="center"/>
    </xf>
    <xf numFmtId="4" fontId="34" fillId="41" borderId="17" applyNumberFormat="0" applyProtection="0">
      <alignment horizontal="right" vertical="center"/>
    </xf>
    <xf numFmtId="4" fontId="34" fillId="48" borderId="17" applyNumberFormat="0" applyProtection="0">
      <alignment horizontal="right" vertical="center"/>
    </xf>
    <xf numFmtId="4" fontId="34" fillId="40" borderId="17" applyNumberFormat="0" applyProtection="0">
      <alignment horizontal="right" vertical="center"/>
    </xf>
    <xf numFmtId="4" fontId="34" fillId="49" borderId="17" applyNumberFormat="0" applyProtection="0">
      <alignment horizontal="right" vertical="center"/>
    </xf>
    <xf numFmtId="4" fontId="34" fillId="50" borderId="17" applyNumberFormat="0" applyProtection="0">
      <alignment horizontal="right" vertical="center"/>
    </xf>
    <xf numFmtId="4" fontId="34" fillId="51" borderId="17" applyNumberFormat="0" applyProtection="0">
      <alignment horizontal="right" vertical="center"/>
    </xf>
    <xf numFmtId="4" fontId="40" fillId="52" borderId="18" applyNumberFormat="0" applyProtection="0">
      <alignment horizontal="left" vertical="center" indent="1"/>
    </xf>
    <xf numFmtId="4" fontId="34" fillId="53" borderId="0" applyNumberFormat="0" applyProtection="0">
      <alignment horizontal="left" vertical="center" indent="1"/>
    </xf>
    <xf numFmtId="4" fontId="50" fillId="43" borderId="0" applyNumberFormat="0" applyProtection="0">
      <alignment horizontal="left" vertical="center" indent="1"/>
    </xf>
    <xf numFmtId="4" fontId="34" fillId="47" borderId="17" applyNumberFormat="0" applyProtection="0">
      <alignment horizontal="right" vertical="center"/>
    </xf>
    <xf numFmtId="4" fontId="34" fillId="53" borderId="0" applyNumberFormat="0" applyProtection="0">
      <alignment horizontal="left" vertical="center" indent="1"/>
    </xf>
    <xf numFmtId="4" fontId="34" fillId="47" borderId="0" applyNumberFormat="0" applyProtection="0">
      <alignment horizontal="left" vertical="center" indent="1"/>
    </xf>
    <xf numFmtId="0" fontId="19" fillId="43" borderId="17" applyNumberFormat="0" applyProtection="0">
      <alignment horizontal="left" vertical="center" indent="1"/>
    </xf>
    <xf numFmtId="0" fontId="19" fillId="43" borderId="17" applyNumberFormat="0" applyProtection="0">
      <alignment horizontal="left" vertical="top" indent="1"/>
    </xf>
    <xf numFmtId="0" fontId="19" fillId="47" borderId="17" applyNumberFormat="0" applyProtection="0">
      <alignment horizontal="left" vertical="center" indent="1"/>
    </xf>
    <xf numFmtId="0" fontId="19" fillId="47" borderId="17" applyNumberFormat="0" applyProtection="0">
      <alignment horizontal="left" vertical="top" indent="1"/>
    </xf>
    <xf numFmtId="0" fontId="19" fillId="33" borderId="17" applyNumberFormat="0" applyProtection="0">
      <alignment horizontal="left" vertical="center" indent="1"/>
    </xf>
    <xf numFmtId="0" fontId="19" fillId="33" borderId="17" applyNumberFormat="0" applyProtection="0">
      <alignment horizontal="left" vertical="top" indent="1"/>
    </xf>
    <xf numFmtId="0" fontId="19" fillId="53" borderId="17" applyNumberFormat="0" applyProtection="0">
      <alignment horizontal="left" vertical="center" indent="1"/>
    </xf>
    <xf numFmtId="0" fontId="19" fillId="53" borderId="17" applyNumberFormat="0" applyProtection="0">
      <alignment horizontal="left" vertical="top" indent="1"/>
    </xf>
    <xf numFmtId="0" fontId="19" fillId="46" borderId="10" applyNumberFormat="0">
      <protection locked="0"/>
    </xf>
    <xf numFmtId="4" fontId="34" fillId="36" borderId="17" applyNumberFormat="0" applyProtection="0">
      <alignment vertical="center"/>
    </xf>
    <xf numFmtId="4" fontId="51" fillId="36" borderId="17" applyNumberFormat="0" applyProtection="0">
      <alignment vertical="center"/>
    </xf>
    <xf numFmtId="4" fontId="34" fillId="36" borderId="17" applyNumberFormat="0" applyProtection="0">
      <alignment horizontal="left" vertical="center" indent="1"/>
    </xf>
    <xf numFmtId="0" fontId="34" fillId="36" borderId="17" applyNumberFormat="0" applyProtection="0">
      <alignment horizontal="left" vertical="top" indent="1"/>
    </xf>
    <xf numFmtId="4" fontId="34" fillId="53" borderId="17" applyNumberFormat="0" applyProtection="0">
      <alignment horizontal="right" vertical="center"/>
    </xf>
    <xf numFmtId="4" fontId="51" fillId="53" borderId="17" applyNumberFormat="0" applyProtection="0">
      <alignment horizontal="right" vertical="center"/>
    </xf>
    <xf numFmtId="4" fontId="34" fillId="47" borderId="17" applyNumberFormat="0" applyProtection="0">
      <alignment horizontal="left" vertical="center" indent="1"/>
    </xf>
    <xf numFmtId="0" fontId="34" fillId="47" borderId="17" applyNumberFormat="0" applyProtection="0">
      <alignment horizontal="left" vertical="top" indent="1"/>
    </xf>
    <xf numFmtId="4" fontId="52" fillId="54" borderId="0" applyNumberFormat="0" applyProtection="0">
      <alignment horizontal="left" vertical="center" indent="1"/>
    </xf>
    <xf numFmtId="4" fontId="30" fillId="53" borderId="17" applyNumberFormat="0" applyProtection="0">
      <alignment horizontal="right" vertical="center"/>
    </xf>
    <xf numFmtId="0" fontId="38" fillId="0" borderId="0" applyNumberForma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20" fillId="0" borderId="0" applyFont="0" applyFill="0" applyBorder="0" applyAlignment="0" applyProtection="0"/>
    <xf numFmtId="2" fontId="20" fillId="0" borderId="0" applyFont="0" applyFill="0" applyBorder="0" applyAlignment="0" applyProtection="0"/>
    <xf numFmtId="167" fontId="20" fillId="0" borderId="0" applyFont="0" applyFill="0" applyBorder="0" applyAlignment="0" applyProtection="0"/>
    <xf numFmtId="0" fontId="21" fillId="0" borderId="0" applyNumberFormat="0" applyFill="0" applyBorder="0" applyAlignment="0" applyProtection="0"/>
    <xf numFmtId="0" fontId="2" fillId="0" borderId="0"/>
    <xf numFmtId="44" fontId="19" fillId="0" borderId="0" applyFont="0" applyFill="0" applyBorder="0" applyAlignment="0" applyProtection="0"/>
    <xf numFmtId="9" fontId="19" fillId="0" borderId="0" applyFont="0" applyFill="0" applyBorder="0" applyAlignment="0" applyProtection="0"/>
    <xf numFmtId="3" fontId="20" fillId="0" borderId="0" applyFont="0" applyFill="0" applyBorder="0" applyAlignment="0" applyProtection="0"/>
    <xf numFmtId="0" fontId="22" fillId="0" borderId="0" applyNumberFormat="0" applyFill="0" applyBorder="0" applyAlignment="0" applyProtection="0"/>
    <xf numFmtId="0" fontId="20" fillId="0" borderId="11" applyNumberFormat="0" applyFon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3" fontId="20" fillId="0" borderId="0" applyFont="0" applyFill="0" applyBorder="0" applyAlignment="0" applyProtection="0"/>
    <xf numFmtId="44" fontId="19" fillId="0" borderId="0" applyFont="0" applyFill="0" applyBorder="0" applyAlignment="0" applyProtection="0"/>
    <xf numFmtId="170" fontId="39" fillId="0" borderId="0"/>
    <xf numFmtId="44" fontId="19"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1" fillId="0" borderId="14" applyNumberFormat="0" applyFill="0" applyAlignment="0" applyProtection="0"/>
    <xf numFmtId="0" fontId="29" fillId="0" borderId="0"/>
    <xf numFmtId="0" fontId="19" fillId="0" borderId="0"/>
    <xf numFmtId="0" fontId="28" fillId="0" borderId="0"/>
    <xf numFmtId="0" fontId="29" fillId="0" borderId="0"/>
    <xf numFmtId="0" fontId="29" fillId="0" borderId="0"/>
    <xf numFmtId="0" fontId="29" fillId="0" borderId="0"/>
    <xf numFmtId="0" fontId="29" fillId="0" borderId="0"/>
    <xf numFmtId="0" fontId="19" fillId="0" borderId="0"/>
    <xf numFmtId="9" fontId="19" fillId="0" borderId="0" applyFont="0" applyFill="0" applyBorder="0" applyAlignment="0" applyProtection="0"/>
    <xf numFmtId="9" fontId="39" fillId="0" borderId="0"/>
    <xf numFmtId="9" fontId="19" fillId="0" borderId="0" applyFont="0" applyFill="0" applyBorder="0" applyAlignment="0" applyProtection="0"/>
    <xf numFmtId="9" fontId="28" fillId="0" borderId="0" applyFont="0" applyFill="0" applyBorder="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16" applyNumberFormat="0" applyFill="0" applyAlignment="0" applyProtection="0"/>
    <xf numFmtId="0" fontId="17" fillId="0" borderId="9" applyNumberFormat="0" applyFill="0" applyAlignment="0" applyProtection="0"/>
    <xf numFmtId="44" fontId="19" fillId="0" borderId="0" applyFont="0" applyFill="0" applyBorder="0" applyAlignment="0" applyProtection="0"/>
    <xf numFmtId="43" fontId="19" fillId="0" borderId="0" applyFont="0" applyFill="0" applyBorder="0" applyAlignment="0" applyProtection="0"/>
    <xf numFmtId="0" fontId="2" fillId="0" borderId="0"/>
    <xf numFmtId="168" fontId="19" fillId="0" borderId="0"/>
    <xf numFmtId="0" fontId="2" fillId="0" borderId="0"/>
    <xf numFmtId="0" fontId="2" fillId="8" borderId="8" applyNumberFormat="0" applyFont="0" applyAlignment="0" applyProtection="0"/>
    <xf numFmtId="9" fontId="2" fillId="0" borderId="0" applyFont="0" applyFill="0" applyBorder="0" applyAlignment="0" applyProtection="0"/>
    <xf numFmtId="0" fontId="19"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10" borderId="0" applyNumberFormat="0" applyBorder="0" applyAlignment="0" applyProtection="0"/>
    <xf numFmtId="0" fontId="2" fillId="11" borderId="0" applyNumberFormat="0" applyBorder="0" applyAlignment="0" applyProtection="0"/>
    <xf numFmtId="0" fontId="19" fillId="0" borderId="0"/>
    <xf numFmtId="0" fontId="19" fillId="0" borderId="0"/>
    <xf numFmtId="0" fontId="2" fillId="14" borderId="0" applyNumberFormat="0" applyBorder="0" applyAlignment="0" applyProtection="0"/>
    <xf numFmtId="0" fontId="19" fillId="0" borderId="0"/>
    <xf numFmtId="0" fontId="19" fillId="0" borderId="0"/>
    <xf numFmtId="0" fontId="2" fillId="18" borderId="0" applyNumberFormat="0" applyBorder="0" applyAlignment="0" applyProtection="0"/>
    <xf numFmtId="0" fontId="2" fillId="19" borderId="0" applyNumberFormat="0" applyBorder="0" applyAlignment="0" applyProtection="0"/>
    <xf numFmtId="0" fontId="19" fillId="0" borderId="0"/>
    <xf numFmtId="0" fontId="19" fillId="0" borderId="0"/>
    <xf numFmtId="0" fontId="2" fillId="22" borderId="0" applyNumberFormat="0" applyBorder="0" applyAlignment="0" applyProtection="0"/>
    <xf numFmtId="0" fontId="2" fillId="23" borderId="0" applyNumberFormat="0" applyBorder="0" applyAlignment="0" applyProtection="0"/>
    <xf numFmtId="0" fontId="19" fillId="0" borderId="0"/>
    <xf numFmtId="0" fontId="2" fillId="27" borderId="0" applyNumberFormat="0" applyBorder="0" applyAlignment="0" applyProtection="0"/>
    <xf numFmtId="0" fontId="19" fillId="0" borderId="0"/>
    <xf numFmtId="0" fontId="19" fillId="0" borderId="0"/>
    <xf numFmtId="0" fontId="2" fillId="30" borderId="0" applyNumberFormat="0" applyBorder="0" applyAlignment="0" applyProtection="0"/>
    <xf numFmtId="0" fontId="2" fillId="31" borderId="0" applyNumberFormat="0" applyBorder="0" applyAlignment="0" applyProtection="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15" borderId="0" applyNumberFormat="0" applyBorder="0" applyAlignment="0" applyProtection="0"/>
    <xf numFmtId="0" fontId="19" fillId="0" borderId="0"/>
    <xf numFmtId="0" fontId="2" fillId="2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9" fillId="0" borderId="0"/>
    <xf numFmtId="0" fontId="19"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168"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9" fillId="0" borderId="0"/>
    <xf numFmtId="0" fontId="2" fillId="0" borderId="0"/>
    <xf numFmtId="0" fontId="2" fillId="3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0" borderId="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8" borderId="8" applyNumberFormat="0" applyFont="0" applyAlignment="0" applyProtection="0"/>
    <xf numFmtId="0" fontId="2" fillId="38" borderId="0" applyNumberFormat="0" applyBorder="0" applyAlignment="0" applyProtection="0"/>
    <xf numFmtId="9" fontId="2"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3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0" borderId="0"/>
    <xf numFmtId="0" fontId="2" fillId="36" borderId="0" applyNumberFormat="0" applyBorder="0" applyAlignment="0" applyProtection="0"/>
    <xf numFmtId="0" fontId="2" fillId="8" borderId="8" applyNumberFormat="0" applyFont="0" applyAlignment="0" applyProtection="0"/>
    <xf numFmtId="0" fontId="2" fillId="39"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36" borderId="0" applyNumberFormat="0" applyBorder="0" applyAlignment="0" applyProtection="0"/>
    <xf numFmtId="0" fontId="2" fillId="0" borderId="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44" fontId="2" fillId="0" borderId="0" applyFont="0" applyFill="0" applyBorder="0" applyAlignment="0" applyProtection="0"/>
    <xf numFmtId="0" fontId="2" fillId="38"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0" fontId="2" fillId="38" borderId="0" applyNumberFormat="0" applyBorder="0" applyAlignment="0" applyProtection="0"/>
    <xf numFmtId="44" fontId="2" fillId="0" borderId="0" applyFont="0" applyFill="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0" borderId="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39" borderId="0" applyNumberFormat="0" applyBorder="0" applyAlignment="0" applyProtection="0"/>
    <xf numFmtId="0" fontId="2" fillId="0" borderId="0"/>
    <xf numFmtId="168" fontId="2" fillId="0" borderId="0"/>
    <xf numFmtId="0" fontId="2" fillId="0" borderId="0"/>
    <xf numFmtId="168" fontId="2" fillId="0" borderId="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1"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14"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1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1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2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3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2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 fillId="0" borderId="0" applyFont="0" applyFill="0" applyBorder="0" applyAlignment="0" applyProtection="0"/>
    <xf numFmtId="0" fontId="19" fillId="0" borderId="0"/>
    <xf numFmtId="43" fontId="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2" fillId="0" borderId="0" applyFont="0" applyFill="0" applyBorder="0" applyAlignment="0" applyProtection="0"/>
    <xf numFmtId="0" fontId="1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168" fontId="2" fillId="0" borderId="0"/>
    <xf numFmtId="44" fontId="2" fillId="0" borderId="0" applyFont="0" applyFill="0" applyBorder="0" applyAlignment="0" applyProtection="0"/>
    <xf numFmtId="43" fontId="2" fillId="0" borderId="0" applyFont="0" applyFill="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10"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0" fontId="2" fillId="14" borderId="0" applyNumberFormat="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0" fontId="2" fillId="0" borderId="0"/>
    <xf numFmtId="168" fontId="2" fillId="0" borderId="0"/>
    <xf numFmtId="0" fontId="2" fillId="0" borderId="0"/>
    <xf numFmtId="168"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168" fontId="2" fillId="0" borderId="0"/>
    <xf numFmtId="0"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8" borderId="8"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8" borderId="8" applyNumberFormat="0" applyFont="0" applyAlignment="0" applyProtection="0"/>
    <xf numFmtId="0" fontId="19" fillId="0" borderId="0"/>
    <xf numFmtId="0" fontId="2"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8" borderId="8" applyNumberFormat="0" applyFont="0" applyAlignment="0" applyProtection="0"/>
    <xf numFmtId="9" fontId="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37" fontId="29" fillId="0" borderId="0"/>
    <xf numFmtId="43" fontId="28" fillId="0" borderId="0" applyFont="0" applyFill="0" applyBorder="0" applyAlignment="0" applyProtection="0"/>
    <xf numFmtId="0" fontId="2"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43" fontId="19" fillId="0" borderId="0" applyFont="0" applyFill="0" applyBorder="0" applyAlignment="0" applyProtection="0"/>
    <xf numFmtId="0" fontId="2" fillId="0" borderId="0"/>
    <xf numFmtId="0" fontId="2" fillId="0" borderId="0"/>
    <xf numFmtId="0" fontId="2" fillId="0" borderId="0"/>
    <xf numFmtId="0" fontId="2" fillId="0" borderId="0"/>
    <xf numFmtId="37" fontId="29"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4" fillId="0" borderId="0"/>
    <xf numFmtId="0" fontId="2" fillId="0" borderId="0"/>
    <xf numFmtId="0" fontId="2" fillId="0" borderId="0"/>
    <xf numFmtId="0" fontId="2" fillId="0" borderId="0"/>
    <xf numFmtId="0" fontId="2" fillId="0" borderId="0"/>
    <xf numFmtId="168" fontId="2" fillId="0" borderId="0"/>
    <xf numFmtId="0" fontId="2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0" fontId="2" fillId="0" borderId="0"/>
    <xf numFmtId="0" fontId="2" fillId="0" borderId="0"/>
    <xf numFmtId="0" fontId="2" fillId="0" borderId="0"/>
    <xf numFmtId="0" fontId="2" fillId="0" borderId="0"/>
    <xf numFmtId="168" fontId="2" fillId="0" borderId="0"/>
    <xf numFmtId="9" fontId="2" fillId="0" borderId="0" applyFont="0" applyFill="0" applyBorder="0" applyAlignment="0" applyProtection="0"/>
    <xf numFmtId="43" fontId="2" fillId="0" borderId="0" applyFont="0" applyFill="0" applyBorder="0" applyAlignment="0" applyProtection="0"/>
    <xf numFmtId="0" fontId="19" fillId="0" borderId="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8" fillId="25" borderId="0" applyNumberFormat="0" applyBorder="0" applyAlignment="0" applyProtection="0"/>
    <xf numFmtId="0" fontId="53" fillId="0" borderId="0" applyNumberFormat="0" applyFill="0" applyBorder="0" applyAlignment="0" applyProtection="0"/>
    <xf numFmtId="0" fontId="73" fillId="0" borderId="0" applyNumberFormat="0" applyFill="0" applyBorder="0" applyAlignment="0" applyProtection="0"/>
    <xf numFmtId="44" fontId="90" fillId="0" borderId="0" applyNumberFormat="0" applyFont="0" applyFill="0" applyBorder="0" applyAlignment="0" applyProtection="0"/>
    <xf numFmtId="0" fontId="94" fillId="0" borderId="0"/>
    <xf numFmtId="0" fontId="134" fillId="0" borderId="0"/>
    <xf numFmtId="9" fontId="13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9" fillId="0" borderId="0"/>
    <xf numFmtId="0" fontId="2" fillId="0" borderId="0"/>
    <xf numFmtId="0" fontId="138" fillId="0" borderId="0" applyNumberFormat="0" applyFont="0" applyFill="0" applyBorder="0" applyAlignment="0" applyProtection="0"/>
    <xf numFmtId="0" fontId="139" fillId="0" borderId="0"/>
    <xf numFmtId="44" fontId="138" fillId="0" borderId="0" applyNumberFormat="0" applyFont="0" applyFill="0" applyBorder="0" applyAlignment="0" applyProtection="0"/>
  </cellStyleXfs>
  <cellXfs count="2463">
    <xf numFmtId="0" fontId="0" fillId="0" borderId="0" xfId="0"/>
    <xf numFmtId="44" fontId="0" fillId="0" borderId="0" xfId="0" applyNumberFormat="1"/>
    <xf numFmtId="43" fontId="0" fillId="0" borderId="0" xfId="0" applyNumberFormat="1"/>
    <xf numFmtId="0" fontId="17" fillId="0" borderId="0" xfId="0" applyFont="1"/>
    <xf numFmtId="0" fontId="56" fillId="0" borderId="0" xfId="0" applyFont="1"/>
    <xf numFmtId="0" fontId="56" fillId="0" borderId="0" xfId="0" applyFont="1" applyAlignment="1">
      <alignment horizontal="center"/>
    </xf>
    <xf numFmtId="164" fontId="56" fillId="0" borderId="0" xfId="2" applyNumberFormat="1" applyFont="1"/>
    <xf numFmtId="0" fontId="56" fillId="0" borderId="0" xfId="0" applyFont="1" applyAlignment="1">
      <alignment vertical="top"/>
    </xf>
    <xf numFmtId="164" fontId="56" fillId="0" borderId="0" xfId="0" applyNumberFormat="1" applyFont="1"/>
    <xf numFmtId="0" fontId="1" fillId="0" borderId="0" xfId="0" applyFont="1"/>
    <xf numFmtId="164" fontId="1" fillId="0" borderId="0" xfId="2" applyNumberFormat="1" applyFont="1"/>
    <xf numFmtId="0" fontId="1" fillId="0" borderId="0" xfId="0" applyFont="1" applyAlignment="1">
      <alignment vertical="top"/>
    </xf>
    <xf numFmtId="164" fontId="1" fillId="0" borderId="0" xfId="0" applyNumberFormat="1" applyFont="1"/>
    <xf numFmtId="0" fontId="1" fillId="0" borderId="0" xfId="0" applyFont="1" applyAlignment="1">
      <alignment horizontal="right"/>
    </xf>
    <xf numFmtId="0" fontId="1" fillId="0" borderId="20" xfId="0" applyFont="1" applyBorder="1"/>
    <xf numFmtId="44" fontId="1" fillId="0" borderId="0" xfId="0" applyNumberFormat="1" applyFont="1"/>
    <xf numFmtId="44" fontId="56" fillId="0" borderId="0" xfId="2" applyFont="1"/>
    <xf numFmtId="0" fontId="56" fillId="0" borderId="0" xfId="0" applyFont="1" applyAlignment="1">
      <alignment horizontal="right"/>
    </xf>
    <xf numFmtId="164" fontId="56" fillId="0" borderId="0" xfId="2" applyNumberFormat="1" applyFont="1" applyAlignment="1">
      <alignment horizontal="right"/>
    </xf>
    <xf numFmtId="0" fontId="63" fillId="0" borderId="0" xfId="0" applyFont="1"/>
    <xf numFmtId="173" fontId="1" fillId="0" borderId="0" xfId="3" applyNumberFormat="1" applyFont="1"/>
    <xf numFmtId="0" fontId="57" fillId="0" borderId="0" xfId="0" applyFont="1" applyAlignment="1">
      <alignment horizontal="center"/>
    </xf>
    <xf numFmtId="165" fontId="1" fillId="0" borderId="0" xfId="1" applyNumberFormat="1" applyFont="1"/>
    <xf numFmtId="165" fontId="56" fillId="0" borderId="0" xfId="1" applyNumberFormat="1" applyFont="1" applyAlignment="1">
      <alignment horizontal="right"/>
    </xf>
    <xf numFmtId="43" fontId="56" fillId="0" borderId="0" xfId="1" applyFont="1" applyAlignment="1">
      <alignment horizontal="right"/>
    </xf>
    <xf numFmtId="165" fontId="56" fillId="0" borderId="0" xfId="1" applyNumberFormat="1" applyFont="1"/>
    <xf numFmtId="166" fontId="56" fillId="0" borderId="0" xfId="1" applyNumberFormat="1" applyFont="1" applyAlignment="1">
      <alignment horizontal="right"/>
    </xf>
    <xf numFmtId="166" fontId="1" fillId="0" borderId="0" xfId="1" applyNumberFormat="1" applyFont="1"/>
    <xf numFmtId="10" fontId="1" fillId="0" borderId="0" xfId="3" applyNumberFormat="1" applyFont="1"/>
    <xf numFmtId="164" fontId="1" fillId="0" borderId="0" xfId="2" applyNumberFormat="1" applyFont="1" applyFill="1"/>
    <xf numFmtId="0" fontId="65" fillId="62" borderId="0" xfId="0" applyFont="1" applyFill="1"/>
    <xf numFmtId="0" fontId="66" fillId="62" borderId="0" xfId="0" applyFont="1" applyFill="1" applyAlignment="1">
      <alignment horizontal="centerContinuous"/>
    </xf>
    <xf numFmtId="0" fontId="67" fillId="62" borderId="0" xfId="0" applyFont="1" applyFill="1" applyAlignment="1">
      <alignment horizontal="centerContinuous"/>
    </xf>
    <xf numFmtId="0" fontId="67" fillId="62" borderId="0" xfId="0" applyFont="1" applyFill="1"/>
    <xf numFmtId="0" fontId="1" fillId="0" borderId="0" xfId="0" applyFont="1" applyAlignment="1">
      <alignment horizontal="left"/>
    </xf>
    <xf numFmtId="0" fontId="1" fillId="0" borderId="0" xfId="0" applyFont="1" applyAlignment="1">
      <alignment horizontal="center"/>
    </xf>
    <xf numFmtId="0" fontId="54" fillId="0" borderId="0" xfId="0" applyFont="1"/>
    <xf numFmtId="164" fontId="56" fillId="0" borderId="0" xfId="2" applyNumberFormat="1" applyFont="1" applyFill="1"/>
    <xf numFmtId="0" fontId="68" fillId="62" borderId="0" xfId="0" applyFont="1" applyFill="1" applyAlignment="1">
      <alignment horizontal="centerContinuous"/>
    </xf>
    <xf numFmtId="0" fontId="69" fillId="62" borderId="0" xfId="0" applyFont="1" applyFill="1" applyAlignment="1">
      <alignment horizontal="centerContinuous"/>
    </xf>
    <xf numFmtId="0" fontId="69" fillId="62" borderId="0" xfId="0" applyFont="1" applyFill="1"/>
    <xf numFmtId="0" fontId="0" fillId="55" borderId="21" xfId="0" applyFill="1" applyBorder="1"/>
    <xf numFmtId="0" fontId="0" fillId="58" borderId="21" xfId="0" applyFill="1" applyBorder="1"/>
    <xf numFmtId="164" fontId="1" fillId="58" borderId="21" xfId="2" applyNumberFormat="1" applyFont="1" applyFill="1" applyBorder="1"/>
    <xf numFmtId="164" fontId="1" fillId="63" borderId="21" xfId="2" applyNumberFormat="1" applyFont="1" applyFill="1" applyBorder="1"/>
    <xf numFmtId="164" fontId="1" fillId="57" borderId="21" xfId="2" applyNumberFormat="1" applyFont="1" applyFill="1" applyBorder="1"/>
    <xf numFmtId="164" fontId="1" fillId="56" borderId="21" xfId="2" applyNumberFormat="1" applyFont="1" applyFill="1" applyBorder="1"/>
    <xf numFmtId="0" fontId="54" fillId="60" borderId="0" xfId="0" applyFont="1" applyFill="1"/>
    <xf numFmtId="0" fontId="1" fillId="64" borderId="0" xfId="0" applyFont="1" applyFill="1"/>
    <xf numFmtId="0" fontId="1" fillId="65" borderId="0" xfId="0" applyFont="1" applyFill="1"/>
    <xf numFmtId="0" fontId="1" fillId="0" borderId="24" xfId="0" applyFont="1" applyBorder="1"/>
    <xf numFmtId="0" fontId="1" fillId="0" borderId="22" xfId="0" applyFont="1" applyBorder="1"/>
    <xf numFmtId="0" fontId="1" fillId="0" borderId="25" xfId="0" applyFont="1" applyBorder="1"/>
    <xf numFmtId="0" fontId="1" fillId="0" borderId="26" xfId="0" applyFont="1" applyBorder="1"/>
    <xf numFmtId="0" fontId="1" fillId="0" borderId="27" xfId="0" applyFont="1" applyBorder="1"/>
    <xf numFmtId="0" fontId="1" fillId="0" borderId="28" xfId="0" applyFont="1" applyBorder="1"/>
    <xf numFmtId="0" fontId="1" fillId="0" borderId="29" xfId="0" applyFont="1" applyBorder="1"/>
    <xf numFmtId="165" fontId="1" fillId="0" borderId="0" xfId="0" applyNumberFormat="1" applyFont="1"/>
    <xf numFmtId="0" fontId="57" fillId="0" borderId="0" xfId="0" applyFont="1" applyAlignment="1">
      <alignment vertical="top"/>
    </xf>
    <xf numFmtId="0" fontId="70" fillId="59" borderId="0" xfId="0" applyFont="1" applyFill="1" applyAlignment="1">
      <alignment horizontal="centerContinuous" vertical="top"/>
    </xf>
    <xf numFmtId="0" fontId="56" fillId="0" borderId="0" xfId="0" applyFont="1" applyAlignment="1">
      <alignment vertical="top" wrapText="1"/>
    </xf>
    <xf numFmtId="0" fontId="54" fillId="0" borderId="0" xfId="0" applyFont="1" applyAlignment="1">
      <alignment vertical="top"/>
    </xf>
    <xf numFmtId="165" fontId="1" fillId="0" borderId="0" xfId="1" applyNumberFormat="1" applyFont="1" applyFill="1" applyBorder="1"/>
    <xf numFmtId="173" fontId="1" fillId="0" borderId="0" xfId="3" applyNumberFormat="1" applyFont="1" applyFill="1" applyBorder="1"/>
    <xf numFmtId="44" fontId="71" fillId="62" borderId="0" xfId="2" applyFont="1" applyFill="1"/>
    <xf numFmtId="0" fontId="70" fillId="59" borderId="0" xfId="0" applyFont="1" applyFill="1" applyAlignment="1">
      <alignment horizontal="center" vertical="top"/>
    </xf>
    <xf numFmtId="165" fontId="1" fillId="55" borderId="21" xfId="1" applyNumberFormat="1" applyFont="1" applyFill="1" applyBorder="1"/>
    <xf numFmtId="0" fontId="1" fillId="0" borderId="0" xfId="0" applyFont="1" applyAlignment="1">
      <alignment horizontal="center" vertical="top"/>
    </xf>
    <xf numFmtId="175" fontId="1" fillId="55" borderId="21" xfId="1" applyNumberFormat="1" applyFont="1" applyFill="1" applyBorder="1"/>
    <xf numFmtId="178" fontId="1" fillId="55" borderId="21" xfId="1" applyNumberFormat="1" applyFont="1" applyFill="1" applyBorder="1"/>
    <xf numFmtId="179" fontId="1" fillId="55" borderId="21" xfId="1" applyNumberFormat="1" applyFont="1" applyFill="1" applyBorder="1"/>
    <xf numFmtId="43" fontId="1" fillId="0" borderId="0" xfId="1" applyFont="1"/>
    <xf numFmtId="43" fontId="1" fillId="0" borderId="0" xfId="0" applyNumberFormat="1" applyFont="1" applyAlignment="1">
      <alignment horizontal="center"/>
    </xf>
    <xf numFmtId="165" fontId="56" fillId="0" borderId="0" xfId="0" applyNumberFormat="1" applyFont="1" applyAlignment="1">
      <alignment horizontal="center"/>
    </xf>
    <xf numFmtId="43" fontId="56" fillId="0" borderId="0" xfId="0" applyNumberFormat="1" applyFont="1"/>
    <xf numFmtId="0" fontId="73" fillId="0" borderId="0" xfId="33028"/>
    <xf numFmtId="0" fontId="1" fillId="0" borderId="0" xfId="0" applyFont="1" applyAlignment="1">
      <alignment wrapText="1"/>
    </xf>
    <xf numFmtId="43" fontId="56" fillId="0" borderId="0" xfId="0" applyNumberFormat="1" applyFont="1" applyAlignment="1">
      <alignment horizontal="right"/>
    </xf>
    <xf numFmtId="44" fontId="1" fillId="0" borderId="0" xfId="2" applyFont="1" applyFill="1" applyBorder="1" applyAlignment="1"/>
    <xf numFmtId="0" fontId="56" fillId="0" borderId="0" xfId="0" applyFont="1" applyAlignment="1">
      <alignment wrapText="1"/>
    </xf>
    <xf numFmtId="0" fontId="56" fillId="0" borderId="0" xfId="0" applyFont="1" applyAlignment="1">
      <alignment horizontal="right" wrapText="1"/>
    </xf>
    <xf numFmtId="0" fontId="56" fillId="0" borderId="0" xfId="0" applyFont="1" applyAlignment="1">
      <alignment horizontal="center" wrapText="1"/>
    </xf>
    <xf numFmtId="44" fontId="1" fillId="0" borderId="0" xfId="0" applyNumberFormat="1" applyFont="1" applyAlignment="1">
      <alignment horizontal="center"/>
    </xf>
    <xf numFmtId="0" fontId="1" fillId="0" borderId="0" xfId="0" applyFont="1" applyAlignment="1">
      <alignment horizontal="left" wrapText="1"/>
    </xf>
    <xf numFmtId="0" fontId="1" fillId="0" borderId="0" xfId="0" applyFont="1" applyAlignment="1">
      <alignment vertical="center"/>
    </xf>
    <xf numFmtId="44" fontId="56" fillId="0" borderId="0" xfId="2" applyFont="1" applyFill="1" applyBorder="1" applyAlignment="1"/>
    <xf numFmtId="0" fontId="1" fillId="0" borderId="0" xfId="0" applyFont="1" applyAlignment="1">
      <alignment horizontal="left" vertical="center" wrapText="1"/>
    </xf>
    <xf numFmtId="10" fontId="1" fillId="0" borderId="0" xfId="3" applyNumberFormat="1" applyFont="1" applyBorder="1"/>
    <xf numFmtId="0" fontId="1" fillId="0" borderId="35" xfId="0" applyFont="1" applyBorder="1"/>
    <xf numFmtId="164" fontId="1" fillId="0" borderId="0" xfId="2" applyNumberFormat="1" applyFont="1" applyBorder="1"/>
    <xf numFmtId="164" fontId="56" fillId="0" borderId="41" xfId="2" applyNumberFormat="1" applyFont="1" applyBorder="1" applyAlignment="1">
      <alignment horizontal="right"/>
    </xf>
    <xf numFmtId="164" fontId="56" fillId="0" borderId="0" xfId="2" applyNumberFormat="1" applyFont="1" applyBorder="1" applyAlignment="1">
      <alignment horizontal="right"/>
    </xf>
    <xf numFmtId="164" fontId="56" fillId="0" borderId="42" xfId="2" applyNumberFormat="1" applyFont="1" applyBorder="1" applyAlignment="1">
      <alignment horizontal="right"/>
    </xf>
    <xf numFmtId="43" fontId="56" fillId="0" borderId="0" xfId="1" applyFont="1" applyBorder="1" applyAlignment="1">
      <alignment horizontal="right"/>
    </xf>
    <xf numFmtId="43" fontId="56" fillId="0" borderId="42" xfId="1" applyFont="1" applyBorder="1" applyAlignment="1">
      <alignment horizontal="right"/>
    </xf>
    <xf numFmtId="164" fontId="56" fillId="0" borderId="0" xfId="2" applyNumberFormat="1" applyFont="1" applyBorder="1"/>
    <xf numFmtId="164" fontId="56" fillId="0" borderId="19" xfId="2" applyNumberFormat="1" applyFont="1" applyBorder="1"/>
    <xf numFmtId="0" fontId="56" fillId="0" borderId="41" xfId="0" applyFont="1" applyBorder="1" applyAlignment="1">
      <alignment horizontal="right"/>
    </xf>
    <xf numFmtId="0" fontId="56" fillId="0" borderId="42" xfId="0" applyFont="1" applyBorder="1" applyAlignment="1">
      <alignment horizontal="right"/>
    </xf>
    <xf numFmtId="164" fontId="1" fillId="0" borderId="41" xfId="2" applyNumberFormat="1" applyFont="1" applyBorder="1"/>
    <xf numFmtId="164" fontId="1" fillId="0" borderId="42" xfId="2" applyNumberFormat="1" applyFont="1" applyBorder="1"/>
    <xf numFmtId="164" fontId="56" fillId="0" borderId="47" xfId="2" applyNumberFormat="1" applyFont="1" applyBorder="1" applyAlignment="1">
      <alignment horizontal="right"/>
    </xf>
    <xf numFmtId="0" fontId="1" fillId="0" borderId="47" xfId="0" applyFont="1" applyBorder="1"/>
    <xf numFmtId="0" fontId="56" fillId="0" borderId="35" xfId="0" applyFont="1" applyBorder="1"/>
    <xf numFmtId="164" fontId="1" fillId="0" borderId="47" xfId="2" applyNumberFormat="1" applyFont="1" applyBorder="1"/>
    <xf numFmtId="165" fontId="56" fillId="0" borderId="41" xfId="1" applyNumberFormat="1" applyFont="1" applyBorder="1" applyAlignment="1">
      <alignment horizontal="right"/>
    </xf>
    <xf numFmtId="0" fontId="1" fillId="0" borderId="41" xfId="0" applyFont="1" applyBorder="1"/>
    <xf numFmtId="0" fontId="1" fillId="0" borderId="0" xfId="0" applyFont="1" applyAlignment="1">
      <alignment horizontal="center" vertical="center"/>
    </xf>
    <xf numFmtId="43" fontId="1" fillId="0" borderId="0" xfId="0" applyNumberFormat="1" applyFont="1"/>
    <xf numFmtId="0" fontId="56" fillId="0" borderId="35" xfId="0" applyFont="1" applyBorder="1" applyAlignment="1">
      <alignment horizontal="right"/>
    </xf>
    <xf numFmtId="166" fontId="1" fillId="0" borderId="41" xfId="1" applyNumberFormat="1" applyFont="1" applyBorder="1" applyAlignment="1">
      <alignment horizontal="right"/>
    </xf>
    <xf numFmtId="0" fontId="0" fillId="0" borderId="42" xfId="0" applyBorder="1"/>
    <xf numFmtId="0" fontId="1" fillId="0" borderId="42" xfId="0" applyFont="1" applyBorder="1"/>
    <xf numFmtId="165" fontId="1" fillId="0" borderId="41" xfId="1" applyNumberFormat="1" applyFont="1" applyBorder="1"/>
    <xf numFmtId="165" fontId="1" fillId="0" borderId="41" xfId="1" applyNumberFormat="1" applyFont="1" applyBorder="1" applyAlignment="1">
      <alignment horizontal="right"/>
    </xf>
    <xf numFmtId="44" fontId="1" fillId="0" borderId="0" xfId="2" applyFont="1" applyBorder="1"/>
    <xf numFmtId="164" fontId="1" fillId="0" borderId="42" xfId="0" applyNumberFormat="1" applyFont="1" applyBorder="1"/>
    <xf numFmtId="164" fontId="1" fillId="0" borderId="47" xfId="0" applyNumberFormat="1" applyFont="1" applyBorder="1"/>
    <xf numFmtId="0" fontId="56" fillId="0" borderId="47" xfId="0" applyFont="1" applyBorder="1" applyAlignment="1">
      <alignment horizontal="right"/>
    </xf>
    <xf numFmtId="0" fontId="56" fillId="0" borderId="44" xfId="0" applyFont="1" applyBorder="1" applyAlignment="1">
      <alignment horizontal="right"/>
    </xf>
    <xf numFmtId="0" fontId="1" fillId="0" borderId="0" xfId="0" applyFont="1" applyAlignment="1">
      <alignment vertical="center" wrapText="1"/>
    </xf>
    <xf numFmtId="0" fontId="56" fillId="0" borderId="0" xfId="0" applyFont="1" applyAlignment="1">
      <alignment vertical="center" wrapText="1"/>
    </xf>
    <xf numFmtId="0" fontId="1" fillId="0" borderId="0" xfId="0" applyFont="1" applyAlignment="1">
      <alignment horizontal="right" vertical="center"/>
    </xf>
    <xf numFmtId="0" fontId="0" fillId="0" borderId="0" xfId="0" applyAlignment="1">
      <alignment horizontal="center" vertical="center"/>
    </xf>
    <xf numFmtId="0" fontId="1" fillId="0" borderId="0" xfId="0" applyFont="1" applyAlignment="1">
      <alignment horizontal="center" vertical="center" wrapText="1"/>
    </xf>
    <xf numFmtId="0" fontId="1" fillId="0" borderId="0" xfId="0" quotePrefix="1" applyFont="1" applyAlignment="1">
      <alignment horizontal="center" vertical="center" wrapText="1"/>
    </xf>
    <xf numFmtId="0" fontId="1" fillId="0" borderId="45" xfId="0" applyFont="1" applyBorder="1" applyAlignment="1">
      <alignment horizontal="right"/>
    </xf>
    <xf numFmtId="164" fontId="1" fillId="0" borderId="19" xfId="2" applyNumberFormat="1" applyFont="1" applyBorder="1"/>
    <xf numFmtId="0" fontId="1" fillId="0" borderId="46" xfId="0" applyFont="1" applyBorder="1"/>
    <xf numFmtId="0" fontId="56" fillId="0" borderId="0" xfId="0" applyFont="1" applyAlignment="1">
      <alignment horizontal="centerContinuous"/>
    </xf>
    <xf numFmtId="164" fontId="56" fillId="63" borderId="31" xfId="0" applyNumberFormat="1" applyFont="1" applyFill="1" applyBorder="1"/>
    <xf numFmtId="41" fontId="1" fillId="0" borderId="0" xfId="0" applyNumberFormat="1" applyFont="1"/>
    <xf numFmtId="0" fontId="56" fillId="0" borderId="48" xfId="0" applyFont="1" applyBorder="1" applyAlignment="1">
      <alignment horizontal="right"/>
    </xf>
    <xf numFmtId="0" fontId="56" fillId="0" borderId="43" xfId="0" applyFont="1" applyBorder="1" applyAlignment="1">
      <alignment horizontal="right"/>
    </xf>
    <xf numFmtId="174" fontId="1" fillId="0" borderId="0" xfId="2" applyNumberFormat="1" applyFont="1" applyBorder="1"/>
    <xf numFmtId="0" fontId="56" fillId="0" borderId="19" xfId="0" applyFont="1" applyBorder="1"/>
    <xf numFmtId="0" fontId="56" fillId="0" borderId="47" xfId="0" applyFont="1" applyBorder="1"/>
    <xf numFmtId="0" fontId="1" fillId="0" borderId="19" xfId="0" applyFont="1" applyBorder="1"/>
    <xf numFmtId="44" fontId="1" fillId="0" borderId="0" xfId="2" applyFont="1" applyFill="1" applyAlignment="1"/>
    <xf numFmtId="0" fontId="54" fillId="0" borderId="0" xfId="0" applyFont="1" applyAlignment="1">
      <alignment horizontal="right"/>
    </xf>
    <xf numFmtId="0" fontId="1" fillId="0" borderId="41" xfId="0" applyFont="1" applyBorder="1" applyAlignment="1">
      <alignment horizontal="right"/>
    </xf>
    <xf numFmtId="44" fontId="1" fillId="0" borderId="47" xfId="2" applyFont="1" applyBorder="1"/>
    <xf numFmtId="0" fontId="1" fillId="0" borderId="45" xfId="0" applyFont="1" applyBorder="1"/>
    <xf numFmtId="0" fontId="1" fillId="0" borderId="31" xfId="0" applyFont="1" applyBorder="1"/>
    <xf numFmtId="0" fontId="1" fillId="0" borderId="19" xfId="0" applyFont="1" applyBorder="1" applyAlignment="1">
      <alignment horizontal="right"/>
    </xf>
    <xf numFmtId="0" fontId="1" fillId="0" borderId="47" xfId="0" applyFont="1" applyBorder="1" applyAlignment="1">
      <alignment horizontal="center"/>
    </xf>
    <xf numFmtId="0" fontId="1" fillId="0" borderId="41" xfId="0" applyFont="1" applyBorder="1" applyAlignment="1">
      <alignment horizontal="center"/>
    </xf>
    <xf numFmtId="0" fontId="56" fillId="0" borderId="56" xfId="0" applyFont="1" applyBorder="1"/>
    <xf numFmtId="164" fontId="1" fillId="0" borderId="19" xfId="2" applyNumberFormat="1" applyFont="1" applyFill="1" applyBorder="1"/>
    <xf numFmtId="41" fontId="56" fillId="0" borderId="0" xfId="0" applyNumberFormat="1" applyFont="1"/>
    <xf numFmtId="41" fontId="56" fillId="0" borderId="0" xfId="0" applyNumberFormat="1" applyFont="1" applyAlignment="1">
      <alignment horizontal="right"/>
    </xf>
    <xf numFmtId="0" fontId="1" fillId="0" borderId="49" xfId="0" applyFont="1" applyBorder="1" applyAlignment="1">
      <alignment horizontal="center"/>
    </xf>
    <xf numFmtId="0" fontId="1" fillId="0" borderId="50" xfId="0" applyFont="1" applyBorder="1" applyAlignment="1">
      <alignment horizontal="center"/>
    </xf>
    <xf numFmtId="177" fontId="1" fillId="0" borderId="0" xfId="0" applyNumberFormat="1" applyFont="1"/>
    <xf numFmtId="164" fontId="1" fillId="0" borderId="0" xfId="2" applyNumberFormat="1" applyFont="1" applyFill="1" applyBorder="1"/>
    <xf numFmtId="164" fontId="56" fillId="0" borderId="0" xfId="2" applyNumberFormat="1" applyFont="1" applyFill="1" applyBorder="1"/>
    <xf numFmtId="0" fontId="56" fillId="0" borderId="41" xfId="0" applyFont="1" applyBorder="1"/>
    <xf numFmtId="164" fontId="1" fillId="0" borderId="46" xfId="2" applyNumberFormat="1" applyFont="1" applyBorder="1"/>
    <xf numFmtId="44" fontId="1" fillId="0" borderId="41" xfId="2" applyFont="1" applyBorder="1"/>
    <xf numFmtId="164" fontId="1" fillId="0" borderId="41" xfId="2" applyNumberFormat="1" applyFont="1" applyFill="1" applyBorder="1"/>
    <xf numFmtId="0" fontId="17" fillId="0" borderId="0" xfId="0" applyFont="1" applyAlignment="1">
      <alignment horizontal="right"/>
    </xf>
    <xf numFmtId="0" fontId="0" fillId="0" borderId="0" xfId="0" applyAlignment="1">
      <alignment horizontal="right"/>
    </xf>
    <xf numFmtId="44" fontId="1" fillId="0" borderId="0" xfId="2" applyFont="1"/>
    <xf numFmtId="164" fontId="1" fillId="0" borderId="31" xfId="2" applyNumberFormat="1" applyFont="1" applyBorder="1"/>
    <xf numFmtId="164" fontId="1" fillId="0" borderId="31" xfId="0" applyNumberFormat="1" applyFont="1" applyBorder="1"/>
    <xf numFmtId="0" fontId="75" fillId="0" borderId="0" xfId="0" applyFont="1" applyAlignment="1">
      <alignment horizontal="center"/>
    </xf>
    <xf numFmtId="0" fontId="76" fillId="62" borderId="0" xfId="0" applyFont="1" applyFill="1"/>
    <xf numFmtId="0" fontId="70" fillId="0" borderId="0" xfId="0" applyFont="1"/>
    <xf numFmtId="0" fontId="71" fillId="0" borderId="0" xfId="0" applyFont="1"/>
    <xf numFmtId="0" fontId="0" fillId="0" borderId="47" xfId="0" applyBorder="1"/>
    <xf numFmtId="44" fontId="1" fillId="0" borderId="0" xfId="2" applyFont="1" applyFill="1" applyBorder="1" applyAlignment="1">
      <alignment vertical="center"/>
    </xf>
    <xf numFmtId="44" fontId="1" fillId="0" borderId="0" xfId="2" applyFont="1" applyFill="1" applyBorder="1" applyAlignment="1">
      <alignment horizontal="left" wrapText="1"/>
    </xf>
    <xf numFmtId="44" fontId="1" fillId="0" borderId="0" xfId="2" applyFont="1" applyFill="1" applyBorder="1" applyAlignment="1">
      <alignment horizontal="left" vertical="center" wrapText="1"/>
    </xf>
    <xf numFmtId="41" fontId="1" fillId="0" borderId="0" xfId="2" applyNumberFormat="1" applyFont="1"/>
    <xf numFmtId="0" fontId="56" fillId="0" borderId="45" xfId="0" applyFont="1" applyBorder="1" applyAlignment="1">
      <alignment horizontal="right"/>
    </xf>
    <xf numFmtId="164" fontId="1" fillId="0" borderId="42" xfId="2" applyNumberFormat="1" applyFont="1" applyBorder="1" applyAlignment="1">
      <alignment horizontal="center"/>
    </xf>
    <xf numFmtId="0" fontId="1" fillId="0" borderId="42" xfId="0" applyFont="1" applyBorder="1" applyAlignment="1">
      <alignment horizontal="center"/>
    </xf>
    <xf numFmtId="164" fontId="1" fillId="0" borderId="0" xfId="2" applyNumberFormat="1" applyFont="1" applyBorder="1" applyAlignment="1">
      <alignment horizontal="center"/>
    </xf>
    <xf numFmtId="164" fontId="56" fillId="0" borderId="0" xfId="2" applyNumberFormat="1" applyFont="1" applyBorder="1" applyAlignment="1">
      <alignment horizontal="center"/>
    </xf>
    <xf numFmtId="164" fontId="59" fillId="0" borderId="0" xfId="2" applyNumberFormat="1" applyFont="1" applyBorder="1" applyAlignment="1">
      <alignment horizontal="center"/>
    </xf>
    <xf numFmtId="164" fontId="1" fillId="0" borderId="41" xfId="2" applyNumberFormat="1" applyFont="1" applyBorder="1" applyAlignment="1">
      <alignment horizontal="center"/>
    </xf>
    <xf numFmtId="164" fontId="71" fillId="67" borderId="0" xfId="2" applyNumberFormat="1" applyFont="1" applyFill="1" applyBorder="1" applyAlignment="1">
      <alignment horizontal="center"/>
    </xf>
    <xf numFmtId="164" fontId="71" fillId="67" borderId="42" xfId="2" applyNumberFormat="1" applyFont="1" applyFill="1" applyBorder="1" applyAlignment="1">
      <alignment horizontal="center"/>
    </xf>
    <xf numFmtId="164" fontId="1" fillId="0" borderId="19" xfId="2" applyNumberFormat="1" applyFont="1" applyBorder="1" applyAlignment="1">
      <alignment horizontal="center"/>
    </xf>
    <xf numFmtId="164" fontId="1" fillId="0" borderId="46" xfId="2" applyNumberFormat="1" applyFont="1" applyBorder="1" applyAlignment="1">
      <alignment horizontal="center"/>
    </xf>
    <xf numFmtId="44" fontId="1" fillId="0" borderId="0" xfId="2" applyFont="1" applyFill="1" applyBorder="1"/>
    <xf numFmtId="164" fontId="1" fillId="0" borderId="0" xfId="2" applyNumberFormat="1" applyFont="1" applyFill="1" applyBorder="1" applyAlignment="1"/>
    <xf numFmtId="0" fontId="78" fillId="62" borderId="0" xfId="0" applyFont="1" applyFill="1"/>
    <xf numFmtId="0" fontId="1" fillId="0" borderId="32" xfId="0" applyFont="1" applyBorder="1"/>
    <xf numFmtId="0" fontId="1" fillId="0" borderId="32" xfId="0" applyFont="1" applyBorder="1" applyAlignment="1">
      <alignment horizontal="right"/>
    </xf>
    <xf numFmtId="0" fontId="1" fillId="0" borderId="39" xfId="0" applyFont="1" applyBorder="1"/>
    <xf numFmtId="0" fontId="61" fillId="0" borderId="0" xfId="0" applyFont="1"/>
    <xf numFmtId="0" fontId="61" fillId="0" borderId="0" xfId="0" applyFont="1" applyAlignment="1">
      <alignment horizontal="right"/>
    </xf>
    <xf numFmtId="41" fontId="61" fillId="0" borderId="0" xfId="2" applyNumberFormat="1" applyFont="1" applyBorder="1"/>
    <xf numFmtId="0" fontId="1" fillId="0" borderId="0" xfId="0" quotePrefix="1" applyFont="1" applyAlignment="1">
      <alignment horizontal="center"/>
    </xf>
    <xf numFmtId="6" fontId="1" fillId="0" borderId="0" xfId="0" applyNumberFormat="1" applyFont="1"/>
    <xf numFmtId="0" fontId="54" fillId="0" borderId="47" xfId="0" applyFont="1" applyBorder="1"/>
    <xf numFmtId="0" fontId="56" fillId="0" borderId="19" xfId="0" applyFont="1" applyBorder="1" applyAlignment="1">
      <alignment horizontal="right"/>
    </xf>
    <xf numFmtId="43" fontId="1" fillId="0" borderId="47" xfId="1" applyFont="1" applyBorder="1"/>
    <xf numFmtId="165" fontId="1" fillId="0" borderId="42" xfId="1" applyNumberFormat="1" applyFont="1" applyBorder="1"/>
    <xf numFmtId="0" fontId="76" fillId="62" borderId="0" xfId="0" applyFont="1" applyFill="1" applyAlignment="1">
      <alignment horizontal="left" indent="1"/>
    </xf>
    <xf numFmtId="0" fontId="83" fillId="62" borderId="0" xfId="0" applyFont="1" applyFill="1"/>
    <xf numFmtId="0" fontId="1" fillId="0" borderId="0" xfId="0" applyFont="1" applyAlignment="1">
      <alignment horizontal="centerContinuous"/>
    </xf>
    <xf numFmtId="0" fontId="1" fillId="0" borderId="67" xfId="0" applyFont="1" applyBorder="1" applyAlignment="1">
      <alignment horizontal="right" vertical="center"/>
    </xf>
    <xf numFmtId="0" fontId="56" fillId="0" borderId="45" xfId="0" applyFont="1" applyBorder="1"/>
    <xf numFmtId="0" fontId="56" fillId="0" borderId="69" xfId="0" applyFont="1" applyBorder="1" applyAlignment="1">
      <alignment horizontal="right"/>
    </xf>
    <xf numFmtId="0" fontId="1" fillId="0" borderId="0" xfId="0" applyFont="1" applyAlignment="1">
      <alignment horizontal="right" wrapText="1"/>
    </xf>
    <xf numFmtId="0" fontId="1" fillId="0" borderId="71" xfId="0" applyFont="1" applyBorder="1"/>
    <xf numFmtId="164" fontId="71" fillId="0" borderId="0" xfId="2" applyNumberFormat="1" applyFont="1" applyFill="1" applyBorder="1" applyAlignment="1">
      <alignment horizontal="center"/>
    </xf>
    <xf numFmtId="164" fontId="59" fillId="0" borderId="0" xfId="2" applyNumberFormat="1" applyFont="1" applyFill="1" applyBorder="1" applyAlignment="1">
      <alignment horizontal="center"/>
    </xf>
    <xf numFmtId="0" fontId="1" fillId="0" borderId="56" xfId="0" applyFont="1" applyBorder="1" applyAlignment="1">
      <alignment horizontal="right" vertical="center"/>
    </xf>
    <xf numFmtId="182" fontId="1" fillId="0" borderId="0" xfId="3" applyNumberFormat="1" applyFont="1"/>
    <xf numFmtId="10" fontId="1" fillId="68" borderId="72" xfId="3" applyNumberFormat="1" applyFont="1" applyFill="1" applyBorder="1"/>
    <xf numFmtId="165" fontId="54" fillId="0" borderId="0" xfId="1" applyNumberFormat="1" applyFont="1" applyFill="1" applyBorder="1"/>
    <xf numFmtId="164" fontId="56" fillId="0" borderId="0" xfId="2" applyNumberFormat="1" applyFont="1" applyFill="1" applyBorder="1" applyAlignment="1">
      <alignment horizontal="center"/>
    </xf>
    <xf numFmtId="182" fontId="1" fillId="0" borderId="0" xfId="0" applyNumberFormat="1" applyFont="1"/>
    <xf numFmtId="0" fontId="1" fillId="0" borderId="35" xfId="0" applyFont="1" applyBorder="1" applyAlignment="1">
      <alignment horizontal="right" vertical="center"/>
    </xf>
    <xf numFmtId="0" fontId="56" fillId="0" borderId="61" xfId="0" applyFont="1" applyBorder="1"/>
    <xf numFmtId="0" fontId="56" fillId="0" borderId="73" xfId="0" applyFont="1" applyBorder="1" applyAlignment="1">
      <alignment horizontal="right"/>
    </xf>
    <xf numFmtId="0" fontId="56" fillId="0" borderId="74" xfId="0" applyFont="1" applyBorder="1" applyAlignment="1">
      <alignment horizontal="right"/>
    </xf>
    <xf numFmtId="0" fontId="56" fillId="0" borderId="75" xfId="0" applyFont="1" applyBorder="1" applyAlignment="1">
      <alignment horizontal="right"/>
    </xf>
    <xf numFmtId="0" fontId="56" fillId="0" borderId="61" xfId="0" applyFont="1" applyBorder="1" applyAlignment="1">
      <alignment horizontal="right"/>
    </xf>
    <xf numFmtId="0" fontId="56" fillId="0" borderId="32" xfId="0" applyFont="1" applyBorder="1"/>
    <xf numFmtId="0" fontId="56" fillId="0" borderId="34" xfId="0" applyFont="1" applyBorder="1"/>
    <xf numFmtId="0" fontId="56" fillId="0" borderId="37" xfId="0" applyFont="1" applyBorder="1"/>
    <xf numFmtId="0" fontId="84" fillId="0" borderId="0" xfId="0" applyFont="1" applyAlignment="1">
      <alignment horizontal="centerContinuous"/>
    </xf>
    <xf numFmtId="0" fontId="1" fillId="0" borderId="67" xfId="0" applyFont="1" applyBorder="1"/>
    <xf numFmtId="0" fontId="56" fillId="0" borderId="68" xfId="0" applyFont="1" applyBorder="1" applyAlignment="1">
      <alignment horizontal="center"/>
    </xf>
    <xf numFmtId="0" fontId="56" fillId="0" borderId="47" xfId="0" applyFont="1" applyBorder="1" applyAlignment="1">
      <alignment horizontal="right" wrapText="1"/>
    </xf>
    <xf numFmtId="41" fontId="1" fillId="0" borderId="47" xfId="0" applyNumberFormat="1" applyFont="1" applyBorder="1"/>
    <xf numFmtId="22" fontId="56" fillId="0" borderId="0" xfId="0" applyNumberFormat="1" applyFont="1" applyAlignment="1">
      <alignment horizontal="right"/>
    </xf>
    <xf numFmtId="44" fontId="56" fillId="0" borderId="0" xfId="2" applyFont="1" applyBorder="1"/>
    <xf numFmtId="0" fontId="17" fillId="0" borderId="71" xfId="0" applyFont="1" applyBorder="1" applyAlignment="1">
      <alignment horizontal="right"/>
    </xf>
    <xf numFmtId="0" fontId="60" fillId="0" borderId="0" xfId="0" applyFont="1" applyAlignment="1">
      <alignment horizontal="right"/>
    </xf>
    <xf numFmtId="8" fontId="1" fillId="0" borderId="0" xfId="2" applyNumberFormat="1" applyFont="1" applyBorder="1"/>
    <xf numFmtId="43" fontId="0" fillId="55" borderId="0" xfId="1" applyFont="1" applyFill="1" applyBorder="1"/>
    <xf numFmtId="40" fontId="0" fillId="0" borderId="0" xfId="0" applyNumberFormat="1"/>
    <xf numFmtId="8" fontId="61" fillId="0" borderId="41" xfId="2" applyNumberFormat="1" applyFont="1" applyBorder="1"/>
    <xf numFmtId="8" fontId="61" fillId="0" borderId="0" xfId="2" applyNumberFormat="1" applyFont="1" applyBorder="1"/>
    <xf numFmtId="8" fontId="1" fillId="0" borderId="41" xfId="0" applyNumberFormat="1" applyFont="1" applyBorder="1"/>
    <xf numFmtId="8" fontId="1" fillId="0" borderId="0" xfId="0" applyNumberFormat="1" applyFont="1"/>
    <xf numFmtId="0" fontId="64" fillId="0" borderId="42" xfId="0" applyFont="1" applyBorder="1" applyAlignment="1">
      <alignment horizontal="right"/>
    </xf>
    <xf numFmtId="0" fontId="56" fillId="0" borderId="71" xfId="0" applyFont="1" applyBorder="1" applyAlignment="1">
      <alignment horizontal="right"/>
    </xf>
    <xf numFmtId="14" fontId="17" fillId="0" borderId="19" xfId="0" applyNumberFormat="1" applyFont="1" applyBorder="1" applyAlignment="1">
      <alignment horizontal="right"/>
    </xf>
    <xf numFmtId="0" fontId="17" fillId="0" borderId="47" xfId="0" applyFont="1" applyBorder="1" applyAlignment="1">
      <alignment horizontal="right"/>
    </xf>
    <xf numFmtId="14" fontId="17" fillId="0" borderId="31" xfId="0" applyNumberFormat="1" applyFont="1" applyBorder="1" applyAlignment="1">
      <alignment horizontal="right"/>
    </xf>
    <xf numFmtId="0" fontId="17" fillId="0" borderId="19" xfId="0" applyFont="1" applyBorder="1" applyAlignment="1">
      <alignment horizontal="right"/>
    </xf>
    <xf numFmtId="0" fontId="80" fillId="0" borderId="31" xfId="0" applyFont="1" applyBorder="1" applyAlignment="1">
      <alignment horizontal="right"/>
    </xf>
    <xf numFmtId="14" fontId="17" fillId="0" borderId="31" xfId="0" quotePrefix="1" applyNumberFormat="1" applyFont="1" applyBorder="1" applyAlignment="1">
      <alignment horizontal="center"/>
    </xf>
    <xf numFmtId="0" fontId="56" fillId="0" borderId="68" xfId="0" applyFont="1" applyBorder="1" applyAlignment="1">
      <alignment horizontal="right"/>
    </xf>
    <xf numFmtId="8" fontId="1" fillId="0" borderId="47" xfId="2" applyNumberFormat="1" applyFont="1" applyBorder="1"/>
    <xf numFmtId="8" fontId="61" fillId="0" borderId="47" xfId="2" applyNumberFormat="1" applyFont="1" applyBorder="1"/>
    <xf numFmtId="8" fontId="1" fillId="0" borderId="47" xfId="0" applyNumberFormat="1" applyFont="1" applyBorder="1"/>
    <xf numFmtId="43" fontId="1" fillId="0" borderId="47" xfId="3" applyNumberFormat="1" applyFont="1" applyBorder="1"/>
    <xf numFmtId="8" fontId="1" fillId="0" borderId="47" xfId="3" applyNumberFormat="1" applyFont="1" applyBorder="1"/>
    <xf numFmtId="43" fontId="0" fillId="0" borderId="47" xfId="1" applyFont="1" applyFill="1" applyBorder="1"/>
    <xf numFmtId="43" fontId="0" fillId="0" borderId="47" xfId="0" applyNumberFormat="1" applyBorder="1"/>
    <xf numFmtId="2" fontId="0" fillId="0" borderId="47" xfId="0" applyNumberFormat="1" applyBorder="1"/>
    <xf numFmtId="0" fontId="85" fillId="0" borderId="68" xfId="0" applyFont="1" applyBorder="1" applyAlignment="1">
      <alignment horizontal="right"/>
    </xf>
    <xf numFmtId="0" fontId="17" fillId="0" borderId="41" xfId="0" applyFont="1" applyBorder="1" applyAlignment="1">
      <alignment horizontal="right"/>
    </xf>
    <xf numFmtId="0" fontId="17" fillId="0" borderId="31" xfId="0" applyFont="1" applyBorder="1" applyAlignment="1">
      <alignment horizontal="right"/>
    </xf>
    <xf numFmtId="0" fontId="17" fillId="0" borderId="45" xfId="0" applyFont="1" applyBorder="1" applyAlignment="1">
      <alignment horizontal="right"/>
    </xf>
    <xf numFmtId="0" fontId="85" fillId="0" borderId="19" xfId="0" applyFont="1" applyBorder="1" applyAlignment="1">
      <alignment horizontal="right"/>
    </xf>
    <xf numFmtId="10" fontId="17" fillId="0" borderId="31" xfId="0" applyNumberFormat="1" applyFont="1" applyBorder="1" applyAlignment="1">
      <alignment horizontal="right"/>
    </xf>
    <xf numFmtId="0" fontId="17" fillId="0" borderId="45" xfId="0" applyFont="1" applyBorder="1" applyAlignment="1">
      <alignment horizontal="center"/>
    </xf>
    <xf numFmtId="0" fontId="17" fillId="0" borderId="31" xfId="0" applyFont="1" applyBorder="1" applyAlignment="1">
      <alignment horizontal="center"/>
    </xf>
    <xf numFmtId="0" fontId="17" fillId="0" borderId="19" xfId="0" quotePrefix="1" applyFont="1" applyBorder="1" applyAlignment="1">
      <alignment horizontal="center"/>
    </xf>
    <xf numFmtId="0" fontId="17" fillId="0" borderId="31" xfId="0" quotePrefix="1" applyFont="1" applyBorder="1" applyAlignment="1">
      <alignment horizontal="center"/>
    </xf>
    <xf numFmtId="44" fontId="1" fillId="0" borderId="41" xfId="2" applyFont="1" applyFill="1" applyBorder="1"/>
    <xf numFmtId="44" fontId="61" fillId="0" borderId="41" xfId="2" applyFont="1" applyBorder="1"/>
    <xf numFmtId="44" fontId="61" fillId="0" borderId="47" xfId="2" applyFont="1" applyBorder="1"/>
    <xf numFmtId="0" fontId="64" fillId="0" borderId="41" xfId="0" applyFont="1" applyBorder="1" applyAlignment="1">
      <alignment horizontal="right"/>
    </xf>
    <xf numFmtId="0" fontId="60" fillId="0" borderId="46" xfId="0" applyFont="1" applyBorder="1" applyAlignment="1">
      <alignment horizontal="right"/>
    </xf>
    <xf numFmtId="164" fontId="56" fillId="0" borderId="65" xfId="2" applyNumberFormat="1" applyFont="1" applyBorder="1" applyAlignment="1">
      <alignment horizontal="left"/>
    </xf>
    <xf numFmtId="164" fontId="56" fillId="0" borderId="67" xfId="2" applyNumberFormat="1" applyFont="1" applyBorder="1" applyAlignment="1">
      <alignment horizontal="centerContinuous"/>
    </xf>
    <xf numFmtId="164" fontId="56" fillId="0" borderId="66" xfId="2" applyNumberFormat="1" applyFont="1" applyBorder="1" applyAlignment="1">
      <alignment horizontal="centerContinuous"/>
    </xf>
    <xf numFmtId="0" fontId="18" fillId="0" borderId="0" xfId="0" applyFont="1"/>
    <xf numFmtId="2" fontId="1" fillId="0" borderId="0" xfId="0" applyNumberFormat="1" applyFont="1"/>
    <xf numFmtId="0" fontId="56" fillId="0" borderId="65" xfId="0" applyFont="1" applyBorder="1" applyAlignment="1">
      <alignment horizontal="right" wrapText="1"/>
    </xf>
    <xf numFmtId="0" fontId="56" fillId="0" borderId="67" xfId="0" applyFont="1" applyBorder="1" applyAlignment="1">
      <alignment horizontal="right" wrapText="1"/>
    </xf>
    <xf numFmtId="165" fontId="56" fillId="0" borderId="67" xfId="0" applyNumberFormat="1" applyFont="1" applyBorder="1" applyAlignment="1">
      <alignment horizontal="right" wrapText="1"/>
    </xf>
    <xf numFmtId="2" fontId="56" fillId="0" borderId="0" xfId="0" applyNumberFormat="1" applyFont="1" applyAlignment="1">
      <alignment wrapText="1"/>
    </xf>
    <xf numFmtId="2" fontId="59" fillId="0" borderId="0" xfId="2" applyNumberFormat="1" applyFont="1" applyBorder="1" applyAlignment="1">
      <alignment wrapText="1"/>
    </xf>
    <xf numFmtId="2" fontId="1" fillId="0" borderId="0" xfId="0" applyNumberFormat="1" applyFont="1" applyAlignment="1">
      <alignment wrapText="1"/>
    </xf>
    <xf numFmtId="2" fontId="1" fillId="0" borderId="42" xfId="2" applyNumberFormat="1" applyFont="1" applyBorder="1" applyAlignment="1">
      <alignment horizontal="center" wrapText="1"/>
    </xf>
    <xf numFmtId="2" fontId="59" fillId="0" borderId="41" xfId="2" applyNumberFormat="1" applyFont="1" applyBorder="1" applyAlignment="1">
      <alignment horizontal="center" wrapText="1"/>
    </xf>
    <xf numFmtId="2" fontId="1" fillId="0" borderId="0" xfId="2" applyNumberFormat="1" applyFont="1" applyBorder="1" applyAlignment="1">
      <alignment horizontal="center" wrapText="1"/>
    </xf>
    <xf numFmtId="0" fontId="56" fillId="0" borderId="41" xfId="0" applyFont="1" applyBorder="1" applyAlignment="1">
      <alignment horizontal="center"/>
    </xf>
    <xf numFmtId="0" fontId="56" fillId="0" borderId="42" xfId="0" applyFont="1" applyBorder="1" applyAlignment="1">
      <alignment horizontal="center"/>
    </xf>
    <xf numFmtId="0" fontId="56" fillId="0" borderId="65" xfId="0" applyFont="1" applyBorder="1"/>
    <xf numFmtId="0" fontId="1" fillId="0" borderId="63" xfId="0" applyFont="1" applyBorder="1" applyAlignment="1">
      <alignment horizontal="center"/>
    </xf>
    <xf numFmtId="0" fontId="56" fillId="0" borderId="67" xfId="0" applyFont="1" applyBorder="1"/>
    <xf numFmtId="164" fontId="56" fillId="0" borderId="67" xfId="2" applyNumberFormat="1" applyFont="1" applyBorder="1"/>
    <xf numFmtId="164" fontId="56" fillId="0" borderId="63" xfId="2" applyNumberFormat="1" applyFont="1" applyBorder="1"/>
    <xf numFmtId="0" fontId="1" fillId="0" borderId="65" xfId="0" applyFont="1" applyBorder="1"/>
    <xf numFmtId="0" fontId="1" fillId="0" borderId="63" xfId="0" applyFont="1" applyBorder="1"/>
    <xf numFmtId="10" fontId="56" fillId="0" borderId="0" xfId="3" applyNumberFormat="1" applyFont="1" applyBorder="1"/>
    <xf numFmtId="0" fontId="56" fillId="0" borderId="71" xfId="0" applyFont="1" applyBorder="1"/>
    <xf numFmtId="10" fontId="56" fillId="0" borderId="19" xfId="3" applyNumberFormat="1" applyFont="1" applyBorder="1"/>
    <xf numFmtId="43" fontId="1" fillId="0" borderId="0" xfId="3" applyNumberFormat="1" applyFont="1" applyBorder="1"/>
    <xf numFmtId="0" fontId="56" fillId="0" borderId="68" xfId="0" applyFont="1" applyBorder="1"/>
    <xf numFmtId="0" fontId="56" fillId="0" borderId="69" xfId="0" applyFont="1" applyBorder="1"/>
    <xf numFmtId="174" fontId="1" fillId="0" borderId="42" xfId="0" applyNumberFormat="1" applyFont="1" applyBorder="1"/>
    <xf numFmtId="0" fontId="0" fillId="0" borderId="46" xfId="0" applyBorder="1"/>
    <xf numFmtId="0" fontId="1" fillId="0" borderId="19" xfId="0" applyFont="1" applyBorder="1" applyAlignment="1">
      <alignment horizontal="center"/>
    </xf>
    <xf numFmtId="165" fontId="56" fillId="0" borderId="65" xfId="1" applyNumberFormat="1" applyFont="1" applyFill="1" applyBorder="1" applyAlignment="1">
      <alignment horizontal="centerContinuous"/>
    </xf>
    <xf numFmtId="0" fontId="56" fillId="0" borderId="67" xfId="0" applyFont="1" applyBorder="1" applyAlignment="1">
      <alignment horizontal="centerContinuous"/>
    </xf>
    <xf numFmtId="0" fontId="56" fillId="0" borderId="66" xfId="0" applyFont="1" applyBorder="1" applyAlignment="1">
      <alignment horizontal="centerContinuous"/>
    </xf>
    <xf numFmtId="165" fontId="56" fillId="0" borderId="67" xfId="1" applyNumberFormat="1" applyFont="1" applyBorder="1"/>
    <xf numFmtId="0" fontId="1" fillId="55" borderId="0" xfId="0" applyFont="1" applyFill="1"/>
    <xf numFmtId="173" fontId="1" fillId="61" borderId="0" xfId="3" applyNumberFormat="1" applyFont="1" applyFill="1" applyBorder="1"/>
    <xf numFmtId="165" fontId="1" fillId="55" borderId="0" xfId="1" applyNumberFormat="1" applyFont="1" applyFill="1"/>
    <xf numFmtId="165" fontId="1" fillId="55" borderId="19" xfId="1" applyNumberFormat="1" applyFont="1" applyFill="1" applyBorder="1"/>
    <xf numFmtId="0" fontId="56" fillId="55" borderId="0" xfId="0" applyFont="1" applyFill="1"/>
    <xf numFmtId="164" fontId="1" fillId="69" borderId="41" xfId="2" applyNumberFormat="1" applyFont="1" applyFill="1" applyBorder="1"/>
    <xf numFmtId="43" fontId="73" fillId="0" borderId="0" xfId="33028" applyNumberFormat="1" applyBorder="1" applyAlignment="1">
      <alignment horizontal="right"/>
    </xf>
    <xf numFmtId="0" fontId="64" fillId="0" borderId="41" xfId="33028" applyFont="1" applyBorder="1" applyAlignment="1">
      <alignment horizontal="right"/>
    </xf>
    <xf numFmtId="0" fontId="64" fillId="0" borderId="47" xfId="33028" applyFont="1" applyBorder="1" applyAlignment="1">
      <alignment horizontal="right"/>
    </xf>
    <xf numFmtId="0" fontId="64" fillId="0" borderId="42" xfId="33028" applyFont="1" applyBorder="1" applyAlignment="1">
      <alignment horizontal="right"/>
    </xf>
    <xf numFmtId="0" fontId="1" fillId="0" borderId="67" xfId="0" applyFont="1" applyBorder="1" applyAlignment="1">
      <alignment horizontal="right"/>
    </xf>
    <xf numFmtId="0" fontId="0" fillId="0" borderId="67" xfId="0" applyBorder="1" applyAlignment="1">
      <alignment horizontal="center"/>
    </xf>
    <xf numFmtId="0" fontId="0" fillId="0" borderId="65" xfId="0" applyBorder="1" applyAlignment="1">
      <alignment horizontal="center"/>
    </xf>
    <xf numFmtId="0" fontId="0" fillId="0" borderId="63" xfId="0" applyBorder="1" applyAlignment="1">
      <alignment horizontal="center"/>
    </xf>
    <xf numFmtId="0" fontId="0" fillId="0" borderId="66" xfId="0" applyBorder="1" applyAlignment="1">
      <alignment horizontal="center"/>
    </xf>
    <xf numFmtId="0" fontId="1" fillId="0" borderId="67" xfId="0" quotePrefix="1" applyFont="1" applyBorder="1" applyAlignment="1">
      <alignment horizontal="center"/>
    </xf>
    <xf numFmtId="0" fontId="1" fillId="0" borderId="66" xfId="0" quotePrefix="1" applyFont="1" applyBorder="1" applyAlignment="1">
      <alignment horizontal="center"/>
    </xf>
    <xf numFmtId="43" fontId="73" fillId="0" borderId="67" xfId="33028" applyNumberFormat="1" applyBorder="1" applyAlignment="1">
      <alignment horizontal="center"/>
    </xf>
    <xf numFmtId="0" fontId="73" fillId="0" borderId="63" xfId="33028" applyBorder="1" applyAlignment="1">
      <alignment horizontal="center"/>
    </xf>
    <xf numFmtId="0" fontId="73" fillId="0" borderId="66" xfId="33028" applyBorder="1" applyAlignment="1">
      <alignment horizontal="center"/>
    </xf>
    <xf numFmtId="0" fontId="1" fillId="0" borderId="66" xfId="0" applyFont="1" applyBorder="1"/>
    <xf numFmtId="0" fontId="56" fillId="0" borderId="67" xfId="0" applyFont="1" applyBorder="1" applyAlignment="1">
      <alignment horizontal="center" vertical="center"/>
    </xf>
    <xf numFmtId="164" fontId="1" fillId="0" borderId="67" xfId="2" applyNumberFormat="1" applyFont="1" applyBorder="1" applyAlignment="1">
      <alignment horizontal="right" vertical="center"/>
    </xf>
    <xf numFmtId="0" fontId="0" fillId="0" borderId="65" xfId="0" applyBorder="1" applyAlignment="1">
      <alignment horizontal="center" vertical="center"/>
    </xf>
    <xf numFmtId="43" fontId="1" fillId="0" borderId="67" xfId="1" quotePrefix="1" applyFont="1" applyBorder="1" applyAlignment="1">
      <alignment horizontal="center" vertical="center"/>
    </xf>
    <xf numFmtId="43" fontId="1" fillId="0" borderId="66" xfId="1" quotePrefix="1" applyFont="1" applyBorder="1" applyAlignment="1">
      <alignment horizontal="center" vertical="center"/>
    </xf>
    <xf numFmtId="165" fontId="1" fillId="0" borderId="65" xfId="1" applyNumberFormat="1" applyFont="1" applyBorder="1"/>
    <xf numFmtId="0" fontId="1" fillId="0" borderId="67" xfId="0" applyFont="1" applyBorder="1" applyAlignment="1">
      <alignment vertical="center"/>
    </xf>
    <xf numFmtId="164" fontId="1" fillId="0" borderId="63" xfId="2" applyNumberFormat="1" applyFont="1" applyBorder="1" applyAlignment="1">
      <alignment horizontal="center" vertical="center"/>
    </xf>
    <xf numFmtId="164" fontId="1" fillId="0" borderId="63" xfId="2" quotePrefix="1" applyNumberFormat="1" applyFont="1" applyBorder="1" applyAlignment="1">
      <alignment horizontal="center" vertical="center"/>
    </xf>
    <xf numFmtId="164" fontId="1" fillId="0" borderId="65" xfId="2" quotePrefix="1" applyNumberFormat="1" applyFont="1" applyBorder="1" applyAlignment="1">
      <alignment horizontal="center" vertical="center"/>
    </xf>
    <xf numFmtId="164" fontId="1" fillId="0" borderId="67" xfId="2" applyNumberFormat="1" applyFont="1" applyBorder="1" applyAlignment="1">
      <alignment horizontal="center" vertical="center"/>
    </xf>
    <xf numFmtId="164" fontId="1" fillId="0" borderId="66" xfId="2" quotePrefix="1" applyNumberFormat="1" applyFont="1" applyBorder="1" applyAlignment="1">
      <alignment horizontal="center" vertical="center"/>
    </xf>
    <xf numFmtId="0" fontId="56" fillId="0" borderId="66" xfId="0" applyFont="1" applyBorder="1"/>
    <xf numFmtId="2" fontId="64" fillId="0" borderId="0" xfId="2" applyNumberFormat="1" applyFont="1" applyBorder="1" applyAlignment="1">
      <alignment horizontal="right" wrapText="1"/>
    </xf>
    <xf numFmtId="0" fontId="59" fillId="0" borderId="0" xfId="0" applyFont="1"/>
    <xf numFmtId="164" fontId="1" fillId="0" borderId="0" xfId="2" applyNumberFormat="1" applyFont="1" applyFill="1" applyBorder="1" applyAlignment="1">
      <alignment horizontal="center"/>
    </xf>
    <xf numFmtId="164" fontId="61" fillId="0" borderId="47" xfId="2" applyNumberFormat="1" applyFont="1" applyBorder="1"/>
    <xf numFmtId="164" fontId="1" fillId="0" borderId="63" xfId="2" applyNumberFormat="1" applyFont="1" applyBorder="1" applyAlignment="1">
      <alignment horizontal="center"/>
    </xf>
    <xf numFmtId="164" fontId="1" fillId="0" borderId="21" xfId="2" applyNumberFormat="1" applyFont="1" applyFill="1" applyBorder="1"/>
    <xf numFmtId="164" fontId="54" fillId="0" borderId="51" xfId="2" applyNumberFormat="1" applyFont="1" applyFill="1" applyBorder="1"/>
    <xf numFmtId="174" fontId="64" fillId="0" borderId="51" xfId="2" applyNumberFormat="1" applyFont="1" applyFill="1" applyBorder="1"/>
    <xf numFmtId="174" fontId="56" fillId="0" borderId="47" xfId="0" applyNumberFormat="1" applyFont="1" applyBorder="1" applyAlignment="1">
      <alignment horizontal="center"/>
    </xf>
    <xf numFmtId="174" fontId="56" fillId="0" borderId="47" xfId="2" applyNumberFormat="1" applyFont="1" applyFill="1" applyBorder="1"/>
    <xf numFmtId="0" fontId="56" fillId="0" borderId="47" xfId="0" applyFont="1" applyBorder="1" applyAlignment="1">
      <alignment horizontal="center"/>
    </xf>
    <xf numFmtId="164" fontId="1" fillId="0" borderId="47" xfId="2" applyNumberFormat="1" applyFont="1" applyFill="1" applyBorder="1"/>
    <xf numFmtId="43" fontId="54" fillId="0" borderId="0" xfId="0" applyNumberFormat="1" applyFont="1"/>
    <xf numFmtId="164" fontId="54" fillId="0" borderId="47" xfId="0" applyNumberFormat="1" applyFont="1" applyBorder="1"/>
    <xf numFmtId="165" fontId="1" fillId="0" borderId="0" xfId="1" applyNumberFormat="1" applyFont="1" applyFill="1"/>
    <xf numFmtId="165" fontId="64" fillId="0" borderId="53" xfId="0" applyNumberFormat="1" applyFont="1" applyBorder="1" applyAlignment="1">
      <alignment horizontal="center"/>
    </xf>
    <xf numFmtId="165" fontId="1" fillId="0" borderId="19" xfId="1" applyNumberFormat="1" applyFont="1" applyFill="1" applyBorder="1"/>
    <xf numFmtId="177" fontId="1" fillId="0" borderId="0" xfId="2" applyNumberFormat="1" applyFont="1" applyFill="1" applyBorder="1" applyAlignment="1">
      <alignment horizontal="center"/>
    </xf>
    <xf numFmtId="174" fontId="1" fillId="0" borderId="19" xfId="2" applyNumberFormat="1" applyFont="1" applyFill="1" applyBorder="1"/>
    <xf numFmtId="37" fontId="1" fillId="0" borderId="0" xfId="2" applyNumberFormat="1" applyFont="1" applyFill="1" applyBorder="1"/>
    <xf numFmtId="165" fontId="1" fillId="0" borderId="41" xfId="1" applyNumberFormat="1" applyFont="1" applyFill="1" applyBorder="1"/>
    <xf numFmtId="165" fontId="1" fillId="0" borderId="45" xfId="1" applyNumberFormat="1" applyFont="1" applyFill="1" applyBorder="1"/>
    <xf numFmtId="164" fontId="1" fillId="0" borderId="31" xfId="2" applyNumberFormat="1" applyFont="1" applyFill="1" applyBorder="1"/>
    <xf numFmtId="164" fontId="1" fillId="0" borderId="45" xfId="2" applyNumberFormat="1" applyFont="1" applyFill="1" applyBorder="1"/>
    <xf numFmtId="0" fontId="1" fillId="0" borderId="47" xfId="2" applyNumberFormat="1" applyFont="1" applyFill="1" applyBorder="1" applyAlignment="1">
      <alignment horizontal="center"/>
    </xf>
    <xf numFmtId="164" fontId="1" fillId="61" borderId="0" xfId="2" applyNumberFormat="1" applyFont="1" applyFill="1"/>
    <xf numFmtId="0" fontId="1" fillId="61" borderId="0" xfId="0" applyFont="1" applyFill="1" applyAlignment="1">
      <alignment horizontal="center"/>
    </xf>
    <xf numFmtId="164" fontId="1" fillId="61" borderId="0" xfId="0" applyNumberFormat="1" applyFont="1" applyFill="1"/>
    <xf numFmtId="164" fontId="56" fillId="61" borderId="0" xfId="0" applyNumberFormat="1" applyFont="1" applyFill="1"/>
    <xf numFmtId="164" fontId="56" fillId="61" borderId="0" xfId="2" applyNumberFormat="1" applyFont="1" applyFill="1"/>
    <xf numFmtId="6" fontId="1" fillId="61" borderId="47" xfId="0" applyNumberFormat="1" applyFont="1" applyFill="1" applyBorder="1"/>
    <xf numFmtId="6" fontId="1" fillId="61" borderId="31" xfId="0" applyNumberFormat="1" applyFont="1" applyFill="1" applyBorder="1"/>
    <xf numFmtId="164" fontId="1" fillId="61" borderId="47" xfId="2" applyNumberFormat="1" applyFont="1" applyFill="1" applyBorder="1"/>
    <xf numFmtId="164" fontId="1" fillId="61" borderId="31" xfId="2" applyNumberFormat="1" applyFont="1" applyFill="1" applyBorder="1"/>
    <xf numFmtId="164" fontId="56" fillId="61" borderId="63" xfId="0" applyNumberFormat="1" applyFont="1" applyFill="1" applyBorder="1"/>
    <xf numFmtId="164" fontId="56" fillId="61" borderId="31" xfId="0" applyNumberFormat="1" applyFont="1" applyFill="1" applyBorder="1"/>
    <xf numFmtId="164" fontId="56" fillId="61" borderId="63" xfId="2" applyNumberFormat="1" applyFont="1" applyFill="1" applyBorder="1"/>
    <xf numFmtId="164" fontId="1" fillId="61" borderId="41" xfId="2" applyNumberFormat="1" applyFont="1" applyFill="1" applyBorder="1"/>
    <xf numFmtId="164" fontId="1" fillId="61" borderId="45" xfId="2" applyNumberFormat="1" applyFont="1" applyFill="1" applyBorder="1"/>
    <xf numFmtId="164" fontId="56" fillId="61" borderId="65" xfId="2" applyNumberFormat="1" applyFont="1" applyFill="1" applyBorder="1"/>
    <xf numFmtId="164" fontId="56" fillId="61" borderId="67" xfId="2" applyNumberFormat="1" applyFont="1" applyFill="1" applyBorder="1"/>
    <xf numFmtId="0" fontId="1" fillId="61" borderId="46" xfId="0" applyFont="1" applyFill="1" applyBorder="1"/>
    <xf numFmtId="164" fontId="1" fillId="61" borderId="0" xfId="2" applyNumberFormat="1" applyFont="1" applyFill="1" applyBorder="1"/>
    <xf numFmtId="164" fontId="56" fillId="61" borderId="45" xfId="0" applyNumberFormat="1" applyFont="1" applyFill="1" applyBorder="1"/>
    <xf numFmtId="164" fontId="56" fillId="61" borderId="19" xfId="0" applyNumberFormat="1" applyFont="1" applyFill="1" applyBorder="1"/>
    <xf numFmtId="164" fontId="56" fillId="61" borderId="31" xfId="2" applyNumberFormat="1" applyFont="1" applyFill="1" applyBorder="1"/>
    <xf numFmtId="0" fontId="1" fillId="61" borderId="47" xfId="0" applyFont="1" applyFill="1" applyBorder="1"/>
    <xf numFmtId="0" fontId="1" fillId="61" borderId="31" xfId="0" applyFont="1" applyFill="1" applyBorder="1"/>
    <xf numFmtId="164" fontId="1" fillId="61" borderId="19" xfId="2" applyNumberFormat="1" applyFont="1" applyFill="1" applyBorder="1"/>
    <xf numFmtId="164" fontId="1" fillId="61" borderId="31" xfId="0" applyNumberFormat="1" applyFont="1" applyFill="1" applyBorder="1"/>
    <xf numFmtId="164" fontId="56" fillId="61" borderId="41" xfId="2" applyNumberFormat="1" applyFont="1" applyFill="1" applyBorder="1"/>
    <xf numFmtId="164" fontId="1" fillId="61" borderId="47" xfId="0" applyNumberFormat="1" applyFont="1" applyFill="1" applyBorder="1"/>
    <xf numFmtId="164" fontId="56" fillId="61" borderId="0" xfId="2" applyNumberFormat="1" applyFont="1" applyFill="1" applyBorder="1"/>
    <xf numFmtId="43" fontId="1" fillId="61" borderId="0" xfId="1" applyFont="1" applyFill="1"/>
    <xf numFmtId="165" fontId="1" fillId="61" borderId="0" xfId="0" applyNumberFormat="1" applyFont="1" applyFill="1"/>
    <xf numFmtId="43" fontId="56" fillId="61" borderId="0" xfId="0" applyNumberFormat="1" applyFont="1" applyFill="1"/>
    <xf numFmtId="0" fontId="1" fillId="61" borderId="0" xfId="0" applyFont="1" applyFill="1"/>
    <xf numFmtId="164" fontId="56" fillId="61" borderId="45" xfId="2" applyNumberFormat="1" applyFont="1" applyFill="1" applyBorder="1"/>
    <xf numFmtId="173" fontId="56" fillId="61" borderId="45" xfId="3" applyNumberFormat="1" applyFont="1" applyFill="1" applyBorder="1"/>
    <xf numFmtId="164" fontId="1" fillId="61" borderId="42" xfId="2" applyNumberFormat="1" applyFont="1" applyFill="1" applyBorder="1"/>
    <xf numFmtId="164" fontId="1" fillId="61" borderId="46" xfId="2" applyNumberFormat="1" applyFont="1" applyFill="1" applyBorder="1"/>
    <xf numFmtId="165" fontId="56" fillId="61" borderId="65" xfId="1" applyNumberFormat="1" applyFont="1" applyFill="1" applyBorder="1"/>
    <xf numFmtId="165" fontId="56" fillId="61" borderId="45" xfId="1" applyNumberFormat="1" applyFont="1" applyFill="1" applyBorder="1"/>
    <xf numFmtId="165" fontId="56" fillId="61" borderId="19" xfId="1" applyNumberFormat="1" applyFont="1" applyFill="1" applyBorder="1"/>
    <xf numFmtId="164" fontId="1" fillId="61" borderId="19" xfId="0" applyNumberFormat="1" applyFont="1" applyFill="1" applyBorder="1"/>
    <xf numFmtId="164" fontId="56" fillId="61" borderId="67" xfId="0" applyNumberFormat="1" applyFont="1" applyFill="1" applyBorder="1"/>
    <xf numFmtId="165" fontId="56" fillId="61" borderId="67" xfId="1" applyNumberFormat="1" applyFont="1" applyFill="1" applyBorder="1"/>
    <xf numFmtId="164" fontId="56" fillId="61" borderId="66" xfId="0" applyNumberFormat="1" applyFont="1" applyFill="1" applyBorder="1"/>
    <xf numFmtId="0" fontId="1" fillId="61" borderId="19" xfId="0" applyFont="1" applyFill="1" applyBorder="1"/>
    <xf numFmtId="43" fontId="56" fillId="61" borderId="0" xfId="1" applyFont="1" applyFill="1"/>
    <xf numFmtId="44" fontId="56" fillId="61" borderId="0" xfId="2" applyFont="1" applyFill="1"/>
    <xf numFmtId="43" fontId="1" fillId="0" borderId="0" xfId="1" applyFont="1" applyFill="1"/>
    <xf numFmtId="43" fontId="17" fillId="61" borderId="63" xfId="1" applyFont="1" applyFill="1" applyBorder="1"/>
    <xf numFmtId="174" fontId="54" fillId="61" borderId="57" xfId="0" applyNumberFormat="1" applyFont="1" applyFill="1" applyBorder="1"/>
    <xf numFmtId="164" fontId="54" fillId="61" borderId="57" xfId="0" applyNumberFormat="1" applyFont="1" applyFill="1" applyBorder="1"/>
    <xf numFmtId="164" fontId="54" fillId="61" borderId="57" xfId="2" applyNumberFormat="1" applyFont="1" applyFill="1" applyBorder="1"/>
    <xf numFmtId="165" fontId="54" fillId="61" borderId="57" xfId="1" applyNumberFormat="1" applyFont="1" applyFill="1" applyBorder="1"/>
    <xf numFmtId="165" fontId="1" fillId="61" borderId="59" xfId="1" applyNumberFormat="1" applyFont="1" applyFill="1" applyBorder="1"/>
    <xf numFmtId="10" fontId="1" fillId="61" borderId="52" xfId="3" applyNumberFormat="1" applyFont="1" applyFill="1" applyBorder="1"/>
    <xf numFmtId="164" fontId="1" fillId="61" borderId="77" xfId="1" applyNumberFormat="1" applyFont="1" applyFill="1" applyBorder="1"/>
    <xf numFmtId="164" fontId="1" fillId="61" borderId="52" xfId="1" applyNumberFormat="1" applyFont="1" applyFill="1" applyBorder="1"/>
    <xf numFmtId="37" fontId="1" fillId="61" borderId="51" xfId="2" applyNumberFormat="1" applyFont="1" applyFill="1" applyBorder="1" applyAlignment="1">
      <alignment horizontal="center"/>
    </xf>
    <xf numFmtId="43" fontId="17" fillId="61" borderId="63" xfId="0" applyNumberFormat="1" applyFont="1" applyFill="1" applyBorder="1" applyAlignment="1">
      <alignment horizontal="right"/>
    </xf>
    <xf numFmtId="44" fontId="56" fillId="61" borderId="63" xfId="2" applyFont="1" applyFill="1" applyBorder="1"/>
    <xf numFmtId="44" fontId="56" fillId="61" borderId="67" xfId="2" applyFont="1" applyFill="1" applyBorder="1"/>
    <xf numFmtId="40" fontId="0" fillId="61" borderId="47" xfId="1" applyNumberFormat="1" applyFont="1" applyFill="1" applyBorder="1"/>
    <xf numFmtId="44" fontId="1" fillId="61" borderId="0" xfId="2" applyFont="1" applyFill="1" applyBorder="1"/>
    <xf numFmtId="44" fontId="1" fillId="61" borderId="47" xfId="2" applyFont="1" applyFill="1" applyBorder="1"/>
    <xf numFmtId="43" fontId="56" fillId="61" borderId="63" xfId="1" applyFont="1" applyFill="1" applyBorder="1"/>
    <xf numFmtId="183" fontId="0" fillId="61" borderId="47" xfId="0" applyNumberFormat="1" applyFill="1" applyBorder="1"/>
    <xf numFmtId="8" fontId="1" fillId="61" borderId="42" xfId="2" applyNumberFormat="1" applyFont="1" applyFill="1" applyBorder="1"/>
    <xf numFmtId="8" fontId="1" fillId="61" borderId="41" xfId="2" applyNumberFormat="1" applyFont="1" applyFill="1" applyBorder="1"/>
    <xf numFmtId="0" fontId="1" fillId="0" borderId="0" xfId="0" quotePrefix="1" applyFont="1" applyAlignment="1">
      <alignment horizontal="right"/>
    </xf>
    <xf numFmtId="0" fontId="1" fillId="0" borderId="79" xfId="0" applyFont="1" applyBorder="1" applyAlignment="1">
      <alignment horizontal="center"/>
    </xf>
    <xf numFmtId="0" fontId="1" fillId="71" borderId="51" xfId="0" applyFont="1" applyFill="1" applyBorder="1" applyAlignment="1">
      <alignment horizontal="center"/>
    </xf>
    <xf numFmtId="174" fontId="1" fillId="0" borderId="63" xfId="0" applyNumberFormat="1" applyFont="1" applyBorder="1" applyAlignment="1">
      <alignment horizontal="center"/>
    </xf>
    <xf numFmtId="0" fontId="56" fillId="0" borderId="63" xfId="0" applyFont="1" applyBorder="1" applyAlignment="1">
      <alignment horizontal="right"/>
    </xf>
    <xf numFmtId="164" fontId="1" fillId="0" borderId="19" xfId="0" applyNumberFormat="1" applyFont="1" applyBorder="1"/>
    <xf numFmtId="165" fontId="1" fillId="0" borderId="71" xfId="1" applyNumberFormat="1" applyFont="1" applyFill="1" applyBorder="1"/>
    <xf numFmtId="164" fontId="1" fillId="0" borderId="69" xfId="0" applyNumberFormat="1" applyFont="1" applyBorder="1"/>
    <xf numFmtId="174" fontId="1" fillId="68" borderId="63" xfId="0" applyNumberFormat="1" applyFont="1" applyFill="1" applyBorder="1" applyAlignment="1">
      <alignment horizontal="center"/>
    </xf>
    <xf numFmtId="165" fontId="56" fillId="0" borderId="41" xfId="1" applyNumberFormat="1" applyFont="1" applyBorder="1"/>
    <xf numFmtId="0" fontId="1" fillId="0" borderId="69" xfId="0" applyFont="1" applyBorder="1"/>
    <xf numFmtId="0" fontId="1" fillId="0" borderId="31" xfId="2" applyNumberFormat="1" applyFont="1" applyFill="1" applyBorder="1" applyAlignment="1">
      <alignment horizontal="center"/>
    </xf>
    <xf numFmtId="0" fontId="56" fillId="72" borderId="0" xfId="0" applyFont="1" applyFill="1"/>
    <xf numFmtId="0" fontId="1" fillId="72" borderId="0" xfId="0" applyFont="1" applyFill="1"/>
    <xf numFmtId="172" fontId="56" fillId="72" borderId="0" xfId="2" applyNumberFormat="1" applyFont="1" applyFill="1" applyBorder="1" applyAlignment="1">
      <alignment horizontal="right" wrapText="1"/>
    </xf>
    <xf numFmtId="174" fontId="1" fillId="72" borderId="0" xfId="2" applyNumberFormat="1" applyFont="1" applyFill="1"/>
    <xf numFmtId="174" fontId="1" fillId="72" borderId="0" xfId="2" applyNumberFormat="1" applyFont="1" applyFill="1" applyBorder="1"/>
    <xf numFmtId="0" fontId="56" fillId="0" borderId="35" xfId="0" applyFont="1" applyBorder="1" applyAlignment="1">
      <alignment horizontal="center"/>
    </xf>
    <xf numFmtId="172" fontId="1" fillId="0" borderId="19" xfId="0" applyNumberFormat="1" applyFont="1" applyBorder="1"/>
    <xf numFmtId="173" fontId="1" fillId="0" borderId="19" xfId="3" applyNumberFormat="1" applyFont="1" applyFill="1" applyBorder="1"/>
    <xf numFmtId="0" fontId="1" fillId="0" borderId="68" xfId="0" applyFont="1" applyBorder="1"/>
    <xf numFmtId="0" fontId="56" fillId="0" borderId="42" xfId="0" applyFont="1" applyBorder="1"/>
    <xf numFmtId="44" fontId="1" fillId="0" borderId="19" xfId="0" applyNumberFormat="1" applyFont="1" applyBorder="1"/>
    <xf numFmtId="0" fontId="64" fillId="0" borderId="52" xfId="0" applyFont="1" applyBorder="1" applyAlignment="1">
      <alignment horizontal="center"/>
    </xf>
    <xf numFmtId="0" fontId="54" fillId="0" borderId="19" xfId="0" applyFont="1" applyBorder="1"/>
    <xf numFmtId="165" fontId="1" fillId="55" borderId="0" xfId="1" applyNumberFormat="1" applyFont="1" applyFill="1" applyBorder="1"/>
    <xf numFmtId="165" fontId="1" fillId="0" borderId="19" xfId="0" applyNumberFormat="1" applyFont="1" applyBorder="1"/>
    <xf numFmtId="0" fontId="56" fillId="0" borderId="67" xfId="0" applyFont="1" applyBorder="1" applyAlignment="1">
      <alignment wrapText="1"/>
    </xf>
    <xf numFmtId="165" fontId="1" fillId="0" borderId="71" xfId="0" applyNumberFormat="1" applyFont="1" applyBorder="1"/>
    <xf numFmtId="0" fontId="56" fillId="0" borderId="19" xfId="0" applyFont="1" applyBorder="1" applyAlignment="1">
      <alignment horizontal="left"/>
    </xf>
    <xf numFmtId="0" fontId="56" fillId="0" borderId="19" xfId="0" applyFont="1" applyBorder="1" applyAlignment="1">
      <alignment horizontal="left" wrapText="1"/>
    </xf>
    <xf numFmtId="0" fontId="56" fillId="0" borderId="19" xfId="0" applyFont="1" applyBorder="1" applyAlignment="1">
      <alignment horizontal="right" wrapText="1"/>
    </xf>
    <xf numFmtId="44" fontId="56" fillId="0" borderId="0" xfId="0" applyNumberFormat="1" applyFont="1"/>
    <xf numFmtId="164" fontId="1" fillId="0" borderId="19" xfId="2" applyNumberFormat="1" applyFont="1" applyFill="1" applyBorder="1" applyAlignment="1"/>
    <xf numFmtId="164" fontId="56" fillId="63" borderId="19" xfId="0" applyNumberFormat="1" applyFont="1" applyFill="1" applyBorder="1"/>
    <xf numFmtId="43" fontId="56" fillId="61" borderId="67" xfId="0" applyNumberFormat="1" applyFont="1" applyFill="1" applyBorder="1"/>
    <xf numFmtId="0" fontId="1" fillId="61" borderId="42" xfId="0" applyFont="1" applyFill="1" applyBorder="1"/>
    <xf numFmtId="165" fontId="1" fillId="0" borderId="68" xfId="1" applyNumberFormat="1" applyFont="1" applyFill="1" applyBorder="1"/>
    <xf numFmtId="165" fontId="56" fillId="0" borderId="19" xfId="1" applyNumberFormat="1" applyFont="1" applyBorder="1"/>
    <xf numFmtId="166" fontId="56" fillId="0" borderId="0" xfId="1" applyNumberFormat="1" applyFont="1"/>
    <xf numFmtId="164" fontId="1" fillId="0" borderId="71" xfId="2" applyNumberFormat="1" applyFont="1" applyFill="1" applyBorder="1"/>
    <xf numFmtId="164" fontId="1" fillId="61" borderId="69" xfId="2" applyNumberFormat="1" applyFont="1" applyFill="1" applyBorder="1"/>
    <xf numFmtId="0" fontId="1" fillId="0" borderId="71" xfId="0" applyFont="1" applyBorder="1" applyAlignment="1">
      <alignment horizontal="center"/>
    </xf>
    <xf numFmtId="0" fontId="56" fillId="0" borderId="31" xfId="0" applyFont="1" applyBorder="1"/>
    <xf numFmtId="10" fontId="1" fillId="61" borderId="47" xfId="3" applyNumberFormat="1" applyFont="1" applyFill="1" applyBorder="1"/>
    <xf numFmtId="10" fontId="1" fillId="61" borderId="31" xfId="3" applyNumberFormat="1" applyFont="1" applyFill="1" applyBorder="1"/>
    <xf numFmtId="164" fontId="1" fillId="61" borderId="68" xfId="2" applyNumberFormat="1" applyFont="1" applyFill="1" applyBorder="1"/>
    <xf numFmtId="164" fontId="71" fillId="0" borderId="42" xfId="2" applyNumberFormat="1" applyFont="1" applyFill="1" applyBorder="1" applyAlignment="1">
      <alignment horizontal="center"/>
    </xf>
    <xf numFmtId="164" fontId="71" fillId="67" borderId="19" xfId="2" applyNumberFormat="1" applyFont="1" applyFill="1" applyBorder="1" applyAlignment="1">
      <alignment horizontal="center"/>
    </xf>
    <xf numFmtId="164" fontId="1" fillId="0" borderId="19" xfId="2" applyNumberFormat="1" applyFont="1" applyFill="1" applyBorder="1" applyAlignment="1">
      <alignment horizontal="center"/>
    </xf>
    <xf numFmtId="164" fontId="71" fillId="67" borderId="46" xfId="2" applyNumberFormat="1" applyFont="1" applyFill="1" applyBorder="1" applyAlignment="1">
      <alignment horizontal="center"/>
    </xf>
    <xf numFmtId="164" fontId="1" fillId="67" borderId="41" xfId="2" applyNumberFormat="1" applyFont="1" applyFill="1" applyBorder="1" applyAlignment="1">
      <alignment horizontal="center"/>
    </xf>
    <xf numFmtId="164" fontId="1" fillId="67" borderId="45" xfId="2" applyNumberFormat="1" applyFont="1" applyFill="1" applyBorder="1" applyAlignment="1">
      <alignment horizontal="center"/>
    </xf>
    <xf numFmtId="164" fontId="1" fillId="67" borderId="0" xfId="2" applyNumberFormat="1" applyFont="1" applyFill="1" applyBorder="1" applyAlignment="1">
      <alignment horizontal="center"/>
    </xf>
    <xf numFmtId="164" fontId="1" fillId="67" borderId="19" xfId="2" applyNumberFormat="1" applyFont="1" applyFill="1" applyBorder="1" applyAlignment="1">
      <alignment horizontal="center"/>
    </xf>
    <xf numFmtId="43" fontId="1" fillId="0" borderId="19" xfId="0" applyNumberFormat="1" applyFont="1" applyBorder="1"/>
    <xf numFmtId="164" fontId="64" fillId="61" borderId="68" xfId="2" applyNumberFormat="1" applyFont="1" applyFill="1" applyBorder="1" applyAlignment="1">
      <alignment horizontal="center"/>
    </xf>
    <xf numFmtId="164" fontId="64" fillId="61" borderId="69" xfId="2" applyNumberFormat="1" applyFont="1" applyFill="1" applyBorder="1" applyAlignment="1">
      <alignment horizontal="center"/>
    </xf>
    <xf numFmtId="164" fontId="64" fillId="61" borderId="45" xfId="2" applyNumberFormat="1" applyFont="1" applyFill="1" applyBorder="1" applyAlignment="1">
      <alignment horizontal="center"/>
    </xf>
    <xf numFmtId="164" fontId="64" fillId="61" borderId="46" xfId="2" applyNumberFormat="1" applyFont="1" applyFill="1" applyBorder="1" applyAlignment="1">
      <alignment horizontal="center"/>
    </xf>
    <xf numFmtId="2" fontId="56" fillId="0" borderId="0" xfId="0" applyNumberFormat="1" applyFont="1" applyAlignment="1">
      <alignment horizontal="right"/>
    </xf>
    <xf numFmtId="44" fontId="56" fillId="0" borderId="0" xfId="2" applyFont="1" applyAlignment="1">
      <alignment horizontal="center"/>
    </xf>
    <xf numFmtId="0" fontId="1" fillId="61" borderId="71" xfId="0" applyFont="1" applyFill="1" applyBorder="1" applyAlignment="1">
      <alignment horizontal="center"/>
    </xf>
    <xf numFmtId="43" fontId="1" fillId="0" borderId="71" xfId="0" applyNumberFormat="1" applyFont="1" applyBorder="1"/>
    <xf numFmtId="44" fontId="1" fillId="0" borderId="71" xfId="2" applyFont="1" applyBorder="1"/>
    <xf numFmtId="164" fontId="1" fillId="61" borderId="71" xfId="2" applyNumberFormat="1" applyFont="1" applyFill="1" applyBorder="1"/>
    <xf numFmtId="164" fontId="1" fillId="0" borderId="69" xfId="2" applyNumberFormat="1" applyFont="1" applyBorder="1" applyAlignment="1">
      <alignment horizontal="center"/>
    </xf>
    <xf numFmtId="0" fontId="1" fillId="67" borderId="71" xfId="0" applyFont="1" applyFill="1" applyBorder="1"/>
    <xf numFmtId="164" fontId="71" fillId="67" borderId="71" xfId="2" applyNumberFormat="1" applyFont="1" applyFill="1" applyBorder="1" applyAlignment="1">
      <alignment horizontal="center"/>
    </xf>
    <xf numFmtId="164" fontId="1" fillId="0" borderId="71" xfId="2" applyNumberFormat="1" applyFont="1" applyBorder="1" applyAlignment="1">
      <alignment horizontal="center"/>
    </xf>
    <xf numFmtId="164" fontId="71" fillId="67" borderId="69" xfId="2" applyNumberFormat="1" applyFont="1" applyFill="1" applyBorder="1" applyAlignment="1">
      <alignment horizontal="center"/>
    </xf>
    <xf numFmtId="164" fontId="64" fillId="0" borderId="71" xfId="2" applyNumberFormat="1" applyFont="1" applyFill="1" applyBorder="1" applyAlignment="1">
      <alignment horizontal="center"/>
    </xf>
    <xf numFmtId="0" fontId="54" fillId="0" borderId="69" xfId="2" applyNumberFormat="1" applyFont="1" applyFill="1" applyBorder="1" applyAlignment="1">
      <alignment horizontal="center"/>
    </xf>
    <xf numFmtId="0" fontId="1" fillId="61" borderId="19" xfId="0" applyFont="1" applyFill="1" applyBorder="1" applyAlignment="1">
      <alignment horizontal="center"/>
    </xf>
    <xf numFmtId="44" fontId="1" fillId="0" borderId="19" xfId="2" applyFont="1" applyBorder="1"/>
    <xf numFmtId="0" fontId="1" fillId="67" borderId="19" xfId="0" applyFont="1" applyFill="1" applyBorder="1"/>
    <xf numFmtId="164" fontId="64" fillId="0" borderId="19" xfId="2" applyNumberFormat="1" applyFont="1" applyFill="1" applyBorder="1" applyAlignment="1">
      <alignment horizontal="center"/>
    </xf>
    <xf numFmtId="0" fontId="54" fillId="0" borderId="46" xfId="2" applyNumberFormat="1" applyFont="1" applyFill="1" applyBorder="1" applyAlignment="1">
      <alignment horizontal="center"/>
    </xf>
    <xf numFmtId="164" fontId="59" fillId="0" borderId="19" xfId="2" applyNumberFormat="1" applyFont="1" applyBorder="1" applyAlignment="1">
      <alignment horizontal="center"/>
    </xf>
    <xf numFmtId="43" fontId="1" fillId="0" borderId="71" xfId="1" applyFont="1" applyFill="1" applyBorder="1"/>
    <xf numFmtId="164" fontId="1" fillId="0" borderId="68" xfId="2" applyNumberFormat="1" applyFont="1" applyFill="1" applyBorder="1"/>
    <xf numFmtId="164" fontId="1" fillId="67" borderId="68" xfId="2" applyNumberFormat="1" applyFont="1" applyFill="1" applyBorder="1" applyAlignment="1">
      <alignment horizontal="center"/>
    </xf>
    <xf numFmtId="164" fontId="59" fillId="0" borderId="71" xfId="2" applyNumberFormat="1" applyFont="1" applyBorder="1" applyAlignment="1">
      <alignment horizontal="center"/>
    </xf>
    <xf numFmtId="43" fontId="1" fillId="0" borderId="19" xfId="1" applyFont="1" applyFill="1" applyBorder="1"/>
    <xf numFmtId="43" fontId="1" fillId="0" borderId="42" xfId="0" applyNumberFormat="1" applyFont="1" applyBorder="1"/>
    <xf numFmtId="43" fontId="1" fillId="61" borderId="19" xfId="1" applyFont="1" applyFill="1" applyBorder="1" applyAlignment="1">
      <alignment horizontal="center"/>
    </xf>
    <xf numFmtId="0" fontId="1" fillId="0" borderId="63" xfId="0" applyFont="1" applyBorder="1" applyAlignment="1">
      <alignment horizontal="right" vertical="center"/>
    </xf>
    <xf numFmtId="0" fontId="1" fillId="0" borderId="65" xfId="0" applyFont="1" applyBorder="1" applyAlignment="1">
      <alignment horizontal="center"/>
    </xf>
    <xf numFmtId="0" fontId="1" fillId="0" borderId="67" xfId="0" applyFont="1" applyBorder="1" applyAlignment="1">
      <alignment horizontal="center"/>
    </xf>
    <xf numFmtId="0" fontId="1" fillId="0" borderId="63" xfId="0" quotePrefix="1" applyFont="1" applyBorder="1" applyAlignment="1">
      <alignment horizontal="center"/>
    </xf>
    <xf numFmtId="43" fontId="1" fillId="0" borderId="0" xfId="2" applyNumberFormat="1" applyFont="1"/>
    <xf numFmtId="165" fontId="86" fillId="0" borderId="0" xfId="0" applyNumberFormat="1" applyFont="1"/>
    <xf numFmtId="165" fontId="1" fillId="72" borderId="0" xfId="1" applyNumberFormat="1" applyFont="1" applyFill="1"/>
    <xf numFmtId="0" fontId="56" fillId="0" borderId="19" xfId="0" applyFont="1" applyBorder="1" applyAlignment="1">
      <alignment horizontal="center" wrapText="1"/>
    </xf>
    <xf numFmtId="0" fontId="1" fillId="55" borderId="19" xfId="0" applyFont="1" applyFill="1" applyBorder="1"/>
    <xf numFmtId="0" fontId="1" fillId="73" borderId="0" xfId="0" applyFont="1" applyFill="1"/>
    <xf numFmtId="0" fontId="1" fillId="74" borderId="0" xfId="0" applyFont="1" applyFill="1"/>
    <xf numFmtId="0" fontId="64" fillId="0" borderId="47" xfId="0" applyFont="1" applyBorder="1" applyAlignment="1">
      <alignment horizontal="right"/>
    </xf>
    <xf numFmtId="0" fontId="56" fillId="0" borderId="31" xfId="0" applyFont="1" applyBorder="1" applyAlignment="1">
      <alignment horizontal="right"/>
    </xf>
    <xf numFmtId="8" fontId="1" fillId="61" borderId="47" xfId="2" applyNumberFormat="1" applyFont="1" applyFill="1" applyBorder="1"/>
    <xf numFmtId="8" fontId="56" fillId="61" borderId="63" xfId="0" applyNumberFormat="1" applyFont="1" applyFill="1" applyBorder="1"/>
    <xf numFmtId="43" fontId="17" fillId="61" borderId="67" xfId="0" applyNumberFormat="1" applyFont="1" applyFill="1" applyBorder="1" applyAlignment="1">
      <alignment horizontal="right"/>
    </xf>
    <xf numFmtId="40" fontId="17" fillId="61" borderId="63" xfId="0" applyNumberFormat="1" applyFont="1" applyFill="1" applyBorder="1" applyAlignment="1">
      <alignment horizontal="right"/>
    </xf>
    <xf numFmtId="44" fontId="56" fillId="61" borderId="63" xfId="2" applyFont="1" applyFill="1" applyBorder="1" applyAlignment="1">
      <alignment horizontal="right"/>
    </xf>
    <xf numFmtId="8" fontId="56" fillId="61" borderId="63" xfId="2" applyNumberFormat="1" applyFont="1" applyFill="1" applyBorder="1" applyAlignment="1">
      <alignment horizontal="right"/>
    </xf>
    <xf numFmtId="44" fontId="56" fillId="61" borderId="67" xfId="2" applyFont="1" applyFill="1" applyBorder="1" applyAlignment="1">
      <alignment horizontal="right"/>
    </xf>
    <xf numFmtId="8" fontId="56" fillId="0" borderId="0" xfId="2" applyNumberFormat="1" applyFont="1" applyBorder="1" applyAlignment="1">
      <alignment horizontal="right"/>
    </xf>
    <xf numFmtId="43" fontId="56" fillId="61" borderId="63" xfId="1" applyFont="1" applyFill="1" applyBorder="1" applyAlignment="1">
      <alignment horizontal="right"/>
    </xf>
    <xf numFmtId="8" fontId="56" fillId="61" borderId="65" xfId="2" applyNumberFormat="1" applyFont="1" applyFill="1" applyBorder="1" applyAlignment="1">
      <alignment horizontal="right"/>
    </xf>
    <xf numFmtId="8" fontId="56" fillId="61" borderId="66" xfId="2" applyNumberFormat="1" applyFont="1" applyFill="1" applyBorder="1" applyAlignment="1">
      <alignment horizontal="right"/>
    </xf>
    <xf numFmtId="0" fontId="17" fillId="0" borderId="63" xfId="0" applyFont="1" applyBorder="1" applyAlignment="1">
      <alignment horizontal="right"/>
    </xf>
    <xf numFmtId="0" fontId="17" fillId="0" borderId="65" xfId="0" applyFont="1" applyBorder="1" applyAlignment="1">
      <alignment horizontal="right"/>
    </xf>
    <xf numFmtId="43" fontId="17" fillId="61" borderId="67" xfId="1" applyFont="1" applyFill="1" applyBorder="1"/>
    <xf numFmtId="183" fontId="17" fillId="61" borderId="63" xfId="1" applyNumberFormat="1" applyFont="1" applyFill="1" applyBorder="1"/>
    <xf numFmtId="0" fontId="56" fillId="0" borderId="45" xfId="0" applyFont="1" applyBorder="1" applyAlignment="1">
      <alignment horizontal="right" wrapText="1"/>
    </xf>
    <xf numFmtId="0" fontId="56" fillId="0" borderId="46" xfId="0" applyFont="1" applyBorder="1" applyAlignment="1">
      <alignment horizontal="right" wrapText="1"/>
    </xf>
    <xf numFmtId="0" fontId="56" fillId="0" borderId="31" xfId="0" applyFont="1" applyBorder="1" applyAlignment="1">
      <alignment horizontal="right" wrapText="1"/>
    </xf>
    <xf numFmtId="164" fontId="56" fillId="0" borderId="65" xfId="2" applyNumberFormat="1" applyFont="1" applyBorder="1" applyAlignment="1">
      <alignment horizontal="right"/>
    </xf>
    <xf numFmtId="164" fontId="56" fillId="0" borderId="66" xfId="2" applyNumberFormat="1" applyFont="1" applyBorder="1" applyAlignment="1">
      <alignment horizontal="center"/>
    </xf>
    <xf numFmtId="2" fontId="56" fillId="0" borderId="19" xfId="0" applyNumberFormat="1" applyFont="1" applyBorder="1" applyAlignment="1">
      <alignment wrapText="1"/>
    </xf>
    <xf numFmtId="2" fontId="56" fillId="0" borderId="19" xfId="0" applyNumberFormat="1" applyFont="1" applyBorder="1" applyAlignment="1">
      <alignment horizontal="right" wrapText="1"/>
    </xf>
    <xf numFmtId="2" fontId="59" fillId="0" borderId="45" xfId="2" applyNumberFormat="1" applyFont="1" applyBorder="1" applyAlignment="1">
      <alignment wrapText="1"/>
    </xf>
    <xf numFmtId="2" fontId="59" fillId="0" borderId="19" xfId="2" applyNumberFormat="1" applyFont="1" applyBorder="1" applyAlignment="1">
      <alignment wrapText="1"/>
    </xf>
    <xf numFmtId="2" fontId="1" fillId="0" borderId="19" xfId="0" applyNumberFormat="1" applyFont="1" applyBorder="1" applyAlignment="1">
      <alignment wrapText="1"/>
    </xf>
    <xf numFmtId="2" fontId="1" fillId="0" borderId="46" xfId="2" applyNumberFormat="1" applyFont="1" applyBorder="1" applyAlignment="1">
      <alignment horizontal="center" wrapText="1"/>
    </xf>
    <xf numFmtId="2" fontId="59" fillId="0" borderId="45" xfId="2" applyNumberFormat="1" applyFont="1" applyBorder="1" applyAlignment="1">
      <alignment horizontal="center" wrapText="1"/>
    </xf>
    <xf numFmtId="2" fontId="59" fillId="0" borderId="19" xfId="2" applyNumberFormat="1" applyFont="1" applyBorder="1" applyAlignment="1">
      <alignment horizontal="center" wrapText="1"/>
    </xf>
    <xf numFmtId="2" fontId="1" fillId="0" borderId="19" xfId="2" applyNumberFormat="1" applyFont="1" applyBorder="1" applyAlignment="1">
      <alignment horizontal="center" wrapText="1"/>
    </xf>
    <xf numFmtId="2" fontId="64" fillId="0" borderId="19" xfId="2" applyNumberFormat="1" applyFont="1" applyBorder="1" applyAlignment="1">
      <alignment horizontal="right" wrapText="1"/>
    </xf>
    <xf numFmtId="10" fontId="56" fillId="61" borderId="19" xfId="3" applyNumberFormat="1" applyFont="1" applyFill="1" applyBorder="1" applyAlignment="1">
      <alignment horizontal="right" wrapText="1"/>
    </xf>
    <xf numFmtId="2" fontId="56" fillId="0" borderId="19" xfId="2" applyNumberFormat="1" applyFont="1" applyBorder="1" applyAlignment="1">
      <alignment horizontal="center" wrapText="1"/>
    </xf>
    <xf numFmtId="43" fontId="1" fillId="61" borderId="19" xfId="1" applyFont="1" applyFill="1" applyBorder="1"/>
    <xf numFmtId="43" fontId="1" fillId="61" borderId="0" xfId="1" applyFont="1" applyFill="1" applyBorder="1"/>
    <xf numFmtId="0" fontId="56" fillId="0" borderId="43" xfId="0" applyFont="1" applyBorder="1"/>
    <xf numFmtId="172" fontId="1" fillId="0" borderId="41" xfId="0" applyNumberFormat="1" applyFont="1" applyBorder="1"/>
    <xf numFmtId="172" fontId="1" fillId="0" borderId="0" xfId="0" applyNumberFormat="1" applyFont="1"/>
    <xf numFmtId="174" fontId="1" fillId="0" borderId="42" xfId="2" applyNumberFormat="1" applyFont="1" applyFill="1" applyBorder="1"/>
    <xf numFmtId="172" fontId="56" fillId="0" borderId="0" xfId="0" applyNumberFormat="1" applyFont="1"/>
    <xf numFmtId="172" fontId="56" fillId="0" borderId="0" xfId="0" applyNumberFormat="1" applyFont="1" applyAlignment="1">
      <alignment horizontal="right"/>
    </xf>
    <xf numFmtId="172" fontId="1" fillId="0" borderId="0" xfId="0" applyNumberFormat="1" applyFont="1" applyAlignment="1">
      <alignment horizontal="right"/>
    </xf>
    <xf numFmtId="164" fontId="1" fillId="0" borderId="0" xfId="0" applyNumberFormat="1" applyFont="1" applyAlignment="1">
      <alignment horizontal="right"/>
    </xf>
    <xf numFmtId="44" fontId="1" fillId="0" borderId="0" xfId="2" applyFont="1" applyFill="1" applyBorder="1" applyAlignment="1">
      <alignment horizontal="right"/>
    </xf>
    <xf numFmtId="174" fontId="1" fillId="0" borderId="42" xfId="2" applyNumberFormat="1" applyFont="1" applyFill="1" applyBorder="1" applyAlignment="1">
      <alignment horizontal="right"/>
    </xf>
    <xf numFmtId="173" fontId="1" fillId="0" borderId="0" xfId="3" applyNumberFormat="1" applyFont="1" applyFill="1" applyBorder="1" applyAlignment="1">
      <alignment horizontal="right"/>
    </xf>
    <xf numFmtId="164" fontId="59" fillId="0" borderId="0" xfId="2" applyNumberFormat="1" applyFont="1" applyFill="1" applyBorder="1"/>
    <xf numFmtId="174" fontId="56" fillId="0" borderId="42" xfId="2" applyNumberFormat="1" applyFont="1" applyFill="1" applyBorder="1"/>
    <xf numFmtId="172" fontId="1" fillId="0" borderId="45" xfId="0" applyNumberFormat="1" applyFont="1" applyBorder="1"/>
    <xf numFmtId="174" fontId="1" fillId="0" borderId="46" xfId="2" applyNumberFormat="1" applyFont="1" applyFill="1" applyBorder="1"/>
    <xf numFmtId="172" fontId="58" fillId="0" borderId="0" xfId="0" applyNumberFormat="1" applyFont="1"/>
    <xf numFmtId="164" fontId="58" fillId="0" borderId="0" xfId="2" applyNumberFormat="1" applyFont="1" applyFill="1" applyBorder="1"/>
    <xf numFmtId="43" fontId="77" fillId="0" borderId="0" xfId="0" applyNumberFormat="1" applyFont="1"/>
    <xf numFmtId="10" fontId="1" fillId="0" borderId="0" xfId="3" applyNumberFormat="1" applyFont="1" applyFill="1" applyBorder="1" applyAlignment="1">
      <alignment horizontal="center"/>
    </xf>
    <xf numFmtId="165" fontId="56" fillId="0" borderId="71" xfId="1" applyNumberFormat="1" applyFont="1" applyFill="1" applyBorder="1"/>
    <xf numFmtId="165" fontId="1" fillId="0" borderId="0" xfId="1" applyNumberFormat="1" applyFont="1" applyFill="1" applyBorder="1" applyAlignment="1">
      <alignment horizontal="right"/>
    </xf>
    <xf numFmtId="43" fontId="77" fillId="0" borderId="0" xfId="2" applyNumberFormat="1" applyFont="1" applyFill="1" applyBorder="1"/>
    <xf numFmtId="165" fontId="58" fillId="0" borderId="0" xfId="1" applyNumberFormat="1" applyFont="1" applyFill="1" applyBorder="1"/>
    <xf numFmtId="172" fontId="62" fillId="0" borderId="45" xfId="0" applyNumberFormat="1" applyFont="1" applyBorder="1"/>
    <xf numFmtId="172" fontId="62" fillId="0" borderId="19" xfId="0" applyNumberFormat="1" applyFont="1" applyBorder="1"/>
    <xf numFmtId="172" fontId="62" fillId="0" borderId="19" xfId="0" applyNumberFormat="1" applyFont="1" applyBorder="1" applyAlignment="1">
      <alignment horizontal="center"/>
    </xf>
    <xf numFmtId="172" fontId="62" fillId="0" borderId="19" xfId="0" applyNumberFormat="1" applyFont="1" applyBorder="1" applyAlignment="1">
      <alignment horizontal="right"/>
    </xf>
    <xf numFmtId="172" fontId="56" fillId="0" borderId="19" xfId="2" applyNumberFormat="1" applyFont="1" applyFill="1" applyBorder="1" applyAlignment="1">
      <alignment horizontal="right" wrapText="1"/>
    </xf>
    <xf numFmtId="165" fontId="64" fillId="0" borderId="19" xfId="1" applyNumberFormat="1" applyFont="1" applyFill="1" applyBorder="1" applyAlignment="1">
      <alignment horizontal="right" wrapText="1"/>
    </xf>
    <xf numFmtId="172" fontId="56" fillId="0" borderId="46" xfId="2" applyNumberFormat="1" applyFont="1" applyFill="1" applyBorder="1" applyAlignment="1">
      <alignment horizontal="right" wrapText="1"/>
    </xf>
    <xf numFmtId="172" fontId="56" fillId="0" borderId="65" xfId="0" applyNumberFormat="1" applyFont="1" applyBorder="1"/>
    <xf numFmtId="172" fontId="56" fillId="0" borderId="67" xfId="0" applyNumberFormat="1" applyFont="1" applyBorder="1"/>
    <xf numFmtId="164" fontId="56" fillId="0" borderId="67" xfId="2" applyNumberFormat="1" applyFont="1" applyFill="1" applyBorder="1"/>
    <xf numFmtId="173" fontId="56" fillId="0" borderId="67" xfId="3" applyNumberFormat="1" applyFont="1" applyFill="1" applyBorder="1"/>
    <xf numFmtId="165" fontId="56" fillId="0" borderId="67" xfId="1" applyNumberFormat="1" applyFont="1" applyFill="1" applyBorder="1"/>
    <xf numFmtId="164" fontId="54" fillId="0" borderId="63" xfId="2" applyNumberFormat="1" applyFont="1" applyFill="1" applyBorder="1" applyAlignment="1">
      <alignment horizontal="right"/>
    </xf>
    <xf numFmtId="164" fontId="54" fillId="0" borderId="63" xfId="2" applyNumberFormat="1" applyFont="1" applyFill="1" applyBorder="1"/>
    <xf numFmtId="164" fontId="1" fillId="0" borderId="71" xfId="0" applyNumberFormat="1" applyFont="1" applyBorder="1"/>
    <xf numFmtId="164" fontId="1" fillId="0" borderId="69" xfId="2" applyNumberFormat="1" applyFont="1" applyBorder="1"/>
    <xf numFmtId="10" fontId="1" fillId="61" borderId="41" xfId="3" applyNumberFormat="1" applyFont="1" applyFill="1" applyBorder="1"/>
    <xf numFmtId="0" fontId="56" fillId="0" borderId="66" xfId="0" applyFont="1" applyBorder="1" applyAlignment="1">
      <alignment horizontal="right" wrapText="1"/>
    </xf>
    <xf numFmtId="10" fontId="54" fillId="61" borderId="55" xfId="3" applyNumberFormat="1" applyFont="1" applyFill="1" applyBorder="1"/>
    <xf numFmtId="164" fontId="1" fillId="0" borderId="0" xfId="1" applyNumberFormat="1" applyFont="1" applyFill="1" applyBorder="1"/>
    <xf numFmtId="164" fontId="56" fillId="0" borderId="0" xfId="2" applyNumberFormat="1" applyFont="1" applyFill="1" applyAlignment="1">
      <alignment horizontal="right"/>
    </xf>
    <xf numFmtId="0" fontId="56" fillId="0" borderId="46" xfId="0" applyFont="1" applyBorder="1"/>
    <xf numFmtId="10" fontId="56" fillId="61" borderId="45" xfId="3" applyNumberFormat="1" applyFont="1" applyFill="1" applyBorder="1"/>
    <xf numFmtId="10" fontId="1" fillId="0" borderId="0" xfId="2" applyNumberFormat="1" applyFont="1"/>
    <xf numFmtId="164" fontId="56" fillId="0" borderId="63" xfId="2" applyNumberFormat="1" applyFont="1" applyFill="1" applyBorder="1"/>
    <xf numFmtId="164" fontId="0" fillId="0" borderId="0" xfId="0" applyNumberFormat="1"/>
    <xf numFmtId="2" fontId="0" fillId="55" borderId="0" xfId="0" applyNumberFormat="1" applyFill="1"/>
    <xf numFmtId="164" fontId="56" fillId="0" borderId="31" xfId="2" applyNumberFormat="1" applyFont="1" applyBorder="1"/>
    <xf numFmtId="44" fontId="1" fillId="0" borderId="63" xfId="0" applyNumberFormat="1" applyFont="1" applyBorder="1" applyAlignment="1">
      <alignment horizontal="center"/>
    </xf>
    <xf numFmtId="44" fontId="1" fillId="0" borderId="65" xfId="0" applyNumberFormat="1" applyFont="1" applyBorder="1" applyAlignment="1">
      <alignment horizontal="center"/>
    </xf>
    <xf numFmtId="44" fontId="1" fillId="0" borderId="67" xfId="0" applyNumberFormat="1" applyFont="1" applyBorder="1" applyAlignment="1">
      <alignment horizontal="center"/>
    </xf>
    <xf numFmtId="44" fontId="1" fillId="0" borderId="63" xfId="0" quotePrefix="1" applyNumberFormat="1" applyFont="1" applyBorder="1" applyAlignment="1">
      <alignment horizontal="center"/>
    </xf>
    <xf numFmtId="44" fontId="1" fillId="0" borderId="47" xfId="0" applyNumberFormat="1" applyFont="1" applyBorder="1"/>
    <xf numFmtId="44" fontId="1" fillId="0" borderId="0" xfId="0" quotePrefix="1" applyNumberFormat="1" applyFont="1" applyAlignment="1">
      <alignment horizontal="center"/>
    </xf>
    <xf numFmtId="44" fontId="1" fillId="0" borderId="63" xfId="0" applyNumberFormat="1" applyFont="1" applyBorder="1"/>
    <xf numFmtId="164" fontId="61" fillId="0" borderId="41" xfId="2" applyNumberFormat="1" applyFont="1" applyBorder="1"/>
    <xf numFmtId="164" fontId="61" fillId="0" borderId="0" xfId="2" applyNumberFormat="1" applyFont="1" applyBorder="1"/>
    <xf numFmtId="164" fontId="61" fillId="0" borderId="0" xfId="0" applyNumberFormat="1" applyFont="1"/>
    <xf numFmtId="41" fontId="1" fillId="0" borderId="31" xfId="0" applyNumberFormat="1" applyFont="1" applyBorder="1"/>
    <xf numFmtId="164" fontId="1" fillId="0" borderId="31" xfId="2" applyNumberFormat="1" applyFont="1" applyBorder="1" applyAlignment="1">
      <alignment horizontal="center"/>
    </xf>
    <xf numFmtId="0" fontId="56" fillId="0" borderId="63" xfId="0" applyFont="1" applyBorder="1" applyAlignment="1">
      <alignment horizontal="right" wrapText="1"/>
    </xf>
    <xf numFmtId="164" fontId="1" fillId="0" borderId="47" xfId="2" applyNumberFormat="1" applyFont="1" applyBorder="1" applyAlignment="1">
      <alignment horizontal="center"/>
    </xf>
    <xf numFmtId="2" fontId="1" fillId="0" borderId="47" xfId="2" applyNumberFormat="1" applyFont="1" applyBorder="1" applyAlignment="1">
      <alignment horizontal="center" wrapText="1"/>
    </xf>
    <xf numFmtId="14" fontId="76" fillId="62" borderId="0" xfId="0" applyNumberFormat="1" applyFont="1" applyFill="1" applyAlignment="1">
      <alignment horizontal="right"/>
    </xf>
    <xf numFmtId="0" fontId="56" fillId="0" borderId="69" xfId="0" applyFont="1" applyBorder="1" applyAlignment="1">
      <alignment horizontal="center"/>
    </xf>
    <xf numFmtId="0" fontId="87" fillId="0" borderId="0" xfId="0" applyFont="1" applyAlignment="1">
      <alignment horizontal="center"/>
    </xf>
    <xf numFmtId="0" fontId="87" fillId="0" borderId="0" xfId="0" applyFont="1"/>
    <xf numFmtId="0" fontId="87" fillId="0" borderId="0" xfId="0" applyFont="1" applyAlignment="1">
      <alignment horizontal="centerContinuous"/>
    </xf>
    <xf numFmtId="14" fontId="76" fillId="62" borderId="0" xfId="0" applyNumberFormat="1" applyFont="1" applyFill="1"/>
    <xf numFmtId="174" fontId="88" fillId="68" borderId="63" xfId="0" applyNumberFormat="1" applyFont="1" applyFill="1" applyBorder="1" applyAlignment="1">
      <alignment horizontal="center"/>
    </xf>
    <xf numFmtId="164" fontId="1" fillId="0" borderId="0" xfId="2" applyNumberFormat="1" applyFont="1" applyAlignment="1">
      <alignment horizontal="center"/>
    </xf>
    <xf numFmtId="2" fontId="56" fillId="0" borderId="0" xfId="0" applyNumberFormat="1" applyFont="1"/>
    <xf numFmtId="41" fontId="1" fillId="0" borderId="0" xfId="2" applyNumberFormat="1" applyFont="1" applyFill="1" applyBorder="1" applyAlignment="1"/>
    <xf numFmtId="0" fontId="56" fillId="0" borderId="68" xfId="0" applyFont="1" applyBorder="1" applyAlignment="1">
      <alignment horizontal="right" wrapText="1"/>
    </xf>
    <xf numFmtId="0" fontId="56" fillId="0" borderId="69" xfId="0" applyFont="1" applyBorder="1" applyAlignment="1">
      <alignment horizontal="right" wrapText="1"/>
    </xf>
    <xf numFmtId="164" fontId="1" fillId="0" borderId="42" xfId="2" applyNumberFormat="1" applyFont="1" applyFill="1" applyBorder="1" applyAlignment="1"/>
    <xf numFmtId="164" fontId="1" fillId="0" borderId="46" xfId="2" applyNumberFormat="1" applyFont="1" applyFill="1" applyBorder="1" applyAlignment="1"/>
    <xf numFmtId="164" fontId="56" fillId="61" borderId="46" xfId="0" applyNumberFormat="1" applyFont="1" applyFill="1" applyBorder="1"/>
    <xf numFmtId="164" fontId="1" fillId="61" borderId="41" xfId="0" applyNumberFormat="1" applyFont="1" applyFill="1" applyBorder="1"/>
    <xf numFmtId="44" fontId="56" fillId="0" borderId="0" xfId="2" applyFont="1" applyFill="1" applyAlignment="1">
      <alignment horizontal="right"/>
    </xf>
    <xf numFmtId="164" fontId="56" fillId="55" borderId="63" xfId="2" applyNumberFormat="1" applyFont="1" applyFill="1" applyBorder="1"/>
    <xf numFmtId="0" fontId="1" fillId="0" borderId="67" xfId="0" applyFont="1" applyBorder="1" applyAlignment="1">
      <alignment horizontal="center" vertical="center"/>
    </xf>
    <xf numFmtId="43" fontId="1" fillId="0" borderId="67" xfId="0" applyNumberFormat="1" applyFont="1" applyBorder="1" applyAlignment="1">
      <alignment horizontal="center" vertical="center" wrapText="1"/>
    </xf>
    <xf numFmtId="0" fontId="1" fillId="0" borderId="65" xfId="0" applyFont="1" applyBorder="1" applyAlignment="1">
      <alignment vertical="center"/>
    </xf>
    <xf numFmtId="0" fontId="56" fillId="0" borderId="65" xfId="0" applyFont="1" applyBorder="1" applyAlignment="1">
      <alignment horizontal="left" vertical="center" wrapText="1"/>
    </xf>
    <xf numFmtId="0" fontId="56" fillId="0" borderId="67" xfId="0" applyFont="1" applyBorder="1" applyAlignment="1">
      <alignment horizontal="right" vertical="center" wrapText="1"/>
    </xf>
    <xf numFmtId="0" fontId="17" fillId="0" borderId="67" xfId="0" applyFont="1" applyBorder="1" applyAlignment="1">
      <alignment horizontal="center"/>
    </xf>
    <xf numFmtId="0" fontId="1" fillId="0" borderId="65" xfId="0" applyFont="1" applyBorder="1" applyAlignment="1">
      <alignment horizontal="center" vertical="center"/>
    </xf>
    <xf numFmtId="43" fontId="56" fillId="0" borderId="45" xfId="0" applyNumberFormat="1" applyFont="1" applyBorder="1"/>
    <xf numFmtId="180" fontId="1" fillId="0" borderId="41" xfId="0" applyNumberFormat="1" applyFont="1" applyBorder="1" applyAlignment="1">
      <alignment horizontal="center"/>
    </xf>
    <xf numFmtId="10" fontId="1" fillId="0" borderId="47" xfId="3" applyNumberFormat="1" applyFont="1" applyBorder="1"/>
    <xf numFmtId="10" fontId="1" fillId="0" borderId="31" xfId="3" applyNumberFormat="1" applyFont="1" applyBorder="1"/>
    <xf numFmtId="10" fontId="1" fillId="0" borderId="42" xfId="3" applyNumberFormat="1" applyFont="1" applyBorder="1"/>
    <xf numFmtId="10" fontId="1" fillId="0" borderId="46" xfId="3" applyNumberFormat="1" applyFont="1" applyBorder="1"/>
    <xf numFmtId="44" fontId="1" fillId="61" borderId="0" xfId="0" applyNumberFormat="1" applyFont="1" applyFill="1"/>
    <xf numFmtId="9" fontId="1" fillId="0" borderId="0" xfId="3" applyFont="1" applyAlignment="1">
      <alignment horizontal="left"/>
    </xf>
    <xf numFmtId="0" fontId="0" fillId="0" borderId="66" xfId="0" quotePrefix="1" applyBorder="1" applyAlignment="1">
      <alignment horizontal="center"/>
    </xf>
    <xf numFmtId="0" fontId="1" fillId="0" borderId="48" xfId="0" applyFont="1" applyBorder="1" applyAlignment="1">
      <alignment horizontal="center"/>
    </xf>
    <xf numFmtId="0" fontId="1" fillId="0" borderId="63" xfId="0" applyFont="1" applyBorder="1" applyAlignment="1">
      <alignment horizontal="center" vertical="center"/>
    </xf>
    <xf numFmtId="41" fontId="1" fillId="0" borderId="63" xfId="0" quotePrefix="1" applyNumberFormat="1" applyFont="1" applyBorder="1" applyAlignment="1">
      <alignment horizontal="center"/>
    </xf>
    <xf numFmtId="41" fontId="1" fillId="0" borderId="41" xfId="2" applyNumberFormat="1" applyFont="1" applyBorder="1"/>
    <xf numFmtId="44" fontId="1" fillId="0" borderId="42" xfId="0" applyNumberFormat="1" applyFont="1" applyBorder="1"/>
    <xf numFmtId="43" fontId="1" fillId="0" borderId="41" xfId="0" applyNumberFormat="1" applyFont="1" applyBorder="1"/>
    <xf numFmtId="164" fontId="56" fillId="0" borderId="0" xfId="2" applyNumberFormat="1" applyFont="1" applyAlignment="1">
      <alignment horizontal="left"/>
    </xf>
    <xf numFmtId="0" fontId="89" fillId="0" borderId="0" xfId="0" applyFont="1" applyAlignment="1">
      <alignment horizontal="center"/>
    </xf>
    <xf numFmtId="181" fontId="89" fillId="0" borderId="0" xfId="2" applyNumberFormat="1" applyFont="1" applyFill="1" applyAlignment="1">
      <alignment horizontal="center"/>
    </xf>
    <xf numFmtId="181" fontId="89" fillId="0" borderId="0" xfId="0" applyNumberFormat="1" applyFont="1" applyAlignment="1">
      <alignment horizontal="center"/>
    </xf>
    <xf numFmtId="186" fontId="19" fillId="0" borderId="0" xfId="33029" applyNumberFormat="1" applyFont="1" applyFill="1" applyBorder="1" applyAlignment="1"/>
    <xf numFmtId="186" fontId="91" fillId="56" borderId="0" xfId="33029" applyNumberFormat="1" applyFont="1" applyFill="1" applyBorder="1" applyAlignment="1">
      <alignment horizontal="right"/>
    </xf>
    <xf numFmtId="186" fontId="19" fillId="56" borderId="0" xfId="33029" applyNumberFormat="1" applyFont="1" applyFill="1" applyBorder="1" applyAlignment="1"/>
    <xf numFmtId="186" fontId="92" fillId="72" borderId="0" xfId="33029" applyNumberFormat="1" applyFont="1" applyFill="1" applyBorder="1" applyAlignment="1"/>
    <xf numFmtId="186" fontId="0" fillId="0" borderId="0" xfId="33029" applyNumberFormat="1" applyFont="1" applyFill="1" applyBorder="1" applyAlignment="1"/>
    <xf numFmtId="0" fontId="0" fillId="0" borderId="0" xfId="33029" applyNumberFormat="1" applyFont="1" applyFill="1" applyBorder="1" applyAlignment="1"/>
    <xf numFmtId="186" fontId="0" fillId="56" borderId="0" xfId="33029" applyNumberFormat="1" applyFont="1" applyFill="1" applyBorder="1" applyAlignment="1"/>
    <xf numFmtId="186" fontId="92" fillId="56" borderId="0" xfId="33029" applyNumberFormat="1" applyFont="1" applyFill="1" applyBorder="1" applyAlignment="1"/>
    <xf numFmtId="164" fontId="56" fillId="0" borderId="71" xfId="3" applyNumberFormat="1" applyFont="1" applyBorder="1"/>
    <xf numFmtId="164" fontId="1" fillId="61" borderId="60" xfId="0" applyNumberFormat="1" applyFont="1" applyFill="1" applyBorder="1"/>
    <xf numFmtId="164" fontId="1" fillId="61" borderId="60" xfId="2" applyNumberFormat="1" applyFont="1" applyFill="1" applyBorder="1"/>
    <xf numFmtId="10" fontId="1" fillId="0" borderId="71" xfId="3" applyNumberFormat="1" applyFont="1" applyBorder="1"/>
    <xf numFmtId="44" fontId="56" fillId="0" borderId="86" xfId="0" applyNumberFormat="1" applyFont="1" applyBorder="1" applyAlignment="1">
      <alignment horizontal="right"/>
    </xf>
    <xf numFmtId="44" fontId="1" fillId="0" borderId="42" xfId="2" applyFont="1" applyFill="1" applyBorder="1" applyAlignment="1"/>
    <xf numFmtId="44" fontId="1" fillId="0" borderId="69" xfId="0" applyNumberFormat="1" applyFont="1" applyBorder="1"/>
    <xf numFmtId="181" fontId="1" fillId="0" borderId="0" xfId="0" applyNumberFormat="1" applyFont="1"/>
    <xf numFmtId="9" fontId="56" fillId="0" borderId="0" xfId="3" applyFont="1" applyAlignment="1">
      <alignment horizontal="right"/>
    </xf>
    <xf numFmtId="2" fontId="93" fillId="0" borderId="0" xfId="0" applyNumberFormat="1" applyFont="1"/>
    <xf numFmtId="0" fontId="1" fillId="0" borderId="64" xfId="0" applyFont="1" applyBorder="1" applyAlignment="1">
      <alignment horizontal="right"/>
    </xf>
    <xf numFmtId="9" fontId="56" fillId="0" borderId="0" xfId="3" applyFont="1" applyFill="1" applyAlignment="1">
      <alignment horizontal="right"/>
    </xf>
    <xf numFmtId="0" fontId="56" fillId="0" borderId="31" xfId="0" applyFont="1" applyBorder="1" applyAlignment="1">
      <alignment horizontal="center"/>
    </xf>
    <xf numFmtId="164" fontId="56" fillId="0" borderId="0" xfId="2" applyNumberFormat="1" applyFont="1" applyAlignment="1">
      <alignment horizontal="center"/>
    </xf>
    <xf numFmtId="0" fontId="95" fillId="0" borderId="0" xfId="33030" applyFont="1"/>
    <xf numFmtId="0" fontId="96" fillId="0" borderId="0" xfId="33030" applyFont="1" applyAlignment="1">
      <alignment vertical="top" wrapText="1"/>
    </xf>
    <xf numFmtId="0" fontId="96" fillId="0" borderId="0" xfId="33030" applyFont="1"/>
    <xf numFmtId="0" fontId="96" fillId="0" borderId="0" xfId="33030" applyFont="1" applyAlignment="1">
      <alignment wrapText="1"/>
    </xf>
    <xf numFmtId="0" fontId="96" fillId="0" borderId="76" xfId="33030" applyFont="1" applyBorder="1" applyAlignment="1">
      <alignment vertical="center"/>
    </xf>
    <xf numFmtId="0" fontId="96" fillId="0" borderId="61" xfId="33030" applyFont="1" applyBorder="1" applyAlignment="1">
      <alignment vertical="center"/>
    </xf>
    <xf numFmtId="0" fontId="96" fillId="0" borderId="61" xfId="33030" applyFont="1" applyBorder="1" applyAlignment="1">
      <alignment vertical="center" wrapText="1"/>
    </xf>
    <xf numFmtId="0" fontId="97" fillId="0" borderId="95" xfId="33030" applyFont="1" applyBorder="1" applyAlignment="1">
      <alignment vertical="center" wrapText="1"/>
    </xf>
    <xf numFmtId="0" fontId="97" fillId="0" borderId="96" xfId="33030" applyFont="1" applyBorder="1" applyAlignment="1">
      <alignment vertical="center" wrapText="1"/>
    </xf>
    <xf numFmtId="0" fontId="97" fillId="0" borderId="97" xfId="33030" applyFont="1" applyBorder="1" applyAlignment="1">
      <alignment vertical="center" wrapText="1"/>
    </xf>
    <xf numFmtId="0" fontId="97" fillId="0" borderId="95" xfId="33030" applyFont="1" applyBorder="1" applyAlignment="1">
      <alignment horizontal="center" vertical="center" wrapText="1"/>
    </xf>
    <xf numFmtId="0" fontId="97" fillId="0" borderId="96" xfId="33030" applyFont="1" applyBorder="1" applyAlignment="1">
      <alignment horizontal="center" vertical="center" wrapText="1"/>
    </xf>
    <xf numFmtId="0" fontId="97" fillId="56" borderId="98" xfId="33030" applyFont="1" applyFill="1" applyBorder="1" applyAlignment="1">
      <alignment horizontal="center" vertical="center" wrapText="1"/>
    </xf>
    <xf numFmtId="0" fontId="97" fillId="0" borderId="99" xfId="33030" applyFont="1" applyBorder="1" applyAlignment="1">
      <alignment horizontal="center" vertical="center" wrapText="1"/>
    </xf>
    <xf numFmtId="0" fontId="97" fillId="0" borderId="0" xfId="33030" applyFont="1" applyAlignment="1">
      <alignment vertical="center" wrapText="1"/>
    </xf>
    <xf numFmtId="0" fontId="96" fillId="0" borderId="101" xfId="33030" applyFont="1" applyBorder="1" applyAlignment="1">
      <alignment vertical="center" wrapText="1"/>
    </xf>
    <xf numFmtId="0" fontId="96" fillId="0" borderId="102" xfId="33030" applyFont="1" applyBorder="1" applyAlignment="1">
      <alignment vertical="top" wrapText="1"/>
    </xf>
    <xf numFmtId="172" fontId="96" fillId="0" borderId="103" xfId="33030" applyNumberFormat="1" applyFont="1" applyBorder="1"/>
    <xf numFmtId="172" fontId="96" fillId="0" borderId="104" xfId="33030" applyNumberFormat="1" applyFont="1" applyBorder="1"/>
    <xf numFmtId="172" fontId="96" fillId="56" borderId="105" xfId="33030" applyNumberFormat="1" applyFont="1" applyFill="1" applyBorder="1"/>
    <xf numFmtId="172" fontId="96" fillId="0" borderId="106" xfId="33030" applyNumberFormat="1" applyFont="1" applyBorder="1"/>
    <xf numFmtId="0" fontId="96" fillId="0" borderId="82" xfId="33030" applyFont="1" applyBorder="1" applyAlignment="1">
      <alignment vertical="center" wrapText="1"/>
    </xf>
    <xf numFmtId="0" fontId="96" fillId="0" borderId="63" xfId="33030" applyFont="1" applyBorder="1" applyAlignment="1">
      <alignment horizontal="right" vertical="center" wrapText="1"/>
    </xf>
    <xf numFmtId="1" fontId="96" fillId="0" borderId="63" xfId="1" applyNumberFormat="1" applyFont="1" applyBorder="1" applyAlignment="1">
      <alignment horizontal="right" vertical="center" wrapText="1"/>
    </xf>
    <xf numFmtId="0" fontId="96" fillId="0" borderId="65" xfId="33030" applyFont="1" applyBorder="1" applyAlignment="1">
      <alignment vertical="top" wrapText="1"/>
    </xf>
    <xf numFmtId="172" fontId="96" fillId="0" borderId="82" xfId="33030" applyNumberFormat="1" applyFont="1" applyBorder="1"/>
    <xf numFmtId="172" fontId="96" fillId="0" borderId="63" xfId="33030" applyNumberFormat="1" applyFont="1" applyBorder="1"/>
    <xf numFmtId="172" fontId="96" fillId="56" borderId="107" xfId="33030" applyNumberFormat="1" applyFont="1" applyFill="1" applyBorder="1"/>
    <xf numFmtId="172" fontId="96" fillId="0" borderId="66" xfId="33030" applyNumberFormat="1" applyFont="1" applyBorder="1"/>
    <xf numFmtId="0" fontId="96" fillId="0" borderId="108" xfId="33030" applyFont="1" applyBorder="1" applyAlignment="1">
      <alignment vertical="center" wrapText="1"/>
    </xf>
    <xf numFmtId="0" fontId="96" fillId="0" borderId="31" xfId="33030" applyFont="1" applyBorder="1" applyAlignment="1">
      <alignment horizontal="right" vertical="center" wrapText="1"/>
    </xf>
    <xf numFmtId="1" fontId="96" fillId="0" borderId="31" xfId="1" applyNumberFormat="1" applyFont="1" applyBorder="1" applyAlignment="1">
      <alignment horizontal="right" vertical="center" wrapText="1"/>
    </xf>
    <xf numFmtId="0" fontId="96" fillId="0" borderId="45" xfId="33030" applyFont="1" applyBorder="1" applyAlignment="1">
      <alignment vertical="top" wrapText="1"/>
    </xf>
    <xf numFmtId="177" fontId="96" fillId="0" borderId="31" xfId="33030" applyNumberFormat="1" applyFont="1" applyBorder="1" applyAlignment="1">
      <alignment horizontal="right" vertical="center" wrapText="1"/>
    </xf>
    <xf numFmtId="172" fontId="91" fillId="0" borderId="31" xfId="33030" applyNumberFormat="1" applyFont="1" applyBorder="1"/>
    <xf numFmtId="172" fontId="91" fillId="0" borderId="46" xfId="33030" applyNumberFormat="1" applyFont="1" applyBorder="1"/>
    <xf numFmtId="1" fontId="96" fillId="0" borderId="63" xfId="1" applyNumberFormat="1" applyFont="1" applyFill="1" applyBorder="1" applyAlignment="1">
      <alignment horizontal="right" vertical="center" wrapText="1"/>
    </xf>
    <xf numFmtId="177" fontId="96" fillId="0" borderId="63" xfId="33030" applyNumberFormat="1" applyFont="1" applyBorder="1" applyAlignment="1">
      <alignment horizontal="right" vertical="center" wrapText="1"/>
    </xf>
    <xf numFmtId="172" fontId="96" fillId="78" borderId="82" xfId="33030" applyNumberFormat="1" applyFont="1" applyFill="1" applyBorder="1"/>
    <xf numFmtId="172" fontId="96" fillId="78" borderId="63" xfId="33030" applyNumberFormat="1" applyFont="1" applyFill="1" applyBorder="1"/>
    <xf numFmtId="172" fontId="96" fillId="79" borderId="63" xfId="33030" applyNumberFormat="1" applyFont="1" applyFill="1" applyBorder="1"/>
    <xf numFmtId="172" fontId="96" fillId="79" borderId="66" xfId="33030" applyNumberFormat="1" applyFont="1" applyFill="1" applyBorder="1"/>
    <xf numFmtId="0" fontId="96" fillId="0" borderId="68" xfId="33030" applyFont="1" applyBorder="1" applyAlignment="1">
      <alignment vertical="top" wrapText="1"/>
    </xf>
    <xf numFmtId="172" fontId="96" fillId="0" borderId="69" xfId="33030" applyNumberFormat="1" applyFont="1" applyBorder="1"/>
    <xf numFmtId="0" fontId="96" fillId="0" borderId="95" xfId="33030" applyFont="1" applyBorder="1" applyAlignment="1">
      <alignment vertical="center" wrapText="1"/>
    </xf>
    <xf numFmtId="0" fontId="96" fillId="0" borderId="96" xfId="33030" applyFont="1" applyBorder="1" applyAlignment="1">
      <alignment horizontal="right" vertical="center" wrapText="1"/>
    </xf>
    <xf numFmtId="1" fontId="96" fillId="0" borderId="96" xfId="1" applyNumberFormat="1" applyFont="1" applyBorder="1" applyAlignment="1">
      <alignment horizontal="right" vertical="center" wrapText="1"/>
    </xf>
    <xf numFmtId="0" fontId="96" fillId="0" borderId="97" xfId="33030" applyFont="1" applyBorder="1" applyAlignment="1">
      <alignment vertical="top" wrapText="1"/>
    </xf>
    <xf numFmtId="172" fontId="96" fillId="0" borderId="95" xfId="33030" applyNumberFormat="1" applyFont="1" applyBorder="1"/>
    <xf numFmtId="172" fontId="96" fillId="0" borderId="96" xfId="33030" applyNumberFormat="1" applyFont="1" applyBorder="1"/>
    <xf numFmtId="172" fontId="96" fillId="56" borderId="98" xfId="33030" applyNumberFormat="1" applyFont="1" applyFill="1" applyBorder="1"/>
    <xf numFmtId="172" fontId="96" fillId="0" borderId="95" xfId="33030" applyNumberFormat="1" applyFont="1" applyBorder="1" applyAlignment="1">
      <alignment vertical="center"/>
    </xf>
    <xf numFmtId="172" fontId="96" fillId="0" borderId="96" xfId="33030" applyNumberFormat="1" applyFont="1" applyBorder="1" applyAlignment="1">
      <alignment vertical="center"/>
    </xf>
    <xf numFmtId="172" fontId="96" fillId="56" borderId="98" xfId="33030" applyNumberFormat="1" applyFont="1" applyFill="1" applyBorder="1" applyAlignment="1">
      <alignment vertical="center"/>
    </xf>
    <xf numFmtId="172" fontId="96" fillId="0" borderId="99" xfId="33030" applyNumberFormat="1" applyFont="1" applyBorder="1" applyAlignment="1">
      <alignment vertical="center"/>
    </xf>
    <xf numFmtId="0" fontId="96" fillId="0" borderId="0" xfId="33030" applyFont="1" applyAlignment="1">
      <alignment vertical="center"/>
    </xf>
    <xf numFmtId="172" fontId="96" fillId="0" borderId="90" xfId="33030" applyNumberFormat="1" applyFont="1" applyBorder="1"/>
    <xf numFmtId="172" fontId="96" fillId="0" borderId="91" xfId="33030" applyNumberFormat="1" applyFont="1" applyBorder="1"/>
    <xf numFmtId="172" fontId="96" fillId="56" borderId="92" xfId="33030" applyNumberFormat="1" applyFont="1" applyFill="1" applyBorder="1"/>
    <xf numFmtId="172" fontId="96" fillId="0" borderId="93" xfId="33030" applyNumberFormat="1" applyFont="1" applyBorder="1"/>
    <xf numFmtId="172" fontId="96" fillId="0" borderId="99" xfId="33030" applyNumberFormat="1" applyFont="1" applyBorder="1"/>
    <xf numFmtId="172" fontId="96" fillId="0" borderId="0" xfId="33030" applyNumberFormat="1" applyFont="1"/>
    <xf numFmtId="0" fontId="56" fillId="0" borderId="47" xfId="0" applyFont="1" applyBorder="1" applyAlignment="1">
      <alignment horizontal="left" vertical="top"/>
    </xf>
    <xf numFmtId="0" fontId="56" fillId="0" borderId="31" xfId="0" applyFont="1" applyBorder="1" applyAlignment="1">
      <alignment horizontal="left" vertical="top"/>
    </xf>
    <xf numFmtId="0" fontId="56" fillId="0" borderId="47" xfId="0" applyFont="1" applyBorder="1" applyAlignment="1">
      <alignment horizontal="left" vertical="top" wrapText="1"/>
    </xf>
    <xf numFmtId="186" fontId="0" fillId="79" borderId="0" xfId="33029" applyNumberFormat="1" applyFont="1" applyFill="1" applyBorder="1" applyAlignment="1"/>
    <xf numFmtId="0" fontId="87" fillId="80" borderId="0" xfId="0" applyFont="1" applyFill="1" applyAlignment="1">
      <alignment horizontal="center" vertical="center"/>
    </xf>
    <xf numFmtId="0" fontId="87" fillId="80" borderId="0" xfId="0" applyFont="1" applyFill="1" applyAlignment="1">
      <alignment horizontal="center"/>
    </xf>
    <xf numFmtId="172" fontId="91" fillId="0" borderId="99" xfId="33030" applyNumberFormat="1" applyFont="1" applyBorder="1"/>
    <xf numFmtId="172" fontId="91" fillId="0" borderId="96" xfId="33030" applyNumberFormat="1" applyFont="1" applyBorder="1"/>
    <xf numFmtId="164" fontId="0" fillId="0" borderId="63" xfId="2" applyNumberFormat="1" applyFont="1" applyBorder="1"/>
    <xf numFmtId="0" fontId="0" fillId="0" borderId="69" xfId="0" applyBorder="1"/>
    <xf numFmtId="0" fontId="56" fillId="0" borderId="63" xfId="0" applyFont="1" applyBorder="1"/>
    <xf numFmtId="164" fontId="0" fillId="61" borderId="63" xfId="2" applyNumberFormat="1" applyFont="1" applyFill="1" applyBorder="1"/>
    <xf numFmtId="164" fontId="0" fillId="61" borderId="66" xfId="2" applyNumberFormat="1" applyFont="1" applyFill="1" applyBorder="1"/>
    <xf numFmtId="0" fontId="1" fillId="0" borderId="124" xfId="0" quotePrefix="1" applyFont="1" applyBorder="1" applyAlignment="1">
      <alignment horizontal="center"/>
    </xf>
    <xf numFmtId="0" fontId="0" fillId="0" borderId="125" xfId="0" applyBorder="1"/>
    <xf numFmtId="164" fontId="0" fillId="80" borderId="124" xfId="2" applyNumberFormat="1" applyFont="1" applyFill="1" applyBorder="1"/>
    <xf numFmtId="0" fontId="56" fillId="0" borderId="125" xfId="0" applyFont="1" applyBorder="1" applyAlignment="1">
      <alignment horizontal="center"/>
    </xf>
    <xf numFmtId="0" fontId="56" fillId="0" borderId="126" xfId="0" applyFont="1" applyBorder="1" applyAlignment="1">
      <alignment horizontal="center"/>
    </xf>
    <xf numFmtId="0" fontId="17" fillId="0" borderId="84" xfId="0" applyFont="1" applyBorder="1" applyAlignment="1">
      <alignment horizontal="center"/>
    </xf>
    <xf numFmtId="0" fontId="17" fillId="0" borderId="85" xfId="0" applyFont="1" applyBorder="1" applyAlignment="1">
      <alignment horizontal="center"/>
    </xf>
    <xf numFmtId="0" fontId="17" fillId="0" borderId="127" xfId="0" applyFont="1" applyBorder="1" applyAlignment="1">
      <alignment horizontal="center"/>
    </xf>
    <xf numFmtId="0" fontId="0" fillId="0" borderId="128" xfId="0" applyBorder="1"/>
    <xf numFmtId="10" fontId="0" fillId="0" borderId="128" xfId="3" applyNumberFormat="1" applyFont="1" applyBorder="1"/>
    <xf numFmtId="0" fontId="56" fillId="0" borderId="84" xfId="0" applyFont="1" applyBorder="1" applyAlignment="1">
      <alignment horizontal="center"/>
    </xf>
    <xf numFmtId="0" fontId="56" fillId="0" borderId="85" xfId="0" applyFont="1" applyBorder="1" applyAlignment="1">
      <alignment horizontal="center"/>
    </xf>
    <xf numFmtId="0" fontId="1" fillId="0" borderId="128" xfId="0" quotePrefix="1" applyFont="1" applyBorder="1" applyAlignment="1">
      <alignment horizontal="center"/>
    </xf>
    <xf numFmtId="0" fontId="0" fillId="0" borderId="130" xfId="0" applyBorder="1"/>
    <xf numFmtId="164" fontId="0" fillId="0" borderId="128" xfId="2" applyNumberFormat="1" applyFont="1" applyFill="1" applyBorder="1"/>
    <xf numFmtId="164" fontId="17" fillId="0" borderId="59" xfId="2" applyNumberFormat="1" applyFont="1" applyFill="1" applyBorder="1"/>
    <xf numFmtId="10" fontId="17" fillId="0" borderId="59" xfId="3" applyNumberFormat="1" applyFont="1" applyBorder="1"/>
    <xf numFmtId="164" fontId="0" fillId="0" borderId="129" xfId="2" applyNumberFormat="1" applyFont="1" applyFill="1" applyBorder="1"/>
    <xf numFmtId="10" fontId="0" fillId="0" borderId="129" xfId="3" applyNumberFormat="1" applyFont="1" applyBorder="1"/>
    <xf numFmtId="6" fontId="0" fillId="0" borderId="0" xfId="0" applyNumberFormat="1"/>
    <xf numFmtId="165" fontId="54" fillId="0" borderId="0" xfId="0" applyNumberFormat="1" applyFont="1"/>
    <xf numFmtId="41" fontId="1" fillId="0" borderId="0" xfId="2" applyNumberFormat="1" applyFont="1" applyBorder="1"/>
    <xf numFmtId="164" fontId="1" fillId="0" borderId="71" xfId="2" applyNumberFormat="1" applyFont="1" applyBorder="1"/>
    <xf numFmtId="38" fontId="1" fillId="61" borderId="47" xfId="0" applyNumberFormat="1" applyFont="1" applyFill="1" applyBorder="1"/>
    <xf numFmtId="38" fontId="1" fillId="61" borderId="31" xfId="0" applyNumberFormat="1" applyFont="1" applyFill="1" applyBorder="1"/>
    <xf numFmtId="38" fontId="1" fillId="0" borderId="47" xfId="0" applyNumberFormat="1" applyFont="1" applyBorder="1"/>
    <xf numFmtId="38" fontId="1" fillId="0" borderId="31" xfId="0" applyNumberFormat="1" applyFont="1" applyBorder="1"/>
    <xf numFmtId="38" fontId="1" fillId="0" borderId="0" xfId="0" applyNumberFormat="1" applyFont="1"/>
    <xf numFmtId="0" fontId="96" fillId="0" borderId="19" xfId="33030" applyFont="1" applyBorder="1"/>
    <xf numFmtId="172" fontId="91" fillId="0" borderId="104" xfId="33030" applyNumberFormat="1" applyFont="1" applyBorder="1"/>
    <xf numFmtId="172" fontId="91" fillId="56" borderId="105" xfId="33030" applyNumberFormat="1" applyFont="1" applyFill="1" applyBorder="1"/>
    <xf numFmtId="172" fontId="91" fillId="0" borderId="106" xfId="33030" applyNumberFormat="1" applyFont="1" applyBorder="1"/>
    <xf numFmtId="172" fontId="91" fillId="0" borderId="63" xfId="33030" applyNumberFormat="1" applyFont="1" applyBorder="1"/>
    <xf numFmtId="172" fontId="91" fillId="56" borderId="107" xfId="33030" applyNumberFormat="1" applyFont="1" applyFill="1" applyBorder="1"/>
    <xf numFmtId="172" fontId="91" fillId="0" borderId="66" xfId="33030" applyNumberFormat="1" applyFont="1" applyBorder="1"/>
    <xf numFmtId="172" fontId="91" fillId="0" borderId="69" xfId="33030" applyNumberFormat="1" applyFont="1" applyBorder="1"/>
    <xf numFmtId="164" fontId="1" fillId="0" borderId="65" xfId="2" applyNumberFormat="1" applyFont="1" applyBorder="1" applyAlignment="1">
      <alignment horizontal="center"/>
    </xf>
    <xf numFmtId="164" fontId="1" fillId="0" borderId="66" xfId="2" applyNumberFormat="1" applyFont="1" applyBorder="1" applyAlignment="1">
      <alignment horizontal="center"/>
    </xf>
    <xf numFmtId="164" fontId="1" fillId="0" borderId="68" xfId="2" applyNumberFormat="1" applyFont="1" applyBorder="1"/>
    <xf numFmtId="164" fontId="1" fillId="0" borderId="0" xfId="2" applyNumberFormat="1" applyFont="1" applyAlignment="1">
      <alignment horizontal="right"/>
    </xf>
    <xf numFmtId="164" fontId="56" fillId="61" borderId="0" xfId="2" applyNumberFormat="1" applyFont="1" applyFill="1" applyBorder="1" applyAlignment="1">
      <alignment horizontal="center" wrapText="1"/>
    </xf>
    <xf numFmtId="0" fontId="1" fillId="0" borderId="67" xfId="0" quotePrefix="1" applyFont="1" applyBorder="1" applyAlignment="1">
      <alignment horizontal="center" vertical="center"/>
    </xf>
    <xf numFmtId="164" fontId="56" fillId="0" borderId="19" xfId="0" applyNumberFormat="1" applyFont="1" applyBorder="1"/>
    <xf numFmtId="43" fontId="1" fillId="61" borderId="87" xfId="1" applyFont="1" applyFill="1" applyBorder="1"/>
    <xf numFmtId="3" fontId="1" fillId="0" borderId="71" xfId="0" applyNumberFormat="1" applyFont="1" applyBorder="1"/>
    <xf numFmtId="42" fontId="1" fillId="61" borderId="0" xfId="0" applyNumberFormat="1" applyFont="1" applyFill="1"/>
    <xf numFmtId="42" fontId="1" fillId="0" borderId="0" xfId="0" applyNumberFormat="1" applyFont="1"/>
    <xf numFmtId="42" fontId="1" fillId="61" borderId="19" xfId="0" applyNumberFormat="1" applyFont="1" applyFill="1" applyBorder="1"/>
    <xf numFmtId="42" fontId="1" fillId="0" borderId="19" xfId="0" applyNumberFormat="1" applyFont="1" applyBorder="1"/>
    <xf numFmtId="174" fontId="54" fillId="55" borderId="55" xfId="2" applyNumberFormat="1" applyFont="1" applyFill="1" applyBorder="1"/>
    <xf numFmtId="174" fontId="54" fillId="0" borderId="47" xfId="0" applyNumberFormat="1" applyFont="1" applyBorder="1"/>
    <xf numFmtId="174" fontId="54" fillId="0" borderId="47" xfId="2" applyNumberFormat="1" applyFont="1" applyBorder="1"/>
    <xf numFmtId="164" fontId="54" fillId="55" borderId="55" xfId="2" applyNumberFormat="1" applyFont="1" applyFill="1" applyBorder="1"/>
    <xf numFmtId="164" fontId="54" fillId="0" borderId="47" xfId="2" applyNumberFormat="1" applyFont="1" applyBorder="1"/>
    <xf numFmtId="0" fontId="64" fillId="55" borderId="51" xfId="0" applyFont="1" applyFill="1" applyBorder="1"/>
    <xf numFmtId="177" fontId="54" fillId="55" borderId="51" xfId="0" applyNumberFormat="1" applyFont="1" applyFill="1" applyBorder="1" applyAlignment="1">
      <alignment horizontal="center"/>
    </xf>
    <xf numFmtId="0" fontId="54" fillId="55" borderId="51" xfId="0" applyFont="1" applyFill="1" applyBorder="1" applyAlignment="1">
      <alignment horizontal="center"/>
    </xf>
    <xf numFmtId="174" fontId="54" fillId="55" borderId="58" xfId="2" applyNumberFormat="1" applyFont="1" applyFill="1" applyBorder="1"/>
    <xf numFmtId="10" fontId="1" fillId="55" borderId="51" xfId="2" applyNumberFormat="1" applyFont="1" applyFill="1" applyBorder="1"/>
    <xf numFmtId="164" fontId="1" fillId="55" borderId="63" xfId="2" applyNumberFormat="1" applyFont="1" applyFill="1" applyBorder="1"/>
    <xf numFmtId="164" fontId="1" fillId="55" borderId="63" xfId="0" applyNumberFormat="1" applyFont="1" applyFill="1" applyBorder="1"/>
    <xf numFmtId="44" fontId="1" fillId="0" borderId="71" xfId="0" applyNumberFormat="1" applyFont="1" applyBorder="1"/>
    <xf numFmtId="164" fontId="1" fillId="61" borderId="68" xfId="0" applyNumberFormat="1" applyFont="1" applyFill="1" applyBorder="1"/>
    <xf numFmtId="42" fontId="1" fillId="61" borderId="47" xfId="2" applyNumberFormat="1" applyFont="1" applyFill="1" applyBorder="1"/>
    <xf numFmtId="165" fontId="56" fillId="61" borderId="63" xfId="0" applyNumberFormat="1" applyFont="1" applyFill="1" applyBorder="1"/>
    <xf numFmtId="43" fontId="1" fillId="0" borderId="68" xfId="0" applyNumberFormat="1" applyFont="1" applyBorder="1"/>
    <xf numFmtId="10" fontId="1" fillId="61" borderId="0" xfId="3" applyNumberFormat="1" applyFont="1" applyFill="1" applyBorder="1"/>
    <xf numFmtId="8" fontId="1" fillId="0" borderId="0" xfId="3" applyNumberFormat="1" applyFont="1" applyBorder="1"/>
    <xf numFmtId="8" fontId="1" fillId="61" borderId="0" xfId="2" applyNumberFormat="1" applyFont="1" applyFill="1" applyBorder="1"/>
    <xf numFmtId="8" fontId="56" fillId="0" borderId="0" xfId="0" applyNumberFormat="1" applyFont="1"/>
    <xf numFmtId="8" fontId="56" fillId="61" borderId="67" xfId="0" applyNumberFormat="1" applyFont="1" applyFill="1" applyBorder="1"/>
    <xf numFmtId="2" fontId="0" fillId="55" borderId="47" xfId="0" applyNumberFormat="1" applyFill="1" applyBorder="1"/>
    <xf numFmtId="44" fontId="1" fillId="0" borderId="47" xfId="2" applyFont="1" applyFill="1" applyBorder="1"/>
    <xf numFmtId="177" fontId="1" fillId="55" borderId="51" xfId="0" applyNumberFormat="1" applyFont="1" applyFill="1" applyBorder="1" applyAlignment="1">
      <alignment horizontal="center"/>
    </xf>
    <xf numFmtId="44" fontId="1" fillId="58" borderId="21" xfId="2" applyFont="1" applyFill="1" applyBorder="1"/>
    <xf numFmtId="44" fontId="1" fillId="63" borderId="21" xfId="2" applyFont="1" applyFill="1" applyBorder="1"/>
    <xf numFmtId="44" fontId="1" fillId="57" borderId="21" xfId="2" applyFont="1" applyFill="1" applyBorder="1"/>
    <xf numFmtId="165" fontId="56" fillId="61" borderId="63" xfId="1" applyNumberFormat="1" applyFont="1" applyFill="1" applyBorder="1"/>
    <xf numFmtId="165" fontId="56" fillId="61" borderId="31" xfId="1" applyNumberFormat="1" applyFont="1" applyFill="1" applyBorder="1"/>
    <xf numFmtId="44" fontId="1" fillId="61" borderId="42" xfId="2" applyFont="1" applyFill="1" applyBorder="1"/>
    <xf numFmtId="44" fontId="1" fillId="0" borderId="31" xfId="2" applyFont="1" applyFill="1" applyBorder="1"/>
    <xf numFmtId="44" fontId="1" fillId="61" borderId="31" xfId="2" applyFont="1" applyFill="1" applyBorder="1"/>
    <xf numFmtId="44" fontId="56" fillId="61" borderId="45" xfId="2" applyFont="1" applyFill="1" applyBorder="1"/>
    <xf numFmtId="44" fontId="56" fillId="61" borderId="31" xfId="2" applyFont="1" applyFill="1" applyBorder="1"/>
    <xf numFmtId="44" fontId="1" fillId="61" borderId="41" xfId="2" applyFont="1" applyFill="1" applyBorder="1"/>
    <xf numFmtId="44" fontId="1" fillId="0" borderId="19" xfId="2" applyFont="1" applyFill="1" applyBorder="1"/>
    <xf numFmtId="44" fontId="56" fillId="61" borderId="19" xfId="2" applyFont="1" applyFill="1" applyBorder="1"/>
    <xf numFmtId="44" fontId="1" fillId="0" borderId="71" xfId="2" applyFont="1" applyFill="1" applyBorder="1"/>
    <xf numFmtId="0" fontId="99" fillId="0" borderId="0" xfId="0" applyFont="1"/>
    <xf numFmtId="0" fontId="98" fillId="0" borderId="0" xfId="0" applyFont="1"/>
    <xf numFmtId="0" fontId="100" fillId="0" borderId="0" xfId="33028" applyFont="1"/>
    <xf numFmtId="0" fontId="99" fillId="0" borderId="0" xfId="0" applyFont="1" applyAlignment="1">
      <alignment horizontal="right"/>
    </xf>
    <xf numFmtId="164" fontId="99" fillId="0" borderId="0" xfId="2" applyNumberFormat="1" applyFont="1" applyAlignment="1">
      <alignment horizontal="right"/>
    </xf>
    <xf numFmtId="0" fontId="98" fillId="0" borderId="41" xfId="0" applyFont="1" applyBorder="1"/>
    <xf numFmtId="0" fontId="102" fillId="0" borderId="0" xfId="0" applyFont="1"/>
    <xf numFmtId="0" fontId="98" fillId="0" borderId="45" xfId="0" applyFont="1" applyBorder="1"/>
    <xf numFmtId="0" fontId="102" fillId="0" borderId="19" xfId="0" applyFont="1" applyBorder="1"/>
    <xf numFmtId="0" fontId="98" fillId="0" borderId="65" xfId="0" applyFont="1" applyBorder="1"/>
    <xf numFmtId="0" fontId="99" fillId="0" borderId="41" xfId="0" applyFont="1" applyBorder="1"/>
    <xf numFmtId="0" fontId="98" fillId="0" borderId="19" xfId="0" applyFont="1" applyBorder="1"/>
    <xf numFmtId="43" fontId="98" fillId="0" borderId="0" xfId="0" applyNumberFormat="1" applyFont="1"/>
    <xf numFmtId="0" fontId="98" fillId="0" borderId="68" xfId="0" applyFont="1" applyBorder="1"/>
    <xf numFmtId="0" fontId="98" fillId="0" borderId="71" xfId="0" applyFont="1" applyBorder="1"/>
    <xf numFmtId="0" fontId="99" fillId="0" borderId="45" xfId="0" applyFont="1" applyBorder="1"/>
    <xf numFmtId="0" fontId="99" fillId="0" borderId="19" xfId="0" applyFont="1" applyBorder="1"/>
    <xf numFmtId="0" fontId="103" fillId="0" borderId="0" xfId="0" applyFont="1"/>
    <xf numFmtId="0" fontId="104" fillId="0" borderId="0" xfId="0" applyFont="1"/>
    <xf numFmtId="0" fontId="105" fillId="0" borderId="0" xfId="33028" applyFont="1"/>
    <xf numFmtId="0" fontId="103" fillId="0" borderId="0" xfId="0" applyFont="1" applyAlignment="1">
      <alignment horizontal="right"/>
    </xf>
    <xf numFmtId="164" fontId="103" fillId="0" borderId="0" xfId="2" applyNumberFormat="1" applyFont="1" applyAlignment="1">
      <alignment horizontal="right"/>
    </xf>
    <xf numFmtId="0" fontId="104" fillId="0" borderId="45" xfId="0" applyFont="1" applyBorder="1"/>
    <xf numFmtId="0" fontId="104" fillId="0" borderId="19" xfId="0" applyFont="1" applyBorder="1"/>
    <xf numFmtId="0" fontId="104" fillId="0" borderId="68" xfId="0" applyFont="1" applyBorder="1"/>
    <xf numFmtId="0" fontId="104" fillId="0" borderId="71" xfId="0" applyFont="1" applyBorder="1"/>
    <xf numFmtId="165" fontId="106" fillId="55" borderId="71" xfId="1" applyNumberFormat="1" applyFont="1" applyFill="1" applyBorder="1"/>
    <xf numFmtId="165" fontId="106" fillId="55" borderId="19" xfId="1" applyNumberFormat="1" applyFont="1" applyFill="1" applyBorder="1"/>
    <xf numFmtId="165" fontId="104" fillId="61" borderId="31" xfId="0" applyNumberFormat="1" applyFont="1" applyFill="1" applyBorder="1"/>
    <xf numFmtId="0" fontId="103" fillId="0" borderId="45" xfId="0" applyFont="1" applyBorder="1"/>
    <xf numFmtId="165" fontId="103" fillId="0" borderId="19" xfId="0" applyNumberFormat="1" applyFont="1" applyBorder="1"/>
    <xf numFmtId="165" fontId="103" fillId="0" borderId="31" xfId="0" applyNumberFormat="1" applyFont="1" applyBorder="1"/>
    <xf numFmtId="165" fontId="106" fillId="0" borderId="19" xfId="1" applyNumberFormat="1" applyFont="1" applyFill="1" applyBorder="1"/>
    <xf numFmtId="165" fontId="104" fillId="0" borderId="0" xfId="0" applyNumberFormat="1" applyFont="1"/>
    <xf numFmtId="165" fontId="104" fillId="0" borderId="71" xfId="1" applyNumberFormat="1" applyFont="1" applyFill="1" applyBorder="1"/>
    <xf numFmtId="165" fontId="104" fillId="61" borderId="69" xfId="0" applyNumberFormat="1" applyFont="1" applyFill="1" applyBorder="1"/>
    <xf numFmtId="165" fontId="104" fillId="0" borderId="19" xfId="1" applyNumberFormat="1" applyFont="1" applyFill="1" applyBorder="1"/>
    <xf numFmtId="165" fontId="104" fillId="61" borderId="31" xfId="1" applyNumberFormat="1" applyFont="1" applyFill="1" applyBorder="1"/>
    <xf numFmtId="165" fontId="104" fillId="61" borderId="46" xfId="0" applyNumberFormat="1" applyFont="1" applyFill="1" applyBorder="1"/>
    <xf numFmtId="165" fontId="104" fillId="0" borderId="19" xfId="0" applyNumberFormat="1" applyFont="1" applyBorder="1"/>
    <xf numFmtId="165" fontId="104" fillId="0" borderId="31" xfId="0" applyNumberFormat="1" applyFont="1" applyBorder="1"/>
    <xf numFmtId="165" fontId="104" fillId="0" borderId="46" xfId="0" applyNumberFormat="1" applyFont="1" applyBorder="1"/>
    <xf numFmtId="164" fontId="104" fillId="58" borderId="21" xfId="2" applyNumberFormat="1" applyFont="1" applyFill="1" applyBorder="1"/>
    <xf numFmtId="164" fontId="104" fillId="63" borderId="21" xfId="2" applyNumberFormat="1" applyFont="1" applyFill="1" applyBorder="1"/>
    <xf numFmtId="164" fontId="104" fillId="57" borderId="21" xfId="2" applyNumberFormat="1" applyFont="1" applyFill="1" applyBorder="1"/>
    <xf numFmtId="0" fontId="0" fillId="0" borderId="19" xfId="0" applyBorder="1"/>
    <xf numFmtId="0" fontId="99" fillId="0" borderId="47" xfId="0" applyFont="1" applyBorder="1" applyAlignment="1">
      <alignment horizontal="right"/>
    </xf>
    <xf numFmtId="44" fontId="98" fillId="58" borderId="63" xfId="2" applyFont="1" applyFill="1" applyBorder="1"/>
    <xf numFmtId="44" fontId="99" fillId="63" borderId="63" xfId="2" applyFont="1" applyFill="1" applyBorder="1"/>
    <xf numFmtId="44" fontId="98" fillId="57" borderId="63" xfId="2" applyFont="1" applyFill="1" applyBorder="1"/>
    <xf numFmtId="0" fontId="99" fillId="55" borderId="63" xfId="0" applyFont="1" applyFill="1" applyBorder="1" applyAlignment="1">
      <alignment horizontal="center"/>
    </xf>
    <xf numFmtId="0" fontId="107" fillId="0" borderId="0" xfId="0" applyFont="1"/>
    <xf numFmtId="10" fontId="99" fillId="56" borderId="31" xfId="3" applyNumberFormat="1" applyFont="1" applyFill="1" applyBorder="1" applyAlignment="1">
      <alignment horizontal="center"/>
    </xf>
    <xf numFmtId="0" fontId="102" fillId="0" borderId="0" xfId="0" applyFont="1" applyAlignment="1">
      <alignment wrapText="1"/>
    </xf>
    <xf numFmtId="43" fontId="101" fillId="0" borderId="19" xfId="1" applyFont="1" applyFill="1" applyBorder="1" applyAlignment="1">
      <alignment horizontal="centerContinuous" wrapText="1"/>
    </xf>
    <xf numFmtId="43" fontId="101" fillId="0" borderId="65" xfId="1" applyFont="1" applyFill="1" applyBorder="1" applyAlignment="1">
      <alignment horizontal="centerContinuous" wrapText="1"/>
    </xf>
    <xf numFmtId="43" fontId="101" fillId="0" borderId="63" xfId="1" applyFont="1" applyFill="1" applyBorder="1" applyAlignment="1">
      <alignment horizontal="centerContinuous" wrapText="1"/>
    </xf>
    <xf numFmtId="43" fontId="101" fillId="0" borderId="67" xfId="1" applyFont="1" applyFill="1" applyBorder="1" applyAlignment="1">
      <alignment horizontal="centerContinuous" wrapText="1"/>
    </xf>
    <xf numFmtId="165" fontId="101" fillId="0" borderId="66" xfId="1" applyNumberFormat="1" applyFont="1" applyFill="1" applyBorder="1" applyAlignment="1">
      <alignment horizontal="centerContinuous" wrapText="1"/>
    </xf>
    <xf numFmtId="0" fontId="98" fillId="0" borderId="0" xfId="0" applyFont="1" applyAlignment="1">
      <alignment wrapText="1"/>
    </xf>
    <xf numFmtId="0" fontId="101" fillId="0" borderId="0" xfId="0" applyFont="1"/>
    <xf numFmtId="43" fontId="101" fillId="0" borderId="41" xfId="1" applyFont="1" applyFill="1" applyBorder="1" applyAlignment="1">
      <alignment horizontal="right"/>
    </xf>
    <xf numFmtId="43" fontId="101" fillId="0" borderId="47" xfId="1" applyFont="1" applyFill="1" applyBorder="1" applyAlignment="1">
      <alignment horizontal="right"/>
    </xf>
    <xf numFmtId="165" fontId="101" fillId="0" borderId="42" xfId="1" applyNumberFormat="1" applyFont="1" applyFill="1" applyBorder="1" applyAlignment="1">
      <alignment horizontal="right"/>
    </xf>
    <xf numFmtId="0" fontId="108" fillId="0" borderId="0" xfId="0" applyFont="1"/>
    <xf numFmtId="0" fontId="101" fillId="0" borderId="65" xfId="0" applyFont="1" applyBorder="1"/>
    <xf numFmtId="0" fontId="102" fillId="0" borderId="67" xfId="0" applyFont="1" applyBorder="1" applyAlignment="1">
      <alignment horizontal="right"/>
    </xf>
    <xf numFmtId="0" fontId="102" fillId="0" borderId="63" xfId="0" quotePrefix="1" applyFont="1" applyBorder="1" applyAlignment="1">
      <alignment horizontal="center"/>
    </xf>
    <xf numFmtId="165" fontId="98" fillId="0" borderId="66" xfId="1" quotePrefix="1" applyNumberFormat="1" applyFont="1" applyBorder="1" applyAlignment="1">
      <alignment horizontal="center"/>
    </xf>
    <xf numFmtId="0" fontId="102" fillId="0" borderId="47" xfId="0" applyFont="1" applyBorder="1"/>
    <xf numFmtId="164" fontId="98" fillId="0" borderId="0" xfId="0" applyNumberFormat="1" applyFont="1"/>
    <xf numFmtId="164" fontId="102" fillId="0" borderId="47" xfId="0" applyNumberFormat="1" applyFont="1" applyBorder="1"/>
    <xf numFmtId="164" fontId="102" fillId="0" borderId="31" xfId="0" applyNumberFormat="1" applyFont="1" applyBorder="1"/>
    <xf numFmtId="0" fontId="101" fillId="0" borderId="67" xfId="0" applyFont="1" applyBorder="1"/>
    <xf numFmtId="164" fontId="102" fillId="0" borderId="0" xfId="0" applyNumberFormat="1" applyFont="1"/>
    <xf numFmtId="165" fontId="102" fillId="0" borderId="0" xfId="1" applyNumberFormat="1" applyFont="1" applyFill="1"/>
    <xf numFmtId="0" fontId="109" fillId="0" borderId="0" xfId="0" applyFont="1"/>
    <xf numFmtId="0" fontId="108" fillId="0" borderId="0" xfId="0" applyFont="1" applyAlignment="1">
      <alignment horizontal="center" wrapText="1"/>
    </xf>
    <xf numFmtId="0" fontId="99" fillId="0" borderId="19" xfId="0" applyFont="1" applyBorder="1" applyAlignment="1">
      <alignment horizontal="right"/>
    </xf>
    <xf numFmtId="164" fontId="98" fillId="0" borderId="0" xfId="2" applyNumberFormat="1" applyFont="1" applyBorder="1" applyAlignment="1">
      <alignment horizontal="right"/>
    </xf>
    <xf numFmtId="164" fontId="98" fillId="61" borderId="71" xfId="2" applyNumberFormat="1" applyFont="1" applyFill="1" applyBorder="1"/>
    <xf numFmtId="164" fontId="98" fillId="0" borderId="0" xfId="2" applyNumberFormat="1" applyFont="1"/>
    <xf numFmtId="164" fontId="98" fillId="61" borderId="0" xfId="2" applyNumberFormat="1" applyFont="1" applyFill="1" applyBorder="1"/>
    <xf numFmtId="164" fontId="98" fillId="0" borderId="19" xfId="2" applyNumberFormat="1" applyFont="1" applyBorder="1" applyAlignment="1">
      <alignment horizontal="right"/>
    </xf>
    <xf numFmtId="164" fontId="98" fillId="61" borderId="19" xfId="2" applyNumberFormat="1" applyFont="1" applyFill="1" applyBorder="1"/>
    <xf numFmtId="164" fontId="98" fillId="0" borderId="0" xfId="2" applyNumberFormat="1" applyFont="1" applyBorder="1"/>
    <xf numFmtId="44" fontId="98" fillId="0" borderId="0" xfId="0" applyNumberFormat="1" applyFont="1"/>
    <xf numFmtId="0" fontId="98" fillId="0" borderId="0" xfId="0" applyFont="1" applyAlignment="1">
      <alignment horizontal="right"/>
    </xf>
    <xf numFmtId="164" fontId="98" fillId="0" borderId="71" xfId="2" applyNumberFormat="1" applyFont="1" applyFill="1" applyBorder="1"/>
    <xf numFmtId="164" fontId="98" fillId="61" borderId="0" xfId="2" applyNumberFormat="1" applyFont="1" applyFill="1"/>
    <xf numFmtId="164" fontId="98" fillId="0" borderId="0" xfId="2" applyNumberFormat="1" applyFont="1" applyFill="1" applyBorder="1"/>
    <xf numFmtId="164" fontId="98" fillId="0" borderId="19" xfId="2" applyNumberFormat="1" applyFont="1" applyFill="1" applyBorder="1"/>
    <xf numFmtId="164" fontId="102" fillId="61" borderId="47" xfId="0" applyNumberFormat="1" applyFont="1" applyFill="1" applyBorder="1"/>
    <xf numFmtId="164" fontId="102" fillId="61" borderId="0" xfId="0" applyNumberFormat="1" applyFont="1" applyFill="1"/>
    <xf numFmtId="164" fontId="102" fillId="55" borderId="47" xfId="0" applyNumberFormat="1" applyFont="1" applyFill="1" applyBorder="1"/>
    <xf numFmtId="164" fontId="102" fillId="61" borderId="19" xfId="0" applyNumberFormat="1" applyFont="1" applyFill="1" applyBorder="1"/>
    <xf numFmtId="164" fontId="102" fillId="55" borderId="31" xfId="0" applyNumberFormat="1" applyFont="1" applyFill="1" applyBorder="1"/>
    <xf numFmtId="164" fontId="102" fillId="61" borderId="31" xfId="0" applyNumberFormat="1" applyFont="1" applyFill="1" applyBorder="1"/>
    <xf numFmtId="164" fontId="102" fillId="55" borderId="0" xfId="2" applyNumberFormat="1" applyFont="1" applyFill="1"/>
    <xf numFmtId="41" fontId="98" fillId="0" borderId="0" xfId="0" applyNumberFormat="1" applyFont="1"/>
    <xf numFmtId="41" fontId="98" fillId="0" borderId="0" xfId="2" applyNumberFormat="1" applyFont="1"/>
    <xf numFmtId="0" fontId="99" fillId="0" borderId="0" xfId="0" applyFont="1" applyAlignment="1">
      <alignment horizontal="left"/>
    </xf>
    <xf numFmtId="164" fontId="99" fillId="0" borderId="0" xfId="2" applyNumberFormat="1" applyFont="1"/>
    <xf numFmtId="0" fontId="99" fillId="0" borderId="68" xfId="0" applyFont="1" applyBorder="1"/>
    <xf numFmtId="0" fontId="99" fillId="0" borderId="71" xfId="0" applyFont="1" applyBorder="1" applyAlignment="1">
      <alignment horizontal="center"/>
    </xf>
    <xf numFmtId="0" fontId="98" fillId="0" borderId="0" xfId="0" applyFont="1" applyAlignment="1">
      <alignment horizontal="left"/>
    </xf>
    <xf numFmtId="0" fontId="111" fillId="0" borderId="0" xfId="0" applyFont="1" applyAlignment="1">
      <alignment horizontal="center"/>
    </xf>
    <xf numFmtId="44" fontId="99" fillId="0" borderId="41" xfId="2" applyFont="1" applyBorder="1" applyAlignment="1">
      <alignment horizontal="right"/>
    </xf>
    <xf numFmtId="0" fontId="98" fillId="0" borderId="0" xfId="0" applyFont="1" applyAlignment="1">
      <alignment horizontal="center"/>
    </xf>
    <xf numFmtId="0" fontId="107" fillId="0" borderId="0" xfId="0" applyFont="1" applyAlignment="1">
      <alignment horizontal="center"/>
    </xf>
    <xf numFmtId="0" fontId="102" fillId="0" borderId="65" xfId="0" applyFont="1" applyBorder="1" applyAlignment="1">
      <alignment horizontal="center"/>
    </xf>
    <xf numFmtId="44" fontId="98" fillId="0" borderId="46" xfId="0" applyNumberFormat="1" applyFont="1" applyBorder="1"/>
    <xf numFmtId="0" fontId="99" fillId="0" borderId="58" xfId="0" applyFont="1" applyBorder="1" applyAlignment="1">
      <alignment horizontal="center" wrapText="1"/>
    </xf>
    <xf numFmtId="0" fontId="99" fillId="0" borderId="83" xfId="0" applyFont="1" applyBorder="1" applyAlignment="1">
      <alignment wrapText="1"/>
    </xf>
    <xf numFmtId="0" fontId="99" fillId="0" borderId="55" xfId="0" applyFont="1" applyBorder="1" applyAlignment="1">
      <alignment horizontal="right" wrapText="1"/>
    </xf>
    <xf numFmtId="0" fontId="102" fillId="55" borderId="138" xfId="0" applyFont="1" applyFill="1" applyBorder="1" applyAlignment="1">
      <alignment horizontal="center"/>
    </xf>
    <xf numFmtId="0" fontId="102" fillId="55" borderId="0" xfId="0" applyFont="1" applyFill="1" applyAlignment="1">
      <alignment horizontal="left"/>
    </xf>
    <xf numFmtId="0" fontId="101" fillId="81" borderId="139" xfId="0" applyFont="1" applyFill="1" applyBorder="1" applyAlignment="1">
      <alignment horizontal="center"/>
    </xf>
    <xf numFmtId="0" fontId="101" fillId="81" borderId="117" xfId="0" applyFont="1" applyFill="1" applyBorder="1" applyAlignment="1">
      <alignment horizontal="left"/>
    </xf>
    <xf numFmtId="164" fontId="101" fillId="81" borderId="91" xfId="2" applyNumberFormat="1" applyFont="1" applyFill="1" applyBorder="1"/>
    <xf numFmtId="164" fontId="98" fillId="81" borderId="0" xfId="2" applyNumberFormat="1" applyFont="1" applyFill="1" applyBorder="1"/>
    <xf numFmtId="10" fontId="98" fillId="0" borderId="42" xfId="0" applyNumberFormat="1" applyFont="1" applyBorder="1"/>
    <xf numFmtId="0" fontId="101" fillId="84" borderId="140" xfId="0" applyFont="1" applyFill="1" applyBorder="1" applyAlignment="1">
      <alignment horizontal="center"/>
    </xf>
    <xf numFmtId="0" fontId="101" fillId="84" borderId="35" xfId="0" applyFont="1" applyFill="1" applyBorder="1" applyAlignment="1">
      <alignment horizontal="left"/>
    </xf>
    <xf numFmtId="164" fontId="101" fillId="84" borderId="48" xfId="2" applyNumberFormat="1" applyFont="1" applyFill="1" applyBorder="1"/>
    <xf numFmtId="0" fontId="102" fillId="55" borderId="141" xfId="0" applyFont="1" applyFill="1" applyBorder="1" applyAlignment="1">
      <alignment horizontal="center"/>
    </xf>
    <xf numFmtId="0" fontId="102" fillId="55" borderId="67" xfId="0" applyFont="1" applyFill="1" applyBorder="1" applyAlignment="1">
      <alignment horizontal="left"/>
    </xf>
    <xf numFmtId="0" fontId="98" fillId="0" borderId="68" xfId="0" applyFont="1" applyBorder="1" applyAlignment="1">
      <alignment wrapText="1"/>
    </xf>
    <xf numFmtId="0" fontId="98" fillId="0" borderId="71" xfId="0" applyFont="1" applyBorder="1" applyAlignment="1">
      <alignment wrapText="1"/>
    </xf>
    <xf numFmtId="0" fontId="98" fillId="0" borderId="69" xfId="0" applyFont="1" applyBorder="1" applyAlignment="1">
      <alignment wrapText="1"/>
    </xf>
    <xf numFmtId="0" fontId="99" fillId="0" borderId="0" xfId="0" applyFont="1" applyAlignment="1">
      <alignment horizontal="center" wrapText="1"/>
    </xf>
    <xf numFmtId="44" fontId="98" fillId="0" borderId="41" xfId="2" applyFont="1" applyBorder="1"/>
    <xf numFmtId="0" fontId="98" fillId="0" borderId="42" xfId="0" applyFont="1" applyBorder="1" applyAlignment="1">
      <alignment wrapText="1"/>
    </xf>
    <xf numFmtId="44" fontId="98" fillId="0" borderId="0" xfId="2" applyFont="1"/>
    <xf numFmtId="0" fontId="98" fillId="0" borderId="0" xfId="0" applyFont="1" applyAlignment="1">
      <alignment horizontal="centerContinuous"/>
    </xf>
    <xf numFmtId="44" fontId="98" fillId="0" borderId="0" xfId="2" applyFont="1" applyBorder="1" applyAlignment="1">
      <alignment wrapText="1"/>
    </xf>
    <xf numFmtId="44" fontId="98" fillId="0" borderId="42" xfId="2" applyFont="1" applyBorder="1"/>
    <xf numFmtId="0" fontId="98" fillId="55" borderId="0" xfId="0" applyFont="1" applyFill="1"/>
    <xf numFmtId="164" fontId="98" fillId="55" borderId="0" xfId="2" applyNumberFormat="1" applyFont="1" applyFill="1"/>
    <xf numFmtId="10" fontId="98" fillId="61" borderId="0" xfId="3" applyNumberFormat="1" applyFont="1" applyFill="1"/>
    <xf numFmtId="44" fontId="98" fillId="0" borderId="0" xfId="2" applyFont="1" applyBorder="1"/>
    <xf numFmtId="0" fontId="101" fillId="83" borderId="142" xfId="0" applyFont="1" applyFill="1" applyBorder="1" applyAlignment="1">
      <alignment horizontal="center"/>
    </xf>
    <xf numFmtId="0" fontId="101" fillId="83" borderId="56" xfId="0" applyFont="1" applyFill="1" applyBorder="1" applyAlignment="1">
      <alignment horizontal="left"/>
    </xf>
    <xf numFmtId="0" fontId="102" fillId="55" borderId="0" xfId="0" applyFont="1" applyFill="1"/>
    <xf numFmtId="44" fontId="98" fillId="0" borderId="0" xfId="2" applyFont="1" applyFill="1" applyBorder="1"/>
    <xf numFmtId="164" fontId="98" fillId="81" borderId="19" xfId="2" applyNumberFormat="1" applyFont="1" applyFill="1" applyBorder="1"/>
    <xf numFmtId="10" fontId="98" fillId="0" borderId="46" xfId="0" applyNumberFormat="1" applyFont="1" applyBorder="1"/>
    <xf numFmtId="0" fontId="99" fillId="0" borderId="45" xfId="0" applyFont="1" applyBorder="1" applyAlignment="1">
      <alignment horizontal="right"/>
    </xf>
    <xf numFmtId="164" fontId="99" fillId="61" borderId="54" xfId="2" applyNumberFormat="1" applyFont="1" applyFill="1" applyBorder="1"/>
    <xf numFmtId="44" fontId="102" fillId="0" borderId="0" xfId="2" applyFont="1" applyBorder="1"/>
    <xf numFmtId="164" fontId="99" fillId="0" borderId="19" xfId="0" applyNumberFormat="1" applyFont="1" applyBorder="1"/>
    <xf numFmtId="0" fontId="98" fillId="0" borderId="46" xfId="0" applyFont="1" applyBorder="1"/>
    <xf numFmtId="164" fontId="98" fillId="55" borderId="19" xfId="2" applyNumberFormat="1" applyFont="1" applyFill="1" applyBorder="1"/>
    <xf numFmtId="10" fontId="98" fillId="61" borderId="19" xfId="3" applyNumberFormat="1" applyFont="1" applyFill="1" applyBorder="1"/>
    <xf numFmtId="0" fontId="99" fillId="0" borderId="58" xfId="0" applyFont="1" applyBorder="1" applyAlignment="1">
      <alignment horizontal="center"/>
    </xf>
    <xf numFmtId="0" fontId="99" fillId="0" borderId="83" xfId="0" applyFont="1" applyBorder="1"/>
    <xf numFmtId="164" fontId="99" fillId="61" borderId="55" xfId="2" applyNumberFormat="1" applyFont="1" applyFill="1" applyBorder="1"/>
    <xf numFmtId="173" fontId="99" fillId="61" borderId="134" xfId="3" applyNumberFormat="1" applyFont="1" applyFill="1" applyBorder="1"/>
    <xf numFmtId="164" fontId="99" fillId="61" borderId="0" xfId="2" applyNumberFormat="1" applyFont="1" applyFill="1"/>
    <xf numFmtId="10" fontId="99" fillId="61" borderId="0" xfId="0" applyNumberFormat="1" applyFont="1" applyFill="1"/>
    <xf numFmtId="44" fontId="98" fillId="0" borderId="45" xfId="2" applyFont="1" applyBorder="1"/>
    <xf numFmtId="44" fontId="102" fillId="0" borderId="19" xfId="2" applyFont="1" applyBorder="1"/>
    <xf numFmtId="44" fontId="98" fillId="0" borderId="46" xfId="2" applyFont="1" applyBorder="1"/>
    <xf numFmtId="0" fontId="99" fillId="0" borderId="0" xfId="0" applyFont="1" applyAlignment="1">
      <alignment horizontal="center"/>
    </xf>
    <xf numFmtId="0" fontId="102" fillId="0" borderId="0" xfId="0" applyFont="1" applyAlignment="1">
      <alignment horizontal="left"/>
    </xf>
    <xf numFmtId="164" fontId="98" fillId="0" borderId="45" xfId="0" applyNumberFormat="1" applyFont="1" applyBorder="1" applyAlignment="1">
      <alignment horizontal="right"/>
    </xf>
    <xf numFmtId="44" fontId="98" fillId="0" borderId="69" xfId="0" applyNumberFormat="1" applyFont="1" applyBorder="1"/>
    <xf numFmtId="164" fontId="99" fillId="0" borderId="0" xfId="2" applyNumberFormat="1" applyFont="1" applyFill="1" applyBorder="1"/>
    <xf numFmtId="0" fontId="99" fillId="0" borderId="143" xfId="0" applyFont="1" applyBorder="1" applyAlignment="1">
      <alignment horizontal="right" wrapText="1"/>
    </xf>
    <xf numFmtId="10" fontId="98" fillId="0" borderId="66" xfId="3" applyNumberFormat="1" applyFont="1" applyBorder="1"/>
    <xf numFmtId="0" fontId="98" fillId="0" borderId="66" xfId="0" applyFont="1" applyBorder="1"/>
    <xf numFmtId="0" fontId="98" fillId="0" borderId="42" xfId="0" applyFont="1" applyBorder="1"/>
    <xf numFmtId="164" fontId="98" fillId="0" borderId="42" xfId="0" applyNumberFormat="1" applyFont="1" applyBorder="1"/>
    <xf numFmtId="0" fontId="98" fillId="0" borderId="31" xfId="0" applyFont="1" applyBorder="1"/>
    <xf numFmtId="0" fontId="101" fillId="0" borderId="0" xfId="0" applyFont="1" applyAlignment="1">
      <alignment horizontal="right"/>
    </xf>
    <xf numFmtId="0" fontId="112" fillId="0" borderId="0" xfId="0" applyFont="1"/>
    <xf numFmtId="0" fontId="101" fillId="0" borderId="0" xfId="0" applyFont="1" applyAlignment="1">
      <alignment horizontal="left"/>
    </xf>
    <xf numFmtId="174" fontId="108" fillId="0" borderId="0" xfId="3" applyNumberFormat="1" applyFont="1" applyFill="1" applyBorder="1"/>
    <xf numFmtId="174" fontId="113" fillId="0" borderId="0" xfId="0" applyNumberFormat="1" applyFont="1"/>
    <xf numFmtId="174" fontId="108" fillId="0" borderId="0" xfId="0" applyNumberFormat="1" applyFont="1"/>
    <xf numFmtId="0" fontId="114" fillId="0" borderId="0" xfId="0" applyFont="1" applyAlignment="1">
      <alignment horizontal="centerContinuous"/>
    </xf>
    <xf numFmtId="188" fontId="98" fillId="55" borderId="63" xfId="0" applyNumberFormat="1" applyFont="1" applyFill="1" applyBorder="1"/>
    <xf numFmtId="0" fontId="99" fillId="0" borderId="23" xfId="0" applyFont="1" applyBorder="1" applyAlignment="1">
      <alignment horizontal="center" wrapText="1"/>
    </xf>
    <xf numFmtId="0" fontId="99" fillId="0" borderId="37" xfId="0" applyFont="1" applyBorder="1" applyAlignment="1">
      <alignment horizontal="right" wrapText="1"/>
    </xf>
    <xf numFmtId="0" fontId="99" fillId="0" borderId="56" xfId="0" applyFont="1" applyBorder="1" applyAlignment="1">
      <alignment horizontal="right" wrapText="1"/>
    </xf>
    <xf numFmtId="0" fontId="99" fillId="0" borderId="38" xfId="0" applyFont="1" applyBorder="1" applyAlignment="1">
      <alignment horizontal="right" wrapText="1"/>
    </xf>
    <xf numFmtId="43" fontId="102" fillId="55" borderId="21" xfId="1" applyFont="1" applyFill="1" applyBorder="1"/>
    <xf numFmtId="43" fontId="98" fillId="0" borderId="21" xfId="1" applyFont="1" applyFill="1" applyBorder="1"/>
    <xf numFmtId="10" fontId="98" fillId="61" borderId="76" xfId="3" applyNumberFormat="1" applyFont="1" applyFill="1" applyBorder="1"/>
    <xf numFmtId="173" fontId="98" fillId="61" borderId="61" xfId="3" applyNumberFormat="1" applyFont="1" applyFill="1" applyBorder="1"/>
    <xf numFmtId="173" fontId="98" fillId="61" borderId="62" xfId="3" applyNumberFormat="1" applyFont="1" applyFill="1" applyBorder="1"/>
    <xf numFmtId="165" fontId="115" fillId="0" borderId="0" xfId="1" applyNumberFormat="1" applyFont="1"/>
    <xf numFmtId="165" fontId="115" fillId="0" borderId="0" xfId="0" applyNumberFormat="1" applyFont="1"/>
    <xf numFmtId="10" fontId="98" fillId="61" borderId="32" xfId="3" applyNumberFormat="1" applyFont="1" applyFill="1" applyBorder="1"/>
    <xf numFmtId="173" fontId="98" fillId="61" borderId="0" xfId="3" applyNumberFormat="1" applyFont="1" applyFill="1" applyBorder="1"/>
    <xf numFmtId="173" fontId="98" fillId="61" borderId="33" xfId="3" applyNumberFormat="1" applyFont="1" applyFill="1" applyBorder="1"/>
    <xf numFmtId="0" fontId="98" fillId="0" borderId="69" xfId="0" applyFont="1" applyBorder="1"/>
    <xf numFmtId="0" fontId="99" fillId="0" borderId="69" xfId="0" applyFont="1" applyBorder="1"/>
    <xf numFmtId="0" fontId="98" fillId="61" borderId="0" xfId="0" applyFont="1" applyFill="1"/>
    <xf numFmtId="43" fontId="102" fillId="61" borderId="21" xfId="1" applyFont="1" applyFill="1" applyBorder="1"/>
    <xf numFmtId="43" fontId="98" fillId="61" borderId="21" xfId="1" applyFont="1" applyFill="1" applyBorder="1"/>
    <xf numFmtId="165" fontId="116" fillId="0" borderId="0" xfId="1" applyNumberFormat="1" applyFont="1"/>
    <xf numFmtId="165" fontId="116" fillId="0" borderId="0" xfId="0" applyNumberFormat="1" applyFont="1"/>
    <xf numFmtId="0" fontId="98" fillId="55" borderId="23" xfId="0" applyFont="1" applyFill="1" applyBorder="1"/>
    <xf numFmtId="0" fontId="98" fillId="61" borderId="23" xfId="0" applyFont="1" applyFill="1" applyBorder="1"/>
    <xf numFmtId="43" fontId="102" fillId="56" borderId="81" xfId="1" applyFont="1" applyFill="1" applyBorder="1"/>
    <xf numFmtId="43" fontId="98" fillId="56" borderId="81" xfId="1" applyFont="1" applyFill="1" applyBorder="1"/>
    <xf numFmtId="43" fontId="98" fillId="0" borderId="0" xfId="1" applyFont="1" applyFill="1" applyBorder="1" applyAlignment="1"/>
    <xf numFmtId="10" fontId="98" fillId="56" borderId="34" xfId="3" applyNumberFormat="1" applyFont="1" applyFill="1" applyBorder="1"/>
    <xf numFmtId="173" fontId="98" fillId="56" borderId="35" xfId="3" applyNumberFormat="1" applyFont="1" applyFill="1" applyBorder="1"/>
    <xf numFmtId="173" fontId="98" fillId="56" borderId="36" xfId="3" applyNumberFormat="1" applyFont="1" applyFill="1" applyBorder="1"/>
    <xf numFmtId="165" fontId="114" fillId="0" borderId="0" xfId="0" applyNumberFormat="1" applyFont="1"/>
    <xf numFmtId="43" fontId="117" fillId="0" borderId="80" xfId="1" applyFont="1" applyFill="1" applyBorder="1" applyAlignment="1"/>
    <xf numFmtId="43" fontId="98" fillId="0" borderId="80" xfId="1" applyFont="1" applyFill="1" applyBorder="1" applyAlignment="1"/>
    <xf numFmtId="0" fontId="98" fillId="0" borderId="61" xfId="0" applyFont="1" applyBorder="1"/>
    <xf numFmtId="43" fontId="98" fillId="0" borderId="62" xfId="0" applyNumberFormat="1" applyFont="1" applyBorder="1"/>
    <xf numFmtId="4" fontId="117" fillId="0" borderId="0" xfId="0" applyNumberFormat="1" applyFont="1"/>
    <xf numFmtId="4" fontId="101" fillId="0" borderId="0" xfId="0" applyNumberFormat="1" applyFont="1"/>
    <xf numFmtId="0" fontId="108" fillId="0" borderId="32" xfId="0" applyFont="1" applyBorder="1"/>
    <xf numFmtId="43" fontId="98" fillId="0" borderId="33" xfId="1" applyFont="1" applyFill="1" applyBorder="1"/>
    <xf numFmtId="0" fontId="99" fillId="0" borderId="23" xfId="0" applyFont="1" applyBorder="1" applyAlignment="1">
      <alignment horizontal="center"/>
    </xf>
    <xf numFmtId="0" fontId="99" fillId="0" borderId="23" xfId="0" applyFont="1" applyBorder="1"/>
    <xf numFmtId="4" fontId="118" fillId="0" borderId="0" xfId="0" applyNumberFormat="1" applyFont="1"/>
    <xf numFmtId="0" fontId="108" fillId="0" borderId="34" xfId="0" applyFont="1" applyBorder="1"/>
    <xf numFmtId="0" fontId="98" fillId="0" borderId="35" xfId="0" applyFont="1" applyBorder="1"/>
    <xf numFmtId="43" fontId="98" fillId="0" borderId="36" xfId="0" applyNumberFormat="1" applyFont="1" applyBorder="1"/>
    <xf numFmtId="0" fontId="98" fillId="55" borderId="0" xfId="0" applyFont="1" applyFill="1" applyAlignment="1">
      <alignment horizontal="center"/>
    </xf>
    <xf numFmtId="43" fontId="98" fillId="0" borderId="0" xfId="0" applyNumberFormat="1" applyFont="1" applyAlignment="1">
      <alignment horizontal="left"/>
    </xf>
    <xf numFmtId="165" fontId="119" fillId="0" borderId="0" xfId="0" applyNumberFormat="1" applyFont="1"/>
    <xf numFmtId="165" fontId="98" fillId="0" borderId="0" xfId="0" applyNumberFormat="1" applyFont="1"/>
    <xf numFmtId="0" fontId="99" fillId="0" borderId="42" xfId="0" applyFont="1" applyBorder="1"/>
    <xf numFmtId="0" fontId="98" fillId="55" borderId="23" xfId="0" applyFont="1" applyFill="1" applyBorder="1" applyAlignment="1">
      <alignment horizontal="center"/>
    </xf>
    <xf numFmtId="0" fontId="98" fillId="55" borderId="146" xfId="0" applyFont="1" applyFill="1" applyBorder="1"/>
    <xf numFmtId="43" fontId="102" fillId="55" borderId="40" xfId="1" applyFont="1" applyFill="1" applyBorder="1"/>
    <xf numFmtId="43" fontId="98" fillId="0" borderId="40" xfId="1" applyFont="1" applyFill="1" applyBorder="1"/>
    <xf numFmtId="43" fontId="101" fillId="61" borderId="81" xfId="1" applyFont="1" applyFill="1" applyBorder="1"/>
    <xf numFmtId="43" fontId="99" fillId="61" borderId="81" xfId="1" applyFont="1" applyFill="1" applyBorder="1"/>
    <xf numFmtId="43" fontId="118" fillId="0" borderId="0" xfId="0" applyNumberFormat="1" applyFont="1" applyAlignment="1">
      <alignment horizontal="center"/>
    </xf>
    <xf numFmtId="0" fontId="101" fillId="0" borderId="0" xfId="0" applyFont="1" applyAlignment="1">
      <alignment horizontal="center"/>
    </xf>
    <xf numFmtId="43" fontId="117" fillId="0" borderId="0" xfId="1" applyFont="1" applyFill="1" applyBorder="1" applyAlignment="1"/>
    <xf numFmtId="43" fontId="102" fillId="0" borderId="0" xfId="1" applyFont="1" applyFill="1" applyBorder="1" applyAlignment="1"/>
    <xf numFmtId="165" fontId="98" fillId="0" borderId="0" xfId="1" applyNumberFormat="1" applyFont="1" applyFill="1" applyBorder="1"/>
    <xf numFmtId="43" fontId="101" fillId="0" borderId="0" xfId="1" applyFont="1" applyFill="1" applyBorder="1"/>
    <xf numFmtId="43" fontId="99" fillId="0" borderId="0" xfId="1" applyFont="1" applyFill="1" applyBorder="1"/>
    <xf numFmtId="43" fontId="120" fillId="0" borderId="0" xfId="1" applyFont="1" applyFill="1" applyBorder="1" applyAlignment="1"/>
    <xf numFmtId="43" fontId="102" fillId="0" borderId="21" xfId="1" applyFont="1" applyFill="1" applyBorder="1"/>
    <xf numFmtId="43" fontId="98" fillId="0" borderId="0" xfId="1" applyFont="1" applyFill="1" applyBorder="1"/>
    <xf numFmtId="4" fontId="98" fillId="0" borderId="0" xfId="0" applyNumberFormat="1" applyFont="1"/>
    <xf numFmtId="43" fontId="121" fillId="0" borderId="0" xfId="1" applyFont="1" applyFill="1" applyBorder="1"/>
    <xf numFmtId="4" fontId="102" fillId="0" borderId="0" xfId="0" applyNumberFormat="1" applyFont="1"/>
    <xf numFmtId="165" fontId="122" fillId="0" borderId="0" xfId="1" applyNumberFormat="1" applyFont="1" applyFill="1" applyBorder="1"/>
    <xf numFmtId="43" fontId="98" fillId="75" borderId="21" xfId="1" applyFont="1" applyFill="1" applyBorder="1"/>
    <xf numFmtId="43" fontId="102" fillId="75" borderId="21" xfId="1" applyFont="1" applyFill="1" applyBorder="1"/>
    <xf numFmtId="0" fontId="110" fillId="0" borderId="0" xfId="0" applyFont="1" applyAlignment="1">
      <alignment horizontal="left"/>
    </xf>
    <xf numFmtId="0" fontId="110" fillId="0" borderId="0" xfId="0" applyFont="1" applyAlignment="1">
      <alignment horizontal="center"/>
    </xf>
    <xf numFmtId="0" fontId="110" fillId="61" borderId="0" xfId="0" applyFont="1" applyFill="1"/>
    <xf numFmtId="43" fontId="110" fillId="0" borderId="21" xfId="1" applyFont="1" applyFill="1" applyBorder="1"/>
    <xf numFmtId="43" fontId="110" fillId="75" borderId="21" xfId="1" applyFont="1" applyFill="1" applyBorder="1"/>
    <xf numFmtId="41" fontId="117" fillId="0" borderId="0" xfId="2" applyNumberFormat="1" applyFont="1"/>
    <xf numFmtId="165" fontId="123" fillId="0" borderId="0" xfId="1" applyNumberFormat="1" applyFont="1" applyFill="1" applyBorder="1"/>
    <xf numFmtId="0" fontId="124" fillId="0" borderId="0" xfId="0" applyFont="1" applyAlignment="1">
      <alignment horizontal="center"/>
    </xf>
    <xf numFmtId="0" fontId="98" fillId="0" borderId="51" xfId="0" applyFont="1" applyBorder="1"/>
    <xf numFmtId="0" fontId="99" fillId="0" borderId="68" xfId="0" applyFont="1" applyBorder="1" applyAlignment="1">
      <alignment horizontal="right"/>
    </xf>
    <xf numFmtId="0" fontId="99" fillId="0" borderId="71" xfId="0" applyFont="1" applyBorder="1"/>
    <xf numFmtId="0" fontId="99" fillId="0" borderId="71" xfId="0" applyFont="1" applyBorder="1" applyAlignment="1">
      <alignment horizontal="right"/>
    </xf>
    <xf numFmtId="0" fontId="99" fillId="0" borderId="41" xfId="0" applyFont="1" applyBorder="1" applyAlignment="1">
      <alignment horizontal="right"/>
    </xf>
    <xf numFmtId="0" fontId="99" fillId="0" borderId="42" xfId="0" applyFont="1" applyBorder="1" applyAlignment="1">
      <alignment horizontal="right"/>
    </xf>
    <xf numFmtId="0" fontId="98" fillId="0" borderId="41" xfId="0" applyFont="1" applyBorder="1" applyAlignment="1">
      <alignment horizontal="right"/>
    </xf>
    <xf numFmtId="174" fontId="98" fillId="0" borderId="55" xfId="2" applyNumberFormat="1" applyFont="1" applyFill="1" applyBorder="1"/>
    <xf numFmtId="174" fontId="101" fillId="0" borderId="51" xfId="2" applyNumberFormat="1" applyFont="1" applyFill="1" applyBorder="1"/>
    <xf numFmtId="174" fontId="102" fillId="61" borderId="57" xfId="0" applyNumberFormat="1" applyFont="1" applyFill="1" applyBorder="1"/>
    <xf numFmtId="10" fontId="102" fillId="61" borderId="55" xfId="3" applyNumberFormat="1" applyFont="1" applyFill="1" applyBorder="1"/>
    <xf numFmtId="174" fontId="99" fillId="0" borderId="47" xfId="0" applyNumberFormat="1" applyFont="1" applyBorder="1" applyAlignment="1">
      <alignment horizontal="center"/>
    </xf>
    <xf numFmtId="174" fontId="98" fillId="0" borderId="42" xfId="0" applyNumberFormat="1" applyFont="1" applyBorder="1"/>
    <xf numFmtId="0" fontId="98" fillId="0" borderId="47" xfId="0" applyFont="1" applyBorder="1"/>
    <xf numFmtId="164" fontId="102" fillId="0" borderId="51" xfId="2" applyNumberFormat="1" applyFont="1" applyFill="1" applyBorder="1"/>
    <xf numFmtId="174" fontId="99" fillId="0" borderId="47" xfId="2" applyNumberFormat="1" applyFont="1" applyFill="1" applyBorder="1"/>
    <xf numFmtId="10" fontId="98" fillId="61" borderId="52" xfId="3" applyNumberFormat="1" applyFont="1" applyFill="1" applyBorder="1"/>
    <xf numFmtId="0" fontId="99" fillId="0" borderId="41" xfId="0" applyFont="1" applyBorder="1" applyAlignment="1">
      <alignment horizontal="center"/>
    </xf>
    <xf numFmtId="0" fontId="99" fillId="0" borderId="47" xfId="0" applyFont="1" applyBorder="1" applyAlignment="1">
      <alignment horizontal="center"/>
    </xf>
    <xf numFmtId="0" fontId="99" fillId="0" borderId="42" xfId="0" applyFont="1" applyBorder="1" applyAlignment="1">
      <alignment horizontal="center"/>
    </xf>
    <xf numFmtId="165" fontId="102" fillId="0" borderId="0" xfId="1" applyNumberFormat="1" applyFont="1" applyFill="1" applyBorder="1"/>
    <xf numFmtId="44" fontId="98" fillId="0" borderId="55" xfId="2" applyFont="1" applyFill="1" applyBorder="1"/>
    <xf numFmtId="44" fontId="101" fillId="0" borderId="51" xfId="2" applyFont="1" applyFill="1" applyBorder="1"/>
    <xf numFmtId="164" fontId="102" fillId="61" borderId="57" xfId="0" applyNumberFormat="1" applyFont="1" applyFill="1" applyBorder="1"/>
    <xf numFmtId="44" fontId="99" fillId="0" borderId="47" xfId="2" applyFont="1" applyFill="1" applyBorder="1"/>
    <xf numFmtId="10" fontId="98" fillId="61" borderId="51" xfId="2" applyNumberFormat="1" applyFont="1" applyFill="1" applyBorder="1"/>
    <xf numFmtId="164" fontId="102" fillId="61" borderId="57" xfId="2" applyNumberFormat="1" applyFont="1" applyFill="1" applyBorder="1"/>
    <xf numFmtId="164" fontId="98" fillId="61" borderId="77" xfId="1" applyNumberFormat="1" applyFont="1" applyFill="1" applyBorder="1"/>
    <xf numFmtId="164" fontId="98" fillId="0" borderId="42" xfId="2" applyNumberFormat="1" applyFont="1" applyBorder="1"/>
    <xf numFmtId="10" fontId="98" fillId="0" borderId="0" xfId="2" applyNumberFormat="1" applyFont="1" applyFill="1" applyBorder="1"/>
    <xf numFmtId="0" fontId="99" fillId="0" borderId="69" xfId="0" applyFont="1" applyBorder="1" applyAlignment="1">
      <alignment horizontal="right"/>
    </xf>
    <xf numFmtId="44" fontId="99" fillId="0" borderId="0" xfId="0" applyNumberFormat="1" applyFont="1"/>
    <xf numFmtId="164" fontId="98" fillId="0" borderId="70" xfId="3" applyNumberFormat="1" applyFont="1" applyFill="1" applyBorder="1"/>
    <xf numFmtId="164" fontId="98" fillId="61" borderId="52" xfId="1" applyNumberFormat="1" applyFont="1" applyFill="1" applyBorder="1"/>
    <xf numFmtId="10" fontId="99" fillId="0" borderId="71" xfId="3" applyNumberFormat="1" applyFont="1" applyBorder="1"/>
    <xf numFmtId="44" fontId="98" fillId="0" borderId="0" xfId="2" applyFont="1" applyFill="1" applyAlignment="1"/>
    <xf numFmtId="164" fontId="99" fillId="0" borderId="47" xfId="0" applyNumberFormat="1" applyFont="1" applyBorder="1"/>
    <xf numFmtId="0" fontId="99" fillId="0" borderId="19" xfId="0" applyFont="1" applyBorder="1" applyAlignment="1">
      <alignment horizontal="center"/>
    </xf>
    <xf numFmtId="10" fontId="99" fillId="0" borderId="19" xfId="3" applyNumberFormat="1" applyFont="1" applyBorder="1"/>
    <xf numFmtId="43" fontId="98" fillId="0" borderId="55" xfId="1" applyFont="1" applyFill="1" applyBorder="1"/>
    <xf numFmtId="4" fontId="101" fillId="0" borderId="51" xfId="2" applyNumberFormat="1" applyFont="1" applyFill="1" applyBorder="1"/>
    <xf numFmtId="165" fontId="102" fillId="61" borderId="57" xfId="1" applyNumberFormat="1" applyFont="1" applyFill="1" applyBorder="1"/>
    <xf numFmtId="10" fontId="98" fillId="0" borderId="0" xfId="3" applyNumberFormat="1" applyFont="1" applyBorder="1"/>
    <xf numFmtId="44" fontId="98" fillId="0" borderId="42" xfId="0" applyNumberFormat="1" applyFont="1" applyBorder="1"/>
    <xf numFmtId="4" fontId="99" fillId="0" borderId="47" xfId="1" applyNumberFormat="1" applyFont="1" applyFill="1" applyBorder="1"/>
    <xf numFmtId="165" fontId="98" fillId="0" borderId="42" xfId="1" applyNumberFormat="1" applyFont="1" applyBorder="1"/>
    <xf numFmtId="0" fontId="98" fillId="0" borderId="71" xfId="0" applyFont="1" applyBorder="1" applyAlignment="1">
      <alignment horizontal="center"/>
    </xf>
    <xf numFmtId="10" fontId="98" fillId="0" borderId="71" xfId="3" applyNumberFormat="1" applyFont="1" applyBorder="1"/>
    <xf numFmtId="0" fontId="98" fillId="0" borderId="64" xfId="0" applyFont="1" applyBorder="1" applyAlignment="1">
      <alignment horizontal="right"/>
    </xf>
    <xf numFmtId="0" fontId="98" fillId="0" borderId="45" xfId="0" applyFont="1" applyBorder="1" applyAlignment="1">
      <alignment horizontal="right"/>
    </xf>
    <xf numFmtId="0" fontId="98" fillId="0" borderId="19" xfId="0" applyFont="1" applyBorder="1" applyAlignment="1">
      <alignment horizontal="center"/>
    </xf>
    <xf numFmtId="10" fontId="98" fillId="0" borderId="46" xfId="3" applyNumberFormat="1" applyFont="1" applyBorder="1"/>
    <xf numFmtId="43" fontId="98" fillId="0" borderId="0" xfId="3" applyNumberFormat="1" applyFont="1" applyBorder="1"/>
    <xf numFmtId="164" fontId="98" fillId="0" borderId="31" xfId="0" applyNumberFormat="1" applyFont="1" applyBorder="1"/>
    <xf numFmtId="0" fontId="98" fillId="0" borderId="19" xfId="0" applyFont="1" applyBorder="1" applyAlignment="1">
      <alignment horizontal="right"/>
    </xf>
    <xf numFmtId="187" fontId="98" fillId="0" borderId="89" xfId="1" applyNumberFormat="1" applyFont="1" applyFill="1" applyBorder="1"/>
    <xf numFmtId="43" fontId="99" fillId="0" borderId="89" xfId="3" applyNumberFormat="1" applyFont="1" applyBorder="1"/>
    <xf numFmtId="43" fontId="98" fillId="61" borderId="87" xfId="1" applyFont="1" applyFill="1" applyBorder="1"/>
    <xf numFmtId="164" fontId="107" fillId="0" borderId="0" xfId="2" applyNumberFormat="1" applyFont="1" applyFill="1" applyBorder="1"/>
    <xf numFmtId="177" fontId="98" fillId="0" borderId="51" xfId="0" applyNumberFormat="1" applyFont="1" applyBorder="1" applyAlignment="1">
      <alignment horizontal="center"/>
    </xf>
    <xf numFmtId="177" fontId="99" fillId="0" borderId="51" xfId="0" applyNumberFormat="1" applyFont="1" applyBorder="1" applyAlignment="1">
      <alignment horizontal="center"/>
    </xf>
    <xf numFmtId="0" fontId="101" fillId="0" borderId="52" xfId="0" applyFont="1" applyBorder="1" applyAlignment="1">
      <alignment horizontal="center"/>
    </xf>
    <xf numFmtId="0" fontId="125" fillId="0" borderId="0" xfId="0" applyFont="1" applyAlignment="1">
      <alignment horizontal="center"/>
    </xf>
    <xf numFmtId="174" fontId="98" fillId="0" borderId="58" xfId="2" applyNumberFormat="1" applyFont="1" applyFill="1" applyBorder="1"/>
    <xf numFmtId="164" fontId="98" fillId="61" borderId="60" xfId="0" applyNumberFormat="1" applyFont="1" applyFill="1" applyBorder="1"/>
    <xf numFmtId="164" fontId="125" fillId="0" borderId="64" xfId="0" applyNumberFormat="1" applyFont="1" applyBorder="1"/>
    <xf numFmtId="164" fontId="98" fillId="61" borderId="60" xfId="2" applyNumberFormat="1" applyFont="1" applyFill="1" applyBorder="1"/>
    <xf numFmtId="164" fontId="125" fillId="0" borderId="64" xfId="2" applyNumberFormat="1" applyFont="1" applyFill="1" applyBorder="1"/>
    <xf numFmtId="0" fontId="98" fillId="0" borderId="79" xfId="0" applyFont="1" applyBorder="1" applyAlignment="1">
      <alignment horizontal="center"/>
    </xf>
    <xf numFmtId="10" fontId="99" fillId="0" borderId="0" xfId="3" applyNumberFormat="1" applyFont="1" applyBorder="1"/>
    <xf numFmtId="184" fontId="98" fillId="0" borderId="0" xfId="0" applyNumberFormat="1" applyFont="1"/>
    <xf numFmtId="0" fontId="98" fillId="0" borderId="32" xfId="0" applyFont="1" applyBorder="1" applyAlignment="1">
      <alignment horizontal="right"/>
    </xf>
    <xf numFmtId="164" fontId="98" fillId="61" borderId="78" xfId="1" applyNumberFormat="1" applyFont="1" applyFill="1" applyBorder="1"/>
    <xf numFmtId="0" fontId="98" fillId="71" borderId="51" xfId="0" applyFont="1" applyFill="1" applyBorder="1" applyAlignment="1">
      <alignment horizontal="center"/>
    </xf>
    <xf numFmtId="164" fontId="102" fillId="61" borderId="51" xfId="2" applyNumberFormat="1" applyFont="1" applyFill="1" applyBorder="1"/>
    <xf numFmtId="0" fontId="126" fillId="0" borderId="0" xfId="0" applyFont="1"/>
    <xf numFmtId="37" fontId="98" fillId="61" borderId="51" xfId="2" applyNumberFormat="1" applyFont="1" applyFill="1" applyBorder="1" applyAlignment="1">
      <alignment horizontal="center"/>
    </xf>
    <xf numFmtId="177" fontId="98" fillId="0" borderId="0" xfId="0" applyNumberFormat="1" applyFont="1"/>
    <xf numFmtId="164" fontId="98" fillId="61" borderId="59" xfId="1" applyNumberFormat="1" applyFont="1" applyFill="1" applyBorder="1"/>
    <xf numFmtId="44" fontId="98" fillId="61" borderId="87" xfId="1" applyNumberFormat="1" applyFont="1" applyFill="1" applyBorder="1"/>
    <xf numFmtId="188" fontId="98" fillId="61" borderId="88" xfId="3" applyNumberFormat="1" applyFont="1" applyFill="1" applyBorder="1"/>
    <xf numFmtId="165" fontId="99" fillId="0" borderId="0" xfId="1" applyNumberFormat="1" applyFont="1" applyAlignment="1">
      <alignment horizontal="right"/>
    </xf>
    <xf numFmtId="44" fontId="99" fillId="0" borderId="0" xfId="2" applyFont="1"/>
    <xf numFmtId="44" fontId="98" fillId="58" borderId="21" xfId="2" applyFont="1" applyFill="1" applyBorder="1"/>
    <xf numFmtId="44" fontId="98" fillId="57" borderId="21" xfId="2" applyFont="1" applyFill="1" applyBorder="1"/>
    <xf numFmtId="164" fontId="101" fillId="0" borderId="30" xfId="2" applyNumberFormat="1" applyFont="1" applyFill="1" applyBorder="1"/>
    <xf numFmtId="43" fontId="99" fillId="0" borderId="0" xfId="1" applyFont="1" applyAlignment="1">
      <alignment horizontal="right"/>
    </xf>
    <xf numFmtId="0" fontId="98" fillId="0" borderId="0" xfId="0" applyFont="1" applyAlignment="1">
      <alignment vertical="center"/>
    </xf>
    <xf numFmtId="165" fontId="98" fillId="0" borderId="0" xfId="1" applyNumberFormat="1" applyFont="1"/>
    <xf numFmtId="164" fontId="98" fillId="0" borderId="71" xfId="0" applyNumberFormat="1" applyFont="1" applyBorder="1"/>
    <xf numFmtId="165" fontId="98" fillId="0" borderId="71" xfId="1" applyNumberFormat="1" applyFont="1" applyFill="1" applyBorder="1"/>
    <xf numFmtId="164" fontId="98" fillId="61" borderId="69" xfId="0" applyNumberFormat="1" applyFont="1" applyFill="1" applyBorder="1"/>
    <xf numFmtId="164" fontId="98" fillId="61" borderId="42" xfId="0" applyNumberFormat="1" applyFont="1" applyFill="1" applyBorder="1"/>
    <xf numFmtId="164" fontId="98" fillId="0" borderId="19" xfId="0" applyNumberFormat="1" applyFont="1" applyBorder="1"/>
    <xf numFmtId="165" fontId="98" fillId="0" borderId="19" xfId="1" applyNumberFormat="1" applyFont="1" applyFill="1" applyBorder="1"/>
    <xf numFmtId="164" fontId="98" fillId="61" borderId="46" xfId="0" applyNumberFormat="1" applyFont="1" applyFill="1" applyBorder="1"/>
    <xf numFmtId="164" fontId="99" fillId="61" borderId="19" xfId="0" applyNumberFormat="1" applyFont="1" applyFill="1" applyBorder="1"/>
    <xf numFmtId="165" fontId="99" fillId="61" borderId="19" xfId="1" applyNumberFormat="1" applyFont="1" applyFill="1" applyBorder="1"/>
    <xf numFmtId="164" fontId="99" fillId="63" borderId="31" xfId="0" applyNumberFormat="1" applyFont="1" applyFill="1" applyBorder="1"/>
    <xf numFmtId="164" fontId="98" fillId="61" borderId="47" xfId="0" applyNumberFormat="1" applyFont="1" applyFill="1" applyBorder="1"/>
    <xf numFmtId="0" fontId="28" fillId="0" borderId="41" xfId="0" applyFont="1" applyBorder="1"/>
    <xf numFmtId="0" fontId="28" fillId="0" borderId="0" xfId="0" applyFont="1"/>
    <xf numFmtId="164" fontId="98" fillId="61" borderId="31" xfId="0" applyNumberFormat="1" applyFont="1" applyFill="1" applyBorder="1"/>
    <xf numFmtId="164" fontId="98" fillId="0" borderId="67" xfId="0" applyNumberFormat="1" applyFont="1" applyBorder="1"/>
    <xf numFmtId="164" fontId="99" fillId="0" borderId="0" xfId="0" applyNumberFormat="1" applyFont="1"/>
    <xf numFmtId="165" fontId="98" fillId="0" borderId="71" xfId="1" applyNumberFormat="1" applyFont="1" applyBorder="1"/>
    <xf numFmtId="164" fontId="98" fillId="61" borderId="69" xfId="2" applyNumberFormat="1" applyFont="1" applyFill="1" applyBorder="1"/>
    <xf numFmtId="165" fontId="98" fillId="0" borderId="19" xfId="1" applyNumberFormat="1" applyFont="1" applyBorder="1"/>
    <xf numFmtId="164" fontId="98" fillId="61" borderId="46" xfId="2" applyNumberFormat="1" applyFont="1" applyFill="1" applyBorder="1"/>
    <xf numFmtId="164" fontId="99" fillId="61" borderId="46" xfId="2" applyNumberFormat="1" applyFont="1" applyFill="1" applyBorder="1"/>
    <xf numFmtId="44" fontId="98" fillId="63" borderId="21" xfId="2" applyFont="1" applyFill="1" applyBorder="1"/>
    <xf numFmtId="165" fontId="98" fillId="0" borderId="0" xfId="1" applyNumberFormat="1" applyFont="1" applyBorder="1"/>
    <xf numFmtId="164" fontId="99" fillId="61" borderId="0" xfId="0" applyNumberFormat="1" applyFont="1" applyFill="1"/>
    <xf numFmtId="44" fontId="1" fillId="0" borderId="31" xfId="0" applyNumberFormat="1" applyFont="1" applyBorder="1"/>
    <xf numFmtId="44" fontId="56" fillId="61" borderId="65" xfId="0" applyNumberFormat="1" applyFont="1" applyFill="1" applyBorder="1"/>
    <xf numFmtId="44" fontId="56" fillId="61" borderId="63" xfId="0" applyNumberFormat="1" applyFont="1" applyFill="1" applyBorder="1"/>
    <xf numFmtId="44" fontId="56" fillId="61" borderId="66" xfId="0" applyNumberFormat="1" applyFont="1" applyFill="1" applyBorder="1"/>
    <xf numFmtId="44" fontId="56" fillId="61" borderId="67" xfId="0" applyNumberFormat="1" applyFont="1" applyFill="1" applyBorder="1"/>
    <xf numFmtId="44" fontId="1" fillId="57" borderId="40" xfId="2" applyFont="1" applyFill="1" applyBorder="1"/>
    <xf numFmtId="0" fontId="64" fillId="0" borderId="0" xfId="33028" applyFont="1" applyBorder="1" applyAlignment="1">
      <alignment horizontal="right"/>
    </xf>
    <xf numFmtId="0" fontId="73" fillId="0" borderId="67" xfId="33028" applyBorder="1" applyAlignment="1">
      <alignment horizontal="center"/>
    </xf>
    <xf numFmtId="165" fontId="56" fillId="61" borderId="19" xfId="0" applyNumberFormat="1" applyFont="1" applyFill="1" applyBorder="1"/>
    <xf numFmtId="44" fontId="1" fillId="0" borderId="31" xfId="2" applyFont="1" applyBorder="1"/>
    <xf numFmtId="44" fontId="1" fillId="61" borderId="19" xfId="2" applyFont="1" applyFill="1" applyBorder="1"/>
    <xf numFmtId="44" fontId="1" fillId="0" borderId="69" xfId="2" applyFont="1" applyBorder="1"/>
    <xf numFmtId="44" fontId="1" fillId="61" borderId="68" xfId="2" applyFont="1" applyFill="1" applyBorder="1"/>
    <xf numFmtId="44" fontId="1" fillId="61" borderId="69" xfId="2" applyFont="1" applyFill="1" applyBorder="1"/>
    <xf numFmtId="44" fontId="1" fillId="61" borderId="45" xfId="2" applyFont="1" applyFill="1" applyBorder="1"/>
    <xf numFmtId="44" fontId="1" fillId="61" borderId="46" xfId="2" applyFont="1" applyFill="1" applyBorder="1"/>
    <xf numFmtId="44" fontId="56" fillId="61" borderId="46" xfId="2" applyFont="1" applyFill="1" applyBorder="1"/>
    <xf numFmtId="10" fontId="1" fillId="61" borderId="71" xfId="3" applyNumberFormat="1" applyFont="1" applyFill="1" applyBorder="1"/>
    <xf numFmtId="10" fontId="1" fillId="61" borderId="19" xfId="3" applyNumberFormat="1" applyFont="1" applyFill="1" applyBorder="1"/>
    <xf numFmtId="43" fontId="56" fillId="61" borderId="19" xfId="0" applyNumberFormat="1" applyFont="1" applyFill="1" applyBorder="1"/>
    <xf numFmtId="164" fontId="56" fillId="0" borderId="31" xfId="2" applyNumberFormat="1" applyFont="1" applyBorder="1" applyAlignment="1">
      <alignment horizontal="center"/>
    </xf>
    <xf numFmtId="164" fontId="56" fillId="0" borderId="19" xfId="2" applyNumberFormat="1" applyFont="1" applyBorder="1" applyAlignment="1">
      <alignment horizontal="center"/>
    </xf>
    <xf numFmtId="164" fontId="56" fillId="0" borderId="46" xfId="2" applyNumberFormat="1" applyFont="1" applyBorder="1" applyAlignment="1">
      <alignment horizontal="center"/>
    </xf>
    <xf numFmtId="0" fontId="64" fillId="0" borderId="0" xfId="0" applyFont="1" applyAlignment="1">
      <alignment horizontal="center"/>
    </xf>
    <xf numFmtId="165" fontId="54" fillId="0" borderId="19" xfId="0" applyNumberFormat="1" applyFont="1" applyBorder="1"/>
    <xf numFmtId="41" fontId="1" fillId="0" borderId="19" xfId="2" applyNumberFormat="1" applyFont="1" applyBorder="1"/>
    <xf numFmtId="164" fontId="1" fillId="69" borderId="45" xfId="2" applyNumberFormat="1" applyFont="1" applyFill="1" applyBorder="1"/>
    <xf numFmtId="0" fontId="71" fillId="67" borderId="31" xfId="2" applyNumberFormat="1" applyFont="1" applyFill="1" applyBorder="1" applyAlignment="1">
      <alignment horizontal="center"/>
    </xf>
    <xf numFmtId="44" fontId="70" fillId="67" borderId="68" xfId="2" applyFont="1" applyFill="1" applyBorder="1" applyAlignment="1">
      <alignment horizontal="center"/>
    </xf>
    <xf numFmtId="164" fontId="70" fillId="67" borderId="69" xfId="2" applyNumberFormat="1" applyFont="1" applyFill="1" applyBorder="1" applyAlignment="1">
      <alignment horizontal="center"/>
    </xf>
    <xf numFmtId="164" fontId="70" fillId="67" borderId="45" xfId="2" applyNumberFormat="1" applyFont="1" applyFill="1" applyBorder="1" applyAlignment="1">
      <alignment horizontal="center"/>
    </xf>
    <xf numFmtId="164" fontId="70" fillId="67" borderId="46" xfId="2" applyNumberFormat="1" applyFont="1" applyFill="1" applyBorder="1" applyAlignment="1">
      <alignment horizontal="center"/>
    </xf>
    <xf numFmtId="0" fontId="56" fillId="0" borderId="65" xfId="0" applyFont="1" applyBorder="1" applyAlignment="1">
      <alignment wrapText="1"/>
    </xf>
    <xf numFmtId="164" fontId="71" fillId="67" borderId="47" xfId="2" applyNumberFormat="1" applyFont="1" applyFill="1" applyBorder="1" applyAlignment="1">
      <alignment horizontal="center"/>
    </xf>
    <xf numFmtId="164" fontId="71" fillId="67" borderId="31" xfId="2" applyNumberFormat="1" applyFont="1" applyFill="1" applyBorder="1" applyAlignment="1">
      <alignment horizontal="center"/>
    </xf>
    <xf numFmtId="164" fontId="1" fillId="67" borderId="47" xfId="2" applyNumberFormat="1" applyFont="1" applyFill="1" applyBorder="1" applyAlignment="1">
      <alignment horizontal="center"/>
    </xf>
    <xf numFmtId="164" fontId="1" fillId="67" borderId="31" xfId="2" applyNumberFormat="1" applyFont="1" applyFill="1" applyBorder="1" applyAlignment="1">
      <alignment horizontal="center"/>
    </xf>
    <xf numFmtId="44" fontId="1" fillId="61" borderId="41" xfId="2" applyFont="1" applyFill="1" applyBorder="1" applyAlignment="1">
      <alignment horizontal="center"/>
    </xf>
    <xf numFmtId="44" fontId="1" fillId="61" borderId="45" xfId="2" applyFont="1" applyFill="1" applyBorder="1" applyAlignment="1">
      <alignment horizontal="center"/>
    </xf>
    <xf numFmtId="44" fontId="1" fillId="61" borderId="68" xfId="2" applyFont="1" applyFill="1" applyBorder="1" applyAlignment="1">
      <alignment horizontal="center"/>
    </xf>
    <xf numFmtId="44" fontId="56" fillId="61" borderId="45" xfId="2" applyFont="1" applyFill="1" applyBorder="1" applyAlignment="1">
      <alignment horizontal="center"/>
    </xf>
    <xf numFmtId="44" fontId="56" fillId="61" borderId="31" xfId="2" applyFont="1" applyFill="1" applyBorder="1" applyAlignment="1">
      <alignment horizontal="center"/>
    </xf>
    <xf numFmtId="44" fontId="56" fillId="0" borderId="65" xfId="2" applyFont="1" applyBorder="1" applyAlignment="1"/>
    <xf numFmtId="44" fontId="1" fillId="61" borderId="47" xfId="2" applyFont="1" applyFill="1" applyBorder="1" applyAlignment="1">
      <alignment horizontal="center"/>
    </xf>
    <xf numFmtId="44" fontId="1" fillId="61" borderId="31" xfId="2" applyFont="1" applyFill="1" applyBorder="1" applyAlignment="1">
      <alignment horizontal="center"/>
    </xf>
    <xf numFmtId="44" fontId="56" fillId="61" borderId="63" xfId="2" applyFont="1" applyFill="1" applyBorder="1" applyAlignment="1">
      <alignment horizontal="center"/>
    </xf>
    <xf numFmtId="0" fontId="1" fillId="0" borderId="65" xfId="0" applyFont="1" applyBorder="1" applyAlignment="1">
      <alignment horizontal="right" vertical="center"/>
    </xf>
    <xf numFmtId="0" fontId="1" fillId="61" borderId="41" xfId="0" applyFont="1" applyFill="1" applyBorder="1"/>
    <xf numFmtId="164" fontId="102" fillId="0" borderId="19" xfId="0" applyNumberFormat="1" applyFont="1" applyBorder="1"/>
    <xf numFmtId="164" fontId="101" fillId="61" borderId="31" xfId="0" applyNumberFormat="1" applyFont="1" applyFill="1" applyBorder="1"/>
    <xf numFmtId="0" fontId="1" fillId="61" borderId="45" xfId="0" applyFont="1" applyFill="1" applyBorder="1"/>
    <xf numFmtId="164" fontId="56" fillId="80" borderId="31" xfId="2" applyNumberFormat="1" applyFont="1" applyFill="1" applyBorder="1"/>
    <xf numFmtId="164" fontId="56" fillId="80" borderId="45" xfId="2" applyNumberFormat="1" applyFont="1" applyFill="1" applyBorder="1"/>
    <xf numFmtId="164" fontId="56" fillId="80" borderId="19" xfId="2" applyNumberFormat="1" applyFont="1" applyFill="1" applyBorder="1"/>
    <xf numFmtId="44" fontId="1" fillId="61" borderId="47" xfId="0" applyNumberFormat="1" applyFont="1" applyFill="1" applyBorder="1"/>
    <xf numFmtId="44" fontId="1" fillId="61" borderId="31" xfId="0" applyNumberFormat="1" applyFont="1" applyFill="1" applyBorder="1"/>
    <xf numFmtId="44" fontId="56" fillId="61" borderId="31" xfId="0" applyNumberFormat="1" applyFont="1" applyFill="1" applyBorder="1"/>
    <xf numFmtId="44" fontId="56" fillId="61" borderId="45" xfId="0" applyNumberFormat="1" applyFont="1" applyFill="1" applyBorder="1"/>
    <xf numFmtId="44" fontId="56" fillId="61" borderId="19" xfId="0" applyNumberFormat="1" applyFont="1" applyFill="1" applyBorder="1"/>
    <xf numFmtId="44" fontId="56" fillId="0" borderId="31" xfId="0" applyNumberFormat="1" applyFont="1" applyBorder="1"/>
    <xf numFmtId="41" fontId="61" fillId="0" borderId="42" xfId="0" applyNumberFormat="1" applyFont="1" applyBorder="1"/>
    <xf numFmtId="43" fontId="56" fillId="0" borderId="0" xfId="1" applyFont="1" applyBorder="1"/>
    <xf numFmtId="43" fontId="87" fillId="0" borderId="0" xfId="1" applyFont="1" applyBorder="1"/>
    <xf numFmtId="43" fontId="127" fillId="0" borderId="0" xfId="1" applyFont="1" applyBorder="1"/>
    <xf numFmtId="164" fontId="127" fillId="0" borderId="0" xfId="1" applyNumberFormat="1" applyFont="1" applyBorder="1"/>
    <xf numFmtId="164" fontId="1" fillId="80" borderId="31" xfId="2" applyNumberFormat="1" applyFont="1" applyFill="1" applyBorder="1"/>
    <xf numFmtId="164" fontId="1" fillId="0" borderId="63" xfId="0" applyNumberFormat="1" applyFont="1" applyBorder="1" applyAlignment="1">
      <alignment horizontal="center"/>
    </xf>
    <xf numFmtId="164" fontId="1" fillId="0" borderId="65" xfId="0" applyNumberFormat="1" applyFont="1" applyBorder="1" applyAlignment="1">
      <alignment horizontal="center"/>
    </xf>
    <xf numFmtId="164" fontId="1" fillId="0" borderId="66" xfId="0" applyNumberFormat="1" applyFont="1" applyBorder="1" applyAlignment="1">
      <alignment horizontal="center"/>
    </xf>
    <xf numFmtId="164" fontId="1" fillId="0" borderId="0" xfId="0" quotePrefix="1" applyNumberFormat="1" applyFont="1" applyAlignment="1">
      <alignment horizontal="center"/>
    </xf>
    <xf numFmtId="164" fontId="1" fillId="0" borderId="63" xfId="0" quotePrefix="1" applyNumberFormat="1" applyFont="1" applyBorder="1" applyAlignment="1">
      <alignment horizontal="center"/>
    </xf>
    <xf numFmtId="188" fontId="1" fillId="0" borderId="0" xfId="3" applyNumberFormat="1" applyFont="1"/>
    <xf numFmtId="43" fontId="102" fillId="61" borderId="81" xfId="1" applyFont="1" applyFill="1" applyBorder="1"/>
    <xf numFmtId="43" fontId="98" fillId="61" borderId="81" xfId="1" applyFont="1" applyFill="1" applyBorder="1"/>
    <xf numFmtId="0" fontId="98" fillId="0" borderId="23" xfId="0" applyFont="1" applyBorder="1"/>
    <xf numFmtId="43" fontId="102" fillId="61" borderId="40" xfId="1" applyFont="1" applyFill="1" applyBorder="1"/>
    <xf numFmtId="0" fontId="98" fillId="55" borderId="0" xfId="0" applyFont="1" applyFill="1" applyAlignment="1">
      <alignment horizontal="right"/>
    </xf>
    <xf numFmtId="0" fontId="98" fillId="55" borderId="23" xfId="0" applyFont="1" applyFill="1" applyBorder="1" applyAlignment="1">
      <alignment horizontal="right"/>
    </xf>
    <xf numFmtId="0" fontId="102" fillId="61" borderId="0" xfId="0" applyFont="1" applyFill="1"/>
    <xf numFmtId="0" fontId="102" fillId="61" borderId="0" xfId="0" applyFont="1" applyFill="1" applyAlignment="1">
      <alignment horizontal="right"/>
    </xf>
    <xf numFmtId="0" fontId="102" fillId="61" borderId="23" xfId="0" applyFont="1" applyFill="1" applyBorder="1"/>
    <xf numFmtId="0" fontId="102" fillId="61" borderId="23" xfId="0" applyFont="1" applyFill="1" applyBorder="1" applyAlignment="1">
      <alignment horizontal="right"/>
    </xf>
    <xf numFmtId="10" fontId="98" fillId="61" borderId="39" xfId="3" applyNumberFormat="1" applyFont="1" applyFill="1" applyBorder="1"/>
    <xf numFmtId="173" fontId="98" fillId="61" borderId="19" xfId="3" applyNumberFormat="1" applyFont="1" applyFill="1" applyBorder="1"/>
    <xf numFmtId="173" fontId="98" fillId="61" borderId="154" xfId="3" applyNumberFormat="1" applyFont="1" applyFill="1" applyBorder="1"/>
    <xf numFmtId="43" fontId="101" fillId="0" borderId="81" xfId="1" applyFont="1" applyFill="1" applyBorder="1"/>
    <xf numFmtId="43" fontId="99" fillId="0" borderId="81" xfId="1" applyFont="1" applyFill="1" applyBorder="1"/>
    <xf numFmtId="0" fontId="98" fillId="0" borderId="23" xfId="0" applyFont="1" applyBorder="1" applyAlignment="1">
      <alignment horizontal="left"/>
    </xf>
    <xf numFmtId="0" fontId="98" fillId="0" borderId="23" xfId="0" applyFont="1" applyBorder="1" applyAlignment="1">
      <alignment horizontal="center"/>
    </xf>
    <xf numFmtId="43" fontId="102" fillId="0" borderId="40" xfId="1" applyFont="1" applyFill="1" applyBorder="1"/>
    <xf numFmtId="43" fontId="98" fillId="75" borderId="40" xfId="1" applyFont="1" applyFill="1" applyBorder="1"/>
    <xf numFmtId="43" fontId="102" fillId="75" borderId="40" xfId="1" applyFont="1" applyFill="1" applyBorder="1"/>
    <xf numFmtId="0" fontId="98" fillId="55" borderId="155" xfId="0" applyFont="1" applyFill="1" applyBorder="1"/>
    <xf numFmtId="0" fontId="98" fillId="55" borderId="80" xfId="0" applyFont="1" applyFill="1" applyBorder="1"/>
    <xf numFmtId="0" fontId="98" fillId="55" borderId="156" xfId="0" applyFont="1" applyFill="1" applyBorder="1"/>
    <xf numFmtId="0" fontId="98" fillId="55" borderId="157" xfId="0" applyFont="1" applyFill="1" applyBorder="1"/>
    <xf numFmtId="0" fontId="99" fillId="55" borderId="157" xfId="0" applyFont="1" applyFill="1" applyBorder="1"/>
    <xf numFmtId="0" fontId="102" fillId="0" borderId="41" xfId="0" applyFont="1" applyBorder="1"/>
    <xf numFmtId="0" fontId="102" fillId="0" borderId="66" xfId="0" quotePrefix="1" applyFont="1" applyBorder="1" applyAlignment="1">
      <alignment horizontal="center"/>
    </xf>
    <xf numFmtId="0" fontId="102" fillId="0" borderId="0" xfId="0" quotePrefix="1" applyFont="1" applyAlignment="1">
      <alignment horizontal="center"/>
    </xf>
    <xf numFmtId="164" fontId="101" fillId="63" borderId="19" xfId="0" applyNumberFormat="1" applyFont="1" applyFill="1" applyBorder="1"/>
    <xf numFmtId="0" fontId="102" fillId="0" borderId="67" xfId="0" applyFont="1" applyBorder="1" applyAlignment="1">
      <alignment horizontal="center"/>
    </xf>
    <xf numFmtId="173" fontId="102" fillId="0" borderId="63" xfId="3" applyNumberFormat="1" applyFont="1" applyFill="1" applyBorder="1" applyAlignment="1">
      <alignment horizontal="center"/>
    </xf>
    <xf numFmtId="173" fontId="102" fillId="0" borderId="47" xfId="3" applyNumberFormat="1" applyFont="1" applyFill="1" applyBorder="1"/>
    <xf numFmtId="173" fontId="102" fillId="0" borderId="67" xfId="3" applyNumberFormat="1" applyFont="1" applyFill="1" applyBorder="1" applyAlignment="1">
      <alignment horizontal="center"/>
    </xf>
    <xf numFmtId="173" fontId="102" fillId="0" borderId="0" xfId="3" applyNumberFormat="1" applyFont="1" applyFill="1" applyBorder="1"/>
    <xf numFmtId="0" fontId="98" fillId="0" borderId="63" xfId="0" applyFont="1" applyBorder="1" applyAlignment="1">
      <alignment horizontal="center"/>
    </xf>
    <xf numFmtId="0" fontId="100" fillId="0" borderId="47" xfId="33028" applyFont="1" applyFill="1" applyBorder="1" applyAlignment="1">
      <alignment horizontal="center"/>
    </xf>
    <xf numFmtId="43" fontId="102" fillId="0" borderId="47" xfId="0" applyNumberFormat="1" applyFont="1" applyBorder="1"/>
    <xf numFmtId="43" fontId="102" fillId="0" borderId="31" xfId="0" applyNumberFormat="1" applyFont="1" applyBorder="1"/>
    <xf numFmtId="0" fontId="101" fillId="0" borderId="41" xfId="0" applyFont="1" applyBorder="1"/>
    <xf numFmtId="0" fontId="102" fillId="0" borderId="45" xfId="0" applyFont="1" applyBorder="1"/>
    <xf numFmtId="0" fontId="99" fillId="61" borderId="45" xfId="0" applyFont="1" applyFill="1" applyBorder="1"/>
    <xf numFmtId="164" fontId="98" fillId="61" borderId="19" xfId="0" applyNumberFormat="1" applyFont="1" applyFill="1" applyBorder="1"/>
    <xf numFmtId="165" fontId="98" fillId="61" borderId="19" xfId="1" applyNumberFormat="1" applyFont="1" applyFill="1" applyBorder="1"/>
    <xf numFmtId="0" fontId="98" fillId="61" borderId="45" xfId="0" applyFont="1" applyFill="1" applyBorder="1"/>
    <xf numFmtId="0" fontId="99" fillId="61" borderId="19" xfId="0" applyFont="1" applyFill="1" applyBorder="1" applyAlignment="1">
      <alignment horizontal="right"/>
    </xf>
    <xf numFmtId="0" fontId="101" fillId="61" borderId="45" xfId="0" applyFont="1" applyFill="1" applyBorder="1"/>
    <xf numFmtId="0" fontId="101" fillId="61" borderId="19" xfId="0" applyFont="1" applyFill="1" applyBorder="1"/>
    <xf numFmtId="43" fontId="101" fillId="61" borderId="31" xfId="1" applyFont="1" applyFill="1" applyBorder="1"/>
    <xf numFmtId="44" fontId="101" fillId="61" borderId="31" xfId="2" applyFont="1" applyFill="1" applyBorder="1"/>
    <xf numFmtId="43" fontId="101" fillId="61" borderId="19" xfId="0" applyNumberFormat="1" applyFont="1" applyFill="1" applyBorder="1"/>
    <xf numFmtId="43" fontId="101" fillId="61" borderId="31" xfId="0" applyNumberFormat="1" applyFont="1" applyFill="1" applyBorder="1"/>
    <xf numFmtId="44" fontId="101" fillId="61" borderId="19" xfId="2" applyFont="1" applyFill="1" applyBorder="1"/>
    <xf numFmtId="165" fontId="106" fillId="61" borderId="69" xfId="1" applyNumberFormat="1" applyFont="1" applyFill="1" applyBorder="1"/>
    <xf numFmtId="165" fontId="106" fillId="61" borderId="46" xfId="1" applyNumberFormat="1" applyFont="1" applyFill="1" applyBorder="1"/>
    <xf numFmtId="165" fontId="106" fillId="55" borderId="68" xfId="1" applyNumberFormat="1" applyFont="1" applyFill="1" applyBorder="1"/>
    <xf numFmtId="165" fontId="106" fillId="55" borderId="69" xfId="1" applyNumberFormat="1" applyFont="1" applyFill="1" applyBorder="1"/>
    <xf numFmtId="165" fontId="106" fillId="55" borderId="45" xfId="1" applyNumberFormat="1" applyFont="1" applyFill="1" applyBorder="1"/>
    <xf numFmtId="165" fontId="106" fillId="55" borderId="46" xfId="1" applyNumberFormat="1" applyFont="1" applyFill="1" applyBorder="1"/>
    <xf numFmtId="165" fontId="106" fillId="0" borderId="68" xfId="1" applyNumberFormat="1" applyFont="1" applyFill="1" applyBorder="1"/>
    <xf numFmtId="165" fontId="106" fillId="0" borderId="71" xfId="1" applyNumberFormat="1" applyFont="1" applyFill="1" applyBorder="1"/>
    <xf numFmtId="165" fontId="106" fillId="0" borderId="69" xfId="1" applyNumberFormat="1" applyFont="1" applyFill="1" applyBorder="1"/>
    <xf numFmtId="165" fontId="106" fillId="0" borderId="45" xfId="1" applyNumberFormat="1" applyFont="1" applyFill="1" applyBorder="1"/>
    <xf numFmtId="165" fontId="106" fillId="0" borderId="46" xfId="1" applyNumberFormat="1" applyFont="1" applyFill="1" applyBorder="1"/>
    <xf numFmtId="165" fontId="103" fillId="0" borderId="0" xfId="0" applyNumberFormat="1" applyFont="1"/>
    <xf numFmtId="0" fontId="103" fillId="0" borderId="19" xfId="0" applyFont="1" applyBorder="1" applyAlignment="1">
      <alignment horizontal="right"/>
    </xf>
    <xf numFmtId="42" fontId="1" fillId="0" borderId="71" xfId="0" applyNumberFormat="1" applyFont="1" applyBorder="1"/>
    <xf numFmtId="42" fontId="1" fillId="61" borderId="63" xfId="2" applyNumberFormat="1" applyFont="1" applyFill="1" applyBorder="1"/>
    <xf numFmtId="165" fontId="1" fillId="0" borderId="65" xfId="0" applyNumberFormat="1" applyFont="1" applyBorder="1"/>
    <xf numFmtId="42" fontId="1" fillId="0" borderId="67" xfId="0" applyNumberFormat="1" applyFont="1" applyBorder="1"/>
    <xf numFmtId="165" fontId="56" fillId="61" borderId="67" xfId="0" applyNumberFormat="1" applyFont="1" applyFill="1" applyBorder="1"/>
    <xf numFmtId="42" fontId="56" fillId="0" borderId="67" xfId="0" applyNumberFormat="1" applyFont="1" applyBorder="1"/>
    <xf numFmtId="42" fontId="1" fillId="61" borderId="31" xfId="2" applyNumberFormat="1" applyFont="1" applyFill="1" applyBorder="1"/>
    <xf numFmtId="165" fontId="56" fillId="0" borderId="0" xfId="0" applyNumberFormat="1" applyFont="1" applyAlignment="1">
      <alignment horizontal="right" wrapText="1"/>
    </xf>
    <xf numFmtId="42" fontId="56" fillId="0" borderId="0" xfId="0" applyNumberFormat="1" applyFont="1" applyAlignment="1">
      <alignment horizontal="right" wrapText="1"/>
    </xf>
    <xf numFmtId="180" fontId="1" fillId="0" borderId="45" xfId="0" applyNumberFormat="1" applyFont="1" applyBorder="1" applyAlignment="1">
      <alignment horizontal="center"/>
    </xf>
    <xf numFmtId="177" fontId="1" fillId="0" borderId="19" xfId="2" applyNumberFormat="1" applyFont="1" applyFill="1" applyBorder="1" applyAlignment="1">
      <alignment horizontal="center"/>
    </xf>
    <xf numFmtId="185" fontId="1" fillId="0" borderId="41" xfId="0" applyNumberFormat="1" applyFont="1" applyBorder="1" applyAlignment="1">
      <alignment horizontal="center"/>
    </xf>
    <xf numFmtId="43" fontId="1" fillId="0" borderId="41" xfId="0" applyNumberFormat="1" applyFont="1" applyBorder="1" applyAlignment="1">
      <alignment horizontal="center"/>
    </xf>
    <xf numFmtId="43" fontId="1" fillId="0" borderId="45" xfId="0" applyNumberFormat="1" applyFont="1" applyBorder="1" applyAlignment="1">
      <alignment horizontal="center"/>
    </xf>
    <xf numFmtId="0" fontId="1" fillId="61" borderId="71" xfId="0" applyFont="1" applyFill="1" applyBorder="1"/>
    <xf numFmtId="164" fontId="1" fillId="61" borderId="71" xfId="0" applyNumberFormat="1" applyFont="1" applyFill="1" applyBorder="1"/>
    <xf numFmtId="43" fontId="56" fillId="61" borderId="65" xfId="1" applyFont="1" applyFill="1" applyBorder="1"/>
    <xf numFmtId="43" fontId="56" fillId="61" borderId="65" xfId="0" applyNumberFormat="1" applyFont="1" applyFill="1" applyBorder="1"/>
    <xf numFmtId="164" fontId="1" fillId="0" borderId="68" xfId="0" applyNumberFormat="1" applyFont="1" applyBorder="1"/>
    <xf numFmtId="164" fontId="1" fillId="0" borderId="41" xfId="0" applyNumberFormat="1" applyFont="1" applyBorder="1"/>
    <xf numFmtId="164" fontId="1" fillId="0" borderId="45" xfId="0" applyNumberFormat="1" applyFont="1" applyBorder="1"/>
    <xf numFmtId="0" fontId="1" fillId="0" borderId="63" xfId="0" quotePrefix="1" applyFont="1" applyBorder="1" applyAlignment="1">
      <alignment horizontal="center" vertical="center" wrapText="1"/>
    </xf>
    <xf numFmtId="164" fontId="1" fillId="61" borderId="47" xfId="2" applyNumberFormat="1" applyFont="1" applyFill="1" applyBorder="1" applyAlignment="1"/>
    <xf numFmtId="164" fontId="1" fillId="61" borderId="31" xfId="2" applyNumberFormat="1" applyFont="1" applyFill="1" applyBorder="1" applyAlignment="1"/>
    <xf numFmtId="43" fontId="56" fillId="0" borderId="63" xfId="0" quotePrefix="1" applyNumberFormat="1" applyFont="1" applyBorder="1" applyAlignment="1">
      <alignment horizontal="center" vertical="center" wrapText="1"/>
    </xf>
    <xf numFmtId="43" fontId="56" fillId="0" borderId="63" xfId="0" applyNumberFormat="1" applyFont="1" applyBorder="1" applyAlignment="1">
      <alignment horizontal="center" vertical="center" wrapText="1"/>
    </xf>
    <xf numFmtId="181" fontId="1" fillId="61" borderId="47" xfId="0" applyNumberFormat="1" applyFont="1" applyFill="1" applyBorder="1" applyAlignment="1">
      <alignment horizontal="center" vertical="center"/>
    </xf>
    <xf numFmtId="181" fontId="1" fillId="61" borderId="31" xfId="0" applyNumberFormat="1" applyFont="1" applyFill="1" applyBorder="1" applyAlignment="1">
      <alignment horizontal="center" vertical="center"/>
    </xf>
    <xf numFmtId="0" fontId="17" fillId="0" borderId="65" xfId="0" applyFont="1" applyBorder="1" applyAlignment="1">
      <alignment horizontal="center"/>
    </xf>
    <xf numFmtId="0" fontId="17" fillId="0" borderId="66" xfId="0" applyFont="1" applyBorder="1" applyAlignment="1">
      <alignment horizontal="center"/>
    </xf>
    <xf numFmtId="43" fontId="1" fillId="61" borderId="41" xfId="2" applyNumberFormat="1" applyFont="1" applyFill="1" applyBorder="1" applyAlignment="1"/>
    <xf numFmtId="43" fontId="1" fillId="61" borderId="45" xfId="2" applyNumberFormat="1" applyFont="1" applyFill="1" applyBorder="1" applyAlignment="1"/>
    <xf numFmtId="165" fontId="56" fillId="61" borderId="65" xfId="0" applyNumberFormat="1" applyFont="1" applyFill="1" applyBorder="1"/>
    <xf numFmtId="43" fontId="1" fillId="61" borderId="41" xfId="0" applyNumberFormat="1" applyFont="1" applyFill="1" applyBorder="1"/>
    <xf numFmtId="43" fontId="1" fillId="61" borderId="45" xfId="0" applyNumberFormat="1" applyFont="1" applyFill="1" applyBorder="1"/>
    <xf numFmtId="43" fontId="56" fillId="61" borderId="45" xfId="1" applyFont="1" applyFill="1" applyBorder="1"/>
    <xf numFmtId="44" fontId="56" fillId="61" borderId="46" xfId="0" applyNumberFormat="1" applyFont="1" applyFill="1" applyBorder="1"/>
    <xf numFmtId="177" fontId="1" fillId="61" borderId="31" xfId="0" applyNumberFormat="1" applyFont="1" applyFill="1" applyBorder="1" applyAlignment="1">
      <alignment horizontal="center"/>
    </xf>
    <xf numFmtId="43" fontId="1" fillId="61" borderId="68" xfId="0" applyNumberFormat="1" applyFont="1" applyFill="1" applyBorder="1"/>
    <xf numFmtId="164" fontId="1" fillId="0" borderId="69" xfId="2" applyNumberFormat="1" applyFont="1" applyFill="1" applyBorder="1" applyAlignment="1"/>
    <xf numFmtId="164" fontId="1" fillId="0" borderId="46" xfId="0" applyNumberFormat="1" applyFont="1" applyBorder="1"/>
    <xf numFmtId="177" fontId="1" fillId="61" borderId="69" xfId="0" applyNumberFormat="1" applyFont="1" applyFill="1" applyBorder="1" applyAlignment="1">
      <alignment horizontal="center"/>
    </xf>
    <xf numFmtId="177" fontId="1" fillId="61" borderId="46" xfId="0" applyNumberFormat="1" applyFont="1" applyFill="1" applyBorder="1" applyAlignment="1">
      <alignment horizontal="center"/>
    </xf>
    <xf numFmtId="190" fontId="56" fillId="61" borderId="63" xfId="2" applyNumberFormat="1" applyFont="1" applyFill="1" applyBorder="1"/>
    <xf numFmtId="185" fontId="56" fillId="0" borderId="45" xfId="0" applyNumberFormat="1" applyFont="1" applyBorder="1"/>
    <xf numFmtId="185" fontId="56" fillId="61" borderId="46" xfId="0" applyNumberFormat="1" applyFont="1" applyFill="1" applyBorder="1"/>
    <xf numFmtId="43" fontId="56" fillId="61" borderId="31" xfId="0" applyNumberFormat="1" applyFont="1" applyFill="1" applyBorder="1"/>
    <xf numFmtId="166" fontId="1" fillId="0" borderId="68" xfId="1" applyNumberFormat="1" applyFont="1" applyBorder="1"/>
    <xf numFmtId="166" fontId="56" fillId="0" borderId="41" xfId="1" applyNumberFormat="1" applyFont="1" applyBorder="1"/>
    <xf numFmtId="166" fontId="1" fillId="0" borderId="41" xfId="1" applyNumberFormat="1" applyFont="1" applyBorder="1"/>
    <xf numFmtId="164" fontId="56" fillId="66" borderId="63" xfId="2" applyNumberFormat="1" applyFont="1" applyFill="1" applyBorder="1"/>
    <xf numFmtId="44" fontId="56" fillId="70" borderId="31" xfId="2" applyFont="1" applyFill="1" applyBorder="1"/>
    <xf numFmtId="164" fontId="56" fillId="0" borderId="31" xfId="2" applyNumberFormat="1" applyFont="1" applyFill="1" applyBorder="1"/>
    <xf numFmtId="43" fontId="1" fillId="0" borderId="0" xfId="1" applyFont="1" applyAlignment="1"/>
    <xf numFmtId="189" fontId="56" fillId="68" borderId="72" xfId="1" applyNumberFormat="1" applyFont="1" applyFill="1" applyBorder="1"/>
    <xf numFmtId="44" fontId="1" fillId="61" borderId="42" xfId="2" applyFont="1" applyFill="1" applyBorder="1" applyAlignment="1">
      <alignment horizontal="center"/>
    </xf>
    <xf numFmtId="44" fontId="56" fillId="61" borderId="65" xfId="2" applyFont="1" applyFill="1" applyBorder="1" applyAlignment="1">
      <alignment horizontal="center"/>
    </xf>
    <xf numFmtId="44" fontId="56" fillId="61" borderId="66" xfId="2" applyFont="1" applyFill="1" applyBorder="1" applyAlignment="1">
      <alignment horizontal="center"/>
    </xf>
    <xf numFmtId="44" fontId="56" fillId="61" borderId="19" xfId="2" applyFont="1" applyFill="1" applyBorder="1" applyAlignment="1">
      <alignment horizontal="center" wrapText="1"/>
    </xf>
    <xf numFmtId="10" fontId="1" fillId="61" borderId="69" xfId="3" applyNumberFormat="1" applyFont="1" applyFill="1" applyBorder="1"/>
    <xf numFmtId="10" fontId="1" fillId="61" borderId="46" xfId="3" applyNumberFormat="1" applyFont="1" applyFill="1" applyBorder="1"/>
    <xf numFmtId="10" fontId="56" fillId="61" borderId="46" xfId="3" applyNumberFormat="1" applyFont="1" applyFill="1" applyBorder="1"/>
    <xf numFmtId="43" fontId="1" fillId="0" borderId="46" xfId="0" applyNumberFormat="1" applyFont="1" applyBorder="1"/>
    <xf numFmtId="44" fontId="1" fillId="61" borderId="46" xfId="2" applyFont="1" applyFill="1" applyBorder="1" applyAlignment="1">
      <alignment horizontal="center"/>
    </xf>
    <xf numFmtId="164" fontId="59" fillId="0" borderId="19" xfId="2" applyNumberFormat="1" applyFont="1" applyBorder="1" applyAlignment="1">
      <alignment wrapText="1"/>
    </xf>
    <xf numFmtId="0" fontId="56" fillId="0" borderId="19" xfId="0" applyFont="1" applyBorder="1" applyAlignment="1">
      <alignment horizontal="right" vertical="center"/>
    </xf>
    <xf numFmtId="0" fontId="56" fillId="0" borderId="19" xfId="0" applyFont="1" applyBorder="1" applyAlignment="1">
      <alignment horizontal="center" vertical="center"/>
    </xf>
    <xf numFmtId="0" fontId="1" fillId="0" borderId="66" xfId="0" applyFont="1" applyBorder="1" applyAlignment="1">
      <alignment horizontal="right" vertical="center"/>
    </xf>
    <xf numFmtId="44" fontId="56" fillId="80" borderId="45" xfId="2" applyFont="1" applyFill="1" applyBorder="1"/>
    <xf numFmtId="44" fontId="56" fillId="0" borderId="31" xfId="2" applyFont="1" applyBorder="1"/>
    <xf numFmtId="189" fontId="56" fillId="68" borderId="72" xfId="1" applyNumberFormat="1" applyFont="1" applyFill="1" applyBorder="1" applyAlignment="1">
      <alignment horizontal="center"/>
    </xf>
    <xf numFmtId="164" fontId="56" fillId="61" borderId="68" xfId="0" applyNumberFormat="1" applyFont="1" applyFill="1" applyBorder="1"/>
    <xf numFmtId="6" fontId="56" fillId="0" borderId="69" xfId="0" applyNumberFormat="1" applyFont="1" applyBorder="1"/>
    <xf numFmtId="10" fontId="1" fillId="61" borderId="45" xfId="3" applyNumberFormat="1" applyFont="1" applyFill="1" applyBorder="1"/>
    <xf numFmtId="44" fontId="77" fillId="0" borderId="0" xfId="0" applyNumberFormat="1" applyFont="1"/>
    <xf numFmtId="0" fontId="77" fillId="0" borderId="0" xfId="0" applyFont="1"/>
    <xf numFmtId="0" fontId="99" fillId="0" borderId="63" xfId="0" applyFont="1" applyBorder="1" applyAlignment="1">
      <alignment horizontal="center"/>
    </xf>
    <xf numFmtId="164" fontId="98" fillId="55" borderId="0" xfId="2" applyNumberFormat="1" applyFont="1" applyFill="1" applyBorder="1"/>
    <xf numFmtId="10" fontId="98" fillId="61" borderId="0" xfId="3" applyNumberFormat="1" applyFont="1" applyFill="1" applyBorder="1"/>
    <xf numFmtId="0" fontId="101" fillId="83" borderId="163" xfId="0" applyFont="1" applyFill="1" applyBorder="1" applyAlignment="1">
      <alignment horizontal="center"/>
    </xf>
    <xf numFmtId="173" fontId="102" fillId="83" borderId="162" xfId="3" applyNumberFormat="1" applyFont="1" applyFill="1" applyBorder="1"/>
    <xf numFmtId="0" fontId="101" fillId="83" borderId="141" xfId="0" applyFont="1" applyFill="1" applyBorder="1" applyAlignment="1">
      <alignment horizontal="center"/>
    </xf>
    <xf numFmtId="164" fontId="101" fillId="83" borderId="63" xfId="2" applyNumberFormat="1" applyFont="1" applyFill="1" applyBorder="1"/>
    <xf numFmtId="173" fontId="102" fillId="83" borderId="124" xfId="3" applyNumberFormat="1" applyFont="1" applyFill="1" applyBorder="1"/>
    <xf numFmtId="0" fontId="101" fillId="83" borderId="163" xfId="0" applyFont="1" applyFill="1" applyBorder="1" applyAlignment="1">
      <alignment horizontal="left"/>
    </xf>
    <xf numFmtId="0" fontId="101" fillId="83" borderId="138" xfId="0" applyFont="1" applyFill="1" applyBorder="1" applyAlignment="1">
      <alignment horizontal="center"/>
    </xf>
    <xf numFmtId="0" fontId="101" fillId="83" borderId="138" xfId="0" applyFont="1" applyFill="1" applyBorder="1" applyAlignment="1">
      <alignment horizontal="left"/>
    </xf>
    <xf numFmtId="164" fontId="101" fillId="83" borderId="31" xfId="2" applyNumberFormat="1" applyFont="1" applyFill="1" applyBorder="1"/>
    <xf numFmtId="173" fontId="102" fillId="83" borderId="164" xfId="3" applyNumberFormat="1" applyFont="1" applyFill="1" applyBorder="1"/>
    <xf numFmtId="0" fontId="101" fillId="83" borderId="141" xfId="0" applyFont="1" applyFill="1" applyBorder="1" applyAlignment="1">
      <alignment horizontal="left"/>
    </xf>
    <xf numFmtId="44" fontId="64" fillId="0" borderId="51" xfId="2" applyFont="1" applyFill="1" applyBorder="1"/>
    <xf numFmtId="44" fontId="56" fillId="0" borderId="47" xfId="2" applyFont="1" applyFill="1" applyBorder="1"/>
    <xf numFmtId="44" fontId="56" fillId="0" borderId="47" xfId="0" applyNumberFormat="1" applyFont="1" applyBorder="1"/>
    <xf numFmtId="44" fontId="56" fillId="0" borderId="47" xfId="1" applyNumberFormat="1" applyFont="1" applyFill="1" applyBorder="1"/>
    <xf numFmtId="43" fontId="54" fillId="55" borderId="55" xfId="1" applyFont="1" applyFill="1" applyBorder="1"/>
    <xf numFmtId="43" fontId="54" fillId="0" borderId="47" xfId="1" applyFont="1" applyBorder="1"/>
    <xf numFmtId="44" fontId="98" fillId="68" borderId="47" xfId="2" applyFont="1" applyFill="1" applyBorder="1"/>
    <xf numFmtId="44" fontId="98" fillId="68" borderId="31" xfId="2" applyFont="1" applyFill="1" applyBorder="1"/>
    <xf numFmtId="164" fontId="101" fillId="61" borderId="63" xfId="2" applyNumberFormat="1" applyFont="1" applyFill="1" applyBorder="1"/>
    <xf numFmtId="0" fontId="98" fillId="0" borderId="68" xfId="0" applyFont="1" applyBorder="1" applyAlignment="1">
      <alignment horizontal="right"/>
    </xf>
    <xf numFmtId="0" fontId="99" fillId="61" borderId="68" xfId="0" applyFont="1" applyFill="1" applyBorder="1" applyAlignment="1">
      <alignment horizontal="center"/>
    </xf>
    <xf numFmtId="164" fontId="98" fillId="0" borderId="66" xfId="0" applyNumberFormat="1" applyFont="1" applyBorder="1"/>
    <xf numFmtId="0" fontId="64" fillId="0" borderId="0" xfId="0" applyFont="1" applyAlignment="1">
      <alignment horizontal="right"/>
    </xf>
    <xf numFmtId="0" fontId="128" fillId="0" borderId="0" xfId="0" applyFont="1"/>
    <xf numFmtId="0" fontId="64" fillId="0" borderId="0" xfId="0" applyFont="1"/>
    <xf numFmtId="0" fontId="60" fillId="0" borderId="0" xfId="0" applyFont="1"/>
    <xf numFmtId="4" fontId="64" fillId="0" borderId="0" xfId="0" applyNumberFormat="1" applyFont="1" applyAlignment="1">
      <alignment horizontal="right"/>
    </xf>
    <xf numFmtId="14" fontId="56" fillId="0" borderId="0" xfId="0" applyNumberFormat="1" applyFont="1" applyAlignment="1">
      <alignment horizontal="right"/>
    </xf>
    <xf numFmtId="14" fontId="56" fillId="0" borderId="0" xfId="0" applyNumberFormat="1" applyFont="1"/>
    <xf numFmtId="14" fontId="64" fillId="0" borderId="0" xfId="0" applyNumberFormat="1" applyFont="1"/>
    <xf numFmtId="0" fontId="56" fillId="0" borderId="0" xfId="0" applyFont="1" applyAlignment="1">
      <alignment horizontal="left"/>
    </xf>
    <xf numFmtId="0" fontId="79" fillId="0" borderId="0" xfId="0" applyFont="1" applyAlignment="1">
      <alignment horizontal="right"/>
    </xf>
    <xf numFmtId="174" fontId="61" fillId="0" borderId="0" xfId="3" applyNumberFormat="1" applyFont="1" applyFill="1" applyBorder="1"/>
    <xf numFmtId="174" fontId="79" fillId="0" borderId="0" xfId="0" applyNumberFormat="1" applyFont="1"/>
    <xf numFmtId="174" fontId="61" fillId="0" borderId="0" xfId="0" applyNumberFormat="1" applyFont="1"/>
    <xf numFmtId="0" fontId="56" fillId="0" borderId="19" xfId="0" applyFont="1" applyBorder="1" applyAlignment="1">
      <alignment wrapText="1"/>
    </xf>
    <xf numFmtId="176" fontId="1" fillId="55" borderId="0" xfId="0" applyNumberFormat="1" applyFont="1" applyFill="1" applyAlignment="1">
      <alignment horizontal="center"/>
    </xf>
    <xf numFmtId="43" fontId="54" fillId="55" borderId="21" xfId="1" applyFont="1" applyFill="1" applyBorder="1"/>
    <xf numFmtId="43" fontId="1" fillId="0" borderId="0" xfId="1" applyFont="1" applyFill="1" applyBorder="1"/>
    <xf numFmtId="173" fontId="1" fillId="61" borderId="42" xfId="3" applyNumberFormat="1" applyFont="1" applyFill="1" applyBorder="1"/>
    <xf numFmtId="43" fontId="54" fillId="55" borderId="145" xfId="1" applyFont="1" applyFill="1" applyBorder="1"/>
    <xf numFmtId="0" fontId="1" fillId="0" borderId="148" xfId="0" applyFont="1" applyBorder="1"/>
    <xf numFmtId="176" fontId="1" fillId="0" borderId="149" xfId="0" applyNumberFormat="1" applyFont="1" applyBorder="1" applyAlignment="1">
      <alignment horizontal="center"/>
    </xf>
    <xf numFmtId="0" fontId="1" fillId="0" borderId="150" xfId="0" applyFont="1" applyBorder="1"/>
    <xf numFmtId="0" fontId="1" fillId="55" borderId="51" xfId="0" applyFont="1" applyFill="1" applyBorder="1"/>
    <xf numFmtId="43" fontId="54" fillId="61" borderId="51" xfId="1" applyFont="1" applyFill="1" applyBorder="1"/>
    <xf numFmtId="43" fontId="1" fillId="61" borderId="51" xfId="1" applyFont="1" applyFill="1" applyBorder="1"/>
    <xf numFmtId="43" fontId="54" fillId="61" borderId="144" xfId="1" applyFont="1" applyFill="1" applyBorder="1"/>
    <xf numFmtId="0" fontId="1" fillId="0" borderId="138" xfId="0" applyFont="1" applyBorder="1"/>
    <xf numFmtId="176" fontId="1" fillId="0" borderId="0" xfId="0" applyNumberFormat="1" applyFont="1" applyAlignment="1">
      <alignment horizontal="center"/>
    </xf>
    <xf numFmtId="0" fontId="1" fillId="0" borderId="151" xfId="0" applyFont="1" applyBorder="1"/>
    <xf numFmtId="0" fontId="1" fillId="0" borderId="152" xfId="0" applyFont="1" applyBorder="1"/>
    <xf numFmtId="176" fontId="1" fillId="0" borderId="23" xfId="0" applyNumberFormat="1" applyFont="1" applyBorder="1" applyAlignment="1">
      <alignment horizontal="center"/>
    </xf>
    <xf numFmtId="0" fontId="1" fillId="0" borderId="153" xfId="0" applyFont="1" applyBorder="1"/>
    <xf numFmtId="43" fontId="54" fillId="56" borderId="81" xfId="1" applyFont="1" applyFill="1" applyBorder="1"/>
    <xf numFmtId="43" fontId="1" fillId="56" borderId="81" xfId="1" applyFont="1" applyFill="1" applyBorder="1"/>
    <xf numFmtId="10" fontId="1" fillId="56" borderId="43" xfId="3" applyNumberFormat="1" applyFont="1" applyFill="1" applyBorder="1"/>
    <xf numFmtId="173" fontId="1" fillId="56" borderId="35" xfId="3" applyNumberFormat="1" applyFont="1" applyFill="1" applyBorder="1"/>
    <xf numFmtId="173" fontId="1" fillId="56" borderId="44" xfId="3" applyNumberFormat="1" applyFont="1" applyFill="1" applyBorder="1"/>
    <xf numFmtId="43" fontId="129" fillId="0" borderId="80" xfId="1" applyFont="1" applyFill="1" applyBorder="1" applyAlignment="1"/>
    <xf numFmtId="43" fontId="1" fillId="0" borderId="80" xfId="1" applyFont="1" applyFill="1" applyBorder="1" applyAlignment="1"/>
    <xf numFmtId="43" fontId="54" fillId="0" borderId="80" xfId="1" applyFont="1" applyFill="1" applyBorder="1" applyAlignment="1"/>
    <xf numFmtId="43" fontId="1" fillId="0" borderId="0" xfId="1" applyFont="1" applyFill="1" applyBorder="1" applyAlignment="1"/>
    <xf numFmtId="0" fontId="61" fillId="0" borderId="73" xfId="0" applyFont="1" applyBorder="1"/>
    <xf numFmtId="0" fontId="1" fillId="0" borderId="61" xfId="0" applyFont="1" applyBorder="1"/>
    <xf numFmtId="43" fontId="1" fillId="0" borderId="74" xfId="0" applyNumberFormat="1" applyFont="1" applyBorder="1"/>
    <xf numFmtId="4" fontId="129" fillId="0" borderId="0" xfId="0" applyNumberFormat="1" applyFont="1"/>
    <xf numFmtId="4" fontId="64" fillId="0" borderId="0" xfId="0" applyNumberFormat="1" applyFont="1"/>
    <xf numFmtId="0" fontId="61" fillId="0" borderId="41" xfId="0" applyFont="1" applyBorder="1"/>
    <xf numFmtId="43" fontId="1" fillId="0" borderId="42" xfId="1" applyFont="1" applyFill="1" applyBorder="1"/>
    <xf numFmtId="4" fontId="130" fillId="0" borderId="0" xfId="0" applyNumberFormat="1" applyFont="1"/>
    <xf numFmtId="0" fontId="61" fillId="0" borderId="45" xfId="0" applyFont="1" applyBorder="1"/>
    <xf numFmtId="43" fontId="54" fillId="0" borderId="0" xfId="1" applyFont="1" applyFill="1" applyBorder="1"/>
    <xf numFmtId="0" fontId="1" fillId="55" borderId="0" xfId="0" applyFont="1" applyFill="1" applyAlignment="1">
      <alignment wrapText="1"/>
    </xf>
    <xf numFmtId="0" fontId="1" fillId="68" borderId="0" xfId="0" applyFont="1" applyFill="1"/>
    <xf numFmtId="176" fontId="1" fillId="68" borderId="0" xfId="0" applyNumberFormat="1" applyFont="1" applyFill="1" applyAlignment="1">
      <alignment horizontal="center"/>
    </xf>
    <xf numFmtId="43" fontId="54" fillId="68" borderId="21" xfId="1" applyFont="1" applyFill="1" applyBorder="1"/>
    <xf numFmtId="0" fontId="54" fillId="55" borderId="0" xfId="0" applyFont="1" applyFill="1"/>
    <xf numFmtId="176" fontId="54" fillId="55" borderId="0" xfId="0" applyNumberFormat="1" applyFont="1" applyFill="1" applyAlignment="1">
      <alignment horizontal="center"/>
    </xf>
    <xf numFmtId="16" fontId="1" fillId="0" borderId="0" xfId="1" quotePrefix="1" applyNumberFormat="1" applyFont="1" applyFill="1" applyBorder="1" applyAlignment="1"/>
    <xf numFmtId="16" fontId="1" fillId="0" borderId="0" xfId="1" applyNumberFormat="1" applyFont="1" applyFill="1" applyBorder="1" applyAlignment="1"/>
    <xf numFmtId="0" fontId="1" fillId="55" borderId="23" xfId="0" applyFont="1" applyFill="1" applyBorder="1"/>
    <xf numFmtId="176" fontId="1" fillId="55" borderId="23" xfId="0" applyNumberFormat="1" applyFont="1" applyFill="1" applyBorder="1" applyAlignment="1">
      <alignment horizontal="center"/>
    </xf>
    <xf numFmtId="43" fontId="64" fillId="61" borderId="21" xfId="1" applyFont="1" applyFill="1" applyBorder="1"/>
    <xf numFmtId="43" fontId="56" fillId="61" borderId="21" xfId="1" applyFont="1" applyFill="1" applyBorder="1"/>
    <xf numFmtId="43" fontId="130" fillId="0" borderId="0" xfId="0" applyNumberFormat="1" applyFont="1"/>
    <xf numFmtId="43" fontId="129" fillId="0" borderId="0" xfId="1" applyFont="1" applyFill="1" applyBorder="1" applyAlignment="1"/>
    <xf numFmtId="43" fontId="54" fillId="0" borderId="0" xfId="1" applyFont="1" applyFill="1" applyBorder="1" applyAlignment="1"/>
    <xf numFmtId="43" fontId="1" fillId="55" borderId="21" xfId="1" applyFont="1" applyFill="1" applyBorder="1"/>
    <xf numFmtId="0" fontId="1" fillId="55" borderId="23" xfId="0" applyFont="1" applyFill="1" applyBorder="1" applyAlignment="1">
      <alignment horizontal="center"/>
    </xf>
    <xf numFmtId="4" fontId="1" fillId="0" borderId="0" xfId="0" applyNumberFormat="1" applyFont="1"/>
    <xf numFmtId="43" fontId="130" fillId="0" borderId="0" xfId="1" applyFont="1" applyFill="1" applyBorder="1"/>
    <xf numFmtId="43" fontId="56" fillId="0" borderId="0" xfId="1" applyFont="1" applyFill="1" applyBorder="1"/>
    <xf numFmtId="43" fontId="64" fillId="0" borderId="0" xfId="1" applyFont="1" applyFill="1" applyBorder="1"/>
    <xf numFmtId="165" fontId="54" fillId="55" borderId="21" xfId="1" applyNumberFormat="1" applyFont="1" applyFill="1" applyBorder="1"/>
    <xf numFmtId="4" fontId="54" fillId="0" borderId="0" xfId="0" applyNumberFormat="1" applyFont="1"/>
    <xf numFmtId="0" fontId="75" fillId="55" borderId="0" xfId="0" applyFont="1" applyFill="1"/>
    <xf numFmtId="176" fontId="75" fillId="55" borderId="0" xfId="0" applyNumberFormat="1" applyFont="1" applyFill="1" applyAlignment="1">
      <alignment horizontal="center"/>
    </xf>
    <xf numFmtId="43" fontId="75" fillId="55" borderId="21" xfId="1" applyFont="1" applyFill="1" applyBorder="1"/>
    <xf numFmtId="0" fontId="54" fillId="55" borderId="0" xfId="17332" applyFont="1" applyFill="1" applyAlignment="1">
      <alignment horizontal="center" vertical="center"/>
    </xf>
    <xf numFmtId="0" fontId="75" fillId="55" borderId="0" xfId="17332" applyFont="1" applyFill="1" applyAlignment="1">
      <alignment horizontal="center" vertical="center"/>
    </xf>
    <xf numFmtId="0" fontId="75" fillId="61" borderId="0" xfId="0" applyFont="1" applyFill="1"/>
    <xf numFmtId="0" fontId="1" fillId="55" borderId="0" xfId="0" applyFont="1" applyFill="1" applyAlignment="1">
      <alignment horizontal="center"/>
    </xf>
    <xf numFmtId="0" fontId="1" fillId="61" borderId="23" xfId="0" applyFont="1" applyFill="1" applyBorder="1"/>
    <xf numFmtId="164" fontId="1" fillId="61" borderId="78" xfId="1" applyNumberFormat="1" applyFont="1" applyFill="1" applyBorder="1"/>
    <xf numFmtId="164" fontId="1" fillId="0" borderId="0" xfId="3" applyNumberFormat="1" applyFont="1" applyBorder="1"/>
    <xf numFmtId="164" fontId="54" fillId="61" borderId="51" xfId="2" applyNumberFormat="1" applyFont="1" applyFill="1" applyBorder="1"/>
    <xf numFmtId="164" fontId="1" fillId="61" borderId="87" xfId="1" applyNumberFormat="1" applyFont="1" applyFill="1" applyBorder="1"/>
    <xf numFmtId="0" fontId="131" fillId="0" borderId="0" xfId="33028" applyFont="1"/>
    <xf numFmtId="164" fontId="1" fillId="58" borderId="63" xfId="2" applyNumberFormat="1" applyFont="1" applyFill="1" applyBorder="1"/>
    <xf numFmtId="164" fontId="1" fillId="63" borderId="63" xfId="2" applyNumberFormat="1" applyFont="1" applyFill="1" applyBorder="1"/>
    <xf numFmtId="164" fontId="1" fillId="57" borderId="63" xfId="2" applyNumberFormat="1" applyFont="1" applyFill="1" applyBorder="1"/>
    <xf numFmtId="0" fontId="54" fillId="0" borderId="71" xfId="0" applyFont="1" applyBorder="1"/>
    <xf numFmtId="165" fontId="54" fillId="55" borderId="71" xfId="1" applyNumberFormat="1" applyFont="1" applyFill="1" applyBorder="1"/>
    <xf numFmtId="165" fontId="54" fillId="61" borderId="68" xfId="1" applyNumberFormat="1" applyFont="1" applyFill="1" applyBorder="1"/>
    <xf numFmtId="165" fontId="54" fillId="55" borderId="0" xfId="1" applyNumberFormat="1" applyFont="1" applyFill="1" applyBorder="1"/>
    <xf numFmtId="165" fontId="54" fillId="61" borderId="41" xfId="1" applyNumberFormat="1" applyFont="1" applyFill="1" applyBorder="1"/>
    <xf numFmtId="165" fontId="1" fillId="61" borderId="47" xfId="1" applyNumberFormat="1" applyFont="1" applyFill="1" applyBorder="1"/>
    <xf numFmtId="165" fontId="54" fillId="55" borderId="19" xfId="1" applyNumberFormat="1" applyFont="1" applyFill="1" applyBorder="1"/>
    <xf numFmtId="165" fontId="54" fillId="61" borderId="45" xfId="1" applyNumberFormat="1" applyFont="1" applyFill="1" applyBorder="1"/>
    <xf numFmtId="165" fontId="1" fillId="61" borderId="31" xfId="1" applyNumberFormat="1" applyFont="1" applyFill="1" applyBorder="1"/>
    <xf numFmtId="165" fontId="54" fillId="61" borderId="47" xfId="1" applyNumberFormat="1" applyFont="1" applyFill="1" applyBorder="1"/>
    <xf numFmtId="165" fontId="54" fillId="0" borderId="19" xfId="1" applyNumberFormat="1" applyFont="1" applyFill="1" applyBorder="1"/>
    <xf numFmtId="165" fontId="54" fillId="61" borderId="31" xfId="1" applyNumberFormat="1" applyFont="1" applyFill="1" applyBorder="1"/>
    <xf numFmtId="165" fontId="56" fillId="61" borderId="31" xfId="0" applyNumberFormat="1" applyFont="1" applyFill="1" applyBorder="1"/>
    <xf numFmtId="165" fontId="56" fillId="63" borderId="31" xfId="1" applyNumberFormat="1" applyFont="1" applyFill="1" applyBorder="1"/>
    <xf numFmtId="165" fontId="1" fillId="0" borderId="0" xfId="1" applyNumberFormat="1" applyFont="1" applyBorder="1" applyAlignment="1"/>
    <xf numFmtId="165" fontId="1" fillId="61" borderId="42" xfId="0" applyNumberFormat="1" applyFont="1" applyFill="1" applyBorder="1"/>
    <xf numFmtId="0" fontId="54" fillId="0" borderId="41" xfId="0" applyFont="1" applyBorder="1"/>
    <xf numFmtId="165" fontId="1" fillId="61" borderId="46" xfId="0" applyNumberFormat="1" applyFont="1" applyFill="1" applyBorder="1"/>
    <xf numFmtId="0" fontId="56" fillId="61" borderId="45" xfId="0" applyFont="1" applyFill="1" applyBorder="1"/>
    <xf numFmtId="165" fontId="1" fillId="61" borderId="69" xfId="0" applyNumberFormat="1" applyFont="1" applyFill="1" applyBorder="1"/>
    <xf numFmtId="0" fontId="56" fillId="61" borderId="19" xfId="0" applyFont="1" applyFill="1" applyBorder="1" applyAlignment="1">
      <alignment horizontal="right"/>
    </xf>
    <xf numFmtId="165" fontId="56" fillId="61" borderId="46" xfId="0" applyNumberFormat="1" applyFont="1" applyFill="1" applyBorder="1"/>
    <xf numFmtId="165" fontId="1" fillId="61" borderId="31" xfId="0" applyNumberFormat="1" applyFont="1" applyFill="1" applyBorder="1"/>
    <xf numFmtId="164" fontId="56" fillId="63" borderId="63" xfId="2" applyNumberFormat="1" applyFont="1" applyFill="1" applyBorder="1"/>
    <xf numFmtId="0" fontId="56" fillId="55" borderId="63" xfId="0" applyFont="1" applyFill="1" applyBorder="1" applyAlignment="1">
      <alignment horizontal="center"/>
    </xf>
    <xf numFmtId="10" fontId="56" fillId="61" borderId="31" xfId="3" applyNumberFormat="1" applyFont="1" applyFill="1" applyBorder="1" applyAlignment="1">
      <alignment horizontal="center"/>
    </xf>
    <xf numFmtId="0" fontId="54" fillId="0" borderId="0" xfId="0" applyFont="1" applyAlignment="1">
      <alignment wrapText="1"/>
    </xf>
    <xf numFmtId="43" fontId="64" fillId="0" borderId="0" xfId="1" applyFont="1" applyFill="1" applyBorder="1" applyAlignment="1">
      <alignment horizontal="centerContinuous" wrapText="1"/>
    </xf>
    <xf numFmtId="43" fontId="64" fillId="0" borderId="68" xfId="1" applyFont="1" applyFill="1" applyBorder="1" applyAlignment="1">
      <alignment horizontal="centerContinuous" wrapText="1"/>
    </xf>
    <xf numFmtId="43" fontId="64" fillId="0" borderId="71" xfId="1" applyFont="1" applyFill="1" applyBorder="1" applyAlignment="1">
      <alignment horizontal="centerContinuous" wrapText="1"/>
    </xf>
    <xf numFmtId="165" fontId="64" fillId="0" borderId="69" xfId="1" applyNumberFormat="1" applyFont="1" applyFill="1" applyBorder="1" applyAlignment="1">
      <alignment horizontal="centerContinuous" wrapText="1"/>
    </xf>
    <xf numFmtId="43" fontId="64" fillId="0" borderId="65" xfId="1" applyFont="1" applyFill="1" applyBorder="1" applyAlignment="1">
      <alignment horizontal="right"/>
    </xf>
    <xf numFmtId="43" fontId="64" fillId="0" borderId="63" xfId="1" applyFont="1" applyFill="1" applyBorder="1" applyAlignment="1">
      <alignment horizontal="right"/>
    </xf>
    <xf numFmtId="165" fontId="64" fillId="0" borderId="66" xfId="1" applyNumberFormat="1" applyFont="1" applyFill="1" applyBorder="1" applyAlignment="1">
      <alignment horizontal="right"/>
    </xf>
    <xf numFmtId="0" fontId="64" fillId="0" borderId="65" xfId="0" applyFont="1" applyBorder="1"/>
    <xf numFmtId="173" fontId="54" fillId="0" borderId="65" xfId="3" applyNumberFormat="1" applyFont="1" applyFill="1" applyBorder="1" applyAlignment="1">
      <alignment horizontal="center"/>
    </xf>
    <xf numFmtId="0" fontId="54" fillId="0" borderId="63" xfId="0" applyFont="1" applyBorder="1" applyAlignment="1">
      <alignment horizontal="center"/>
    </xf>
    <xf numFmtId="0" fontId="54" fillId="0" borderId="63" xfId="0" quotePrefix="1" applyFont="1" applyBorder="1" applyAlignment="1">
      <alignment horizontal="center"/>
    </xf>
    <xf numFmtId="165" fontId="1" fillId="0" borderId="66" xfId="1" quotePrefix="1" applyNumberFormat="1" applyFont="1" applyBorder="1" applyAlignment="1">
      <alignment horizontal="center"/>
    </xf>
    <xf numFmtId="0" fontId="131" fillId="0" borderId="0" xfId="33028" applyFont="1" applyFill="1" applyBorder="1" applyAlignment="1">
      <alignment horizontal="center"/>
    </xf>
    <xf numFmtId="173" fontId="54" fillId="0" borderId="41" xfId="3" applyNumberFormat="1" applyFont="1" applyFill="1" applyBorder="1"/>
    <xf numFmtId="0" fontId="54" fillId="0" borderId="47" xfId="0" quotePrefix="1" applyFont="1" applyBorder="1" applyAlignment="1">
      <alignment horizontal="center"/>
    </xf>
    <xf numFmtId="165" fontId="1" fillId="0" borderId="42" xfId="1" quotePrefix="1" applyNumberFormat="1" applyFont="1" applyBorder="1" applyAlignment="1">
      <alignment horizontal="center"/>
    </xf>
    <xf numFmtId="164" fontId="54" fillId="0" borderId="41" xfId="0" applyNumberFormat="1" applyFont="1" applyBorder="1"/>
    <xf numFmtId="164" fontId="54" fillId="61" borderId="41" xfId="0" applyNumberFormat="1" applyFont="1" applyFill="1" applyBorder="1"/>
    <xf numFmtId="164" fontId="54" fillId="55" borderId="41" xfId="0" applyNumberFormat="1" applyFont="1" applyFill="1" applyBorder="1"/>
    <xf numFmtId="164" fontId="54" fillId="61" borderId="47" xfId="0" applyNumberFormat="1" applyFont="1" applyFill="1" applyBorder="1"/>
    <xf numFmtId="164" fontId="54" fillId="61" borderId="42" xfId="0" applyNumberFormat="1" applyFont="1" applyFill="1" applyBorder="1"/>
    <xf numFmtId="43" fontId="54" fillId="0" borderId="19" xfId="0" applyNumberFormat="1" applyFont="1" applyBorder="1"/>
    <xf numFmtId="164" fontId="54" fillId="0" borderId="45" xfId="0" applyNumberFormat="1" applyFont="1" applyBorder="1"/>
    <xf numFmtId="164" fontId="54" fillId="61" borderId="19" xfId="0" applyNumberFormat="1" applyFont="1" applyFill="1" applyBorder="1"/>
    <xf numFmtId="164" fontId="54" fillId="55" borderId="45" xfId="0" applyNumberFormat="1" applyFont="1" applyFill="1" applyBorder="1"/>
    <xf numFmtId="164" fontId="54" fillId="0" borderId="31" xfId="0" applyNumberFormat="1" applyFont="1" applyBorder="1"/>
    <xf numFmtId="164" fontId="54" fillId="61" borderId="45" xfId="0" applyNumberFormat="1" applyFont="1" applyFill="1" applyBorder="1"/>
    <xf numFmtId="164" fontId="54" fillId="61" borderId="31" xfId="0" applyNumberFormat="1" applyFont="1" applyFill="1" applyBorder="1"/>
    <xf numFmtId="164" fontId="54" fillId="61" borderId="46" xfId="0" applyNumberFormat="1" applyFont="1" applyFill="1" applyBorder="1"/>
    <xf numFmtId="164" fontId="54" fillId="61" borderId="0" xfId="0" applyNumberFormat="1" applyFont="1" applyFill="1"/>
    <xf numFmtId="164" fontId="54" fillId="0" borderId="0" xfId="0" applyNumberFormat="1" applyFont="1"/>
    <xf numFmtId="164" fontId="54" fillId="55" borderId="47" xfId="0" applyNumberFormat="1" applyFont="1" applyFill="1" applyBorder="1"/>
    <xf numFmtId="164" fontId="54" fillId="55" borderId="31" xfId="0" applyNumberFormat="1" applyFont="1" applyFill="1" applyBorder="1"/>
    <xf numFmtId="164" fontId="54" fillId="0" borderId="19" xfId="0" applyNumberFormat="1" applyFont="1" applyBorder="1"/>
    <xf numFmtId="0" fontId="64" fillId="0" borderId="45" xfId="0" applyFont="1" applyBorder="1"/>
    <xf numFmtId="43" fontId="64" fillId="61" borderId="45" xfId="1" applyFont="1" applyFill="1" applyBorder="1"/>
    <xf numFmtId="164" fontId="64" fillId="61" borderId="31" xfId="2" applyNumberFormat="1" applyFont="1" applyFill="1" applyBorder="1"/>
    <xf numFmtId="165" fontId="64" fillId="61" borderId="19" xfId="0" applyNumberFormat="1" applyFont="1" applyFill="1" applyBorder="1"/>
    <xf numFmtId="165" fontId="64" fillId="61" borderId="31" xfId="0" applyNumberFormat="1" applyFont="1" applyFill="1" applyBorder="1"/>
    <xf numFmtId="164" fontId="64" fillId="61" borderId="19" xfId="2" applyNumberFormat="1" applyFont="1" applyFill="1" applyBorder="1"/>
    <xf numFmtId="164" fontId="64" fillId="63" borderId="19" xfId="2" applyNumberFormat="1" applyFont="1" applyFill="1" applyBorder="1"/>
    <xf numFmtId="164" fontId="64" fillId="61" borderId="31" xfId="0" applyNumberFormat="1" applyFont="1" applyFill="1" applyBorder="1"/>
    <xf numFmtId="41" fontId="54" fillId="0" borderId="0" xfId="0" applyNumberFormat="1" applyFont="1"/>
    <xf numFmtId="165" fontId="54" fillId="0" borderId="0" xfId="1" applyNumberFormat="1" applyFont="1" applyFill="1"/>
    <xf numFmtId="0" fontId="61" fillId="0" borderId="0" xfId="0" applyFont="1" applyAlignment="1">
      <alignment horizontal="center" wrapText="1"/>
    </xf>
    <xf numFmtId="164" fontId="54" fillId="55" borderId="0" xfId="2" applyNumberFormat="1" applyFont="1" applyFill="1"/>
    <xf numFmtId="164" fontId="54" fillId="55" borderId="19" xfId="2" applyNumberFormat="1" applyFont="1" applyFill="1" applyBorder="1"/>
    <xf numFmtId="40" fontId="1" fillId="0" borderId="0" xfId="0" applyNumberFormat="1" applyFont="1"/>
    <xf numFmtId="0" fontId="60" fillId="0" borderId="0" xfId="0" applyFont="1" applyAlignment="1">
      <alignment horizontal="center"/>
    </xf>
    <xf numFmtId="165" fontId="1" fillId="0" borderId="0" xfId="1" applyNumberFormat="1" applyFont="1" applyAlignment="1">
      <alignment wrapText="1"/>
    </xf>
    <xf numFmtId="3" fontId="1" fillId="0" borderId="0" xfId="0" applyNumberFormat="1" applyFont="1" applyAlignment="1">
      <alignment wrapText="1"/>
    </xf>
    <xf numFmtId="1" fontId="1" fillId="0" borderId="0" xfId="0" applyNumberFormat="1" applyFont="1" applyAlignment="1">
      <alignment wrapText="1"/>
    </xf>
    <xf numFmtId="0" fontId="56" fillId="0" borderId="68" xfId="0" applyFont="1" applyBorder="1" applyAlignment="1">
      <alignment horizontal="centerContinuous"/>
    </xf>
    <xf numFmtId="0" fontId="1" fillId="0" borderId="71" xfId="0" applyFont="1" applyBorder="1" applyAlignment="1">
      <alignment horizontal="centerContinuous"/>
    </xf>
    <xf numFmtId="0" fontId="71" fillId="0" borderId="19" xfId="0" applyFont="1" applyBorder="1"/>
    <xf numFmtId="164" fontId="56" fillId="0" borderId="63" xfId="2" applyNumberFormat="1" applyFont="1" applyBorder="1" applyAlignment="1">
      <alignment horizontal="right" wrapText="1"/>
    </xf>
    <xf numFmtId="165" fontId="56" fillId="0" borderId="67" xfId="1" applyNumberFormat="1" applyFont="1" applyBorder="1" applyAlignment="1">
      <alignment horizontal="right" wrapText="1"/>
    </xf>
    <xf numFmtId="165" fontId="56" fillId="0" borderId="66" xfId="1" applyNumberFormat="1" applyFont="1" applyBorder="1" applyAlignment="1">
      <alignment horizontal="right" wrapText="1"/>
    </xf>
    <xf numFmtId="165" fontId="1" fillId="0" borderId="68" xfId="1" applyNumberFormat="1" applyFont="1" applyBorder="1"/>
    <xf numFmtId="165" fontId="1" fillId="0" borderId="71" xfId="1" applyNumberFormat="1" applyFont="1" applyBorder="1"/>
    <xf numFmtId="165" fontId="1" fillId="0" borderId="69" xfId="1" applyNumberFormat="1" applyFont="1" applyBorder="1"/>
    <xf numFmtId="164" fontId="1" fillId="0" borderId="63" xfId="2" applyNumberFormat="1" applyFont="1" applyFill="1" applyBorder="1"/>
    <xf numFmtId="43" fontId="1" fillId="55" borderId="63" xfId="1" applyFont="1" applyFill="1" applyBorder="1"/>
    <xf numFmtId="44" fontId="1" fillId="0" borderId="0" xfId="2" applyFont="1" applyAlignment="1">
      <alignment horizontal="right"/>
    </xf>
    <xf numFmtId="165" fontId="1" fillId="56" borderId="63" xfId="0" applyNumberFormat="1" applyFont="1" applyFill="1" applyBorder="1"/>
    <xf numFmtId="165" fontId="1" fillId="55" borderId="63" xfId="1" applyNumberFormat="1" applyFont="1" applyFill="1" applyBorder="1"/>
    <xf numFmtId="41" fontId="1" fillId="55" borderId="63" xfId="0" applyNumberFormat="1" applyFont="1" applyFill="1" applyBorder="1"/>
    <xf numFmtId="41" fontId="1" fillId="61" borderId="63" xfId="0" applyNumberFormat="1" applyFont="1" applyFill="1" applyBorder="1"/>
    <xf numFmtId="44" fontId="1" fillId="0" borderId="19" xfId="2" applyFont="1" applyBorder="1" applyAlignment="1">
      <alignment horizontal="right"/>
    </xf>
    <xf numFmtId="164" fontId="1" fillId="55" borderId="31" xfId="2" applyNumberFormat="1" applyFont="1" applyFill="1" applyBorder="1"/>
    <xf numFmtId="43" fontId="1" fillId="55" borderId="31" xfId="1" applyFont="1" applyFill="1" applyBorder="1"/>
    <xf numFmtId="165" fontId="1" fillId="56" borderId="31" xfId="0" applyNumberFormat="1" applyFont="1" applyFill="1" applyBorder="1"/>
    <xf numFmtId="165" fontId="1" fillId="55" borderId="31" xfId="1" applyNumberFormat="1" applyFont="1" applyFill="1" applyBorder="1"/>
    <xf numFmtId="41" fontId="1" fillId="55" borderId="31" xfId="0" applyNumberFormat="1" applyFont="1" applyFill="1" applyBorder="1"/>
    <xf numFmtId="41" fontId="1" fillId="61" borderId="31" xfId="0" applyNumberFormat="1" applyFont="1" applyFill="1" applyBorder="1"/>
    <xf numFmtId="165" fontId="56" fillId="56" borderId="63" xfId="0" applyNumberFormat="1" applyFont="1" applyFill="1" applyBorder="1"/>
    <xf numFmtId="41" fontId="56" fillId="61" borderId="63" xfId="0" applyNumberFormat="1" applyFont="1" applyFill="1" applyBorder="1"/>
    <xf numFmtId="164" fontId="56" fillId="0" borderId="0" xfId="2" applyNumberFormat="1" applyFont="1" applyFill="1" applyBorder="1" applyAlignment="1"/>
    <xf numFmtId="165" fontId="56" fillId="0" borderId="0" xfId="2" applyNumberFormat="1" applyFont="1" applyFill="1" applyBorder="1" applyAlignment="1"/>
    <xf numFmtId="165" fontId="1" fillId="55" borderId="63" xfId="0" applyNumberFormat="1" applyFont="1" applyFill="1" applyBorder="1"/>
    <xf numFmtId="165" fontId="1" fillId="61" borderId="63" xfId="0" applyNumberFormat="1" applyFont="1" applyFill="1" applyBorder="1"/>
    <xf numFmtId="164" fontId="1" fillId="71" borderId="63" xfId="2" applyNumberFormat="1" applyFont="1" applyFill="1" applyBorder="1"/>
    <xf numFmtId="43" fontId="1" fillId="71" borderId="63" xfId="1" applyFont="1" applyFill="1" applyBorder="1"/>
    <xf numFmtId="165" fontId="1" fillId="71" borderId="63" xfId="0" applyNumberFormat="1" applyFont="1" applyFill="1" applyBorder="1"/>
    <xf numFmtId="165" fontId="1" fillId="71" borderId="63" xfId="1" applyNumberFormat="1" applyFont="1" applyFill="1" applyBorder="1"/>
    <xf numFmtId="164" fontId="1" fillId="75" borderId="63" xfId="2" applyNumberFormat="1" applyFont="1" applyFill="1" applyBorder="1"/>
    <xf numFmtId="165" fontId="1" fillId="76" borderId="63" xfId="0" applyNumberFormat="1" applyFont="1" applyFill="1" applyBorder="1"/>
    <xf numFmtId="165" fontId="1" fillId="77" borderId="63" xfId="0" applyNumberFormat="1" applyFont="1" applyFill="1" applyBorder="1"/>
    <xf numFmtId="164" fontId="1" fillId="82" borderId="0" xfId="0" applyNumberFormat="1" applyFont="1" applyFill="1"/>
    <xf numFmtId="43" fontId="1" fillId="82" borderId="0" xfId="0" applyNumberFormat="1" applyFont="1" applyFill="1"/>
    <xf numFmtId="164" fontId="1" fillId="71" borderId="63" xfId="1" applyNumberFormat="1" applyFont="1" applyFill="1" applyBorder="1"/>
    <xf numFmtId="164" fontId="1" fillId="0" borderId="0" xfId="1" applyNumberFormat="1" applyFont="1" applyFill="1"/>
    <xf numFmtId="164" fontId="1" fillId="75" borderId="63" xfId="1" applyNumberFormat="1" applyFont="1" applyFill="1" applyBorder="1"/>
    <xf numFmtId="165" fontId="1" fillId="76" borderId="63" xfId="1" applyNumberFormat="1" applyFont="1" applyFill="1" applyBorder="1"/>
    <xf numFmtId="165" fontId="1" fillId="77" borderId="63" xfId="1" applyNumberFormat="1" applyFont="1" applyFill="1" applyBorder="1"/>
    <xf numFmtId="3" fontId="56" fillId="0" borderId="0" xfId="0" applyNumberFormat="1" applyFont="1"/>
    <xf numFmtId="43" fontId="1" fillId="0" borderId="0" xfId="1" applyFont="1" applyBorder="1"/>
    <xf numFmtId="165" fontId="1" fillId="0" borderId="0" xfId="1" applyNumberFormat="1" applyFont="1" applyBorder="1"/>
    <xf numFmtId="165" fontId="1" fillId="0" borderId="41" xfId="0" applyNumberFormat="1" applyFont="1" applyBorder="1"/>
    <xf numFmtId="164" fontId="1" fillId="75" borderId="158" xfId="2" applyNumberFormat="1" applyFont="1" applyFill="1" applyBorder="1"/>
    <xf numFmtId="164" fontId="1" fillId="75" borderId="159" xfId="2" applyNumberFormat="1" applyFont="1" applyFill="1" applyBorder="1"/>
    <xf numFmtId="165" fontId="56" fillId="0" borderId="0" xfId="0" applyNumberFormat="1" applyFont="1"/>
    <xf numFmtId="0" fontId="132" fillId="0" borderId="0" xfId="0" applyFont="1" applyAlignment="1">
      <alignment horizontal="center"/>
    </xf>
    <xf numFmtId="44" fontId="56" fillId="0" borderId="41" xfId="2" applyFont="1" applyBorder="1" applyAlignment="1">
      <alignment horizontal="right"/>
    </xf>
    <xf numFmtId="164" fontId="1" fillId="68" borderId="31" xfId="2" applyNumberFormat="1" applyFont="1" applyFill="1" applyBorder="1"/>
    <xf numFmtId="164" fontId="1" fillId="68" borderId="41" xfId="2" applyNumberFormat="1" applyFont="1" applyFill="1" applyBorder="1"/>
    <xf numFmtId="0" fontId="71" fillId="0" borderId="0" xfId="0" applyFont="1" applyAlignment="1">
      <alignment horizontal="center"/>
    </xf>
    <xf numFmtId="0" fontId="56" fillId="0" borderId="71" xfId="0" applyFont="1" applyBorder="1" applyAlignment="1">
      <alignment horizontal="center"/>
    </xf>
    <xf numFmtId="164" fontId="1" fillId="85" borderId="68" xfId="0" applyNumberFormat="1" applyFont="1" applyFill="1" applyBorder="1" applyAlignment="1">
      <alignment horizontal="right"/>
    </xf>
    <xf numFmtId="0" fontId="54" fillId="0" borderId="65" xfId="0" applyFont="1" applyBorder="1" applyAlignment="1">
      <alignment horizontal="center"/>
    </xf>
    <xf numFmtId="0" fontId="64" fillId="0" borderId="67" xfId="0" applyFont="1" applyBorder="1"/>
    <xf numFmtId="0" fontId="54" fillId="0" borderId="0" xfId="0" applyFont="1" applyAlignment="1">
      <alignment horizontal="center"/>
    </xf>
    <xf numFmtId="164" fontId="1" fillId="0" borderId="41" xfId="0" applyNumberFormat="1" applyFont="1" applyBorder="1" applyAlignment="1">
      <alignment horizontal="right"/>
    </xf>
    <xf numFmtId="164" fontId="56" fillId="0" borderId="83" xfId="0" applyNumberFormat="1" applyFont="1" applyBorder="1" applyAlignment="1">
      <alignment horizontal="right" wrapText="1"/>
    </xf>
    <xf numFmtId="164" fontId="1" fillId="0" borderId="45" xfId="0" applyNumberFormat="1" applyFont="1" applyBorder="1" applyAlignment="1">
      <alignment horizontal="right"/>
    </xf>
    <xf numFmtId="164" fontId="1" fillId="0" borderId="66" xfId="3" applyNumberFormat="1" applyFont="1" applyBorder="1"/>
    <xf numFmtId="10" fontId="1" fillId="0" borderId="0" xfId="3" applyNumberFormat="1" applyFont="1" applyFill="1" applyBorder="1"/>
    <xf numFmtId="173" fontId="54" fillId="81" borderId="135" xfId="3" applyNumberFormat="1" applyFont="1" applyFill="1" applyBorder="1"/>
    <xf numFmtId="173" fontId="54" fillId="84" borderId="136" xfId="3" applyNumberFormat="1" applyFont="1" applyFill="1" applyBorder="1"/>
    <xf numFmtId="173" fontId="54" fillId="61" borderId="126" xfId="3" applyNumberFormat="1" applyFont="1" applyFill="1" applyBorder="1"/>
    <xf numFmtId="10" fontId="1" fillId="0" borderId="0" xfId="0" applyNumberFormat="1" applyFont="1" applyAlignment="1">
      <alignment wrapText="1"/>
    </xf>
    <xf numFmtId="173" fontId="54" fillId="61" borderId="124" xfId="3" applyNumberFormat="1" applyFont="1" applyFill="1" applyBorder="1"/>
    <xf numFmtId="164" fontId="54" fillId="81" borderId="47" xfId="2" applyNumberFormat="1" applyFont="1" applyFill="1" applyBorder="1"/>
    <xf numFmtId="0" fontId="1" fillId="0" borderId="68" xfId="0" applyFont="1" applyBorder="1" applyAlignment="1">
      <alignment wrapText="1"/>
    </xf>
    <xf numFmtId="0" fontId="1" fillId="0" borderId="69" xfId="0" applyFont="1" applyBorder="1" applyAlignment="1">
      <alignment wrapText="1"/>
    </xf>
    <xf numFmtId="164" fontId="1" fillId="55" borderId="0" xfId="2" applyNumberFormat="1" applyFont="1" applyFill="1" applyBorder="1"/>
    <xf numFmtId="173" fontId="64" fillId="83" borderId="137" xfId="3" applyNumberFormat="1" applyFont="1" applyFill="1" applyBorder="1"/>
    <xf numFmtId="164" fontId="54" fillId="55" borderId="0" xfId="2" applyNumberFormat="1" applyFont="1" applyFill="1" applyBorder="1"/>
    <xf numFmtId="164" fontId="54" fillId="0" borderId="0" xfId="2" applyNumberFormat="1" applyFont="1" applyBorder="1"/>
    <xf numFmtId="44" fontId="54" fillId="0" borderId="0" xfId="2" applyFont="1" applyBorder="1"/>
    <xf numFmtId="164" fontId="54" fillId="81" borderId="31" xfId="2" applyNumberFormat="1" applyFont="1" applyFill="1" applyBorder="1"/>
    <xf numFmtId="0" fontId="56" fillId="0" borderId="65" xfId="0" applyFont="1" applyBorder="1" applyAlignment="1">
      <alignment horizontal="right"/>
    </xf>
    <xf numFmtId="41" fontId="1" fillId="0" borderId="19" xfId="0" applyNumberFormat="1" applyFont="1" applyBorder="1"/>
    <xf numFmtId="164" fontId="56" fillId="61" borderId="19" xfId="2" applyNumberFormat="1" applyFont="1" applyFill="1" applyBorder="1"/>
    <xf numFmtId="10" fontId="56" fillId="61" borderId="46" xfId="0" applyNumberFormat="1" applyFont="1" applyFill="1" applyBorder="1"/>
    <xf numFmtId="10" fontId="56" fillId="0" borderId="0" xfId="0" applyNumberFormat="1" applyFont="1"/>
    <xf numFmtId="173" fontId="64" fillId="83" borderId="162" xfId="3" applyNumberFormat="1" applyFont="1" applyFill="1" applyBorder="1"/>
    <xf numFmtId="173" fontId="64" fillId="85" borderId="124" xfId="3" applyNumberFormat="1" applyFont="1" applyFill="1" applyBorder="1"/>
    <xf numFmtId="173" fontId="64" fillId="85" borderId="161" xfId="3" applyNumberFormat="1" applyFont="1" applyFill="1" applyBorder="1"/>
    <xf numFmtId="0" fontId="56" fillId="0" borderId="45" xfId="0" applyFont="1" applyBorder="1" applyAlignment="1">
      <alignment horizontal="center"/>
    </xf>
    <xf numFmtId="173" fontId="1" fillId="0" borderId="31" xfId="0" applyNumberFormat="1" applyFont="1" applyBorder="1"/>
    <xf numFmtId="41" fontId="1" fillId="0" borderId="0" xfId="2" applyNumberFormat="1" applyFont="1" applyFill="1" applyBorder="1"/>
    <xf numFmtId="164" fontId="64" fillId="0" borderId="30" xfId="2" applyNumberFormat="1" applyFont="1" applyFill="1" applyBorder="1"/>
    <xf numFmtId="165" fontId="56" fillId="0" borderId="0" xfId="1" applyNumberFormat="1" applyFont="1" applyBorder="1" applyAlignment="1">
      <alignment horizontal="right"/>
    </xf>
    <xf numFmtId="0" fontId="56" fillId="0" borderId="65" xfId="0" applyFont="1" applyBorder="1" applyAlignment="1">
      <alignment vertical="center"/>
    </xf>
    <xf numFmtId="43" fontId="1" fillId="0" borderId="67" xfId="1" applyFont="1" applyBorder="1" applyAlignment="1">
      <alignment horizontal="center" vertical="center"/>
    </xf>
    <xf numFmtId="164" fontId="1" fillId="61" borderId="69" xfId="0" applyNumberFormat="1" applyFont="1" applyFill="1" applyBorder="1"/>
    <xf numFmtId="164" fontId="1" fillId="61" borderId="42" xfId="0" applyNumberFormat="1" applyFont="1" applyFill="1" applyBorder="1"/>
    <xf numFmtId="164" fontId="1" fillId="61" borderId="46" xfId="0" applyNumberFormat="1" applyFont="1" applyFill="1" applyBorder="1"/>
    <xf numFmtId="0" fontId="63" fillId="0" borderId="41" xfId="0" applyFont="1" applyBorder="1"/>
    <xf numFmtId="164" fontId="1" fillId="0" borderId="67" xfId="0" applyNumberFormat="1" applyFont="1" applyBorder="1"/>
    <xf numFmtId="164" fontId="56" fillId="61" borderId="66" xfId="2" applyNumberFormat="1" applyFont="1" applyFill="1" applyBorder="1"/>
    <xf numFmtId="164" fontId="56" fillId="61" borderId="46" xfId="2" applyNumberFormat="1" applyFont="1" applyFill="1" applyBorder="1"/>
    <xf numFmtId="164" fontId="56" fillId="63" borderId="21" xfId="2" applyNumberFormat="1" applyFont="1" applyFill="1" applyBorder="1"/>
    <xf numFmtId="43" fontId="56" fillId="61" borderId="19" xfId="1" applyFont="1" applyFill="1" applyBorder="1"/>
    <xf numFmtId="43" fontId="56" fillId="61" borderId="67" xfId="1" applyFont="1" applyFill="1" applyBorder="1"/>
    <xf numFmtId="43" fontId="56" fillId="0" borderId="0" xfId="1" applyFont="1"/>
    <xf numFmtId="43" fontId="1" fillId="0" borderId="71" xfId="1" applyFont="1" applyBorder="1"/>
    <xf numFmtId="43" fontId="1" fillId="0" borderId="19" xfId="1" applyFont="1" applyBorder="1"/>
    <xf numFmtId="43" fontId="56" fillId="0" borderId="19" xfId="1" applyFont="1" applyBorder="1"/>
    <xf numFmtId="0" fontId="56" fillId="0" borderId="65" xfId="0" applyFont="1" applyBorder="1" applyAlignment="1">
      <alignment vertical="center" wrapText="1"/>
    </xf>
    <xf numFmtId="0" fontId="1" fillId="0" borderId="67" xfId="0" applyFont="1" applyBorder="1" applyAlignment="1">
      <alignment horizontal="center" vertical="center" wrapText="1"/>
    </xf>
    <xf numFmtId="0" fontId="1" fillId="0" borderId="67" xfId="0" quotePrefix="1" applyFont="1" applyBorder="1" applyAlignment="1">
      <alignment horizontal="center" vertical="center" wrapText="1"/>
    </xf>
    <xf numFmtId="0" fontId="1" fillId="0" borderId="66" xfId="0" quotePrefix="1" applyFont="1" applyBorder="1" applyAlignment="1">
      <alignment horizontal="center" vertical="center" wrapText="1"/>
    </xf>
    <xf numFmtId="165" fontId="1" fillId="0" borderId="0" xfId="0" applyNumberFormat="1" applyFont="1" applyAlignment="1">
      <alignment horizontal="center"/>
    </xf>
    <xf numFmtId="0" fontId="56" fillId="0" borderId="67" xfId="0" applyFont="1" applyBorder="1" applyAlignment="1">
      <alignment horizontal="left" wrapText="1"/>
    </xf>
    <xf numFmtId="165" fontId="56" fillId="0" borderId="67" xfId="0" applyNumberFormat="1" applyFont="1" applyBorder="1" applyAlignment="1">
      <alignment horizontal="center" wrapText="1"/>
    </xf>
    <xf numFmtId="0" fontId="56" fillId="0" borderId="66" xfId="0" applyFont="1" applyBorder="1" applyAlignment="1">
      <alignment horizontal="left" wrapText="1"/>
    </xf>
    <xf numFmtId="42" fontId="1" fillId="61" borderId="71" xfId="0" applyNumberFormat="1" applyFont="1" applyFill="1" applyBorder="1"/>
    <xf numFmtId="42" fontId="1" fillId="61" borderId="69" xfId="2" applyNumberFormat="1" applyFont="1" applyFill="1" applyBorder="1"/>
    <xf numFmtId="42" fontId="1" fillId="61" borderId="42" xfId="2" applyNumberFormat="1" applyFont="1" applyFill="1" applyBorder="1"/>
    <xf numFmtId="42" fontId="1" fillId="61" borderId="46" xfId="2" applyNumberFormat="1" applyFont="1" applyFill="1" applyBorder="1"/>
    <xf numFmtId="42" fontId="56" fillId="0" borderId="19" xfId="0" applyNumberFormat="1" applyFont="1" applyBorder="1"/>
    <xf numFmtId="42" fontId="56" fillId="61" borderId="46" xfId="2" applyNumberFormat="1" applyFont="1" applyFill="1" applyBorder="1"/>
    <xf numFmtId="0" fontId="56" fillId="0" borderId="45" xfId="0" applyFont="1" applyBorder="1" applyAlignment="1">
      <alignment horizontal="left" wrapText="1"/>
    </xf>
    <xf numFmtId="165" fontId="56" fillId="0" borderId="19" xfId="0" applyNumberFormat="1" applyFont="1" applyBorder="1" applyAlignment="1">
      <alignment wrapText="1"/>
    </xf>
    <xf numFmtId="42" fontId="56" fillId="0" borderId="19" xfId="0" applyNumberFormat="1" applyFont="1" applyBorder="1" applyAlignment="1">
      <alignment horizontal="right" wrapText="1"/>
    </xf>
    <xf numFmtId="42" fontId="56" fillId="0" borderId="19" xfId="0" applyNumberFormat="1" applyFont="1" applyBorder="1" applyAlignment="1">
      <alignment wrapText="1"/>
    </xf>
    <xf numFmtId="0" fontId="56" fillId="0" borderId="65" xfId="0" applyFont="1" applyBorder="1" applyAlignment="1">
      <alignment horizontal="left" wrapText="1"/>
    </xf>
    <xf numFmtId="165" fontId="56" fillId="0" borderId="67" xfId="0" applyNumberFormat="1" applyFont="1" applyBorder="1" applyAlignment="1">
      <alignment wrapText="1"/>
    </xf>
    <xf numFmtId="42" fontId="56" fillId="0" borderId="67" xfId="0" applyNumberFormat="1" applyFont="1" applyBorder="1" applyAlignment="1">
      <alignment horizontal="right" wrapText="1"/>
    </xf>
    <xf numFmtId="42" fontId="56" fillId="0" borderId="67" xfId="0" applyNumberFormat="1" applyFont="1" applyBorder="1" applyAlignment="1">
      <alignment wrapText="1"/>
    </xf>
    <xf numFmtId="0" fontId="56" fillId="0" borderId="71" xfId="0" applyFont="1" applyBorder="1" applyAlignment="1">
      <alignment horizontal="right" wrapText="1"/>
    </xf>
    <xf numFmtId="43" fontId="56" fillId="0" borderId="68" xfId="0" applyNumberFormat="1" applyFont="1" applyBorder="1" applyAlignment="1">
      <alignment horizontal="right" wrapText="1"/>
    </xf>
    <xf numFmtId="0" fontId="56" fillId="0" borderId="67" xfId="0" applyFont="1" applyBorder="1" applyAlignment="1">
      <alignment horizontal="right" vertical="center"/>
    </xf>
    <xf numFmtId="0" fontId="56" fillId="0" borderId="65" xfId="0" applyFont="1" applyBorder="1" applyAlignment="1">
      <alignment horizontal="center" vertical="center"/>
    </xf>
    <xf numFmtId="0" fontId="56" fillId="0" borderId="63" xfId="0" quotePrefix="1" applyFont="1" applyBorder="1" applyAlignment="1">
      <alignment horizontal="center" vertical="center"/>
    </xf>
    <xf numFmtId="0" fontId="56" fillId="0" borderId="67" xfId="0" quotePrefix="1" applyFont="1" applyBorder="1" applyAlignment="1">
      <alignment horizontal="center" vertical="center"/>
    </xf>
    <xf numFmtId="43" fontId="56" fillId="0" borderId="65" xfId="0" applyNumberFormat="1" applyFont="1" applyBorder="1" applyAlignment="1">
      <alignment horizontal="center" vertical="center" wrapText="1"/>
    </xf>
    <xf numFmtId="0" fontId="56" fillId="0" borderId="63" xfId="0" quotePrefix="1" applyFont="1" applyBorder="1" applyAlignment="1">
      <alignment horizontal="center" vertical="center" wrapText="1"/>
    </xf>
    <xf numFmtId="44" fontId="56" fillId="0" borderId="0" xfId="2" applyFont="1" applyFill="1" applyBorder="1" applyAlignment="1">
      <alignment horizontal="center" vertical="center" wrapText="1"/>
    </xf>
    <xf numFmtId="0" fontId="56" fillId="0" borderId="0" xfId="0" applyFont="1" applyAlignment="1">
      <alignment vertical="center"/>
    </xf>
    <xf numFmtId="39" fontId="1" fillId="0" borderId="68" xfId="0" applyNumberFormat="1" applyFont="1" applyBorder="1" applyAlignment="1">
      <alignment horizontal="right"/>
    </xf>
    <xf numFmtId="2" fontId="1" fillId="0" borderId="0" xfId="0" applyNumberFormat="1" applyFont="1" applyAlignment="1">
      <alignment horizontal="right"/>
    </xf>
    <xf numFmtId="177" fontId="1" fillId="0" borderId="41" xfId="2" applyNumberFormat="1" applyFont="1" applyFill="1" applyBorder="1" applyAlignment="1">
      <alignment horizontal="center"/>
    </xf>
    <xf numFmtId="39" fontId="1" fillId="0" borderId="41" xfId="0" applyNumberFormat="1" applyFont="1" applyBorder="1" applyAlignment="1">
      <alignment horizontal="right"/>
    </xf>
    <xf numFmtId="39" fontId="1" fillId="0" borderId="45" xfId="0" applyNumberFormat="1" applyFont="1" applyBorder="1" applyAlignment="1">
      <alignment horizontal="right"/>
    </xf>
    <xf numFmtId="2" fontId="1" fillId="0" borderId="19" xfId="0" applyNumberFormat="1" applyFont="1" applyBorder="1" applyAlignment="1">
      <alignment horizontal="right"/>
    </xf>
    <xf numFmtId="177" fontId="1" fillId="0" borderId="45" xfId="2" applyNumberFormat="1" applyFont="1" applyFill="1" applyBorder="1" applyAlignment="1">
      <alignment horizontal="center"/>
    </xf>
    <xf numFmtId="164" fontId="1" fillId="0" borderId="47" xfId="2" applyNumberFormat="1" applyFont="1" applyBorder="1" applyAlignment="1">
      <alignment horizontal="right"/>
    </xf>
    <xf numFmtId="43" fontId="1" fillId="0" borderId="0" xfId="1" applyFont="1" applyAlignment="1">
      <alignment horizontal="right"/>
    </xf>
    <xf numFmtId="164" fontId="1" fillId="0" borderId="47" xfId="0" applyNumberFormat="1" applyFont="1" applyBorder="1" applyAlignment="1">
      <alignment horizontal="right"/>
    </xf>
    <xf numFmtId="39" fontId="56" fillId="0" borderId="65" xfId="0" applyNumberFormat="1" applyFont="1" applyBorder="1"/>
    <xf numFmtId="164" fontId="56" fillId="0" borderId="63" xfId="0" applyNumberFormat="1" applyFont="1" applyBorder="1"/>
    <xf numFmtId="43" fontId="56" fillId="0" borderId="67" xfId="1" applyFont="1" applyBorder="1" applyAlignment="1">
      <alignment horizontal="right"/>
    </xf>
    <xf numFmtId="164" fontId="56" fillId="61" borderId="65" xfId="0" applyNumberFormat="1" applyFont="1" applyFill="1" applyBorder="1"/>
    <xf numFmtId="0" fontId="56" fillId="0" borderId="68" xfId="0" applyFont="1" applyBorder="1" applyAlignment="1">
      <alignment horizontal="left" vertical="center" wrapText="1"/>
    </xf>
    <xf numFmtId="0" fontId="56" fillId="0" borderId="71" xfId="0" applyFont="1" applyBorder="1" applyAlignment="1">
      <alignment horizontal="right" vertical="center" wrapText="1"/>
    </xf>
    <xf numFmtId="44" fontId="56" fillId="0" borderId="0" xfId="2" applyFont="1" applyFill="1" applyBorder="1" applyAlignment="1">
      <alignment horizontal="left" vertical="center" wrapText="1"/>
    </xf>
    <xf numFmtId="0" fontId="56" fillId="0" borderId="0" xfId="0" applyFont="1" applyAlignment="1">
      <alignment horizontal="left" vertical="center" wrapText="1"/>
    </xf>
    <xf numFmtId="39" fontId="1" fillId="61" borderId="41" xfId="2" applyNumberFormat="1" applyFont="1" applyFill="1" applyBorder="1" applyAlignment="1"/>
    <xf numFmtId="43" fontId="1" fillId="61" borderId="41" xfId="1" applyFont="1" applyFill="1" applyBorder="1" applyAlignment="1">
      <alignment horizontal="right"/>
    </xf>
    <xf numFmtId="181" fontId="1" fillId="61" borderId="0" xfId="0" applyNumberFormat="1" applyFont="1" applyFill="1" applyAlignment="1">
      <alignment horizontal="center" vertical="center"/>
    </xf>
    <xf numFmtId="39" fontId="1" fillId="61" borderId="45" xfId="2" applyNumberFormat="1" applyFont="1" applyFill="1" applyBorder="1" applyAlignment="1"/>
    <xf numFmtId="43" fontId="1" fillId="61" borderId="45" xfId="1" applyFont="1" applyFill="1" applyBorder="1" applyAlignment="1">
      <alignment horizontal="right"/>
    </xf>
    <xf numFmtId="181" fontId="1" fillId="61" borderId="19" xfId="0" applyNumberFormat="1" applyFont="1" applyFill="1" applyBorder="1" applyAlignment="1">
      <alignment horizontal="center" vertical="center"/>
    </xf>
    <xf numFmtId="39" fontId="56" fillId="61" borderId="65" xfId="0" applyNumberFormat="1" applyFont="1" applyFill="1" applyBorder="1"/>
    <xf numFmtId="43" fontId="56" fillId="61" borderId="65" xfId="1" applyFont="1" applyFill="1" applyBorder="1" applyAlignment="1">
      <alignment horizontal="right"/>
    </xf>
    <xf numFmtId="164" fontId="56" fillId="0" borderId="0" xfId="0" applyNumberFormat="1" applyFont="1" applyAlignment="1">
      <alignment horizontal="center"/>
    </xf>
    <xf numFmtId="2" fontId="1" fillId="0" borderId="68" xfId="0" applyNumberFormat="1" applyFont="1" applyBorder="1"/>
    <xf numFmtId="43" fontId="1" fillId="0" borderId="68" xfId="1" applyFont="1" applyBorder="1" applyAlignment="1">
      <alignment horizontal="right"/>
    </xf>
    <xf numFmtId="164" fontId="1" fillId="0" borderId="71" xfId="2" applyNumberFormat="1" applyFont="1" applyFill="1" applyBorder="1" applyAlignment="1"/>
    <xf numFmtId="177" fontId="1" fillId="61" borderId="68" xfId="0" applyNumberFormat="1" applyFont="1" applyFill="1" applyBorder="1" applyAlignment="1">
      <alignment horizontal="center"/>
    </xf>
    <xf numFmtId="2" fontId="1" fillId="0" borderId="45" xfId="0" applyNumberFormat="1" applyFont="1" applyBorder="1"/>
    <xf numFmtId="43" fontId="1" fillId="0" borderId="45" xfId="1" applyFont="1" applyBorder="1" applyAlignment="1">
      <alignment horizontal="right"/>
    </xf>
    <xf numFmtId="177" fontId="1" fillId="61" borderId="45" xfId="0" applyNumberFormat="1" applyFont="1" applyFill="1" applyBorder="1" applyAlignment="1">
      <alignment horizontal="center"/>
    </xf>
    <xf numFmtId="39" fontId="56" fillId="0" borderId="0" xfId="0" applyNumberFormat="1" applyFont="1"/>
    <xf numFmtId="39" fontId="56" fillId="0" borderId="45" xfId="0" applyNumberFormat="1" applyFont="1" applyBorder="1"/>
    <xf numFmtId="164" fontId="56" fillId="0" borderId="46" xfId="2" applyNumberFormat="1" applyFont="1" applyBorder="1"/>
    <xf numFmtId="43" fontId="56" fillId="0" borderId="45" xfId="1" applyFont="1" applyBorder="1"/>
    <xf numFmtId="44" fontId="56" fillId="0" borderId="63" xfId="2" applyFont="1" applyBorder="1"/>
    <xf numFmtId="164" fontId="56" fillId="63" borderId="63" xfId="0" applyNumberFormat="1" applyFont="1" applyFill="1" applyBorder="1"/>
    <xf numFmtId="164" fontId="1" fillId="0" borderId="45" xfId="2" applyNumberFormat="1" applyFont="1" applyBorder="1"/>
    <xf numFmtId="164" fontId="1" fillId="57" borderId="40" xfId="2" applyNumberFormat="1" applyFont="1" applyFill="1" applyBorder="1"/>
    <xf numFmtId="164" fontId="56" fillId="66" borderId="66" xfId="2" applyNumberFormat="1" applyFont="1" applyFill="1" applyBorder="1"/>
    <xf numFmtId="164" fontId="56" fillId="61" borderId="63" xfId="1" applyNumberFormat="1" applyFont="1" applyFill="1" applyBorder="1"/>
    <xf numFmtId="164" fontId="56" fillId="61" borderId="31" xfId="1" applyNumberFormat="1" applyFont="1" applyFill="1" applyBorder="1"/>
    <xf numFmtId="164" fontId="1" fillId="0" borderId="0" xfId="1" applyNumberFormat="1" applyFont="1" applyAlignment="1"/>
    <xf numFmtId="164" fontId="56" fillId="61" borderId="47" xfId="2" applyNumberFormat="1" applyFont="1" applyFill="1" applyBorder="1"/>
    <xf numFmtId="41" fontId="1" fillId="0" borderId="0" xfId="1" applyNumberFormat="1" applyFont="1" applyAlignment="1"/>
    <xf numFmtId="43" fontId="79" fillId="0" borderId="0" xfId="2" applyNumberFormat="1" applyFont="1" applyFill="1" applyBorder="1"/>
    <xf numFmtId="43" fontId="86" fillId="0" borderId="0" xfId="0" applyNumberFormat="1" applyFont="1"/>
    <xf numFmtId="0" fontId="56" fillId="0" borderId="41" xfId="0" applyFont="1" applyBorder="1" applyAlignment="1">
      <alignment horizontal="right" wrapText="1"/>
    </xf>
    <xf numFmtId="164" fontId="59" fillId="0" borderId="41" xfId="2" applyNumberFormat="1" applyFont="1" applyBorder="1" applyAlignment="1">
      <alignment wrapText="1"/>
    </xf>
    <xf numFmtId="164" fontId="59" fillId="0" borderId="0" xfId="2" applyNumberFormat="1" applyFont="1" applyBorder="1" applyAlignment="1">
      <alignment wrapText="1"/>
    </xf>
    <xf numFmtId="44" fontId="0" fillId="0" borderId="0" xfId="2" applyFont="1"/>
    <xf numFmtId="9" fontId="0" fillId="0" borderId="0" xfId="3" applyFont="1"/>
    <xf numFmtId="10" fontId="0" fillId="0" borderId="0" xfId="3" applyNumberFormat="1" applyFont="1"/>
    <xf numFmtId="44" fontId="0" fillId="0" borderId="19" xfId="2" applyFont="1" applyBorder="1"/>
    <xf numFmtId="10" fontId="0" fillId="0" borderId="19" xfId="3" applyNumberFormat="1" applyFont="1" applyBorder="1"/>
    <xf numFmtId="44" fontId="0" fillId="0" borderId="19" xfId="0" applyNumberFormat="1" applyBorder="1"/>
    <xf numFmtId="9" fontId="0" fillId="0" borderId="19" xfId="3" applyFont="1" applyBorder="1"/>
    <xf numFmtId="0" fontId="56" fillId="0" borderId="58" xfId="0" applyFont="1" applyBorder="1" applyAlignment="1">
      <alignment horizontal="center" wrapText="1"/>
    </xf>
    <xf numFmtId="0" fontId="54" fillId="55" borderId="138" xfId="0" applyFont="1" applyFill="1" applyBorder="1" applyAlignment="1">
      <alignment horizontal="center" vertical="center"/>
    </xf>
    <xf numFmtId="0" fontId="64" fillId="81" borderId="139" xfId="0" applyFont="1" applyFill="1" applyBorder="1" applyAlignment="1">
      <alignment horizontal="center" vertical="center"/>
    </xf>
    <xf numFmtId="0" fontId="64" fillId="84" borderId="140" xfId="0" applyFont="1" applyFill="1" applyBorder="1" applyAlignment="1">
      <alignment horizontal="center" vertical="center"/>
    </xf>
    <xf numFmtId="0" fontId="54" fillId="55" borderId="141" xfId="0" applyFont="1" applyFill="1" applyBorder="1" applyAlignment="1">
      <alignment horizontal="center" vertical="center"/>
    </xf>
    <xf numFmtId="0" fontId="64" fillId="83" borderId="142" xfId="0" applyFont="1" applyFill="1" applyBorder="1" applyAlignment="1">
      <alignment horizontal="center" vertical="center"/>
    </xf>
    <xf numFmtId="0" fontId="64" fillId="83" borderId="163" xfId="0" applyFont="1" applyFill="1" applyBorder="1" applyAlignment="1">
      <alignment horizontal="center" vertical="center"/>
    </xf>
    <xf numFmtId="0" fontId="64" fillId="85" borderId="141" xfId="0" applyFont="1" applyFill="1" applyBorder="1" applyAlignment="1">
      <alignment horizontal="center" vertical="center"/>
    </xf>
    <xf numFmtId="0" fontId="64" fillId="85" borderId="152" xfId="0" applyFont="1" applyFill="1" applyBorder="1" applyAlignment="1">
      <alignment horizontal="center" vertical="center"/>
    </xf>
    <xf numFmtId="0" fontId="56" fillId="0" borderId="58" xfId="0" applyFont="1" applyBorder="1" applyAlignment="1">
      <alignment wrapText="1"/>
    </xf>
    <xf numFmtId="0" fontId="56" fillId="0" borderId="134" xfId="0" applyFont="1" applyBorder="1" applyAlignment="1">
      <alignment horizontal="right" wrapText="1"/>
    </xf>
    <xf numFmtId="0" fontId="54" fillId="55" borderId="138" xfId="0" applyFont="1" applyFill="1" applyBorder="1" applyAlignment="1">
      <alignment vertical="center"/>
    </xf>
    <xf numFmtId="0" fontId="64" fillId="81" borderId="139" xfId="0" applyFont="1" applyFill="1" applyBorder="1" applyAlignment="1">
      <alignment vertical="center"/>
    </xf>
    <xf numFmtId="0" fontId="64" fillId="84" borderId="140" xfId="0" applyFont="1" applyFill="1" applyBorder="1" applyAlignment="1">
      <alignment vertical="center"/>
    </xf>
    <xf numFmtId="0" fontId="54" fillId="55" borderId="141" xfId="0" applyFont="1" applyFill="1" applyBorder="1" applyAlignment="1">
      <alignment vertical="center"/>
    </xf>
    <xf numFmtId="0" fontId="64" fillId="83" borderId="142" xfId="0" applyFont="1" applyFill="1" applyBorder="1" applyAlignment="1">
      <alignment vertical="center"/>
    </xf>
    <xf numFmtId="0" fontId="54" fillId="55" borderId="141" xfId="0" applyFont="1" applyFill="1" applyBorder="1" applyAlignment="1">
      <alignment vertical="center" wrapText="1"/>
    </xf>
    <xf numFmtId="0" fontId="133" fillId="83" borderId="163" xfId="0" applyFont="1" applyFill="1" applyBorder="1" applyAlignment="1">
      <alignment vertical="center"/>
    </xf>
    <xf numFmtId="0" fontId="133" fillId="85" borderId="141" xfId="0" applyFont="1" applyFill="1" applyBorder="1" applyAlignment="1">
      <alignment vertical="center"/>
    </xf>
    <xf numFmtId="0" fontId="133" fillId="85" borderId="152" xfId="0" applyFont="1" applyFill="1" applyBorder="1" applyAlignment="1">
      <alignment vertical="center"/>
    </xf>
    <xf numFmtId="44" fontId="64" fillId="61" borderId="63" xfId="2" applyFont="1" applyFill="1" applyBorder="1"/>
    <xf numFmtId="44" fontId="64" fillId="84" borderId="43" xfId="2" applyFont="1" applyFill="1" applyBorder="1"/>
    <xf numFmtId="44" fontId="64" fillId="85" borderId="65" xfId="2" applyFont="1" applyFill="1" applyBorder="1"/>
    <xf numFmtId="44" fontId="64" fillId="85" borderId="160" xfId="2" applyFont="1" applyFill="1" applyBorder="1"/>
    <xf numFmtId="44" fontId="56" fillId="61" borderId="133" xfId="2" applyFont="1" applyFill="1" applyBorder="1"/>
    <xf numFmtId="44" fontId="1" fillId="85" borderId="71" xfId="0" applyNumberFormat="1" applyFont="1" applyFill="1" applyBorder="1"/>
    <xf numFmtId="165" fontId="102" fillId="55" borderId="21" xfId="1" applyNumberFormat="1" applyFont="1" applyFill="1" applyBorder="1"/>
    <xf numFmtId="41" fontId="1" fillId="61" borderId="47" xfId="2" applyNumberFormat="1" applyFont="1" applyFill="1" applyBorder="1"/>
    <xf numFmtId="41" fontId="1" fillId="61" borderId="41" xfId="2" applyNumberFormat="1" applyFont="1" applyFill="1" applyBorder="1"/>
    <xf numFmtId="41" fontId="1" fillId="61" borderId="0" xfId="2" applyNumberFormat="1" applyFont="1" applyFill="1" applyBorder="1"/>
    <xf numFmtId="41" fontId="1" fillId="0" borderId="47" xfId="2" applyNumberFormat="1" applyFont="1" applyFill="1" applyBorder="1"/>
    <xf numFmtId="41" fontId="1" fillId="61" borderId="47" xfId="0" applyNumberFormat="1" applyFont="1" applyFill="1" applyBorder="1"/>
    <xf numFmtId="41" fontId="1" fillId="61" borderId="45" xfId="2" applyNumberFormat="1" applyFont="1" applyFill="1" applyBorder="1"/>
    <xf numFmtId="41" fontId="1" fillId="61" borderId="31" xfId="2" applyNumberFormat="1" applyFont="1" applyFill="1" applyBorder="1"/>
    <xf numFmtId="41" fontId="1" fillId="61" borderId="19" xfId="2" applyNumberFormat="1" applyFont="1" applyFill="1" applyBorder="1"/>
    <xf numFmtId="41" fontId="1" fillId="0" borderId="31" xfId="2" applyNumberFormat="1" applyFont="1" applyFill="1" applyBorder="1"/>
    <xf numFmtId="41" fontId="1" fillId="61" borderId="42" xfId="2" applyNumberFormat="1" applyFont="1" applyFill="1" applyBorder="1"/>
    <xf numFmtId="41" fontId="56" fillId="61" borderId="63" xfId="2" applyNumberFormat="1" applyFont="1" applyFill="1" applyBorder="1"/>
    <xf numFmtId="41" fontId="56" fillId="0" borderId="19" xfId="0" applyNumberFormat="1" applyFont="1" applyBorder="1" applyAlignment="1">
      <alignment horizontal="center" vertical="center"/>
    </xf>
    <xf numFmtId="41" fontId="56" fillId="0" borderId="31" xfId="0" applyNumberFormat="1" applyFont="1" applyBorder="1" applyAlignment="1">
      <alignment horizontal="center" vertical="center"/>
    </xf>
    <xf numFmtId="41" fontId="1" fillId="0" borderId="68" xfId="0" applyNumberFormat="1" applyFont="1" applyBorder="1"/>
    <xf numFmtId="41" fontId="1" fillId="0" borderId="71" xfId="0" applyNumberFormat="1" applyFont="1" applyBorder="1"/>
    <xf numFmtId="41" fontId="1" fillId="0" borderId="47" xfId="2" applyNumberFormat="1" applyFont="1" applyBorder="1"/>
    <xf numFmtId="41" fontId="1" fillId="0" borderId="31" xfId="2" applyNumberFormat="1" applyFont="1" applyBorder="1"/>
    <xf numFmtId="41" fontId="56" fillId="61" borderId="31" xfId="2" applyNumberFormat="1" applyFont="1" applyFill="1" applyBorder="1"/>
    <xf numFmtId="41" fontId="56" fillId="61" borderId="45" xfId="0" applyNumberFormat="1" applyFont="1" applyFill="1" applyBorder="1"/>
    <xf numFmtId="41" fontId="56" fillId="61" borderId="19" xfId="0" applyNumberFormat="1" applyFont="1" applyFill="1" applyBorder="1"/>
    <xf numFmtId="41" fontId="56" fillId="61" borderId="31" xfId="0" applyNumberFormat="1" applyFont="1" applyFill="1" applyBorder="1"/>
    <xf numFmtId="41" fontId="56" fillId="0" borderId="31" xfId="0" applyNumberFormat="1" applyFont="1" applyBorder="1"/>
    <xf numFmtId="41" fontId="56" fillId="0" borderId="19" xfId="0" applyNumberFormat="1" applyFont="1" applyBorder="1"/>
    <xf numFmtId="41" fontId="1" fillId="61" borderId="69" xfId="2" applyNumberFormat="1" applyFont="1" applyFill="1" applyBorder="1"/>
    <xf numFmtId="41" fontId="1" fillId="61" borderId="68" xfId="2" applyNumberFormat="1" applyFont="1" applyFill="1" applyBorder="1"/>
    <xf numFmtId="41" fontId="1" fillId="61" borderId="71" xfId="2" applyNumberFormat="1" applyFont="1" applyFill="1" applyBorder="1"/>
    <xf numFmtId="41" fontId="1" fillId="61" borderId="69" xfId="0" applyNumberFormat="1" applyFont="1" applyFill="1" applyBorder="1"/>
    <xf numFmtId="41" fontId="1" fillId="61" borderId="46" xfId="2" applyNumberFormat="1" applyFont="1" applyFill="1" applyBorder="1"/>
    <xf numFmtId="41" fontId="1" fillId="61" borderId="46" xfId="0" applyNumberFormat="1" applyFont="1" applyFill="1" applyBorder="1"/>
    <xf numFmtId="44" fontId="56" fillId="68" borderId="0" xfId="2" applyFont="1" applyFill="1"/>
    <xf numFmtId="164" fontId="99" fillId="68" borderId="0" xfId="2" applyNumberFormat="1" applyFont="1" applyFill="1"/>
    <xf numFmtId="44" fontId="56" fillId="0" borderId="71" xfId="2" applyFont="1" applyBorder="1"/>
    <xf numFmtId="44" fontId="17" fillId="0" borderId="0" xfId="2" applyFont="1"/>
    <xf numFmtId="44" fontId="17" fillId="0" borderId="0" xfId="0" applyNumberFormat="1" applyFont="1"/>
    <xf numFmtId="164" fontId="56" fillId="72" borderId="0" xfId="2" applyNumberFormat="1" applyFont="1" applyFill="1"/>
    <xf numFmtId="10" fontId="56" fillId="72" borderId="0" xfId="3" applyNumberFormat="1" applyFont="1" applyFill="1"/>
    <xf numFmtId="164" fontId="56" fillId="72" borderId="0" xfId="0" applyNumberFormat="1" applyFont="1" applyFill="1"/>
    <xf numFmtId="0" fontId="134" fillId="0" borderId="0" xfId="33031"/>
    <xf numFmtId="0" fontId="40" fillId="0" borderId="20" xfId="33031" applyFont="1" applyBorder="1" applyAlignment="1">
      <alignment horizontal="center" wrapText="1"/>
    </xf>
    <xf numFmtId="0" fontId="40" fillId="0" borderId="0" xfId="33031" applyFont="1" applyAlignment="1">
      <alignment horizontal="left"/>
    </xf>
    <xf numFmtId="191" fontId="34" fillId="0" borderId="0" xfId="33031" applyNumberFormat="1" applyFont="1" applyAlignment="1">
      <alignment horizontal="right"/>
    </xf>
    <xf numFmtId="177" fontId="134" fillId="0" borderId="0" xfId="33031" applyNumberFormat="1"/>
    <xf numFmtId="188" fontId="0" fillId="0" borderId="0" xfId="33032" applyNumberFormat="1" applyFont="1"/>
    <xf numFmtId="0" fontId="136" fillId="0" borderId="0" xfId="0" applyFont="1"/>
    <xf numFmtId="191" fontId="34" fillId="68" borderId="47" xfId="33031" applyNumberFormat="1" applyFont="1" applyFill="1" applyBorder="1" applyAlignment="1">
      <alignment horizontal="right"/>
    </xf>
    <xf numFmtId="10" fontId="0" fillId="68" borderId="47" xfId="33032" applyNumberFormat="1" applyFont="1" applyFill="1" applyBorder="1"/>
    <xf numFmtId="10" fontId="135" fillId="68" borderId="65" xfId="33031" applyNumberFormat="1" applyFont="1" applyFill="1" applyBorder="1"/>
    <xf numFmtId="0" fontId="135" fillId="68" borderId="67" xfId="33031" applyFont="1" applyFill="1" applyBorder="1"/>
    <xf numFmtId="0" fontId="135" fillId="68" borderId="66" xfId="33031" applyFont="1" applyFill="1" applyBorder="1"/>
    <xf numFmtId="0" fontId="56" fillId="0" borderId="0" xfId="0" applyFont="1" applyAlignment="1">
      <alignment horizontal="center" vertical="top"/>
    </xf>
    <xf numFmtId="0" fontId="79" fillId="0" borderId="0" xfId="0" applyFont="1" applyAlignment="1">
      <alignment horizontal="left" vertical="top" wrapText="1"/>
    </xf>
    <xf numFmtId="173" fontId="1" fillId="61" borderId="47" xfId="3" applyNumberFormat="1" applyFont="1" applyFill="1" applyBorder="1"/>
    <xf numFmtId="173" fontId="1" fillId="61" borderId="31" xfId="3" applyNumberFormat="1" applyFont="1" applyFill="1" applyBorder="1"/>
    <xf numFmtId="173" fontId="56" fillId="61" borderId="65" xfId="3" applyNumberFormat="1" applyFont="1" applyFill="1" applyBorder="1"/>
    <xf numFmtId="173" fontId="79" fillId="0" borderId="0" xfId="3" applyNumberFormat="1" applyFont="1" applyFill="1" applyBorder="1"/>
    <xf numFmtId="173" fontId="1" fillId="0" borderId="0" xfId="3" applyNumberFormat="1" applyFont="1" applyBorder="1"/>
    <xf numFmtId="173" fontId="1" fillId="61" borderId="19" xfId="3" applyNumberFormat="1" applyFont="1" applyFill="1" applyBorder="1"/>
    <xf numFmtId="173" fontId="56" fillId="61" borderId="19" xfId="3" applyNumberFormat="1" applyFont="1" applyFill="1" applyBorder="1"/>
    <xf numFmtId="173" fontId="56" fillId="61" borderId="31" xfId="3" applyNumberFormat="1" applyFont="1" applyFill="1" applyBorder="1"/>
    <xf numFmtId="44" fontId="1" fillId="61" borderId="165" xfId="2" applyFont="1" applyFill="1" applyBorder="1"/>
    <xf numFmtId="165" fontId="104" fillId="61" borderId="165" xfId="0" applyNumberFormat="1" applyFont="1" applyFill="1" applyBorder="1"/>
    <xf numFmtId="0" fontId="17" fillId="0" borderId="19" xfId="0" applyFont="1" applyBorder="1"/>
    <xf numFmtId="0" fontId="1" fillId="80" borderId="19" xfId="0" applyFont="1" applyFill="1" applyBorder="1"/>
    <xf numFmtId="0" fontId="1" fillId="0" borderId="68" xfId="0" applyFont="1" applyBorder="1" applyAlignment="1">
      <alignment horizontal="left"/>
    </xf>
    <xf numFmtId="0" fontId="1" fillId="87" borderId="69" xfId="0" applyFont="1" applyFill="1" applyBorder="1"/>
    <xf numFmtId="0" fontId="1" fillId="80" borderId="42" xfId="0" applyFont="1" applyFill="1" applyBorder="1"/>
    <xf numFmtId="0" fontId="1" fillId="80" borderId="46" xfId="0" applyFont="1" applyFill="1" applyBorder="1"/>
    <xf numFmtId="43" fontId="1" fillId="0" borderId="69" xfId="0" applyNumberFormat="1" applyFont="1" applyBorder="1"/>
    <xf numFmtId="0" fontId="1" fillId="87" borderId="0" xfId="0" applyFont="1" applyFill="1"/>
    <xf numFmtId="0" fontId="1" fillId="86" borderId="0" xfId="0" applyFont="1" applyFill="1"/>
    <xf numFmtId="43" fontId="1" fillId="0" borderId="67" xfId="0" applyNumberFormat="1" applyFont="1" applyBorder="1"/>
    <xf numFmtId="0" fontId="1" fillId="68" borderId="46" xfId="0" applyFont="1" applyFill="1" applyBorder="1"/>
    <xf numFmtId="0" fontId="1" fillId="68" borderId="66" xfId="0" applyFont="1" applyFill="1" applyBorder="1"/>
    <xf numFmtId="0" fontId="54" fillId="80" borderId="19" xfId="0" applyFont="1" applyFill="1" applyBorder="1"/>
    <xf numFmtId="0" fontId="56" fillId="84" borderId="67" xfId="0" applyFont="1" applyFill="1" applyBorder="1"/>
    <xf numFmtId="0" fontId="1" fillId="84" borderId="0" xfId="0" applyFont="1" applyFill="1"/>
    <xf numFmtId="165" fontId="54" fillId="61" borderId="42" xfId="0" applyNumberFormat="1" applyFont="1" applyFill="1" applyBorder="1"/>
    <xf numFmtId="164" fontId="1" fillId="0" borderId="69" xfId="2" applyNumberFormat="1" applyFont="1" applyFill="1" applyBorder="1"/>
    <xf numFmtId="164" fontId="1" fillId="0" borderId="46" xfId="2" applyNumberFormat="1" applyFont="1" applyFill="1" applyBorder="1"/>
    <xf numFmtId="43" fontId="56" fillId="0" borderId="71" xfId="0" applyNumberFormat="1" applyFont="1" applyBorder="1"/>
    <xf numFmtId="14" fontId="76" fillId="62" borderId="0" xfId="0" applyNumberFormat="1" applyFont="1" applyFill="1" applyAlignment="1">
      <alignment horizontal="left"/>
    </xf>
    <xf numFmtId="43" fontId="0" fillId="0" borderId="0" xfId="1" applyFont="1"/>
    <xf numFmtId="182" fontId="1" fillId="0" borderId="89" xfId="3" applyNumberFormat="1" applyFont="1" applyBorder="1"/>
    <xf numFmtId="10" fontId="1" fillId="0" borderId="89" xfId="3" applyNumberFormat="1" applyFont="1" applyFill="1" applyBorder="1" applyAlignment="1">
      <alignment horizontal="center"/>
    </xf>
    <xf numFmtId="43" fontId="137" fillId="55" borderId="55" xfId="1" applyFont="1" applyFill="1" applyBorder="1"/>
    <xf numFmtId="0" fontId="98" fillId="0" borderId="0" xfId="0" applyFont="1" applyAlignment="1">
      <alignment horizontal="center" wrapText="1"/>
    </xf>
    <xf numFmtId="44" fontId="64" fillId="61" borderId="0" xfId="2" applyFont="1" applyFill="1" applyBorder="1"/>
    <xf numFmtId="42" fontId="0" fillId="0" borderId="166" xfId="0" applyNumberFormat="1" applyBorder="1"/>
    <xf numFmtId="0" fontId="64" fillId="0" borderId="0" xfId="0" applyFont="1" applyAlignment="1">
      <alignment horizontal="left"/>
    </xf>
    <xf numFmtId="164" fontId="98" fillId="0" borderId="165" xfId="0" applyNumberFormat="1" applyFont="1" applyBorder="1" applyAlignment="1">
      <alignment horizontal="right"/>
    </xf>
    <xf numFmtId="164" fontId="98" fillId="0" borderId="47" xfId="0" applyNumberFormat="1" applyFont="1" applyBorder="1" applyAlignment="1">
      <alignment horizontal="right"/>
    </xf>
    <xf numFmtId="164" fontId="98" fillId="0" borderId="31" xfId="0" applyNumberFormat="1" applyFont="1" applyBorder="1" applyAlignment="1">
      <alignment horizontal="right"/>
    </xf>
    <xf numFmtId="165" fontId="98" fillId="0" borderId="0" xfId="1" applyNumberFormat="1" applyFont="1" applyFill="1" applyBorder="1" applyAlignment="1"/>
    <xf numFmtId="0" fontId="99" fillId="0" borderId="20" xfId="0" applyFont="1" applyBorder="1" applyAlignment="1">
      <alignment horizontal="center" wrapText="1"/>
    </xf>
    <xf numFmtId="4" fontId="101" fillId="0" borderId="147" xfId="0" applyNumberFormat="1" applyFont="1" applyBorder="1" applyAlignment="1">
      <alignment horizontal="center" wrapText="1"/>
    </xf>
    <xf numFmtId="4" fontId="99" fillId="0" borderId="20" xfId="0" applyNumberFormat="1" applyFont="1" applyBorder="1" applyAlignment="1">
      <alignment horizontal="center" wrapText="1"/>
    </xf>
    <xf numFmtId="4" fontId="101" fillId="0" borderId="20" xfId="0" applyNumberFormat="1" applyFont="1" applyBorder="1" applyAlignment="1">
      <alignment horizontal="center" wrapText="1"/>
    </xf>
    <xf numFmtId="4" fontId="64" fillId="0" borderId="0" xfId="0" applyNumberFormat="1" applyFont="1" applyAlignment="1">
      <alignment horizontal="right" wrapText="1"/>
    </xf>
    <xf numFmtId="4" fontId="64" fillId="0" borderId="20" xfId="0" applyNumberFormat="1" applyFont="1" applyBorder="1" applyAlignment="1">
      <alignment horizontal="center" wrapText="1"/>
    </xf>
    <xf numFmtId="4" fontId="56" fillId="0" borderId="20" xfId="0" applyNumberFormat="1" applyFont="1" applyBorder="1" applyAlignment="1">
      <alignment horizontal="center" wrapText="1"/>
    </xf>
    <xf numFmtId="10" fontId="1" fillId="61" borderId="88" xfId="3" applyNumberFormat="1" applyFont="1" applyFill="1" applyBorder="1"/>
    <xf numFmtId="43" fontId="99" fillId="0" borderId="0" xfId="0" applyNumberFormat="1" applyFont="1"/>
    <xf numFmtId="43" fontId="98" fillId="0" borderId="0" xfId="1" applyFont="1" applyFill="1" applyAlignment="1"/>
    <xf numFmtId="165" fontId="98" fillId="0" borderId="0" xfId="1" applyNumberFormat="1" applyFont="1" applyAlignment="1">
      <alignment wrapText="1"/>
    </xf>
    <xf numFmtId="165" fontId="102" fillId="0" borderId="0" xfId="1" applyNumberFormat="1" applyFont="1"/>
    <xf numFmtId="165" fontId="0" fillId="0" borderId="0" xfId="1" applyNumberFormat="1" applyFont="1"/>
    <xf numFmtId="165" fontId="0" fillId="0" borderId="19" xfId="1" applyNumberFormat="1" applyFont="1" applyBorder="1"/>
    <xf numFmtId="44" fontId="54" fillId="0" borderId="0" xfId="0" applyNumberFormat="1" applyFont="1" applyAlignment="1">
      <alignment horizontal="center"/>
    </xf>
    <xf numFmtId="44" fontId="1" fillId="0" borderId="0" xfId="3" applyNumberFormat="1" applyFont="1" applyFill="1" applyBorder="1"/>
    <xf numFmtId="10" fontId="98" fillId="0" borderId="63" xfId="0" applyNumberFormat="1" applyFont="1" applyBorder="1"/>
    <xf numFmtId="164" fontId="98" fillId="61" borderId="45" xfId="2" applyNumberFormat="1" applyFont="1" applyFill="1" applyBorder="1"/>
    <xf numFmtId="164" fontId="98" fillId="0" borderId="165" xfId="2" applyNumberFormat="1" applyFont="1" applyBorder="1"/>
    <xf numFmtId="164" fontId="98" fillId="0" borderId="47" xfId="2" applyNumberFormat="1" applyFont="1" applyBorder="1"/>
    <xf numFmtId="164" fontId="99" fillId="0" borderId="65" xfId="2" applyNumberFormat="1" applyFont="1" applyBorder="1"/>
    <xf numFmtId="188" fontId="102" fillId="61" borderId="126" xfId="3" applyNumberFormat="1" applyFont="1" applyFill="1" applyBorder="1"/>
    <xf numFmtId="188" fontId="102" fillId="61" borderId="124" xfId="3" applyNumberFormat="1" applyFont="1" applyFill="1" applyBorder="1"/>
    <xf numFmtId="188" fontId="102" fillId="83" borderId="137" xfId="3" applyNumberFormat="1" applyFont="1" applyFill="1" applyBorder="1"/>
    <xf numFmtId="43" fontId="98" fillId="0" borderId="0" xfId="1" applyFont="1"/>
    <xf numFmtId="44" fontId="56" fillId="0" borderId="0" xfId="2" applyFont="1" applyFill="1"/>
    <xf numFmtId="0" fontId="1" fillId="55" borderId="41" xfId="0" applyFont="1" applyFill="1" applyBorder="1"/>
    <xf numFmtId="0" fontId="1" fillId="55" borderId="42" xfId="0" applyFont="1" applyFill="1" applyBorder="1"/>
    <xf numFmtId="191" fontId="34" fillId="68" borderId="165" xfId="33031" applyNumberFormat="1" applyFont="1" applyFill="1" applyBorder="1" applyAlignment="1">
      <alignment horizontal="right"/>
    </xf>
    <xf numFmtId="44" fontId="56" fillId="0" borderId="165" xfId="2" applyFont="1" applyBorder="1"/>
    <xf numFmtId="0" fontId="56" fillId="0" borderId="165" xfId="0" applyFont="1" applyBorder="1"/>
    <xf numFmtId="0" fontId="56" fillId="0" borderId="165" xfId="0" applyFont="1" applyBorder="1" applyAlignment="1">
      <alignment horizontal="center"/>
    </xf>
    <xf numFmtId="44" fontId="1" fillId="85" borderId="165" xfId="2" applyFont="1" applyFill="1" applyBorder="1"/>
    <xf numFmtId="44" fontId="1" fillId="85" borderId="165" xfId="0" applyNumberFormat="1" applyFont="1" applyFill="1" applyBorder="1"/>
    <xf numFmtId="164" fontId="54" fillId="81" borderId="165" xfId="2" applyNumberFormat="1" applyFont="1" applyFill="1" applyBorder="1"/>
    <xf numFmtId="0" fontId="56" fillId="0" borderId="165" xfId="0" applyFont="1" applyBorder="1" applyAlignment="1">
      <alignment horizontal="right"/>
    </xf>
    <xf numFmtId="0" fontId="1" fillId="0" borderId="69" xfId="0" applyFont="1" applyBorder="1" applyAlignment="1">
      <alignment horizontal="centerContinuous"/>
    </xf>
    <xf numFmtId="164" fontId="54" fillId="0" borderId="165" xfId="0" applyNumberFormat="1" applyFont="1" applyBorder="1"/>
    <xf numFmtId="164" fontId="54" fillId="55" borderId="165" xfId="0" applyNumberFormat="1" applyFont="1" applyFill="1" applyBorder="1"/>
    <xf numFmtId="164" fontId="54" fillId="61" borderId="165" xfId="0" applyNumberFormat="1" applyFont="1" applyFill="1" applyBorder="1"/>
    <xf numFmtId="165" fontId="56" fillId="0" borderId="165" xfId="1" applyNumberFormat="1" applyFont="1" applyBorder="1" applyAlignment="1">
      <alignment horizontal="right" wrapText="1"/>
    </xf>
    <xf numFmtId="165" fontId="1" fillId="61" borderId="165" xfId="1" applyNumberFormat="1" applyFont="1" applyFill="1" applyBorder="1"/>
    <xf numFmtId="165" fontId="54" fillId="61" borderId="165" xfId="1" applyNumberFormat="1" applyFont="1" applyFill="1" applyBorder="1"/>
    <xf numFmtId="165" fontId="1" fillId="61" borderId="165" xfId="0" applyNumberFormat="1" applyFont="1" applyFill="1" applyBorder="1"/>
    <xf numFmtId="164" fontId="1" fillId="61" borderId="165" xfId="0" applyNumberFormat="1" applyFont="1" applyFill="1" applyBorder="1"/>
    <xf numFmtId="0" fontId="56" fillId="0" borderId="165" xfId="0" applyFont="1" applyBorder="1" applyAlignment="1">
      <alignment horizontal="right" wrapText="1"/>
    </xf>
    <xf numFmtId="164" fontId="1" fillId="61" borderId="165" xfId="2" applyNumberFormat="1" applyFont="1" applyFill="1" applyBorder="1"/>
    <xf numFmtId="164" fontId="1" fillId="0" borderId="165" xfId="0" applyNumberFormat="1" applyFont="1" applyBorder="1"/>
    <xf numFmtId="164" fontId="1" fillId="0" borderId="165" xfId="2" applyNumberFormat="1" applyFont="1" applyBorder="1"/>
    <xf numFmtId="42" fontId="1" fillId="61" borderId="165" xfId="2" applyNumberFormat="1" applyFont="1" applyFill="1" applyBorder="1"/>
    <xf numFmtId="164" fontId="1" fillId="0" borderId="165" xfId="2" applyNumberFormat="1" applyFont="1" applyFill="1" applyBorder="1"/>
    <xf numFmtId="164" fontId="56" fillId="0" borderId="165" xfId="2" applyNumberFormat="1" applyFont="1" applyBorder="1" applyAlignment="1">
      <alignment horizontal="centerContinuous"/>
    </xf>
    <xf numFmtId="164" fontId="56" fillId="0" borderId="165" xfId="2" applyNumberFormat="1" applyFont="1" applyBorder="1" applyAlignment="1">
      <alignment horizontal="right"/>
    </xf>
    <xf numFmtId="0" fontId="1" fillId="0" borderId="165" xfId="0" applyFont="1" applyBorder="1" applyAlignment="1">
      <alignment horizontal="centerContinuous"/>
    </xf>
    <xf numFmtId="43" fontId="79" fillId="0" borderId="165" xfId="2" applyNumberFormat="1" applyFont="1" applyFill="1" applyBorder="1"/>
    <xf numFmtId="173" fontId="1" fillId="61" borderId="165" xfId="3" applyNumberFormat="1" applyFont="1" applyFill="1" applyBorder="1"/>
    <xf numFmtId="164" fontId="1" fillId="0" borderId="165" xfId="2" applyNumberFormat="1" applyFont="1" applyBorder="1" applyAlignment="1">
      <alignment horizontal="center"/>
    </xf>
    <xf numFmtId="44" fontId="1" fillId="61" borderId="165" xfId="2" applyFont="1" applyFill="1" applyBorder="1" applyAlignment="1">
      <alignment horizontal="center"/>
    </xf>
    <xf numFmtId="0" fontId="1" fillId="0" borderId="165" xfId="2" applyNumberFormat="1" applyFont="1" applyFill="1" applyBorder="1" applyAlignment="1">
      <alignment horizontal="center"/>
    </xf>
    <xf numFmtId="164" fontId="1" fillId="67" borderId="165" xfId="2" applyNumberFormat="1" applyFont="1" applyFill="1" applyBorder="1" applyAlignment="1">
      <alignment horizontal="center"/>
    </xf>
    <xf numFmtId="164" fontId="71" fillId="67" borderId="165" xfId="2" applyNumberFormat="1" applyFont="1" applyFill="1" applyBorder="1" applyAlignment="1">
      <alignment horizontal="center"/>
    </xf>
    <xf numFmtId="0" fontId="71" fillId="67" borderId="165" xfId="2" applyNumberFormat="1" applyFont="1" applyFill="1" applyBorder="1" applyAlignment="1">
      <alignment horizontal="center"/>
    </xf>
    <xf numFmtId="0" fontId="1" fillId="0" borderId="165" xfId="0" applyFont="1" applyBorder="1"/>
    <xf numFmtId="41" fontId="1" fillId="0" borderId="165" xfId="0" applyNumberFormat="1" applyFont="1" applyBorder="1"/>
    <xf numFmtId="44" fontId="1" fillId="0" borderId="165" xfId="0" applyNumberFormat="1" applyFont="1" applyBorder="1"/>
    <xf numFmtId="0" fontId="56" fillId="0" borderId="165" xfId="0" applyFont="1" applyBorder="1" applyAlignment="1">
      <alignment horizontal="center" wrapText="1"/>
    </xf>
    <xf numFmtId="38" fontId="1" fillId="61" borderId="165" xfId="0" applyNumberFormat="1" applyFont="1" applyFill="1" applyBorder="1"/>
    <xf numFmtId="10" fontId="1" fillId="0" borderId="165" xfId="3" applyNumberFormat="1" applyFont="1" applyBorder="1"/>
    <xf numFmtId="44" fontId="99" fillId="0" borderId="165" xfId="2" applyFont="1" applyBorder="1"/>
    <xf numFmtId="0" fontId="99" fillId="0" borderId="165" xfId="0" applyFont="1" applyBorder="1"/>
    <xf numFmtId="0" fontId="99" fillId="0" borderId="165" xfId="0" applyFont="1" applyBorder="1" applyAlignment="1">
      <alignment horizontal="center" wrapText="1"/>
    </xf>
    <xf numFmtId="0" fontId="108" fillId="0" borderId="76" xfId="0" applyFont="1" applyBorder="1"/>
    <xf numFmtId="0" fontId="99" fillId="0" borderId="165" xfId="0" applyFont="1" applyBorder="1" applyAlignment="1">
      <alignment horizontal="center"/>
    </xf>
    <xf numFmtId="0" fontId="99" fillId="61" borderId="165" xfId="0" applyFont="1" applyFill="1" applyBorder="1" applyAlignment="1">
      <alignment horizontal="center"/>
    </xf>
    <xf numFmtId="0" fontId="99" fillId="0" borderId="165" xfId="0" applyFont="1" applyBorder="1" applyAlignment="1">
      <alignment horizontal="right"/>
    </xf>
    <xf numFmtId="165" fontId="98" fillId="0" borderId="165" xfId="1" quotePrefix="1" applyNumberFormat="1" applyFont="1" applyBorder="1" applyAlignment="1">
      <alignment horizontal="center"/>
    </xf>
    <xf numFmtId="165" fontId="104" fillId="61" borderId="165" xfId="1" applyNumberFormat="1" applyFont="1" applyFill="1" applyBorder="1"/>
    <xf numFmtId="0" fontId="99" fillId="0" borderId="35" xfId="0" applyFont="1" applyBorder="1"/>
    <xf numFmtId="43" fontId="99" fillId="0" borderId="35" xfId="1" applyFont="1" applyBorder="1" applyAlignment="1">
      <alignment horizontal="right"/>
    </xf>
    <xf numFmtId="165" fontId="99" fillId="0" borderId="35" xfId="1" applyNumberFormat="1" applyFont="1" applyBorder="1" applyAlignment="1">
      <alignment horizontal="right"/>
    </xf>
    <xf numFmtId="0" fontId="99" fillId="0" borderId="56" xfId="0" applyFont="1" applyBorder="1" applyAlignment="1">
      <alignment vertical="center"/>
    </xf>
    <xf numFmtId="0" fontId="98" fillId="0" borderId="56" xfId="0" applyFont="1" applyBorder="1" applyAlignment="1">
      <alignment horizontal="right" vertical="center"/>
    </xf>
    <xf numFmtId="43" fontId="98" fillId="0" borderId="56" xfId="1" applyFont="1" applyBorder="1" applyAlignment="1">
      <alignment horizontal="center" vertical="center"/>
    </xf>
    <xf numFmtId="0" fontId="98" fillId="0" borderId="56" xfId="0" applyFont="1" applyBorder="1" applyAlignment="1">
      <alignment horizontal="center" vertical="center"/>
    </xf>
    <xf numFmtId="43" fontId="98" fillId="0" borderId="56" xfId="1" quotePrefix="1" applyFont="1" applyBorder="1" applyAlignment="1">
      <alignment horizontal="center" vertical="center"/>
    </xf>
    <xf numFmtId="164" fontId="98" fillId="61" borderId="165" xfId="0" applyNumberFormat="1" applyFont="1" applyFill="1" applyBorder="1"/>
    <xf numFmtId="0" fontId="56" fillId="0" borderId="35" xfId="0" applyFont="1" applyBorder="1" applyAlignment="1">
      <alignment wrapText="1"/>
    </xf>
    <xf numFmtId="0" fontId="56" fillId="0" borderId="35" xfId="0" applyFont="1" applyBorder="1" applyAlignment="1">
      <alignment horizontal="right" wrapText="1"/>
    </xf>
    <xf numFmtId="0" fontId="56" fillId="0" borderId="35" xfId="0" applyFont="1" applyBorder="1" applyAlignment="1">
      <alignment vertical="center" wrapText="1"/>
    </xf>
    <xf numFmtId="0" fontId="0" fillId="0" borderId="56" xfId="0" applyBorder="1" applyAlignment="1">
      <alignment horizontal="center" vertical="center"/>
    </xf>
    <xf numFmtId="0" fontId="1" fillId="0" borderId="35" xfId="0" applyFont="1" applyBorder="1" applyAlignment="1">
      <alignment horizontal="center" vertical="center" wrapText="1"/>
    </xf>
    <xf numFmtId="0" fontId="1" fillId="0" borderId="35" xfId="0" quotePrefix="1" applyFont="1" applyBorder="1" applyAlignment="1">
      <alignment horizontal="center" vertical="center" wrapText="1"/>
    </xf>
    <xf numFmtId="164" fontId="1" fillId="61" borderId="165" xfId="2" applyNumberFormat="1" applyFont="1" applyFill="1" applyBorder="1" applyAlignment="1"/>
    <xf numFmtId="177" fontId="1" fillId="61" borderId="165" xfId="0" applyNumberFormat="1" applyFont="1" applyFill="1" applyBorder="1" applyAlignment="1">
      <alignment horizontal="center"/>
    </xf>
    <xf numFmtId="44" fontId="1" fillId="0" borderId="165" xfId="2" applyFont="1" applyBorder="1"/>
    <xf numFmtId="44" fontId="1" fillId="0" borderId="165" xfId="2" applyFont="1" applyFill="1" applyBorder="1"/>
    <xf numFmtId="41" fontId="1" fillId="61" borderId="165" xfId="2" applyNumberFormat="1" applyFont="1" applyFill="1" applyBorder="1"/>
    <xf numFmtId="41" fontId="1" fillId="0" borderId="165" xfId="2" applyNumberFormat="1" applyFont="1" applyFill="1" applyBorder="1"/>
    <xf numFmtId="0" fontId="56" fillId="0" borderId="76" xfId="0" applyFont="1" applyBorder="1"/>
    <xf numFmtId="0" fontId="56" fillId="0" borderId="165" xfId="0" applyFont="1" applyBorder="1" applyAlignment="1">
      <alignment horizontal="left" vertical="top" wrapText="1"/>
    </xf>
    <xf numFmtId="0" fontId="17" fillId="0" borderId="165" xfId="0" applyFont="1" applyBorder="1" applyAlignment="1">
      <alignment horizontal="right"/>
    </xf>
    <xf numFmtId="43" fontId="0" fillId="0" borderId="165" xfId="0" applyNumberFormat="1" applyBorder="1"/>
    <xf numFmtId="0" fontId="0" fillId="0" borderId="165" xfId="0" applyBorder="1"/>
    <xf numFmtId="44" fontId="61" fillId="0" borderId="165" xfId="2" applyFont="1" applyBorder="1"/>
    <xf numFmtId="8" fontId="61" fillId="0" borderId="165" xfId="2" applyNumberFormat="1" applyFont="1" applyBorder="1"/>
    <xf numFmtId="43" fontId="61" fillId="0" borderId="165" xfId="1" applyFont="1" applyBorder="1"/>
    <xf numFmtId="0" fontId="96" fillId="0" borderId="165" xfId="33030" applyFont="1" applyBorder="1" applyAlignment="1">
      <alignment horizontal="right" vertical="center" wrapText="1"/>
    </xf>
    <xf numFmtId="1" fontId="96" fillId="0" borderId="165" xfId="1" applyNumberFormat="1" applyFont="1" applyBorder="1" applyAlignment="1">
      <alignment horizontal="right" vertical="center" wrapText="1"/>
    </xf>
    <xf numFmtId="172" fontId="91" fillId="0" borderId="165" xfId="33030" applyNumberFormat="1" applyFont="1" applyBorder="1"/>
    <xf numFmtId="164" fontId="54" fillId="88" borderId="0" xfId="2" applyNumberFormat="1" applyFont="1" applyFill="1"/>
    <xf numFmtId="0" fontId="131" fillId="0" borderId="0" xfId="33028" applyFont="1" applyAlignment="1">
      <alignment wrapText="1"/>
    </xf>
    <xf numFmtId="0" fontId="54" fillId="0" borderId="67" xfId="0" applyFont="1" applyBorder="1" applyAlignment="1">
      <alignment horizontal="right" wrapText="1"/>
    </xf>
    <xf numFmtId="0" fontId="54" fillId="0" borderId="19" xfId="0" applyFont="1" applyBorder="1" applyAlignment="1">
      <alignment wrapText="1"/>
    </xf>
    <xf numFmtId="0" fontId="64" fillId="0" borderId="19" xfId="0" applyFont="1" applyBorder="1" applyAlignment="1">
      <alignment wrapText="1"/>
    </xf>
    <xf numFmtId="0" fontId="72" fillId="0" borderId="0" xfId="0" applyFont="1" applyAlignment="1">
      <alignment wrapText="1"/>
    </xf>
    <xf numFmtId="0" fontId="61" fillId="0" borderId="0" xfId="0" applyFont="1" applyAlignment="1">
      <alignment wrapText="1"/>
    </xf>
    <xf numFmtId="0" fontId="1" fillId="0" borderId="19" xfId="0" applyFont="1" applyBorder="1" applyAlignment="1">
      <alignment wrapText="1"/>
    </xf>
    <xf numFmtId="164" fontId="54" fillId="88" borderId="19" xfId="2" applyNumberFormat="1" applyFont="1" applyFill="1" applyBorder="1"/>
    <xf numFmtId="165" fontId="1" fillId="0" borderId="0" xfId="1" applyNumberFormat="1" applyFont="1" applyAlignment="1">
      <alignment horizontal="right"/>
    </xf>
    <xf numFmtId="165" fontId="56" fillId="0" borderId="0" xfId="1" applyNumberFormat="1" applyFont="1" applyFill="1" applyBorder="1"/>
    <xf numFmtId="165" fontId="59" fillId="0" borderId="0" xfId="1" applyNumberFormat="1" applyFont="1" applyFill="1" applyBorder="1"/>
    <xf numFmtId="43" fontId="1" fillId="0" borderId="165" xfId="1" applyFont="1" applyBorder="1"/>
    <xf numFmtId="43" fontId="1" fillId="0" borderId="31" xfId="1" applyFont="1" applyBorder="1"/>
    <xf numFmtId="188" fontId="1" fillId="61" borderId="165" xfId="3" applyNumberFormat="1" applyFont="1" applyFill="1" applyBorder="1"/>
    <xf numFmtId="41" fontId="56" fillId="61" borderId="65" xfId="0" applyNumberFormat="1" applyFont="1" applyFill="1" applyBorder="1"/>
    <xf numFmtId="41" fontId="56" fillId="61" borderId="67" xfId="0" applyNumberFormat="1" applyFont="1" applyFill="1" applyBorder="1"/>
    <xf numFmtId="0" fontId="40" fillId="0" borderId="0" xfId="33031" applyFont="1" applyAlignment="1">
      <alignment horizontal="left" vertical="top" wrapText="1"/>
    </xf>
    <xf numFmtId="0" fontId="56" fillId="0" borderId="19" xfId="0" applyFont="1" applyBorder="1" applyAlignment="1">
      <alignment horizontal="center"/>
    </xf>
    <xf numFmtId="0" fontId="0" fillId="0" borderId="0" xfId="0" applyAlignment="1">
      <alignment vertical="top"/>
    </xf>
    <xf numFmtId="0" fontId="1" fillId="0" borderId="0" xfId="0" applyFont="1" applyAlignment="1">
      <alignment vertical="top" wrapText="1"/>
    </xf>
    <xf numFmtId="0" fontId="56" fillId="0" borderId="67" xfId="0" applyFont="1" applyBorder="1" applyAlignment="1">
      <alignment horizontal="center"/>
    </xf>
    <xf numFmtId="0" fontId="56" fillId="0" borderId="66" xfId="0" applyFont="1" applyBorder="1" applyAlignment="1">
      <alignment horizontal="left"/>
    </xf>
    <xf numFmtId="172" fontId="96" fillId="0" borderId="101" xfId="33030" applyNumberFormat="1" applyFont="1" applyBorder="1"/>
    <xf numFmtId="172" fontId="96" fillId="0" borderId="108" xfId="33030" applyNumberFormat="1" applyFont="1" applyBorder="1"/>
    <xf numFmtId="172" fontId="96" fillId="0" borderId="165" xfId="33030" applyNumberFormat="1" applyFont="1" applyBorder="1"/>
    <xf numFmtId="172" fontId="96" fillId="0" borderId="31" xfId="33030" applyNumberFormat="1" applyFont="1" applyBorder="1"/>
    <xf numFmtId="172" fontId="96" fillId="56" borderId="110" xfId="33030" applyNumberFormat="1" applyFont="1" applyFill="1" applyBorder="1"/>
    <xf numFmtId="172" fontId="96" fillId="56" borderId="109" xfId="33030" applyNumberFormat="1" applyFont="1" applyFill="1" applyBorder="1"/>
    <xf numFmtId="0" fontId="1" fillId="0" borderId="167" xfId="0" quotePrefix="1" applyFont="1" applyBorder="1" applyAlignment="1">
      <alignment horizontal="center"/>
    </xf>
    <xf numFmtId="0" fontId="1" fillId="0" borderId="168" xfId="0" quotePrefix="1" applyFont="1" applyBorder="1" applyAlignment="1">
      <alignment horizontal="center"/>
    </xf>
    <xf numFmtId="0" fontId="0" fillId="0" borderId="167" xfId="0" applyBorder="1"/>
    <xf numFmtId="0" fontId="0" fillId="0" borderId="63" xfId="0" applyBorder="1"/>
    <xf numFmtId="0" fontId="0" fillId="0" borderId="168" xfId="0" applyBorder="1"/>
    <xf numFmtId="164" fontId="0" fillId="0" borderId="169" xfId="2" applyNumberFormat="1" applyFont="1" applyBorder="1"/>
    <xf numFmtId="164" fontId="0" fillId="61" borderId="169" xfId="2" applyNumberFormat="1" applyFont="1" applyFill="1" applyBorder="1"/>
    <xf numFmtId="164" fontId="0" fillId="80" borderId="170" xfId="2" applyNumberFormat="1" applyFont="1" applyFill="1" applyBorder="1"/>
    <xf numFmtId="164" fontId="0" fillId="61" borderId="171" xfId="2" applyNumberFormat="1" applyFont="1" applyFill="1" applyBorder="1"/>
    <xf numFmtId="164" fontId="17" fillId="0" borderId="46" xfId="0" applyNumberFormat="1" applyFont="1" applyBorder="1"/>
    <xf numFmtId="164" fontId="17" fillId="0" borderId="164" xfId="0" applyNumberFormat="1" applyFont="1" applyBorder="1"/>
    <xf numFmtId="164" fontId="0" fillId="0" borderId="42" xfId="2" applyNumberFormat="1" applyFont="1" applyFill="1" applyBorder="1" applyAlignment="1">
      <alignment horizontal="center"/>
    </xf>
    <xf numFmtId="0" fontId="0" fillId="0" borderId="172" xfId="0" applyBorder="1"/>
    <xf numFmtId="0" fontId="0" fillId="0" borderId="49" xfId="0" applyBorder="1"/>
    <xf numFmtId="0" fontId="0" fillId="61" borderId="49" xfId="0" applyFill="1" applyBorder="1"/>
    <xf numFmtId="0" fontId="0" fillId="61" borderId="50" xfId="0" applyFill="1" applyBorder="1"/>
    <xf numFmtId="0" fontId="0" fillId="80" borderId="72" xfId="0" applyFill="1" applyBorder="1"/>
    <xf numFmtId="0" fontId="0" fillId="61" borderId="173" xfId="0" applyFill="1" applyBorder="1"/>
    <xf numFmtId="0" fontId="0" fillId="0" borderId="31" xfId="0" applyBorder="1"/>
    <xf numFmtId="192" fontId="0" fillId="61" borderId="31" xfId="0" applyNumberFormat="1" applyFill="1" applyBorder="1"/>
    <xf numFmtId="192" fontId="0" fillId="61" borderId="45" xfId="0" applyNumberFormat="1" applyFill="1" applyBorder="1"/>
    <xf numFmtId="192" fontId="0" fillId="80" borderId="115" xfId="0" applyNumberFormat="1" applyFill="1" applyBorder="1"/>
    <xf numFmtId="192" fontId="0" fillId="61" borderId="46" xfId="0" applyNumberFormat="1" applyFill="1" applyBorder="1"/>
    <xf numFmtId="0" fontId="0" fillId="0" borderId="82" xfId="0" applyBorder="1"/>
    <xf numFmtId="192" fontId="0" fillId="61" borderId="63" xfId="0" applyNumberFormat="1" applyFill="1" applyBorder="1"/>
    <xf numFmtId="192" fontId="0" fillId="61" borderId="65" xfId="0" applyNumberFormat="1" applyFill="1" applyBorder="1"/>
    <xf numFmtId="192" fontId="0" fillId="80" borderId="174" xfId="0" applyNumberFormat="1" applyFill="1" applyBorder="1"/>
    <xf numFmtId="192" fontId="0" fillId="61" borderId="66" xfId="0" applyNumberFormat="1" applyFill="1" applyBorder="1"/>
    <xf numFmtId="0" fontId="0" fillId="0" borderId="48" xfId="0" applyBorder="1"/>
    <xf numFmtId="192" fontId="0" fillId="61" borderId="48" xfId="0" applyNumberFormat="1" applyFill="1" applyBorder="1"/>
    <xf numFmtId="192" fontId="0" fillId="61" borderId="43" xfId="0" applyNumberFormat="1" applyFill="1" applyBorder="1"/>
    <xf numFmtId="192" fontId="0" fillId="80" borderId="100" xfId="0" applyNumberFormat="1" applyFill="1" applyBorder="1"/>
    <xf numFmtId="192" fontId="0" fillId="61" borderId="44" xfId="0" applyNumberFormat="1" applyFill="1" applyBorder="1"/>
    <xf numFmtId="41" fontId="0" fillId="0" borderId="0" xfId="2" applyNumberFormat="1" applyFont="1"/>
    <xf numFmtId="192" fontId="0" fillId="0" borderId="0" xfId="0" applyNumberFormat="1"/>
    <xf numFmtId="0" fontId="0" fillId="0" borderId="37" xfId="0" applyBorder="1"/>
    <xf numFmtId="0" fontId="0" fillId="0" borderId="38" xfId="0" applyBorder="1"/>
    <xf numFmtId="0" fontId="0" fillId="0" borderId="32" xfId="0" applyBorder="1"/>
    <xf numFmtId="10" fontId="0" fillId="0" borderId="176" xfId="3" applyNumberFormat="1" applyFont="1" applyBorder="1"/>
    <xf numFmtId="10" fontId="0" fillId="0" borderId="168" xfId="3" applyNumberFormat="1" applyFont="1" applyBorder="1"/>
    <xf numFmtId="10" fontId="0" fillId="0" borderId="177" xfId="3" applyNumberFormat="1" applyFont="1" applyBorder="1"/>
    <xf numFmtId="193" fontId="0" fillId="0" borderId="168" xfId="3" applyNumberFormat="1" applyFont="1" applyBorder="1"/>
    <xf numFmtId="192" fontId="0" fillId="80" borderId="113" xfId="0" applyNumberFormat="1" applyFill="1" applyBorder="1"/>
    <xf numFmtId="193" fontId="0" fillId="0" borderId="178" xfId="3" applyNumberFormat="1" applyFont="1" applyBorder="1"/>
    <xf numFmtId="0" fontId="0" fillId="0" borderId="56" xfId="0" applyBorder="1"/>
    <xf numFmtId="192" fontId="0" fillId="61" borderId="49" xfId="0" applyNumberFormat="1" applyFill="1" applyBorder="1"/>
    <xf numFmtId="192" fontId="0" fillId="61" borderId="179" xfId="0" applyNumberFormat="1" applyFill="1" applyBorder="1"/>
    <xf numFmtId="192" fontId="0" fillId="61" borderId="38" xfId="0" applyNumberFormat="1" applyFill="1" applyBorder="1"/>
    <xf numFmtId="193" fontId="0" fillId="0" borderId="38" xfId="3" applyNumberFormat="1" applyFont="1" applyBorder="1"/>
    <xf numFmtId="0" fontId="138" fillId="0" borderId="0" xfId="33040" applyNumberFormat="1" applyFont="1" applyFill="1" applyBorder="1" applyAlignment="1"/>
    <xf numFmtId="192" fontId="138" fillId="0" borderId="0" xfId="33040" applyNumberFormat="1" applyFont="1" applyFill="1" applyBorder="1" applyAlignment="1"/>
    <xf numFmtId="193" fontId="0" fillId="0" borderId="72" xfId="3" applyNumberFormat="1" applyFont="1" applyBorder="1"/>
    <xf numFmtId="186" fontId="0" fillId="0" borderId="0" xfId="2" applyNumberFormat="1" applyFont="1" applyFill="1" applyBorder="1" applyAlignment="1"/>
    <xf numFmtId="0" fontId="56" fillId="55" borderId="0" xfId="0" applyFont="1" applyFill="1" applyAlignment="1">
      <alignment horizontal="center"/>
    </xf>
    <xf numFmtId="10" fontId="56" fillId="61" borderId="0" xfId="3" applyNumberFormat="1" applyFont="1" applyFill="1" applyBorder="1" applyAlignment="1">
      <alignment horizontal="center"/>
    </xf>
    <xf numFmtId="164" fontId="54" fillId="55" borderId="0" xfId="0" applyNumberFormat="1" applyFont="1" applyFill="1"/>
    <xf numFmtId="164" fontId="54" fillId="55" borderId="42" xfId="0" applyNumberFormat="1" applyFont="1" applyFill="1" applyBorder="1"/>
    <xf numFmtId="164" fontId="54" fillId="55" borderId="46" xfId="0" applyNumberFormat="1" applyFont="1" applyFill="1" applyBorder="1"/>
    <xf numFmtId="165" fontId="64" fillId="55" borderId="19" xfId="0" applyNumberFormat="1" applyFont="1" applyFill="1" applyBorder="1"/>
    <xf numFmtId="43" fontId="64" fillId="0" borderId="63" xfId="1" applyFont="1" applyFill="1" applyBorder="1" applyAlignment="1">
      <alignment horizontal="centerContinuous" wrapText="1"/>
    </xf>
    <xf numFmtId="164" fontId="140" fillId="0" borderId="0" xfId="0" applyNumberFormat="1" applyFont="1"/>
    <xf numFmtId="164" fontId="58" fillId="55" borderId="0" xfId="2" applyNumberFormat="1" applyFont="1" applyFill="1"/>
    <xf numFmtId="164" fontId="58" fillId="55" borderId="19" xfId="2" applyNumberFormat="1" applyFont="1" applyFill="1" applyBorder="1"/>
    <xf numFmtId="0" fontId="99" fillId="55" borderId="0" xfId="0" applyFont="1" applyFill="1" applyAlignment="1">
      <alignment horizontal="center"/>
    </xf>
    <xf numFmtId="10" fontId="99" fillId="56" borderId="0" xfId="3" applyNumberFormat="1" applyFont="1" applyFill="1" applyBorder="1" applyAlignment="1">
      <alignment horizontal="center"/>
    </xf>
    <xf numFmtId="164" fontId="102" fillId="55" borderId="0" xfId="0" applyNumberFormat="1" applyFont="1" applyFill="1"/>
    <xf numFmtId="164" fontId="102" fillId="55" borderId="19" xfId="0" applyNumberFormat="1" applyFont="1" applyFill="1" applyBorder="1"/>
    <xf numFmtId="164" fontId="101" fillId="55" borderId="19" xfId="0" applyNumberFormat="1" applyFont="1" applyFill="1" applyBorder="1"/>
    <xf numFmtId="164" fontId="102" fillId="61" borderId="69" xfId="0" applyNumberFormat="1" applyFont="1" applyFill="1" applyBorder="1"/>
    <xf numFmtId="188" fontId="56" fillId="61" borderId="0" xfId="3" applyNumberFormat="1" applyFont="1" applyFill="1" applyBorder="1" applyAlignment="1">
      <alignment horizontal="right" wrapText="1"/>
    </xf>
    <xf numFmtId="173" fontId="1" fillId="0" borderId="66" xfId="0" applyNumberFormat="1" applyFont="1" applyBorder="1"/>
    <xf numFmtId="10" fontId="1" fillId="0" borderId="0" xfId="0" applyNumberFormat="1" applyFont="1"/>
    <xf numFmtId="164" fontId="54" fillId="0" borderId="0" xfId="2" applyNumberFormat="1" applyFont="1" applyFill="1"/>
    <xf numFmtId="164" fontId="54" fillId="0" borderId="19" xfId="2" applyNumberFormat="1" applyFont="1" applyFill="1" applyBorder="1"/>
    <xf numFmtId="41" fontId="1" fillId="61" borderId="165" xfId="0" applyNumberFormat="1" applyFont="1" applyFill="1" applyBorder="1"/>
    <xf numFmtId="164" fontId="1" fillId="89" borderId="47" xfId="2" applyNumberFormat="1" applyFont="1" applyFill="1" applyBorder="1"/>
    <xf numFmtId="172" fontId="62" fillId="0" borderId="19" xfId="0" applyNumberFormat="1" applyFont="1" applyBorder="1" applyAlignment="1">
      <alignment horizontal="center" wrapText="1"/>
    </xf>
    <xf numFmtId="195" fontId="1" fillId="0" borderId="0" xfId="3" applyNumberFormat="1" applyFont="1"/>
    <xf numFmtId="164" fontId="1" fillId="89" borderId="41" xfId="2" applyNumberFormat="1" applyFont="1" applyFill="1" applyBorder="1"/>
    <xf numFmtId="182" fontId="1" fillId="61" borderId="0" xfId="3" applyNumberFormat="1" applyFont="1" applyFill="1"/>
    <xf numFmtId="0" fontId="1" fillId="89" borderId="63" xfId="0" applyFont="1" applyFill="1" applyBorder="1" applyAlignment="1">
      <alignment horizontal="center"/>
    </xf>
    <xf numFmtId="165" fontId="61" fillId="0" borderId="47" xfId="0" applyNumberFormat="1" applyFont="1" applyBorder="1" applyAlignment="1">
      <alignment horizontal="left"/>
    </xf>
    <xf numFmtId="164" fontId="56" fillId="89" borderId="63" xfId="0" applyNumberFormat="1" applyFont="1" applyFill="1" applyBorder="1"/>
    <xf numFmtId="164" fontId="61" fillId="0" borderId="0" xfId="0" applyNumberFormat="1" applyFont="1" applyAlignment="1">
      <alignment horizontal="right"/>
    </xf>
    <xf numFmtId="193" fontId="1" fillId="0" borderId="0" xfId="3" applyNumberFormat="1" applyFont="1"/>
    <xf numFmtId="0" fontId="56" fillId="89" borderId="0" xfId="0" applyFont="1" applyFill="1"/>
    <xf numFmtId="41" fontId="1" fillId="89" borderId="0" xfId="0" applyNumberFormat="1" applyFont="1" applyFill="1"/>
    <xf numFmtId="193" fontId="1" fillId="89" borderId="0" xfId="3" applyNumberFormat="1" applyFont="1" applyFill="1"/>
    <xf numFmtId="182" fontId="141" fillId="61" borderId="0" xfId="3" applyNumberFormat="1" applyFont="1" applyFill="1"/>
    <xf numFmtId="0" fontId="141" fillId="0" borderId="0" xfId="0" applyFont="1"/>
    <xf numFmtId="10" fontId="141" fillId="61" borderId="0" xfId="0" applyNumberFormat="1" applyFont="1" applyFill="1"/>
    <xf numFmtId="44" fontId="1" fillId="89" borderId="41" xfId="2" applyFont="1" applyFill="1" applyBorder="1"/>
    <xf numFmtId="164" fontId="1" fillId="89" borderId="65" xfId="2" applyNumberFormat="1" applyFont="1" applyFill="1" applyBorder="1" applyAlignment="1">
      <alignment horizontal="center"/>
    </xf>
    <xf numFmtId="164" fontId="1" fillId="89" borderId="63" xfId="2" applyNumberFormat="1" applyFont="1" applyFill="1" applyBorder="1" applyAlignment="1">
      <alignment horizontal="center"/>
    </xf>
    <xf numFmtId="164" fontId="1" fillId="89" borderId="66" xfId="2" applyNumberFormat="1" applyFont="1" applyFill="1" applyBorder="1" applyAlignment="1">
      <alignment horizontal="center"/>
    </xf>
    <xf numFmtId="164" fontId="1" fillId="89" borderId="63" xfId="0" applyNumberFormat="1" applyFont="1" applyFill="1" applyBorder="1" applyAlignment="1">
      <alignment horizontal="center"/>
    </xf>
    <xf numFmtId="164" fontId="1" fillId="89" borderId="66" xfId="0" applyNumberFormat="1" applyFont="1" applyFill="1" applyBorder="1" applyAlignment="1">
      <alignment horizontal="center"/>
    </xf>
    <xf numFmtId="194" fontId="141" fillId="61" borderId="0" xfId="3" applyNumberFormat="1" applyFont="1" applyFill="1"/>
    <xf numFmtId="194" fontId="141" fillId="61" borderId="0" xfId="0" applyNumberFormat="1" applyFont="1" applyFill="1"/>
    <xf numFmtId="164" fontId="1" fillId="89" borderId="47" xfId="0" applyNumberFormat="1" applyFont="1" applyFill="1" applyBorder="1"/>
    <xf numFmtId="189" fontId="56" fillId="0" borderId="0" xfId="1" applyNumberFormat="1" applyFont="1" applyFill="1" applyBorder="1" applyAlignment="1">
      <alignment horizontal="center"/>
    </xf>
    <xf numFmtId="43" fontId="64" fillId="0" borderId="63" xfId="1" applyFont="1" applyFill="1" applyBorder="1" applyAlignment="1">
      <alignment horizontal="right" wrapText="1"/>
    </xf>
    <xf numFmtId="164" fontId="102" fillId="55" borderId="45" xfId="0" applyNumberFormat="1" applyFont="1" applyFill="1" applyBorder="1"/>
    <xf numFmtId="186" fontId="92" fillId="72" borderId="0" xfId="2" applyNumberFormat="1" applyFont="1" applyFill="1" applyBorder="1" applyAlignment="1"/>
    <xf numFmtId="186" fontId="0" fillId="56" borderId="0" xfId="2" applyNumberFormat="1" applyFont="1" applyFill="1" applyBorder="1" applyAlignment="1"/>
    <xf numFmtId="3" fontId="64" fillId="83" borderId="162" xfId="3" applyNumberFormat="1" applyFont="1" applyFill="1" applyBorder="1"/>
    <xf numFmtId="164" fontId="102" fillId="61" borderId="126" xfId="2" applyNumberFormat="1" applyFont="1" applyFill="1" applyBorder="1"/>
    <xf numFmtId="164" fontId="102" fillId="61" borderId="124" xfId="2" applyNumberFormat="1" applyFont="1" applyFill="1" applyBorder="1"/>
    <xf numFmtId="164" fontId="102" fillId="83" borderId="137" xfId="2" applyNumberFormat="1" applyFont="1" applyFill="1" applyBorder="1"/>
    <xf numFmtId="164" fontId="102" fillId="83" borderId="162" xfId="2" applyNumberFormat="1" applyFont="1" applyFill="1" applyBorder="1"/>
    <xf numFmtId="0" fontId="0" fillId="0" borderId="182" xfId="0" applyBorder="1"/>
    <xf numFmtId="192" fontId="0" fillId="61" borderId="182" xfId="0" applyNumberFormat="1" applyFill="1" applyBorder="1"/>
    <xf numFmtId="192" fontId="0" fillId="61" borderId="183" xfId="0" applyNumberFormat="1" applyFill="1" applyBorder="1"/>
    <xf numFmtId="192" fontId="0" fillId="80" borderId="180" xfId="0" applyNumberFormat="1" applyFill="1" applyBorder="1"/>
    <xf numFmtId="192" fontId="0" fillId="61" borderId="184" xfId="0" applyNumberFormat="1" applyFill="1" applyBorder="1"/>
    <xf numFmtId="0" fontId="0" fillId="0" borderId="181" xfId="0" applyBorder="1"/>
    <xf numFmtId="0" fontId="0" fillId="0" borderId="108" xfId="0" applyBorder="1"/>
    <xf numFmtId="0" fontId="0" fillId="0" borderId="175" xfId="0" applyBorder="1"/>
    <xf numFmtId="0" fontId="17" fillId="0" borderId="0" xfId="0" applyFont="1" applyAlignment="1">
      <alignment horizontal="center"/>
    </xf>
    <xf numFmtId="10" fontId="0" fillId="0" borderId="0" xfId="3" applyNumberFormat="1" applyFont="1" applyBorder="1"/>
    <xf numFmtId="193" fontId="0" fillId="0" borderId="0" xfId="3" applyNumberFormat="1" applyFont="1" applyBorder="1"/>
    <xf numFmtId="0" fontId="56" fillId="90" borderId="165" xfId="0" applyFont="1" applyFill="1" applyBorder="1" applyAlignment="1">
      <alignment horizontal="center" wrapText="1"/>
    </xf>
    <xf numFmtId="0" fontId="56" fillId="90" borderId="47" xfId="0" applyFont="1" applyFill="1" applyBorder="1" applyAlignment="1">
      <alignment horizontal="center" wrapText="1"/>
    </xf>
    <xf numFmtId="0" fontId="1" fillId="90" borderId="66" xfId="0" quotePrefix="1" applyFont="1" applyFill="1" applyBorder="1" applyAlignment="1">
      <alignment horizontal="center"/>
    </xf>
    <xf numFmtId="0" fontId="0" fillId="90" borderId="69" xfId="0" applyFill="1" applyBorder="1"/>
    <xf numFmtId="164" fontId="0" fillId="90" borderId="66" xfId="2" applyNumberFormat="1" applyFont="1" applyFill="1" applyBorder="1"/>
    <xf numFmtId="164" fontId="0" fillId="90" borderId="169" xfId="2" applyNumberFormat="1" applyFont="1" applyFill="1" applyBorder="1"/>
    <xf numFmtId="164" fontId="17" fillId="90" borderId="46" xfId="0" applyNumberFormat="1" applyFont="1" applyFill="1" applyBorder="1"/>
    <xf numFmtId="0" fontId="1" fillId="0" borderId="65" xfId="0" quotePrefix="1" applyFont="1" applyBorder="1" applyAlignment="1">
      <alignment horizontal="center"/>
    </xf>
    <xf numFmtId="0" fontId="0" fillId="0" borderId="71" xfId="0" applyBorder="1"/>
    <xf numFmtId="164" fontId="0" fillId="61" borderId="65" xfId="2" applyNumberFormat="1" applyFont="1" applyFill="1" applyBorder="1"/>
    <xf numFmtId="164" fontId="0" fillId="61" borderId="124" xfId="2" applyNumberFormat="1" applyFont="1" applyFill="1" applyBorder="1"/>
    <xf numFmtId="164" fontId="0" fillId="61" borderId="170" xfId="2" applyNumberFormat="1" applyFont="1" applyFill="1" applyBorder="1"/>
    <xf numFmtId="0" fontId="0" fillId="0" borderId="178" xfId="0" applyBorder="1"/>
    <xf numFmtId="164" fontId="17" fillId="0" borderId="176" xfId="0" applyNumberFormat="1" applyFont="1" applyBorder="1"/>
    <xf numFmtId="0" fontId="56" fillId="0" borderId="130" xfId="0" applyFont="1" applyBorder="1" applyAlignment="1">
      <alignment horizontal="center"/>
    </xf>
    <xf numFmtId="164" fontId="0" fillId="61" borderId="128" xfId="2" applyNumberFormat="1" applyFont="1" applyFill="1" applyBorder="1"/>
    <xf numFmtId="164" fontId="0" fillId="61" borderId="129" xfId="2" applyNumberFormat="1" applyFont="1" applyFill="1" applyBorder="1"/>
    <xf numFmtId="164" fontId="17" fillId="0" borderId="127" xfId="0" applyNumberFormat="1" applyFont="1" applyBorder="1"/>
    <xf numFmtId="164" fontId="0" fillId="55" borderId="168" xfId="2" applyNumberFormat="1" applyFont="1" applyFill="1" applyBorder="1"/>
    <xf numFmtId="164" fontId="0" fillId="55" borderId="185" xfId="2" applyNumberFormat="1" applyFont="1" applyFill="1" applyBorder="1"/>
    <xf numFmtId="0" fontId="0" fillId="0" borderId="0" xfId="0" applyAlignment="1">
      <alignment horizontal="center"/>
    </xf>
    <xf numFmtId="43" fontId="142" fillId="55" borderId="21" xfId="1" applyFont="1" applyFill="1" applyBorder="1"/>
    <xf numFmtId="43" fontId="142" fillId="61" borderId="81" xfId="1" applyFont="1" applyFill="1" applyBorder="1"/>
    <xf numFmtId="43" fontId="142" fillId="61" borderId="21" xfId="1" applyFont="1" applyFill="1" applyBorder="1"/>
    <xf numFmtId="0" fontId="0" fillId="91" borderId="66" xfId="0" applyFill="1" applyBorder="1"/>
    <xf numFmtId="0" fontId="0" fillId="0" borderId="76" xfId="0" applyBorder="1"/>
    <xf numFmtId="0" fontId="0" fillId="0" borderId="61" xfId="0" applyBorder="1" applyAlignment="1">
      <alignment horizontal="center"/>
    </xf>
    <xf numFmtId="0" fontId="0" fillId="0" borderId="62" xfId="0" applyBorder="1" applyAlignment="1">
      <alignment horizontal="center"/>
    </xf>
    <xf numFmtId="0" fontId="17" fillId="0" borderId="186" xfId="0" applyFont="1" applyBorder="1"/>
    <xf numFmtId="164" fontId="0" fillId="0" borderId="82" xfId="2" applyNumberFormat="1" applyFont="1" applyBorder="1"/>
    <xf numFmtId="43" fontId="142" fillId="55" borderId="187" xfId="1" applyFont="1" applyFill="1" applyBorder="1"/>
    <xf numFmtId="43" fontId="142" fillId="61" borderId="187" xfId="1" applyFont="1" applyFill="1" applyBorder="1"/>
    <xf numFmtId="164" fontId="0" fillId="0" borderId="188" xfId="2" applyNumberFormat="1" applyFont="1" applyBorder="1"/>
    <xf numFmtId="43" fontId="142" fillId="61" borderId="189" xfId="1" applyFont="1" applyFill="1" applyBorder="1"/>
    <xf numFmtId="164" fontId="17" fillId="0" borderId="190" xfId="0" applyNumberFormat="1" applyFont="1" applyBorder="1"/>
    <xf numFmtId="43" fontId="0" fillId="0" borderId="191" xfId="0" applyNumberFormat="1" applyBorder="1"/>
    <xf numFmtId="43" fontId="0" fillId="0" borderId="192" xfId="0" applyNumberFormat="1" applyBorder="1"/>
    <xf numFmtId="43" fontId="0" fillId="0" borderId="193" xfId="0" applyNumberFormat="1" applyBorder="1"/>
    <xf numFmtId="0" fontId="0" fillId="0" borderId="33" xfId="0" applyBorder="1" applyAlignment="1">
      <alignment horizontal="center"/>
    </xf>
    <xf numFmtId="0" fontId="56" fillId="0" borderId="127" xfId="0" applyFont="1" applyBorder="1" applyAlignment="1">
      <alignment horizontal="center"/>
    </xf>
    <xf numFmtId="164" fontId="56" fillId="68" borderId="63" xfId="2" applyNumberFormat="1" applyFont="1" applyFill="1" applyBorder="1"/>
    <xf numFmtId="186" fontId="19" fillId="0" borderId="0" xfId="2" applyNumberFormat="1" applyFont="1" applyFill="1" applyBorder="1" applyAlignment="1"/>
    <xf numFmtId="0" fontId="0" fillId="61" borderId="194" xfId="0" applyFill="1" applyBorder="1" applyAlignment="1">
      <alignment horizontal="center"/>
    </xf>
    <xf numFmtId="0" fontId="0" fillId="61" borderId="195" xfId="0" applyFill="1" applyBorder="1" applyAlignment="1">
      <alignment horizontal="center"/>
    </xf>
    <xf numFmtId="0" fontId="0" fillId="61" borderId="72" xfId="0" applyFill="1" applyBorder="1"/>
    <xf numFmtId="164" fontId="0" fillId="61" borderId="37" xfId="2" applyNumberFormat="1" applyFont="1" applyFill="1" applyBorder="1" applyAlignment="1"/>
    <xf numFmtId="164" fontId="0" fillId="61" borderId="179" xfId="2" applyNumberFormat="1" applyFont="1" applyFill="1" applyBorder="1" applyAlignment="1"/>
    <xf numFmtId="192" fontId="0" fillId="61" borderId="47" xfId="0" applyNumberFormat="1" applyFill="1" applyBorder="1"/>
    <xf numFmtId="192" fontId="0" fillId="61" borderId="41" xfId="0" applyNumberFormat="1" applyFill="1" applyBorder="1"/>
    <xf numFmtId="164" fontId="0" fillId="0" borderId="167" xfId="0" applyNumberFormat="1" applyBorder="1"/>
    <xf numFmtId="164" fontId="0" fillId="0" borderId="42" xfId="0" applyNumberFormat="1" applyBorder="1"/>
    <xf numFmtId="164" fontId="0" fillId="0" borderId="196" xfId="0" applyNumberFormat="1" applyBorder="1"/>
    <xf numFmtId="0" fontId="56" fillId="0" borderId="148" xfId="0" applyFont="1" applyBorder="1" applyAlignment="1">
      <alignment horizontal="center"/>
    </xf>
    <xf numFmtId="0" fontId="56" fillId="0" borderId="138" xfId="0" applyFont="1" applyBorder="1" applyAlignment="1">
      <alignment horizontal="center"/>
    </xf>
    <xf numFmtId="0" fontId="0" fillId="0" borderId="197" xfId="0" applyBorder="1"/>
    <xf numFmtId="164" fontId="0" fillId="0" borderId="198" xfId="0" applyNumberFormat="1" applyBorder="1"/>
    <xf numFmtId="164" fontId="0" fillId="0" borderId="0" xfId="0" applyNumberFormat="1" applyAlignment="1">
      <alignment horizontal="left"/>
    </xf>
    <xf numFmtId="192" fontId="0" fillId="0" borderId="111" xfId="0" applyNumberFormat="1" applyBorder="1"/>
    <xf numFmtId="192" fontId="0" fillId="0" borderId="82" xfId="0" applyNumberFormat="1" applyBorder="1"/>
    <xf numFmtId="192" fontId="0" fillId="0" borderId="108" xfId="0" applyNumberFormat="1" applyBorder="1"/>
    <xf numFmtId="164" fontId="0" fillId="0" borderId="130" xfId="2" applyNumberFormat="1" applyFont="1" applyFill="1" applyBorder="1"/>
    <xf numFmtId="164" fontId="0" fillId="0" borderId="127" xfId="2" applyNumberFormat="1" applyFont="1" applyFill="1" applyBorder="1"/>
    <xf numFmtId="192" fontId="0" fillId="61" borderId="96" xfId="0" applyNumberFormat="1" applyFill="1" applyBorder="1"/>
    <xf numFmtId="192" fontId="0" fillId="61" borderId="97" xfId="0" applyNumberFormat="1" applyFill="1" applyBorder="1"/>
    <xf numFmtId="192" fontId="0" fillId="80" borderId="199" xfId="0" applyNumberFormat="1" applyFill="1" applyBorder="1"/>
    <xf numFmtId="164" fontId="0" fillId="0" borderId="200" xfId="2" applyNumberFormat="1" applyFont="1" applyFill="1" applyBorder="1"/>
    <xf numFmtId="0" fontId="0" fillId="0" borderId="44" xfId="0" applyBorder="1"/>
    <xf numFmtId="0" fontId="0" fillId="0" borderId="34" xfId="0" applyBorder="1"/>
    <xf numFmtId="192" fontId="0" fillId="0" borderId="65" xfId="0" applyNumberFormat="1" applyBorder="1"/>
    <xf numFmtId="44" fontId="0" fillId="0" borderId="66" xfId="0" applyNumberFormat="1" applyBorder="1"/>
    <xf numFmtId="192" fontId="0" fillId="0" borderId="41" xfId="0" applyNumberFormat="1" applyBorder="1"/>
    <xf numFmtId="44" fontId="0" fillId="0" borderId="42" xfId="0" applyNumberFormat="1" applyBorder="1"/>
    <xf numFmtId="192" fontId="0" fillId="0" borderId="45" xfId="0" applyNumberFormat="1" applyBorder="1"/>
    <xf numFmtId="44" fontId="0" fillId="0" borderId="46" xfId="0" applyNumberFormat="1" applyBorder="1"/>
    <xf numFmtId="164" fontId="0" fillId="61" borderId="46" xfId="2" applyNumberFormat="1" applyFont="1" applyFill="1" applyBorder="1"/>
    <xf numFmtId="192" fontId="0" fillId="61" borderId="72" xfId="0" applyNumberFormat="1" applyFill="1" applyBorder="1"/>
    <xf numFmtId="164" fontId="64" fillId="81" borderId="132" xfId="2" applyNumberFormat="1" applyFont="1" applyFill="1" applyBorder="1"/>
    <xf numFmtId="14" fontId="76" fillId="62" borderId="0" xfId="0" applyNumberFormat="1" applyFont="1" applyFill="1" applyAlignment="1">
      <alignment horizontal="left" indent="1"/>
    </xf>
    <xf numFmtId="165" fontId="56" fillId="0" borderId="71" xfId="1" applyNumberFormat="1" applyFont="1" applyBorder="1" applyAlignment="1">
      <alignment horizontal="center" vertical="center" wrapText="1"/>
    </xf>
    <xf numFmtId="164" fontId="56" fillId="0" borderId="165" xfId="2" applyNumberFormat="1" applyFont="1" applyFill="1" applyBorder="1" applyAlignment="1">
      <alignment horizontal="center" vertical="center" wrapText="1"/>
    </xf>
    <xf numFmtId="165" fontId="56" fillId="56" borderId="71" xfId="1" applyNumberFormat="1" applyFont="1" applyFill="1" applyBorder="1" applyAlignment="1">
      <alignment horizontal="center" vertical="center" wrapText="1"/>
    </xf>
    <xf numFmtId="165" fontId="54" fillId="56" borderId="71" xfId="1" applyNumberFormat="1" applyFont="1" applyFill="1" applyBorder="1"/>
    <xf numFmtId="165" fontId="54" fillId="56" borderId="0" xfId="1" applyNumberFormat="1" applyFont="1" applyFill="1" applyBorder="1"/>
    <xf numFmtId="165" fontId="54" fillId="56" borderId="19" xfId="1" applyNumberFormat="1" applyFont="1" applyFill="1" applyBorder="1"/>
    <xf numFmtId="165" fontId="56" fillId="56" borderId="67" xfId="1" applyNumberFormat="1" applyFont="1" applyFill="1" applyBorder="1" applyAlignment="1">
      <alignment horizontal="center" vertical="center" wrapText="1"/>
    </xf>
    <xf numFmtId="165" fontId="56" fillId="0" borderId="67" xfId="1" applyNumberFormat="1" applyFont="1" applyBorder="1" applyAlignment="1">
      <alignment horizontal="center" vertical="center" wrapText="1"/>
    </xf>
    <xf numFmtId="165" fontId="56" fillId="56" borderId="66" xfId="1" applyNumberFormat="1" applyFont="1" applyFill="1" applyBorder="1" applyAlignment="1">
      <alignment horizontal="center" vertical="center" wrapText="1"/>
    </xf>
    <xf numFmtId="0" fontId="56" fillId="61" borderId="65" xfId="0" applyFont="1" applyFill="1" applyBorder="1"/>
    <xf numFmtId="0" fontId="56" fillId="61" borderId="67" xfId="0" applyFont="1" applyFill="1" applyBorder="1"/>
    <xf numFmtId="165" fontId="56" fillId="61" borderId="66" xfId="0" applyNumberFormat="1" applyFont="1" applyFill="1" applyBorder="1"/>
    <xf numFmtId="164" fontId="56" fillId="0" borderId="63" xfId="2" applyNumberFormat="1" applyFont="1" applyFill="1" applyBorder="1" applyAlignment="1">
      <alignment horizontal="center" vertical="center" wrapText="1"/>
    </xf>
    <xf numFmtId="3" fontId="143" fillId="83" borderId="137" xfId="3" applyNumberFormat="1" applyFont="1" applyFill="1" applyBorder="1"/>
    <xf numFmtId="173" fontId="54" fillId="92" borderId="124" xfId="3" applyNumberFormat="1" applyFont="1" applyFill="1" applyBorder="1"/>
    <xf numFmtId="3" fontId="54" fillId="92" borderId="126" xfId="3" applyNumberFormat="1" applyFont="1" applyFill="1" applyBorder="1"/>
    <xf numFmtId="3" fontId="54" fillId="92" borderId="124" xfId="3" applyNumberFormat="1" applyFont="1" applyFill="1" applyBorder="1"/>
    <xf numFmtId="3" fontId="1" fillId="0" borderId="0" xfId="0" applyNumberFormat="1" applyFont="1"/>
    <xf numFmtId="165" fontId="56" fillId="0" borderId="68" xfId="1" applyNumberFormat="1" applyFont="1" applyBorder="1" applyAlignment="1">
      <alignment horizontal="right" wrapText="1"/>
    </xf>
    <xf numFmtId="193" fontId="1" fillId="0" borderId="0" xfId="0" applyNumberFormat="1" applyFont="1"/>
    <xf numFmtId="41" fontId="102" fillId="0" borderId="51" xfId="2" applyNumberFormat="1" applyFont="1" applyFill="1" applyBorder="1"/>
    <xf numFmtId="2" fontId="56" fillId="0" borderId="0" xfId="0" applyNumberFormat="1" applyFont="1" applyAlignment="1">
      <alignment horizontal="center" vertical="center" wrapText="1"/>
    </xf>
    <xf numFmtId="44" fontId="61" fillId="0" borderId="0" xfId="2" applyFont="1" applyBorder="1"/>
    <xf numFmtId="44" fontId="61" fillId="0" borderId="71" xfId="2" applyFont="1" applyBorder="1"/>
    <xf numFmtId="164" fontId="61" fillId="0" borderId="63" xfId="2" applyNumberFormat="1" applyFont="1" applyBorder="1"/>
    <xf numFmtId="185" fontId="1" fillId="0" borderId="45" xfId="0" applyNumberFormat="1" applyFont="1" applyBorder="1" applyAlignment="1">
      <alignment horizontal="center"/>
    </xf>
    <xf numFmtId="164" fontId="1" fillId="61" borderId="63" xfId="2" applyNumberFormat="1" applyFont="1" applyFill="1" applyBorder="1"/>
    <xf numFmtId="41" fontId="61" fillId="0" borderId="0" xfId="0" applyNumberFormat="1" applyFont="1"/>
    <xf numFmtId="188" fontId="102" fillId="61" borderId="201" xfId="3" applyNumberFormat="1" applyFont="1" applyFill="1" applyBorder="1"/>
    <xf numFmtId="188" fontId="102" fillId="61" borderId="48" xfId="3" applyNumberFormat="1" applyFont="1" applyFill="1" applyBorder="1"/>
    <xf numFmtId="188" fontId="102" fillId="81" borderId="91" xfId="3" applyNumberFormat="1" applyFont="1" applyFill="1" applyBorder="1"/>
    <xf numFmtId="188" fontId="102" fillId="84" borderId="48" xfId="3" applyNumberFormat="1" applyFont="1" applyFill="1" applyBorder="1"/>
    <xf numFmtId="44" fontId="64" fillId="68" borderId="41" xfId="2" applyFont="1" applyFill="1" applyBorder="1"/>
    <xf numFmtId="44" fontId="64" fillId="68" borderId="131" xfId="2" applyFont="1" applyFill="1" applyBorder="1"/>
    <xf numFmtId="164" fontId="101" fillId="61" borderId="66" xfId="2" applyNumberFormat="1" applyFont="1" applyFill="1" applyBorder="1"/>
    <xf numFmtId="0" fontId="101" fillId="0" borderId="66" xfId="0" applyFont="1" applyBorder="1"/>
    <xf numFmtId="0" fontId="99" fillId="0" borderId="45" xfId="0" applyFont="1" applyBorder="1" applyAlignment="1">
      <alignment horizontal="center"/>
    </xf>
    <xf numFmtId="173" fontId="54" fillId="0" borderId="0" xfId="3" applyNumberFormat="1" applyFont="1"/>
    <xf numFmtId="9" fontId="1" fillId="0" borderId="0" xfId="3" applyFont="1" applyFill="1" applyBorder="1" applyAlignment="1"/>
    <xf numFmtId="0" fontId="34" fillId="0" borderId="0" xfId="33031" applyFont="1" applyAlignment="1">
      <alignment horizontal="left" vertical="top" wrapText="1"/>
    </xf>
    <xf numFmtId="0" fontId="134" fillId="0" borderId="0" xfId="33031"/>
    <xf numFmtId="0" fontId="34" fillId="0" borderId="0" xfId="33031" applyFont="1" applyAlignment="1">
      <alignment horizontal="left"/>
    </xf>
    <xf numFmtId="0" fontId="50" fillId="0" borderId="0" xfId="33031" applyFont="1" applyAlignment="1">
      <alignment horizontal="left"/>
    </xf>
    <xf numFmtId="0" fontId="40" fillId="0" borderId="0" xfId="33031" applyFont="1" applyAlignment="1">
      <alignment horizontal="left" vertical="top" wrapText="1"/>
    </xf>
    <xf numFmtId="0" fontId="72" fillId="0" borderId="68" xfId="0" applyFont="1" applyBorder="1" applyAlignment="1">
      <alignment horizontal="center"/>
    </xf>
    <xf numFmtId="0" fontId="72" fillId="0" borderId="71" xfId="0" applyFont="1" applyBorder="1" applyAlignment="1">
      <alignment horizontal="center"/>
    </xf>
    <xf numFmtId="0" fontId="72" fillId="0" borderId="69" xfId="0" applyFont="1" applyBorder="1" applyAlignment="1">
      <alignment horizontal="center"/>
    </xf>
    <xf numFmtId="0" fontId="1" fillId="0" borderId="68" xfId="0" applyFont="1" applyBorder="1" applyAlignment="1">
      <alignment horizontal="left" wrapText="1"/>
    </xf>
    <xf numFmtId="0" fontId="1" fillId="0" borderId="71" xfId="0" applyFont="1" applyBorder="1" applyAlignment="1">
      <alignment horizontal="left" wrapText="1"/>
    </xf>
    <xf numFmtId="0" fontId="1" fillId="0" borderId="69" xfId="0" applyFont="1" applyBorder="1" applyAlignment="1">
      <alignment horizontal="left" wrapText="1"/>
    </xf>
    <xf numFmtId="0" fontId="56" fillId="0" borderId="19" xfId="0" applyFont="1" applyBorder="1" applyAlignment="1">
      <alignment horizontal="center"/>
    </xf>
    <xf numFmtId="0" fontId="1" fillId="0" borderId="0" xfId="0" applyFont="1" applyAlignment="1">
      <alignment vertical="top"/>
    </xf>
    <xf numFmtId="0" fontId="0" fillId="0" borderId="0" xfId="0" applyAlignment="1">
      <alignment vertical="top"/>
    </xf>
    <xf numFmtId="0" fontId="61" fillId="0" borderId="0" xfId="0" applyFont="1" applyAlignment="1">
      <alignment vertical="top" wrapText="1"/>
    </xf>
    <xf numFmtId="0" fontId="55" fillId="0" borderId="0" xfId="0" applyFont="1" applyAlignment="1">
      <alignment vertical="top" wrapText="1"/>
    </xf>
    <xf numFmtId="0" fontId="61" fillId="0" borderId="65" xfId="0" applyFont="1" applyBorder="1" applyAlignment="1">
      <alignment horizontal="center" wrapText="1"/>
    </xf>
    <xf numFmtId="0" fontId="61" fillId="0" borderId="67" xfId="0" applyFont="1" applyBorder="1" applyAlignment="1">
      <alignment horizontal="center" wrapText="1"/>
    </xf>
    <xf numFmtId="0" fontId="61" fillId="0" borderId="66" xfId="0" applyFont="1" applyBorder="1" applyAlignment="1">
      <alignment horizontal="center" wrapText="1"/>
    </xf>
    <xf numFmtId="43" fontId="64" fillId="0" borderId="65" xfId="1" applyFont="1" applyFill="1" applyBorder="1" applyAlignment="1">
      <alignment horizontal="center" wrapText="1"/>
    </xf>
    <xf numFmtId="0" fontId="0" fillId="0" borderId="66" xfId="0" applyBorder="1" applyAlignment="1">
      <alignment horizontal="center" wrapText="1"/>
    </xf>
    <xf numFmtId="0" fontId="1" fillId="0" borderId="0" xfId="0" applyFont="1" applyAlignment="1">
      <alignment vertical="top" wrapText="1"/>
    </xf>
    <xf numFmtId="0" fontId="0" fillId="0" borderId="0" xfId="0" applyAlignment="1">
      <alignment vertical="top" wrapText="1"/>
    </xf>
    <xf numFmtId="165" fontId="56" fillId="0" borderId="68" xfId="1" applyNumberFormat="1" applyFont="1" applyFill="1" applyBorder="1" applyAlignment="1">
      <alignment horizontal="center" vertical="top" wrapText="1"/>
    </xf>
    <xf numFmtId="165" fontId="56" fillId="0" borderId="71" xfId="1" applyNumberFormat="1" applyFont="1" applyFill="1" applyBorder="1" applyAlignment="1">
      <alignment horizontal="center" vertical="top"/>
    </xf>
    <xf numFmtId="165" fontId="56" fillId="0" borderId="69" xfId="1" applyNumberFormat="1" applyFont="1" applyFill="1" applyBorder="1" applyAlignment="1">
      <alignment horizontal="center" vertical="top"/>
    </xf>
    <xf numFmtId="165" fontId="61" fillId="0" borderId="45" xfId="1" applyNumberFormat="1" applyFont="1" applyFill="1" applyBorder="1" applyAlignment="1">
      <alignment horizontal="center" vertical="top" wrapText="1"/>
    </xf>
    <xf numFmtId="165" fontId="72" fillId="0" borderId="19" xfId="1" applyNumberFormat="1" applyFont="1" applyFill="1" applyBorder="1" applyAlignment="1">
      <alignment horizontal="center" vertical="top" wrapText="1"/>
    </xf>
    <xf numFmtId="165" fontId="72" fillId="0" borderId="46" xfId="1" applyNumberFormat="1" applyFont="1" applyFill="1" applyBorder="1" applyAlignment="1">
      <alignment horizontal="center" vertical="top" wrapText="1"/>
    </xf>
    <xf numFmtId="0" fontId="56" fillId="0" borderId="65" xfId="0" applyFont="1" applyBorder="1" applyAlignment="1">
      <alignment horizontal="center"/>
    </xf>
    <xf numFmtId="0" fontId="56" fillId="0" borderId="67" xfId="0" applyFont="1" applyBorder="1" applyAlignment="1">
      <alignment horizontal="center"/>
    </xf>
    <xf numFmtId="0" fontId="56" fillId="0" borderId="66" xfId="0" applyFont="1" applyBorder="1" applyAlignment="1">
      <alignment horizontal="center"/>
    </xf>
    <xf numFmtId="0" fontId="109" fillId="0" borderId="68" xfId="0" applyFont="1" applyBorder="1" applyAlignment="1">
      <alignment horizontal="center"/>
    </xf>
    <xf numFmtId="0" fontId="109" fillId="0" borderId="71" xfId="0" applyFont="1" applyBorder="1" applyAlignment="1">
      <alignment horizontal="center"/>
    </xf>
    <xf numFmtId="0" fontId="109" fillId="0" borderId="69" xfId="0" applyFont="1" applyBorder="1" applyAlignment="1">
      <alignment horizontal="center"/>
    </xf>
    <xf numFmtId="0" fontId="108" fillId="0" borderId="37" xfId="0" applyFont="1" applyBorder="1" applyAlignment="1">
      <alignment horizontal="center"/>
    </xf>
    <xf numFmtId="0" fontId="108" fillId="0" borderId="56" xfId="0" applyFont="1" applyBorder="1" applyAlignment="1">
      <alignment horizontal="center"/>
    </xf>
    <xf numFmtId="0" fontId="108" fillId="0" borderId="38" xfId="0" applyFont="1" applyBorder="1" applyAlignment="1">
      <alignment horizontal="center"/>
    </xf>
    <xf numFmtId="0" fontId="99" fillId="0" borderId="65" xfId="0" applyFont="1" applyBorder="1" applyAlignment="1">
      <alignment horizontal="center"/>
    </xf>
    <xf numFmtId="0" fontId="99" fillId="0" borderId="67" xfId="0" applyFont="1" applyBorder="1" applyAlignment="1">
      <alignment horizontal="center"/>
    </xf>
    <xf numFmtId="0" fontId="99" fillId="0" borderId="66" xfId="0" applyFont="1" applyBorder="1" applyAlignment="1">
      <alignment horizontal="center"/>
    </xf>
    <xf numFmtId="0" fontId="108" fillId="0" borderId="65" xfId="0" applyFont="1" applyBorder="1" applyAlignment="1">
      <alignment horizontal="center" wrapText="1"/>
    </xf>
    <xf numFmtId="0" fontId="108" fillId="0" borderId="67" xfId="0" applyFont="1" applyBorder="1" applyAlignment="1">
      <alignment horizontal="center" wrapText="1"/>
    </xf>
    <xf numFmtId="0" fontId="108" fillId="0" borderId="66" xfId="0" applyFont="1" applyBorder="1" applyAlignment="1">
      <alignment horizontal="center" wrapText="1"/>
    </xf>
    <xf numFmtId="0" fontId="56" fillId="0" borderId="65" xfId="0" applyFont="1" applyBorder="1" applyAlignment="1">
      <alignment horizontal="center" wrapText="1"/>
    </xf>
    <xf numFmtId="0" fontId="56" fillId="0" borderId="67" xfId="0" applyFont="1" applyBorder="1" applyAlignment="1">
      <alignment horizontal="center" wrapText="1"/>
    </xf>
    <xf numFmtId="0" fontId="56" fillId="0" borderId="65" xfId="0" applyFont="1" applyBorder="1" applyAlignment="1">
      <alignment horizontal="left"/>
    </xf>
    <xf numFmtId="0" fontId="56" fillId="0" borderId="67" xfId="0" applyFont="1" applyBorder="1" applyAlignment="1">
      <alignment horizontal="left"/>
    </xf>
    <xf numFmtId="0" fontId="56" fillId="0" borderId="66" xfId="0" applyFont="1" applyBorder="1" applyAlignment="1">
      <alignment horizontal="left"/>
    </xf>
    <xf numFmtId="0" fontId="0" fillId="0" borderId="165" xfId="0" applyBorder="1" applyAlignment="1">
      <alignment horizontal="center" wrapText="1"/>
    </xf>
    <xf numFmtId="0" fontId="0" fillId="0" borderId="47" xfId="0" applyBorder="1" applyAlignment="1">
      <alignment horizontal="center" wrapText="1"/>
    </xf>
    <xf numFmtId="0" fontId="0" fillId="0" borderId="35" xfId="0" applyBorder="1" applyAlignment="1">
      <alignment horizontal="center"/>
    </xf>
    <xf numFmtId="0" fontId="17" fillId="0" borderId="0" xfId="0" applyFont="1" applyAlignment="1">
      <alignment horizontal="center"/>
    </xf>
    <xf numFmtId="0" fontId="56" fillId="0" borderId="165" xfId="0" applyFont="1" applyBorder="1" applyAlignment="1">
      <alignment horizontal="center" wrapText="1"/>
    </xf>
    <xf numFmtId="0" fontId="56" fillId="0" borderId="47" xfId="0" applyFont="1" applyBorder="1" applyAlignment="1">
      <alignment horizontal="center" wrapText="1"/>
    </xf>
    <xf numFmtId="0" fontId="56" fillId="0" borderId="31" xfId="0" applyFont="1" applyBorder="1" applyAlignment="1">
      <alignment horizontal="center" wrapText="1"/>
    </xf>
    <xf numFmtId="0" fontId="56" fillId="0" borderId="69" xfId="0" applyFont="1" applyBorder="1" applyAlignment="1">
      <alignment horizontal="center" wrapText="1"/>
    </xf>
    <xf numFmtId="0" fontId="56" fillId="0" borderId="42" xfId="0" applyFont="1" applyBorder="1" applyAlignment="1">
      <alignment horizontal="center" wrapText="1"/>
    </xf>
    <xf numFmtId="0" fontId="56" fillId="0" borderId="46" xfId="0" applyFont="1" applyBorder="1" applyAlignment="1">
      <alignment horizontal="center" wrapText="1"/>
    </xf>
    <xf numFmtId="0" fontId="56" fillId="0" borderId="178" xfId="0" applyFont="1" applyBorder="1" applyAlignment="1">
      <alignment horizontal="center" wrapText="1"/>
    </xf>
    <xf numFmtId="0" fontId="56" fillId="0" borderId="151" xfId="0" applyFont="1" applyBorder="1" applyAlignment="1">
      <alignment horizontal="center" wrapText="1"/>
    </xf>
    <xf numFmtId="0" fontId="56" fillId="0" borderId="176" xfId="0" applyFont="1" applyBorder="1" applyAlignment="1">
      <alignment horizontal="center" wrapText="1"/>
    </xf>
    <xf numFmtId="0" fontId="0" fillId="0" borderId="37" xfId="0" applyBorder="1" applyAlignment="1">
      <alignment horizontal="center"/>
    </xf>
    <xf numFmtId="0" fontId="0" fillId="0" borderId="38" xfId="0" applyBorder="1" applyAlignment="1">
      <alignment horizontal="center"/>
    </xf>
    <xf numFmtId="0" fontId="0" fillId="0" borderId="76" xfId="0" applyBorder="1" applyAlignment="1">
      <alignment horizontal="center"/>
    </xf>
    <xf numFmtId="0" fontId="0" fillId="0" borderId="62" xfId="0" applyBorder="1" applyAlignment="1">
      <alignment horizontal="center"/>
    </xf>
    <xf numFmtId="0" fontId="97" fillId="0" borderId="90" xfId="33030" applyFont="1" applyBorder="1" applyAlignment="1">
      <alignment horizontal="center" vertical="center"/>
    </xf>
    <xf numFmtId="0" fontId="97" fillId="0" borderId="91" xfId="33030" applyFont="1" applyBorder="1" applyAlignment="1">
      <alignment horizontal="center" vertical="center"/>
    </xf>
    <xf numFmtId="0" fontId="97" fillId="0" borderId="92" xfId="33030" applyFont="1" applyBorder="1" applyAlignment="1">
      <alignment horizontal="center" vertical="center"/>
    </xf>
    <xf numFmtId="0" fontId="97" fillId="0" borderId="93" xfId="33030" applyFont="1" applyBorder="1" applyAlignment="1">
      <alignment horizontal="center" vertical="center"/>
    </xf>
    <xf numFmtId="0" fontId="97" fillId="56" borderId="94" xfId="33030" applyFont="1" applyFill="1" applyBorder="1" applyAlignment="1">
      <alignment horizontal="center" vertical="center" wrapText="1"/>
    </xf>
    <xf numFmtId="0" fontId="97" fillId="56" borderId="100" xfId="33030" applyFont="1" applyFill="1" applyBorder="1" applyAlignment="1">
      <alignment horizontal="center" vertical="center" wrapText="1"/>
    </xf>
    <xf numFmtId="1" fontId="96" fillId="0" borderId="165" xfId="1" applyNumberFormat="1" applyFont="1" applyBorder="1" applyAlignment="1">
      <alignment vertical="center" wrapText="1"/>
    </xf>
    <xf numFmtId="1" fontId="96" fillId="0" borderId="31" xfId="1" applyNumberFormat="1" applyFont="1" applyBorder="1" applyAlignment="1">
      <alignment vertical="center" wrapText="1"/>
    </xf>
    <xf numFmtId="172" fontId="96" fillId="0" borderId="101" xfId="33030" applyNumberFormat="1" applyFont="1" applyBorder="1"/>
    <xf numFmtId="172" fontId="96" fillId="0" borderId="108" xfId="33030" applyNumberFormat="1" applyFont="1" applyBorder="1"/>
    <xf numFmtId="172" fontId="96" fillId="0" borderId="165" xfId="33030" applyNumberFormat="1" applyFont="1" applyBorder="1"/>
    <xf numFmtId="172" fontId="96" fillId="0" borderId="31" xfId="33030" applyNumberFormat="1" applyFont="1" applyBorder="1"/>
    <xf numFmtId="172" fontId="96" fillId="56" borderId="110" xfId="33030" applyNumberFormat="1" applyFont="1" applyFill="1" applyBorder="1"/>
    <xf numFmtId="172" fontId="96" fillId="56" borderId="109" xfId="33030" applyNumberFormat="1" applyFont="1" applyFill="1" applyBorder="1"/>
    <xf numFmtId="172" fontId="96" fillId="56" borderId="112" xfId="33030" applyNumberFormat="1" applyFont="1" applyFill="1" applyBorder="1"/>
    <xf numFmtId="172" fontId="96" fillId="56" borderId="110" xfId="33030" applyNumberFormat="1" applyFont="1" applyFill="1" applyBorder="1" applyAlignment="1">
      <alignment horizontal="right"/>
    </xf>
    <xf numFmtId="172" fontId="96" fillId="56" borderId="112" xfId="33030" applyNumberFormat="1" applyFont="1" applyFill="1" applyBorder="1" applyAlignment="1">
      <alignment horizontal="right"/>
    </xf>
    <xf numFmtId="172" fontId="96" fillId="56" borderId="109" xfId="33030" applyNumberFormat="1" applyFont="1" applyFill="1" applyBorder="1" applyAlignment="1">
      <alignment horizontal="right"/>
    </xf>
    <xf numFmtId="172" fontId="96" fillId="56" borderId="113" xfId="33030" applyNumberFormat="1" applyFont="1" applyFill="1" applyBorder="1" applyAlignment="1">
      <alignment horizontal="right"/>
    </xf>
    <xf numFmtId="172" fontId="96" fillId="56" borderId="114" xfId="33030" applyNumberFormat="1" applyFont="1" applyFill="1" applyBorder="1" applyAlignment="1">
      <alignment horizontal="right"/>
    </xf>
    <xf numFmtId="172" fontId="96" fillId="56" borderId="115" xfId="33030" applyNumberFormat="1" applyFont="1" applyFill="1" applyBorder="1" applyAlignment="1">
      <alignment horizontal="right"/>
    </xf>
    <xf numFmtId="1" fontId="96" fillId="0" borderId="165" xfId="1" applyNumberFormat="1" applyFont="1" applyFill="1" applyBorder="1" applyAlignment="1">
      <alignment vertical="center" wrapText="1"/>
    </xf>
    <xf numFmtId="1" fontId="96" fillId="0" borderId="31" xfId="1" applyNumberFormat="1" applyFont="1" applyFill="1" applyBorder="1" applyAlignment="1">
      <alignment vertical="center" wrapText="1"/>
    </xf>
    <xf numFmtId="172" fontId="96" fillId="0" borderId="111" xfId="33030" applyNumberFormat="1" applyFont="1" applyBorder="1"/>
    <xf numFmtId="172" fontId="96" fillId="0" borderId="47" xfId="33030" applyNumberFormat="1" applyFont="1" applyBorder="1"/>
    <xf numFmtId="0" fontId="96" fillId="0" borderId="37" xfId="33030" applyFont="1" applyBorder="1" applyAlignment="1">
      <alignment vertical="center" wrapText="1"/>
    </xf>
    <xf numFmtId="0" fontId="96" fillId="0" borderId="56" xfId="33030" applyFont="1" applyBorder="1" applyAlignment="1">
      <alignment vertical="center" wrapText="1"/>
    </xf>
    <xf numFmtId="0" fontId="94" fillId="0" borderId="38" xfId="33030" applyBorder="1" applyAlignment="1">
      <alignment vertical="center" wrapText="1"/>
    </xf>
    <xf numFmtId="1" fontId="96" fillId="0" borderId="47" xfId="1" applyNumberFormat="1" applyFont="1" applyFill="1" applyBorder="1" applyAlignment="1">
      <alignment vertical="center" wrapText="1"/>
    </xf>
    <xf numFmtId="172" fontId="96" fillId="0" borderId="101" xfId="33030" applyNumberFormat="1" applyFont="1" applyBorder="1" applyAlignment="1">
      <alignment horizontal="right"/>
    </xf>
    <xf numFmtId="172" fontId="96" fillId="0" borderId="111" xfId="33030" applyNumberFormat="1" applyFont="1" applyBorder="1" applyAlignment="1">
      <alignment horizontal="right"/>
    </xf>
    <xf numFmtId="172" fontId="96" fillId="0" borderId="108" xfId="33030" applyNumberFormat="1" applyFont="1" applyBorder="1" applyAlignment="1">
      <alignment horizontal="right"/>
    </xf>
    <xf numFmtId="172" fontId="96" fillId="0" borderId="165" xfId="33030" applyNumberFormat="1" applyFont="1" applyBorder="1" applyAlignment="1">
      <alignment horizontal="right"/>
    </xf>
    <xf numFmtId="172" fontId="96" fillId="0" borderId="47" xfId="33030" applyNumberFormat="1" applyFont="1" applyBorder="1" applyAlignment="1">
      <alignment horizontal="right"/>
    </xf>
    <xf numFmtId="172" fontId="96" fillId="0" borderId="31" xfId="33030" applyNumberFormat="1" applyFont="1" applyBorder="1" applyAlignment="1">
      <alignment horizontal="right"/>
    </xf>
    <xf numFmtId="0" fontId="96" fillId="0" borderId="121" xfId="33030" applyFont="1" applyBorder="1" applyAlignment="1">
      <alignment wrapText="1"/>
    </xf>
    <xf numFmtId="0" fontId="96" fillId="0" borderId="122" xfId="33030" applyFont="1" applyBorder="1" applyAlignment="1">
      <alignment wrapText="1"/>
    </xf>
    <xf numFmtId="0" fontId="94" fillId="0" borderId="123" xfId="33030" applyBorder="1" applyAlignment="1">
      <alignment wrapText="1"/>
    </xf>
    <xf numFmtId="172" fontId="96" fillId="56" borderId="110" xfId="33030" applyNumberFormat="1" applyFont="1" applyFill="1" applyBorder="1" applyAlignment="1">
      <alignment horizontal="center"/>
    </xf>
    <xf numFmtId="172" fontId="96" fillId="56" borderId="112" xfId="33030" applyNumberFormat="1" applyFont="1" applyFill="1" applyBorder="1" applyAlignment="1">
      <alignment horizontal="center"/>
    </xf>
    <xf numFmtId="172" fontId="96" fillId="56" borderId="109" xfId="33030" applyNumberFormat="1" applyFont="1" applyFill="1" applyBorder="1" applyAlignment="1">
      <alignment horizontal="center"/>
    </xf>
    <xf numFmtId="172" fontId="96" fillId="56" borderId="113" xfId="33030" applyNumberFormat="1" applyFont="1" applyFill="1" applyBorder="1" applyAlignment="1">
      <alignment horizontal="center"/>
    </xf>
    <xf numFmtId="172" fontId="96" fillId="56" borderId="114" xfId="33030" applyNumberFormat="1" applyFont="1" applyFill="1" applyBorder="1" applyAlignment="1">
      <alignment horizontal="center"/>
    </xf>
    <xf numFmtId="172" fontId="96" fillId="56" borderId="115" xfId="33030" applyNumberFormat="1" applyFont="1" applyFill="1" applyBorder="1" applyAlignment="1">
      <alignment horizontal="center"/>
    </xf>
    <xf numFmtId="0" fontId="96" fillId="0" borderId="116" xfId="33030" applyFont="1" applyBorder="1" applyAlignment="1">
      <alignment wrapText="1"/>
    </xf>
    <xf numFmtId="0" fontId="96" fillId="0" borderId="117" xfId="33030" applyFont="1" applyBorder="1" applyAlignment="1">
      <alignment wrapText="1"/>
    </xf>
    <xf numFmtId="0" fontId="94" fillId="0" borderId="118" xfId="33030" applyBorder="1" applyAlignment="1">
      <alignment wrapText="1"/>
    </xf>
    <xf numFmtId="172" fontId="96" fillId="0" borderId="101" xfId="33030" applyNumberFormat="1" applyFont="1" applyBorder="1" applyAlignment="1">
      <alignment horizontal="center"/>
    </xf>
    <xf numFmtId="172" fontId="96" fillId="0" borderId="111" xfId="33030" applyNumberFormat="1" applyFont="1" applyBorder="1" applyAlignment="1">
      <alignment horizontal="center"/>
    </xf>
    <xf numFmtId="172" fontId="96" fillId="0" borderId="108" xfId="33030" applyNumberFormat="1" applyFont="1" applyBorder="1" applyAlignment="1">
      <alignment horizontal="center"/>
    </xf>
    <xf numFmtId="172" fontId="96" fillId="0" borderId="165" xfId="33030" applyNumberFormat="1" applyFont="1" applyBorder="1" applyAlignment="1">
      <alignment horizontal="center"/>
    </xf>
    <xf numFmtId="172" fontId="96" fillId="0" borderId="47" xfId="33030" applyNumberFormat="1" applyFont="1" applyBorder="1" applyAlignment="1">
      <alignment horizontal="center"/>
    </xf>
    <xf numFmtId="172" fontId="96" fillId="0" borderId="31" xfId="33030" applyNumberFormat="1" applyFont="1" applyBorder="1" applyAlignment="1">
      <alignment horizontal="center"/>
    </xf>
    <xf numFmtId="0" fontId="96" fillId="0" borderId="119" xfId="33030" applyFont="1" applyBorder="1" applyAlignment="1">
      <alignment wrapText="1"/>
    </xf>
    <xf numFmtId="0" fontId="96" fillId="0" borderId="67" xfId="33030" applyFont="1" applyBorder="1" applyAlignment="1">
      <alignment wrapText="1"/>
    </xf>
    <xf numFmtId="0" fontId="94" fillId="0" borderId="120" xfId="33030" applyBorder="1" applyAlignment="1">
      <alignment wrapText="1"/>
    </xf>
  </cellXfs>
  <cellStyles count="33043">
    <cellStyle name="20% - Accent1" xfId="18" builtinId="30" customBuiltin="1"/>
    <cellStyle name="20% - Accent1 10" xfId="41" xr:uid="{00000000-0005-0000-0000-000001000000}"/>
    <cellStyle name="20% - Accent1 10 2" xfId="42" xr:uid="{00000000-0005-0000-0000-000002000000}"/>
    <cellStyle name="20% - Accent1 10 2 2" xfId="43" xr:uid="{00000000-0005-0000-0000-000003000000}"/>
    <cellStyle name="20% - Accent1 10 2 2 2" xfId="12443" xr:uid="{00000000-0005-0000-0000-000004000000}"/>
    <cellStyle name="20% - Accent1 10 2 2 2 2" xfId="26155" xr:uid="{00000000-0005-0000-0000-000005000000}"/>
    <cellStyle name="20% - Accent1 10 2 2 3" xfId="17367" xr:uid="{00000000-0005-0000-0000-000006000000}"/>
    <cellStyle name="20% - Accent1 10 2 3" xfId="44" xr:uid="{00000000-0005-0000-0000-000007000000}"/>
    <cellStyle name="20% - Accent1 10 2 3 2" xfId="14588" xr:uid="{00000000-0005-0000-0000-000008000000}"/>
    <cellStyle name="20% - Accent1 10 2 3 2 2" xfId="28137" xr:uid="{00000000-0005-0000-0000-000009000000}"/>
    <cellStyle name="20% - Accent1 10 2 3 3" xfId="17368" xr:uid="{00000000-0005-0000-0000-00000A000000}"/>
    <cellStyle name="20% - Accent1 10 2 4" xfId="10535" xr:uid="{00000000-0005-0000-0000-00000B000000}"/>
    <cellStyle name="20% - Accent1 10 2 4 2" xfId="24477" xr:uid="{00000000-0005-0000-0000-00000C000000}"/>
    <cellStyle name="20% - Accent1 10 2 5" xfId="17366" xr:uid="{00000000-0005-0000-0000-00000D000000}"/>
    <cellStyle name="20% - Accent1 10 3" xfId="45" xr:uid="{00000000-0005-0000-0000-00000E000000}"/>
    <cellStyle name="20% - Accent1 10 3 2" xfId="12402" xr:uid="{00000000-0005-0000-0000-00000F000000}"/>
    <cellStyle name="20% - Accent1 10 3 2 2" xfId="26114" xr:uid="{00000000-0005-0000-0000-000010000000}"/>
    <cellStyle name="20% - Accent1 10 3 3" xfId="17369" xr:uid="{00000000-0005-0000-0000-000011000000}"/>
    <cellStyle name="20% - Accent1 10 4" xfId="46" xr:uid="{00000000-0005-0000-0000-000012000000}"/>
    <cellStyle name="20% - Accent1 10 4 2" xfId="14589" xr:uid="{00000000-0005-0000-0000-000013000000}"/>
    <cellStyle name="20% - Accent1 10 4 2 2" xfId="28138" xr:uid="{00000000-0005-0000-0000-000014000000}"/>
    <cellStyle name="20% - Accent1 10 4 3" xfId="17370" xr:uid="{00000000-0005-0000-0000-000015000000}"/>
    <cellStyle name="20% - Accent1 10 5" xfId="47" xr:uid="{00000000-0005-0000-0000-000016000000}"/>
    <cellStyle name="20% - Accent1 10 5 2" xfId="17174" xr:uid="{00000000-0005-0000-0000-000017000000}"/>
    <cellStyle name="20% - Accent1 10 5 2 2" xfId="30533" xr:uid="{00000000-0005-0000-0000-000018000000}"/>
    <cellStyle name="20% - Accent1 10 5 3" xfId="17371" xr:uid="{00000000-0005-0000-0000-000019000000}"/>
    <cellStyle name="20% - Accent1 10 6" xfId="8810" xr:uid="{00000000-0005-0000-0000-00001A000000}"/>
    <cellStyle name="20% - Accent1 10 6 2" xfId="23285" xr:uid="{00000000-0005-0000-0000-00001B000000}"/>
    <cellStyle name="20% - Accent1 10 7" xfId="17365" xr:uid="{00000000-0005-0000-0000-00001C000000}"/>
    <cellStyle name="20% - Accent1 11" xfId="48" xr:uid="{00000000-0005-0000-0000-00001D000000}"/>
    <cellStyle name="20% - Accent1 11 2" xfId="49" xr:uid="{00000000-0005-0000-0000-00001E000000}"/>
    <cellStyle name="20% - Accent1 11 2 2" xfId="10536" xr:uid="{00000000-0005-0000-0000-00001F000000}"/>
    <cellStyle name="20% - Accent1 11 2 2 2" xfId="24478" xr:uid="{00000000-0005-0000-0000-000020000000}"/>
    <cellStyle name="20% - Accent1 11 2 3" xfId="17373" xr:uid="{00000000-0005-0000-0000-000021000000}"/>
    <cellStyle name="20% - Accent1 11 3" xfId="50" xr:uid="{00000000-0005-0000-0000-000022000000}"/>
    <cellStyle name="20% - Accent1 11 3 2" xfId="12634" xr:uid="{00000000-0005-0000-0000-000023000000}"/>
    <cellStyle name="20% - Accent1 11 3 2 2" xfId="26346" xr:uid="{00000000-0005-0000-0000-000024000000}"/>
    <cellStyle name="20% - Accent1 11 3 3" xfId="17374" xr:uid="{00000000-0005-0000-0000-000025000000}"/>
    <cellStyle name="20% - Accent1 11 4" xfId="51" xr:uid="{00000000-0005-0000-0000-000026000000}"/>
    <cellStyle name="20% - Accent1 11 4 2" xfId="14587" xr:uid="{00000000-0005-0000-0000-000027000000}"/>
    <cellStyle name="20% - Accent1 11 4 2 2" xfId="28136" xr:uid="{00000000-0005-0000-0000-000028000000}"/>
    <cellStyle name="20% - Accent1 11 4 3" xfId="17375" xr:uid="{00000000-0005-0000-0000-000029000000}"/>
    <cellStyle name="20% - Accent1 11 5" xfId="52" xr:uid="{00000000-0005-0000-0000-00002A000000}"/>
    <cellStyle name="20% - Accent1 11 5 2" xfId="17263" xr:uid="{00000000-0005-0000-0000-00002B000000}"/>
    <cellStyle name="20% - Accent1 11 5 2 2" xfId="30622" xr:uid="{00000000-0005-0000-0000-00002C000000}"/>
    <cellStyle name="20% - Accent1 11 5 3" xfId="17376" xr:uid="{00000000-0005-0000-0000-00002D000000}"/>
    <cellStyle name="20% - Accent1 11 6" xfId="8811" xr:uid="{00000000-0005-0000-0000-00002E000000}"/>
    <cellStyle name="20% - Accent1 11 6 2" xfId="23286" xr:uid="{00000000-0005-0000-0000-00002F000000}"/>
    <cellStyle name="20% - Accent1 11 7" xfId="17372" xr:uid="{00000000-0005-0000-0000-000030000000}"/>
    <cellStyle name="20% - Accent1 12" xfId="53" xr:uid="{00000000-0005-0000-0000-000031000000}"/>
    <cellStyle name="20% - Accent1 12 2" xfId="54" xr:uid="{00000000-0005-0000-0000-000032000000}"/>
    <cellStyle name="20% - Accent1 12 2 2" xfId="55" xr:uid="{00000000-0005-0000-0000-000033000000}"/>
    <cellStyle name="20% - Accent1 12 2 2 2" xfId="10538" xr:uid="{00000000-0005-0000-0000-000034000000}"/>
    <cellStyle name="20% - Accent1 12 2 2 2 2" xfId="24480" xr:uid="{00000000-0005-0000-0000-000035000000}"/>
    <cellStyle name="20% - Accent1 12 2 2 3" xfId="17379" xr:uid="{00000000-0005-0000-0000-000036000000}"/>
    <cellStyle name="20% - Accent1 12 2 3" xfId="56" xr:uid="{00000000-0005-0000-0000-000037000000}"/>
    <cellStyle name="20% - Accent1 12 2 3 2" xfId="12754" xr:uid="{00000000-0005-0000-0000-000038000000}"/>
    <cellStyle name="20% - Accent1 12 2 3 2 2" xfId="26466" xr:uid="{00000000-0005-0000-0000-000039000000}"/>
    <cellStyle name="20% - Accent1 12 2 3 3" xfId="17380" xr:uid="{00000000-0005-0000-0000-00003A000000}"/>
    <cellStyle name="20% - Accent1 12 2 4" xfId="57" xr:uid="{00000000-0005-0000-0000-00003B000000}"/>
    <cellStyle name="20% - Accent1 12 2 4 2" xfId="14585" xr:uid="{00000000-0005-0000-0000-00003C000000}"/>
    <cellStyle name="20% - Accent1 12 2 4 2 2" xfId="28134" xr:uid="{00000000-0005-0000-0000-00003D000000}"/>
    <cellStyle name="20% - Accent1 12 2 4 3" xfId="17381" xr:uid="{00000000-0005-0000-0000-00003E000000}"/>
    <cellStyle name="20% - Accent1 12 2 5" xfId="8813" xr:uid="{00000000-0005-0000-0000-00003F000000}"/>
    <cellStyle name="20% - Accent1 12 2 5 2" xfId="23288" xr:uid="{00000000-0005-0000-0000-000040000000}"/>
    <cellStyle name="20% - Accent1 12 2 6" xfId="17378" xr:uid="{00000000-0005-0000-0000-000041000000}"/>
    <cellStyle name="20% - Accent1 12 3" xfId="58" xr:uid="{00000000-0005-0000-0000-000042000000}"/>
    <cellStyle name="20% - Accent1 12 3 2" xfId="10537" xr:uid="{00000000-0005-0000-0000-000043000000}"/>
    <cellStyle name="20% - Accent1 12 3 2 2" xfId="24479" xr:uid="{00000000-0005-0000-0000-000044000000}"/>
    <cellStyle name="20% - Accent1 12 3 3" xfId="17382" xr:uid="{00000000-0005-0000-0000-000045000000}"/>
    <cellStyle name="20% - Accent1 12 4" xfId="59" xr:uid="{00000000-0005-0000-0000-000046000000}"/>
    <cellStyle name="20% - Accent1 12 4 2" xfId="12422" xr:uid="{00000000-0005-0000-0000-000047000000}"/>
    <cellStyle name="20% - Accent1 12 4 2 2" xfId="26134" xr:uid="{00000000-0005-0000-0000-000048000000}"/>
    <cellStyle name="20% - Accent1 12 4 3" xfId="17383" xr:uid="{00000000-0005-0000-0000-000049000000}"/>
    <cellStyle name="20% - Accent1 12 5" xfId="60" xr:uid="{00000000-0005-0000-0000-00004A000000}"/>
    <cellStyle name="20% - Accent1 12 5 2" xfId="14586" xr:uid="{00000000-0005-0000-0000-00004B000000}"/>
    <cellStyle name="20% - Accent1 12 5 2 2" xfId="28135" xr:uid="{00000000-0005-0000-0000-00004C000000}"/>
    <cellStyle name="20% - Accent1 12 5 3" xfId="17384" xr:uid="{00000000-0005-0000-0000-00004D000000}"/>
    <cellStyle name="20% - Accent1 12 6" xfId="61" xr:uid="{00000000-0005-0000-0000-00004E000000}"/>
    <cellStyle name="20% - Accent1 12 6 2" xfId="16415" xr:uid="{00000000-0005-0000-0000-00004F000000}"/>
    <cellStyle name="20% - Accent1 12 6 2 2" xfId="29822" xr:uid="{00000000-0005-0000-0000-000050000000}"/>
    <cellStyle name="20% - Accent1 12 6 3" xfId="17385" xr:uid="{00000000-0005-0000-0000-000051000000}"/>
    <cellStyle name="20% - Accent1 12 7" xfId="8812" xr:uid="{00000000-0005-0000-0000-000052000000}"/>
    <cellStyle name="20% - Accent1 12 7 2" xfId="23287" xr:uid="{00000000-0005-0000-0000-000053000000}"/>
    <cellStyle name="20% - Accent1 12 8" xfId="17377" xr:uid="{00000000-0005-0000-0000-000054000000}"/>
    <cellStyle name="20% - Accent1 13" xfId="62" xr:uid="{00000000-0005-0000-0000-000055000000}"/>
    <cellStyle name="20% - Accent1 13 2" xfId="63" xr:uid="{00000000-0005-0000-0000-000056000000}"/>
    <cellStyle name="20% - Accent1 13 2 2" xfId="10539" xr:uid="{00000000-0005-0000-0000-000057000000}"/>
    <cellStyle name="20% - Accent1 13 2 2 2" xfId="24481" xr:uid="{00000000-0005-0000-0000-000058000000}"/>
    <cellStyle name="20% - Accent1 13 2 3" xfId="17387" xr:uid="{00000000-0005-0000-0000-000059000000}"/>
    <cellStyle name="20% - Accent1 13 3" xfId="64" xr:uid="{00000000-0005-0000-0000-00005A000000}"/>
    <cellStyle name="20% - Accent1 13 3 2" xfId="12623" xr:uid="{00000000-0005-0000-0000-00005B000000}"/>
    <cellStyle name="20% - Accent1 13 3 2 2" xfId="26335" xr:uid="{00000000-0005-0000-0000-00005C000000}"/>
    <cellStyle name="20% - Accent1 13 3 3" xfId="17388" xr:uid="{00000000-0005-0000-0000-00005D000000}"/>
    <cellStyle name="20% - Accent1 13 4" xfId="65" xr:uid="{00000000-0005-0000-0000-00005E000000}"/>
    <cellStyle name="20% - Accent1 13 4 2" xfId="14584" xr:uid="{00000000-0005-0000-0000-00005F000000}"/>
    <cellStyle name="20% - Accent1 13 4 2 2" xfId="28133" xr:uid="{00000000-0005-0000-0000-000060000000}"/>
    <cellStyle name="20% - Accent1 13 4 3" xfId="17389" xr:uid="{00000000-0005-0000-0000-000061000000}"/>
    <cellStyle name="20% - Accent1 13 5" xfId="8814" xr:uid="{00000000-0005-0000-0000-000062000000}"/>
    <cellStyle name="20% - Accent1 13 5 2" xfId="23289" xr:uid="{00000000-0005-0000-0000-000063000000}"/>
    <cellStyle name="20% - Accent1 13 6" xfId="17386" xr:uid="{00000000-0005-0000-0000-000064000000}"/>
    <cellStyle name="20% - Accent1 14" xfId="66" xr:uid="{00000000-0005-0000-0000-000065000000}"/>
    <cellStyle name="20% - Accent1 14 2" xfId="67" xr:uid="{00000000-0005-0000-0000-000066000000}"/>
    <cellStyle name="20% - Accent1 14 2 2" xfId="10540" xr:uid="{00000000-0005-0000-0000-000067000000}"/>
    <cellStyle name="20% - Accent1 14 2 2 2" xfId="24482" xr:uid="{00000000-0005-0000-0000-000068000000}"/>
    <cellStyle name="20% - Accent1 14 2 3" xfId="17391" xr:uid="{00000000-0005-0000-0000-000069000000}"/>
    <cellStyle name="20% - Accent1 14 3" xfId="68" xr:uid="{00000000-0005-0000-0000-00006A000000}"/>
    <cellStyle name="20% - Accent1 14 3 2" xfId="12591" xr:uid="{00000000-0005-0000-0000-00006B000000}"/>
    <cellStyle name="20% - Accent1 14 3 2 2" xfId="26303" xr:uid="{00000000-0005-0000-0000-00006C000000}"/>
    <cellStyle name="20% - Accent1 14 3 3" xfId="17392" xr:uid="{00000000-0005-0000-0000-00006D000000}"/>
    <cellStyle name="20% - Accent1 14 4" xfId="69" xr:uid="{00000000-0005-0000-0000-00006E000000}"/>
    <cellStyle name="20% - Accent1 14 4 2" xfId="14583" xr:uid="{00000000-0005-0000-0000-00006F000000}"/>
    <cellStyle name="20% - Accent1 14 4 2 2" xfId="28132" xr:uid="{00000000-0005-0000-0000-000070000000}"/>
    <cellStyle name="20% - Accent1 14 4 3" xfId="17393" xr:uid="{00000000-0005-0000-0000-000071000000}"/>
    <cellStyle name="20% - Accent1 14 5" xfId="8815" xr:uid="{00000000-0005-0000-0000-000072000000}"/>
    <cellStyle name="20% - Accent1 14 5 2" xfId="23290" xr:uid="{00000000-0005-0000-0000-000073000000}"/>
    <cellStyle name="20% - Accent1 14 6" xfId="17390" xr:uid="{00000000-0005-0000-0000-000074000000}"/>
    <cellStyle name="20% - Accent1 15" xfId="70" xr:uid="{00000000-0005-0000-0000-000075000000}"/>
    <cellStyle name="20% - Accent1 15 2" xfId="71" xr:uid="{00000000-0005-0000-0000-000076000000}"/>
    <cellStyle name="20% - Accent1 15 2 2" xfId="10541" xr:uid="{00000000-0005-0000-0000-000077000000}"/>
    <cellStyle name="20% - Accent1 15 2 2 2" xfId="24483" xr:uid="{00000000-0005-0000-0000-000078000000}"/>
    <cellStyle name="20% - Accent1 15 2 3" xfId="17395" xr:uid="{00000000-0005-0000-0000-000079000000}"/>
    <cellStyle name="20% - Accent1 15 3" xfId="72" xr:uid="{00000000-0005-0000-0000-00007A000000}"/>
    <cellStyle name="20% - Accent1 15 3 2" xfId="12464" xr:uid="{00000000-0005-0000-0000-00007B000000}"/>
    <cellStyle name="20% - Accent1 15 3 2 2" xfId="26176" xr:uid="{00000000-0005-0000-0000-00007C000000}"/>
    <cellStyle name="20% - Accent1 15 3 3" xfId="17396" xr:uid="{00000000-0005-0000-0000-00007D000000}"/>
    <cellStyle name="20% - Accent1 15 4" xfId="73" xr:uid="{00000000-0005-0000-0000-00007E000000}"/>
    <cellStyle name="20% - Accent1 15 4 2" xfId="14582" xr:uid="{00000000-0005-0000-0000-00007F000000}"/>
    <cellStyle name="20% - Accent1 15 4 2 2" xfId="28131" xr:uid="{00000000-0005-0000-0000-000080000000}"/>
    <cellStyle name="20% - Accent1 15 4 3" xfId="17397" xr:uid="{00000000-0005-0000-0000-000081000000}"/>
    <cellStyle name="20% - Accent1 15 5" xfId="8816" xr:uid="{00000000-0005-0000-0000-000082000000}"/>
    <cellStyle name="20% - Accent1 15 5 2" xfId="23291" xr:uid="{00000000-0005-0000-0000-000083000000}"/>
    <cellStyle name="20% - Accent1 15 6" xfId="17394" xr:uid="{00000000-0005-0000-0000-000084000000}"/>
    <cellStyle name="20% - Accent1 16" xfId="74" xr:uid="{00000000-0005-0000-0000-000085000000}"/>
    <cellStyle name="20% - Accent1 16 2" xfId="75" xr:uid="{00000000-0005-0000-0000-000086000000}"/>
    <cellStyle name="20% - Accent1 16 2 2" xfId="10542" xr:uid="{00000000-0005-0000-0000-000087000000}"/>
    <cellStyle name="20% - Accent1 16 2 2 2" xfId="24484" xr:uid="{00000000-0005-0000-0000-000088000000}"/>
    <cellStyle name="20% - Accent1 16 2 3" xfId="17399" xr:uid="{00000000-0005-0000-0000-000089000000}"/>
    <cellStyle name="20% - Accent1 16 3" xfId="76" xr:uid="{00000000-0005-0000-0000-00008A000000}"/>
    <cellStyle name="20% - Accent1 16 3 2" xfId="12487" xr:uid="{00000000-0005-0000-0000-00008B000000}"/>
    <cellStyle name="20% - Accent1 16 3 2 2" xfId="26199" xr:uid="{00000000-0005-0000-0000-00008C000000}"/>
    <cellStyle name="20% - Accent1 16 3 3" xfId="17400" xr:uid="{00000000-0005-0000-0000-00008D000000}"/>
    <cellStyle name="20% - Accent1 16 4" xfId="77" xr:uid="{00000000-0005-0000-0000-00008E000000}"/>
    <cellStyle name="20% - Accent1 16 4 2" xfId="14581" xr:uid="{00000000-0005-0000-0000-00008F000000}"/>
    <cellStyle name="20% - Accent1 16 4 2 2" xfId="28130" xr:uid="{00000000-0005-0000-0000-000090000000}"/>
    <cellStyle name="20% - Accent1 16 4 3" xfId="17401" xr:uid="{00000000-0005-0000-0000-000091000000}"/>
    <cellStyle name="20% - Accent1 16 5" xfId="8817" xr:uid="{00000000-0005-0000-0000-000092000000}"/>
    <cellStyle name="20% - Accent1 16 5 2" xfId="23292" xr:uid="{00000000-0005-0000-0000-000093000000}"/>
    <cellStyle name="20% - Accent1 16 6" xfId="17398" xr:uid="{00000000-0005-0000-0000-000094000000}"/>
    <cellStyle name="20% - Accent1 17" xfId="78" xr:uid="{00000000-0005-0000-0000-000095000000}"/>
    <cellStyle name="20% - Accent1 17 2" xfId="79" xr:uid="{00000000-0005-0000-0000-000096000000}"/>
    <cellStyle name="20% - Accent1 17 2 2" xfId="10543" xr:uid="{00000000-0005-0000-0000-000097000000}"/>
    <cellStyle name="20% - Accent1 17 2 2 2" xfId="24485" xr:uid="{00000000-0005-0000-0000-000098000000}"/>
    <cellStyle name="20% - Accent1 17 2 3" xfId="17403" xr:uid="{00000000-0005-0000-0000-000099000000}"/>
    <cellStyle name="20% - Accent1 17 3" xfId="80" xr:uid="{00000000-0005-0000-0000-00009A000000}"/>
    <cellStyle name="20% - Accent1 17 3 2" xfId="12101" xr:uid="{00000000-0005-0000-0000-00009B000000}"/>
    <cellStyle name="20% - Accent1 17 3 2 2" xfId="25813" xr:uid="{00000000-0005-0000-0000-00009C000000}"/>
    <cellStyle name="20% - Accent1 17 3 3" xfId="17404" xr:uid="{00000000-0005-0000-0000-00009D000000}"/>
    <cellStyle name="20% - Accent1 17 4" xfId="81" xr:uid="{00000000-0005-0000-0000-00009E000000}"/>
    <cellStyle name="20% - Accent1 17 4 2" xfId="14580" xr:uid="{00000000-0005-0000-0000-00009F000000}"/>
    <cellStyle name="20% - Accent1 17 4 2 2" xfId="28129" xr:uid="{00000000-0005-0000-0000-0000A0000000}"/>
    <cellStyle name="20% - Accent1 17 4 3" xfId="17405" xr:uid="{00000000-0005-0000-0000-0000A1000000}"/>
    <cellStyle name="20% - Accent1 17 5" xfId="8818" xr:uid="{00000000-0005-0000-0000-0000A2000000}"/>
    <cellStyle name="20% - Accent1 17 5 2" xfId="23293" xr:uid="{00000000-0005-0000-0000-0000A3000000}"/>
    <cellStyle name="20% - Accent1 17 6" xfId="17402" xr:uid="{00000000-0005-0000-0000-0000A4000000}"/>
    <cellStyle name="20% - Accent1 18" xfId="82" xr:uid="{00000000-0005-0000-0000-0000A5000000}"/>
    <cellStyle name="20% - Accent1 18 2" xfId="83" xr:uid="{00000000-0005-0000-0000-0000A6000000}"/>
    <cellStyle name="20% - Accent1 18 2 2" xfId="10544" xr:uid="{00000000-0005-0000-0000-0000A7000000}"/>
    <cellStyle name="20% - Accent1 18 2 2 2" xfId="24486" xr:uid="{00000000-0005-0000-0000-0000A8000000}"/>
    <cellStyle name="20% - Accent1 18 2 3" xfId="17407" xr:uid="{00000000-0005-0000-0000-0000A9000000}"/>
    <cellStyle name="20% - Accent1 18 3" xfId="84" xr:uid="{00000000-0005-0000-0000-0000AA000000}"/>
    <cellStyle name="20% - Accent1 18 3 2" xfId="12791" xr:uid="{00000000-0005-0000-0000-0000AB000000}"/>
    <cellStyle name="20% - Accent1 18 3 2 2" xfId="26503" xr:uid="{00000000-0005-0000-0000-0000AC000000}"/>
    <cellStyle name="20% - Accent1 18 3 3" xfId="17408" xr:uid="{00000000-0005-0000-0000-0000AD000000}"/>
    <cellStyle name="20% - Accent1 18 4" xfId="85" xr:uid="{00000000-0005-0000-0000-0000AE000000}"/>
    <cellStyle name="20% - Accent1 18 4 2" xfId="14529" xr:uid="{00000000-0005-0000-0000-0000AF000000}"/>
    <cellStyle name="20% - Accent1 18 4 2 2" xfId="28078" xr:uid="{00000000-0005-0000-0000-0000B0000000}"/>
    <cellStyle name="20% - Accent1 18 4 3" xfId="17409" xr:uid="{00000000-0005-0000-0000-0000B1000000}"/>
    <cellStyle name="20% - Accent1 18 5" xfId="8819" xr:uid="{00000000-0005-0000-0000-0000B2000000}"/>
    <cellStyle name="20% - Accent1 18 5 2" xfId="23294" xr:uid="{00000000-0005-0000-0000-0000B3000000}"/>
    <cellStyle name="20% - Accent1 18 6" xfId="17406" xr:uid="{00000000-0005-0000-0000-0000B4000000}"/>
    <cellStyle name="20% - Accent1 19" xfId="86" xr:uid="{00000000-0005-0000-0000-0000B5000000}"/>
    <cellStyle name="20% - Accent1 19 2" xfId="87" xr:uid="{00000000-0005-0000-0000-0000B6000000}"/>
    <cellStyle name="20% - Accent1 19 2 2" xfId="11699" xr:uid="{00000000-0005-0000-0000-0000B7000000}"/>
    <cellStyle name="20% - Accent1 19 2 2 2" xfId="25419" xr:uid="{00000000-0005-0000-0000-0000B8000000}"/>
    <cellStyle name="20% - Accent1 19 2 3" xfId="17411" xr:uid="{00000000-0005-0000-0000-0000B9000000}"/>
    <cellStyle name="20% - Accent1 19 3" xfId="88" xr:uid="{00000000-0005-0000-0000-0000BA000000}"/>
    <cellStyle name="20% - Accent1 19 3 2" xfId="12746" xr:uid="{00000000-0005-0000-0000-0000BB000000}"/>
    <cellStyle name="20% - Accent1 19 3 2 2" xfId="26458" xr:uid="{00000000-0005-0000-0000-0000BC000000}"/>
    <cellStyle name="20% - Accent1 19 3 3" xfId="17412" xr:uid="{00000000-0005-0000-0000-0000BD000000}"/>
    <cellStyle name="20% - Accent1 19 4" xfId="89" xr:uid="{00000000-0005-0000-0000-0000BE000000}"/>
    <cellStyle name="20% - Accent1 19 4 2" xfId="14579" xr:uid="{00000000-0005-0000-0000-0000BF000000}"/>
    <cellStyle name="20% - Accent1 19 4 2 2" xfId="28128" xr:uid="{00000000-0005-0000-0000-0000C0000000}"/>
    <cellStyle name="20% - Accent1 19 4 3" xfId="17413" xr:uid="{00000000-0005-0000-0000-0000C1000000}"/>
    <cellStyle name="20% - Accent1 19 5" xfId="10451" xr:uid="{00000000-0005-0000-0000-0000C2000000}"/>
    <cellStyle name="20% - Accent1 19 5 2" xfId="24410" xr:uid="{00000000-0005-0000-0000-0000C3000000}"/>
    <cellStyle name="20% - Accent1 19 6" xfId="17410" xr:uid="{00000000-0005-0000-0000-0000C4000000}"/>
    <cellStyle name="20% - Accent1 2" xfId="90" xr:uid="{00000000-0005-0000-0000-0000C5000000}"/>
    <cellStyle name="20% - Accent1 2 10" xfId="91" xr:uid="{00000000-0005-0000-0000-0000C6000000}"/>
    <cellStyle name="20% - Accent1 2 10 2" xfId="92" xr:uid="{00000000-0005-0000-0000-0000C7000000}"/>
    <cellStyle name="20% - Accent1 2 10 2 2" xfId="14577" xr:uid="{00000000-0005-0000-0000-0000C8000000}"/>
    <cellStyle name="20% - Accent1 2 10 2 2 2" xfId="28126" xr:uid="{00000000-0005-0000-0000-0000C9000000}"/>
    <cellStyle name="20% - Accent1 2 10 2 3" xfId="17416" xr:uid="{00000000-0005-0000-0000-0000CA000000}"/>
    <cellStyle name="20% - Accent1 2 10 3" xfId="11824" xr:uid="{00000000-0005-0000-0000-0000CB000000}"/>
    <cellStyle name="20% - Accent1 2 10 3 2" xfId="25539" xr:uid="{00000000-0005-0000-0000-0000CC000000}"/>
    <cellStyle name="20% - Accent1 2 10 4" xfId="17415" xr:uid="{00000000-0005-0000-0000-0000CD000000}"/>
    <cellStyle name="20% - Accent1 2 11" xfId="93" xr:uid="{00000000-0005-0000-0000-0000CE000000}"/>
    <cellStyle name="20% - Accent1 2 11 2" xfId="12707" xr:uid="{00000000-0005-0000-0000-0000CF000000}"/>
    <cellStyle name="20% - Accent1 2 11 2 2" xfId="26419" xr:uid="{00000000-0005-0000-0000-0000D0000000}"/>
    <cellStyle name="20% - Accent1 2 11 3" xfId="17417" xr:uid="{00000000-0005-0000-0000-0000D1000000}"/>
    <cellStyle name="20% - Accent1 2 12" xfId="94" xr:uid="{00000000-0005-0000-0000-0000D2000000}"/>
    <cellStyle name="20% - Accent1 2 12 2" xfId="13424" xr:uid="{00000000-0005-0000-0000-0000D3000000}"/>
    <cellStyle name="20% - Accent1 2 12 2 2" xfId="26973" xr:uid="{00000000-0005-0000-0000-0000D4000000}"/>
    <cellStyle name="20% - Accent1 2 12 3" xfId="17418" xr:uid="{00000000-0005-0000-0000-0000D5000000}"/>
    <cellStyle name="20% - Accent1 2 13" xfId="95" xr:uid="{00000000-0005-0000-0000-0000D6000000}"/>
    <cellStyle name="20% - Accent1 2 13 2" xfId="14005" xr:uid="{00000000-0005-0000-0000-0000D7000000}"/>
    <cellStyle name="20% - Accent1 2 13 2 2" xfId="27554" xr:uid="{00000000-0005-0000-0000-0000D8000000}"/>
    <cellStyle name="20% - Accent1 2 13 3" xfId="17419" xr:uid="{00000000-0005-0000-0000-0000D9000000}"/>
    <cellStyle name="20% - Accent1 2 14" xfId="96" xr:uid="{00000000-0005-0000-0000-0000DA000000}"/>
    <cellStyle name="20% - Accent1 2 14 2" xfId="14578" xr:uid="{00000000-0005-0000-0000-0000DB000000}"/>
    <cellStyle name="20% - Accent1 2 14 2 2" xfId="28127" xr:uid="{00000000-0005-0000-0000-0000DC000000}"/>
    <cellStyle name="20% - Accent1 2 14 3" xfId="17420" xr:uid="{00000000-0005-0000-0000-0000DD000000}"/>
    <cellStyle name="20% - Accent1 2 15" xfId="97" xr:uid="{00000000-0005-0000-0000-0000DE000000}"/>
    <cellStyle name="20% - Accent1 2 15 2" xfId="15891" xr:uid="{00000000-0005-0000-0000-0000DF000000}"/>
    <cellStyle name="20% - Accent1 2 15 2 2" xfId="29298" xr:uid="{00000000-0005-0000-0000-0000E0000000}"/>
    <cellStyle name="20% - Accent1 2 15 3" xfId="17421" xr:uid="{00000000-0005-0000-0000-0000E1000000}"/>
    <cellStyle name="20% - Accent1 2 16" xfId="8820" xr:uid="{00000000-0005-0000-0000-0000E2000000}"/>
    <cellStyle name="20% - Accent1 2 16 2" xfId="23295" xr:uid="{00000000-0005-0000-0000-0000E3000000}"/>
    <cellStyle name="20% - Accent1 2 17" xfId="17414" xr:uid="{00000000-0005-0000-0000-0000E4000000}"/>
    <cellStyle name="20% - Accent1 2 2" xfId="98" xr:uid="{00000000-0005-0000-0000-0000E5000000}"/>
    <cellStyle name="20% - Accent1 2 2 10" xfId="99" xr:uid="{00000000-0005-0000-0000-0000E6000000}"/>
    <cellStyle name="20% - Accent1 2 2 10 2" xfId="14576" xr:uid="{00000000-0005-0000-0000-0000E7000000}"/>
    <cellStyle name="20% - Accent1 2 2 10 2 2" xfId="28125" xr:uid="{00000000-0005-0000-0000-0000E8000000}"/>
    <cellStyle name="20% - Accent1 2 2 10 3" xfId="17423" xr:uid="{00000000-0005-0000-0000-0000E9000000}"/>
    <cellStyle name="20% - Accent1 2 2 11" xfId="100" xr:uid="{00000000-0005-0000-0000-0000EA000000}"/>
    <cellStyle name="20% - Accent1 2 2 11 2" xfId="15937" xr:uid="{00000000-0005-0000-0000-0000EB000000}"/>
    <cellStyle name="20% - Accent1 2 2 11 2 2" xfId="29344" xr:uid="{00000000-0005-0000-0000-0000EC000000}"/>
    <cellStyle name="20% - Accent1 2 2 11 3" xfId="17424" xr:uid="{00000000-0005-0000-0000-0000ED000000}"/>
    <cellStyle name="20% - Accent1 2 2 12" xfId="8821" xr:uid="{00000000-0005-0000-0000-0000EE000000}"/>
    <cellStyle name="20% - Accent1 2 2 12 2" xfId="23296" xr:uid="{00000000-0005-0000-0000-0000EF000000}"/>
    <cellStyle name="20% - Accent1 2 2 13" xfId="17422" xr:uid="{00000000-0005-0000-0000-0000F0000000}"/>
    <cellStyle name="20% - Accent1 2 2 2" xfId="101" xr:uid="{00000000-0005-0000-0000-0000F1000000}"/>
    <cellStyle name="20% - Accent1 2 2 2 10" xfId="102" xr:uid="{00000000-0005-0000-0000-0000F2000000}"/>
    <cellStyle name="20% - Accent1 2 2 2 10 2" xfId="16080" xr:uid="{00000000-0005-0000-0000-0000F3000000}"/>
    <cellStyle name="20% - Accent1 2 2 2 10 2 2" xfId="29487" xr:uid="{00000000-0005-0000-0000-0000F4000000}"/>
    <cellStyle name="20% - Accent1 2 2 2 10 3" xfId="17426" xr:uid="{00000000-0005-0000-0000-0000F5000000}"/>
    <cellStyle name="20% - Accent1 2 2 2 11" xfId="8822" xr:uid="{00000000-0005-0000-0000-0000F6000000}"/>
    <cellStyle name="20% - Accent1 2 2 2 11 2" xfId="23297" xr:uid="{00000000-0005-0000-0000-0000F7000000}"/>
    <cellStyle name="20% - Accent1 2 2 2 12" xfId="17425" xr:uid="{00000000-0005-0000-0000-0000F8000000}"/>
    <cellStyle name="20% - Accent1 2 2 2 2" xfId="103" xr:uid="{00000000-0005-0000-0000-0000F9000000}"/>
    <cellStyle name="20% - Accent1 2 2 2 2 10" xfId="8823" xr:uid="{00000000-0005-0000-0000-0000FA000000}"/>
    <cellStyle name="20% - Accent1 2 2 2 2 10 2" xfId="23298" xr:uid="{00000000-0005-0000-0000-0000FB000000}"/>
    <cellStyle name="20% - Accent1 2 2 2 2 11" xfId="17427" xr:uid="{00000000-0005-0000-0000-0000FC000000}"/>
    <cellStyle name="20% - Accent1 2 2 2 2 2" xfId="104" xr:uid="{00000000-0005-0000-0000-0000FD000000}"/>
    <cellStyle name="20% - Accent1 2 2 2 2 2 2" xfId="105" xr:uid="{00000000-0005-0000-0000-0000FE000000}"/>
    <cellStyle name="20% - Accent1 2 2 2 2 2 2 2" xfId="10549" xr:uid="{00000000-0005-0000-0000-0000FF000000}"/>
    <cellStyle name="20% - Accent1 2 2 2 2 2 2 2 2" xfId="24491" xr:uid="{00000000-0005-0000-0000-000000010000}"/>
    <cellStyle name="20% - Accent1 2 2 2 2 2 2 3" xfId="17429" xr:uid="{00000000-0005-0000-0000-000001010000}"/>
    <cellStyle name="20% - Accent1 2 2 2 2 2 3" xfId="106" xr:uid="{00000000-0005-0000-0000-000002010000}"/>
    <cellStyle name="20% - Accent1 2 2 2 2 2 3 2" xfId="12478" xr:uid="{00000000-0005-0000-0000-000003010000}"/>
    <cellStyle name="20% - Accent1 2 2 2 2 2 3 2 2" xfId="26190" xr:uid="{00000000-0005-0000-0000-000004010000}"/>
    <cellStyle name="20% - Accent1 2 2 2 2 2 3 3" xfId="17430" xr:uid="{00000000-0005-0000-0000-000005010000}"/>
    <cellStyle name="20% - Accent1 2 2 2 2 2 4" xfId="107" xr:uid="{00000000-0005-0000-0000-000006010000}"/>
    <cellStyle name="20% - Accent1 2 2 2 2 2 4 2" xfId="14573" xr:uid="{00000000-0005-0000-0000-000007010000}"/>
    <cellStyle name="20% - Accent1 2 2 2 2 2 4 2 2" xfId="28122" xr:uid="{00000000-0005-0000-0000-000008010000}"/>
    <cellStyle name="20% - Accent1 2 2 2 2 2 4 3" xfId="17431" xr:uid="{00000000-0005-0000-0000-000009010000}"/>
    <cellStyle name="20% - Accent1 2 2 2 2 2 5" xfId="108" xr:uid="{00000000-0005-0000-0000-00000A010000}"/>
    <cellStyle name="20% - Accent1 2 2 2 2 2 5 2" xfId="16950" xr:uid="{00000000-0005-0000-0000-00000B010000}"/>
    <cellStyle name="20% - Accent1 2 2 2 2 2 5 2 2" xfId="30357" xr:uid="{00000000-0005-0000-0000-00000C010000}"/>
    <cellStyle name="20% - Accent1 2 2 2 2 2 5 3" xfId="17432" xr:uid="{00000000-0005-0000-0000-00000D010000}"/>
    <cellStyle name="20% - Accent1 2 2 2 2 2 6" xfId="8824" xr:uid="{00000000-0005-0000-0000-00000E010000}"/>
    <cellStyle name="20% - Accent1 2 2 2 2 2 6 2" xfId="23299" xr:uid="{00000000-0005-0000-0000-00000F010000}"/>
    <cellStyle name="20% - Accent1 2 2 2 2 2 7" xfId="17428" xr:uid="{00000000-0005-0000-0000-000010010000}"/>
    <cellStyle name="20% - Accent1 2 2 2 2 3" xfId="109" xr:uid="{00000000-0005-0000-0000-000011010000}"/>
    <cellStyle name="20% - Accent1 2 2 2 2 3 2" xfId="110" xr:uid="{00000000-0005-0000-0000-000012010000}"/>
    <cellStyle name="20% - Accent1 2 2 2 2 3 2 2" xfId="14572" xr:uid="{00000000-0005-0000-0000-000013010000}"/>
    <cellStyle name="20% - Accent1 2 2 2 2 3 2 2 2" xfId="28121" xr:uid="{00000000-0005-0000-0000-000014010000}"/>
    <cellStyle name="20% - Accent1 2 2 2 2 3 2 3" xfId="17434" xr:uid="{00000000-0005-0000-0000-000015010000}"/>
    <cellStyle name="20% - Accent1 2 2 2 2 3 3" xfId="10548" xr:uid="{00000000-0005-0000-0000-000016010000}"/>
    <cellStyle name="20% - Accent1 2 2 2 2 3 3 2" xfId="24490" xr:uid="{00000000-0005-0000-0000-000017010000}"/>
    <cellStyle name="20% - Accent1 2 2 2 2 3 4" xfId="17433" xr:uid="{00000000-0005-0000-0000-000018010000}"/>
    <cellStyle name="20% - Accent1 2 2 2 2 4" xfId="111" xr:uid="{00000000-0005-0000-0000-000019010000}"/>
    <cellStyle name="20% - Accent1 2 2 2 2 4 2" xfId="12338" xr:uid="{00000000-0005-0000-0000-00001A010000}"/>
    <cellStyle name="20% - Accent1 2 2 2 2 4 2 2" xfId="26050" xr:uid="{00000000-0005-0000-0000-00001B010000}"/>
    <cellStyle name="20% - Accent1 2 2 2 2 4 3" xfId="17435" xr:uid="{00000000-0005-0000-0000-00001C010000}"/>
    <cellStyle name="20% - Accent1 2 2 2 2 5" xfId="112" xr:uid="{00000000-0005-0000-0000-00001D010000}"/>
    <cellStyle name="20% - Accent1 2 2 2 2 5 2" xfId="12766" xr:uid="{00000000-0005-0000-0000-00001E010000}"/>
    <cellStyle name="20% - Accent1 2 2 2 2 5 2 2" xfId="26478" xr:uid="{00000000-0005-0000-0000-00001F010000}"/>
    <cellStyle name="20% - Accent1 2 2 2 2 5 3" xfId="17436" xr:uid="{00000000-0005-0000-0000-000020010000}"/>
    <cellStyle name="20% - Accent1 2 2 2 2 6" xfId="113" xr:uid="{00000000-0005-0000-0000-000021010000}"/>
    <cellStyle name="20% - Accent1 2 2 2 2 6 2" xfId="13902" xr:uid="{00000000-0005-0000-0000-000022010000}"/>
    <cellStyle name="20% - Accent1 2 2 2 2 6 2 2" xfId="27451" xr:uid="{00000000-0005-0000-0000-000023010000}"/>
    <cellStyle name="20% - Accent1 2 2 2 2 6 3" xfId="17437" xr:uid="{00000000-0005-0000-0000-000024010000}"/>
    <cellStyle name="20% - Accent1 2 2 2 2 7" xfId="114" xr:uid="{00000000-0005-0000-0000-000025010000}"/>
    <cellStyle name="20% - Accent1 2 2 2 2 7 2" xfId="14483" xr:uid="{00000000-0005-0000-0000-000026010000}"/>
    <cellStyle name="20% - Accent1 2 2 2 2 7 2 2" xfId="28032" xr:uid="{00000000-0005-0000-0000-000027010000}"/>
    <cellStyle name="20% - Accent1 2 2 2 2 7 3" xfId="17438" xr:uid="{00000000-0005-0000-0000-000028010000}"/>
    <cellStyle name="20% - Accent1 2 2 2 2 8" xfId="115" xr:uid="{00000000-0005-0000-0000-000029010000}"/>
    <cellStyle name="20% - Accent1 2 2 2 2 8 2" xfId="14574" xr:uid="{00000000-0005-0000-0000-00002A010000}"/>
    <cellStyle name="20% - Accent1 2 2 2 2 8 2 2" xfId="28123" xr:uid="{00000000-0005-0000-0000-00002B010000}"/>
    <cellStyle name="20% - Accent1 2 2 2 2 8 3" xfId="17439" xr:uid="{00000000-0005-0000-0000-00002C010000}"/>
    <cellStyle name="20% - Accent1 2 2 2 2 9" xfId="116" xr:uid="{00000000-0005-0000-0000-00002D010000}"/>
    <cellStyle name="20% - Accent1 2 2 2 2 9 2" xfId="16369" xr:uid="{00000000-0005-0000-0000-00002E010000}"/>
    <cellStyle name="20% - Accent1 2 2 2 2 9 2 2" xfId="29776" xr:uid="{00000000-0005-0000-0000-00002F010000}"/>
    <cellStyle name="20% - Accent1 2 2 2 2 9 3" xfId="17440" xr:uid="{00000000-0005-0000-0000-000030010000}"/>
    <cellStyle name="20% - Accent1 2 2 2 3" xfId="117" xr:uid="{00000000-0005-0000-0000-000031010000}"/>
    <cellStyle name="20% - Accent1 2 2 2 3 2" xfId="118" xr:uid="{00000000-0005-0000-0000-000032010000}"/>
    <cellStyle name="20% - Accent1 2 2 2 3 2 2" xfId="10550" xr:uid="{00000000-0005-0000-0000-000033010000}"/>
    <cellStyle name="20% - Accent1 2 2 2 3 2 2 2" xfId="24492" xr:uid="{00000000-0005-0000-0000-000034010000}"/>
    <cellStyle name="20% - Accent1 2 2 2 3 2 3" xfId="17442" xr:uid="{00000000-0005-0000-0000-000035010000}"/>
    <cellStyle name="20% - Accent1 2 2 2 3 3" xfId="119" xr:uid="{00000000-0005-0000-0000-000036010000}"/>
    <cellStyle name="20% - Accent1 2 2 2 3 3 2" xfId="11765" xr:uid="{00000000-0005-0000-0000-000037010000}"/>
    <cellStyle name="20% - Accent1 2 2 2 3 3 2 2" xfId="25480" xr:uid="{00000000-0005-0000-0000-000038010000}"/>
    <cellStyle name="20% - Accent1 2 2 2 3 3 3" xfId="17443" xr:uid="{00000000-0005-0000-0000-000039010000}"/>
    <cellStyle name="20% - Accent1 2 2 2 3 4" xfId="120" xr:uid="{00000000-0005-0000-0000-00003A010000}"/>
    <cellStyle name="20% - Accent1 2 2 2 3 4 2" xfId="14571" xr:uid="{00000000-0005-0000-0000-00003B010000}"/>
    <cellStyle name="20% - Accent1 2 2 2 3 4 2 2" xfId="28120" xr:uid="{00000000-0005-0000-0000-00003C010000}"/>
    <cellStyle name="20% - Accent1 2 2 2 3 4 3" xfId="17444" xr:uid="{00000000-0005-0000-0000-00003D010000}"/>
    <cellStyle name="20% - Accent1 2 2 2 3 5" xfId="121" xr:uid="{00000000-0005-0000-0000-00003E010000}"/>
    <cellStyle name="20% - Accent1 2 2 2 3 5 2" xfId="16661" xr:uid="{00000000-0005-0000-0000-00003F010000}"/>
    <cellStyle name="20% - Accent1 2 2 2 3 5 2 2" xfId="30068" xr:uid="{00000000-0005-0000-0000-000040010000}"/>
    <cellStyle name="20% - Accent1 2 2 2 3 5 3" xfId="17445" xr:uid="{00000000-0005-0000-0000-000041010000}"/>
    <cellStyle name="20% - Accent1 2 2 2 3 6" xfId="8825" xr:uid="{00000000-0005-0000-0000-000042010000}"/>
    <cellStyle name="20% - Accent1 2 2 2 3 6 2" xfId="23300" xr:uid="{00000000-0005-0000-0000-000043010000}"/>
    <cellStyle name="20% - Accent1 2 2 2 3 7" xfId="17441" xr:uid="{00000000-0005-0000-0000-000044010000}"/>
    <cellStyle name="20% - Accent1 2 2 2 4" xfId="122" xr:uid="{00000000-0005-0000-0000-000045010000}"/>
    <cellStyle name="20% - Accent1 2 2 2 4 2" xfId="123" xr:uid="{00000000-0005-0000-0000-000046010000}"/>
    <cellStyle name="20% - Accent1 2 2 2 4 2 2" xfId="14570" xr:uid="{00000000-0005-0000-0000-000047010000}"/>
    <cellStyle name="20% - Accent1 2 2 2 4 2 2 2" xfId="28119" xr:uid="{00000000-0005-0000-0000-000048010000}"/>
    <cellStyle name="20% - Accent1 2 2 2 4 2 3" xfId="17447" xr:uid="{00000000-0005-0000-0000-000049010000}"/>
    <cellStyle name="20% - Accent1 2 2 2 4 3" xfId="10547" xr:uid="{00000000-0005-0000-0000-00004A010000}"/>
    <cellStyle name="20% - Accent1 2 2 2 4 3 2" xfId="24489" xr:uid="{00000000-0005-0000-0000-00004B010000}"/>
    <cellStyle name="20% - Accent1 2 2 2 4 4" xfId="17446" xr:uid="{00000000-0005-0000-0000-00004C010000}"/>
    <cellStyle name="20% - Accent1 2 2 2 5" xfId="124" xr:uid="{00000000-0005-0000-0000-00004D010000}"/>
    <cellStyle name="20% - Accent1 2 2 2 5 2" xfId="12038" xr:uid="{00000000-0005-0000-0000-00004E010000}"/>
    <cellStyle name="20% - Accent1 2 2 2 5 2 2" xfId="25753" xr:uid="{00000000-0005-0000-0000-00004F010000}"/>
    <cellStyle name="20% - Accent1 2 2 2 5 3" xfId="17448" xr:uid="{00000000-0005-0000-0000-000050010000}"/>
    <cellStyle name="20% - Accent1 2 2 2 6" xfId="125" xr:uid="{00000000-0005-0000-0000-000051010000}"/>
    <cellStyle name="20% - Accent1 2 2 2 6 2" xfId="12739" xr:uid="{00000000-0005-0000-0000-000052010000}"/>
    <cellStyle name="20% - Accent1 2 2 2 6 2 2" xfId="26451" xr:uid="{00000000-0005-0000-0000-000053010000}"/>
    <cellStyle name="20% - Accent1 2 2 2 6 3" xfId="17449" xr:uid="{00000000-0005-0000-0000-000054010000}"/>
    <cellStyle name="20% - Accent1 2 2 2 7" xfId="126" xr:uid="{00000000-0005-0000-0000-000055010000}"/>
    <cellStyle name="20% - Accent1 2 2 2 7 2" xfId="13613" xr:uid="{00000000-0005-0000-0000-000056010000}"/>
    <cellStyle name="20% - Accent1 2 2 2 7 2 2" xfId="27162" xr:uid="{00000000-0005-0000-0000-000057010000}"/>
    <cellStyle name="20% - Accent1 2 2 2 7 3" xfId="17450" xr:uid="{00000000-0005-0000-0000-000058010000}"/>
    <cellStyle name="20% - Accent1 2 2 2 8" xfId="127" xr:uid="{00000000-0005-0000-0000-000059010000}"/>
    <cellStyle name="20% - Accent1 2 2 2 8 2" xfId="14194" xr:uid="{00000000-0005-0000-0000-00005A010000}"/>
    <cellStyle name="20% - Accent1 2 2 2 8 2 2" xfId="27743" xr:uid="{00000000-0005-0000-0000-00005B010000}"/>
    <cellStyle name="20% - Accent1 2 2 2 8 3" xfId="17451" xr:uid="{00000000-0005-0000-0000-00005C010000}"/>
    <cellStyle name="20% - Accent1 2 2 2 9" xfId="128" xr:uid="{00000000-0005-0000-0000-00005D010000}"/>
    <cellStyle name="20% - Accent1 2 2 2 9 2" xfId="14575" xr:uid="{00000000-0005-0000-0000-00005E010000}"/>
    <cellStyle name="20% - Accent1 2 2 2 9 2 2" xfId="28124" xr:uid="{00000000-0005-0000-0000-00005F010000}"/>
    <cellStyle name="20% - Accent1 2 2 2 9 3" xfId="17452" xr:uid="{00000000-0005-0000-0000-000060010000}"/>
    <cellStyle name="20% - Accent1 2 2 3" xfId="129" xr:uid="{00000000-0005-0000-0000-000061010000}"/>
    <cellStyle name="20% - Accent1 2 2 3 10" xfId="8826" xr:uid="{00000000-0005-0000-0000-000062010000}"/>
    <cellStyle name="20% - Accent1 2 2 3 10 2" xfId="23301" xr:uid="{00000000-0005-0000-0000-000063010000}"/>
    <cellStyle name="20% - Accent1 2 2 3 11" xfId="17453" xr:uid="{00000000-0005-0000-0000-000064010000}"/>
    <cellStyle name="20% - Accent1 2 2 3 2" xfId="130" xr:uid="{00000000-0005-0000-0000-000065010000}"/>
    <cellStyle name="20% - Accent1 2 2 3 2 2" xfId="131" xr:uid="{00000000-0005-0000-0000-000066010000}"/>
    <cellStyle name="20% - Accent1 2 2 3 2 2 2" xfId="10552" xr:uid="{00000000-0005-0000-0000-000067010000}"/>
    <cellStyle name="20% - Accent1 2 2 3 2 2 2 2" xfId="24494" xr:uid="{00000000-0005-0000-0000-000068010000}"/>
    <cellStyle name="20% - Accent1 2 2 3 2 2 3" xfId="17455" xr:uid="{00000000-0005-0000-0000-000069010000}"/>
    <cellStyle name="20% - Accent1 2 2 3 2 3" xfId="132" xr:uid="{00000000-0005-0000-0000-00006A010000}"/>
    <cellStyle name="20% - Accent1 2 2 3 2 3 2" xfId="12702" xr:uid="{00000000-0005-0000-0000-00006B010000}"/>
    <cellStyle name="20% - Accent1 2 2 3 2 3 2 2" xfId="26414" xr:uid="{00000000-0005-0000-0000-00006C010000}"/>
    <cellStyle name="20% - Accent1 2 2 3 2 3 3" xfId="17456" xr:uid="{00000000-0005-0000-0000-00006D010000}"/>
    <cellStyle name="20% - Accent1 2 2 3 2 4" xfId="133" xr:uid="{00000000-0005-0000-0000-00006E010000}"/>
    <cellStyle name="20% - Accent1 2 2 3 2 4 2" xfId="14568" xr:uid="{00000000-0005-0000-0000-00006F010000}"/>
    <cellStyle name="20% - Accent1 2 2 3 2 4 2 2" xfId="28117" xr:uid="{00000000-0005-0000-0000-000070010000}"/>
    <cellStyle name="20% - Accent1 2 2 3 2 4 3" xfId="17457" xr:uid="{00000000-0005-0000-0000-000071010000}"/>
    <cellStyle name="20% - Accent1 2 2 3 2 5" xfId="134" xr:uid="{00000000-0005-0000-0000-000072010000}"/>
    <cellStyle name="20% - Accent1 2 2 3 2 5 2" xfId="16807" xr:uid="{00000000-0005-0000-0000-000073010000}"/>
    <cellStyle name="20% - Accent1 2 2 3 2 5 2 2" xfId="30214" xr:uid="{00000000-0005-0000-0000-000074010000}"/>
    <cellStyle name="20% - Accent1 2 2 3 2 5 3" xfId="17458" xr:uid="{00000000-0005-0000-0000-000075010000}"/>
    <cellStyle name="20% - Accent1 2 2 3 2 6" xfId="8827" xr:uid="{00000000-0005-0000-0000-000076010000}"/>
    <cellStyle name="20% - Accent1 2 2 3 2 6 2" xfId="23302" xr:uid="{00000000-0005-0000-0000-000077010000}"/>
    <cellStyle name="20% - Accent1 2 2 3 2 7" xfId="17454" xr:uid="{00000000-0005-0000-0000-000078010000}"/>
    <cellStyle name="20% - Accent1 2 2 3 3" xfId="135" xr:uid="{00000000-0005-0000-0000-000079010000}"/>
    <cellStyle name="20% - Accent1 2 2 3 3 2" xfId="136" xr:uid="{00000000-0005-0000-0000-00007A010000}"/>
    <cellStyle name="20% - Accent1 2 2 3 3 2 2" xfId="14567" xr:uid="{00000000-0005-0000-0000-00007B010000}"/>
    <cellStyle name="20% - Accent1 2 2 3 3 2 2 2" xfId="28116" xr:uid="{00000000-0005-0000-0000-00007C010000}"/>
    <cellStyle name="20% - Accent1 2 2 3 3 2 3" xfId="17460" xr:uid="{00000000-0005-0000-0000-00007D010000}"/>
    <cellStyle name="20% - Accent1 2 2 3 3 3" xfId="10551" xr:uid="{00000000-0005-0000-0000-00007E010000}"/>
    <cellStyle name="20% - Accent1 2 2 3 3 3 2" xfId="24493" xr:uid="{00000000-0005-0000-0000-00007F010000}"/>
    <cellStyle name="20% - Accent1 2 2 3 3 4" xfId="17459" xr:uid="{00000000-0005-0000-0000-000080010000}"/>
    <cellStyle name="20% - Accent1 2 2 3 4" xfId="137" xr:uid="{00000000-0005-0000-0000-000081010000}"/>
    <cellStyle name="20% - Accent1 2 2 3 4 2" xfId="12195" xr:uid="{00000000-0005-0000-0000-000082010000}"/>
    <cellStyle name="20% - Accent1 2 2 3 4 2 2" xfId="25907" xr:uid="{00000000-0005-0000-0000-000083010000}"/>
    <cellStyle name="20% - Accent1 2 2 3 4 3" xfId="17461" xr:uid="{00000000-0005-0000-0000-000084010000}"/>
    <cellStyle name="20% - Accent1 2 2 3 5" xfId="138" xr:uid="{00000000-0005-0000-0000-000085010000}"/>
    <cellStyle name="20% - Accent1 2 2 3 5 2" xfId="12568" xr:uid="{00000000-0005-0000-0000-000086010000}"/>
    <cellStyle name="20% - Accent1 2 2 3 5 2 2" xfId="26280" xr:uid="{00000000-0005-0000-0000-000087010000}"/>
    <cellStyle name="20% - Accent1 2 2 3 5 3" xfId="17462" xr:uid="{00000000-0005-0000-0000-000088010000}"/>
    <cellStyle name="20% - Accent1 2 2 3 6" xfId="139" xr:uid="{00000000-0005-0000-0000-000089010000}"/>
    <cellStyle name="20% - Accent1 2 2 3 6 2" xfId="13759" xr:uid="{00000000-0005-0000-0000-00008A010000}"/>
    <cellStyle name="20% - Accent1 2 2 3 6 2 2" xfId="27308" xr:uid="{00000000-0005-0000-0000-00008B010000}"/>
    <cellStyle name="20% - Accent1 2 2 3 6 3" xfId="17463" xr:uid="{00000000-0005-0000-0000-00008C010000}"/>
    <cellStyle name="20% - Accent1 2 2 3 7" xfId="140" xr:uid="{00000000-0005-0000-0000-00008D010000}"/>
    <cellStyle name="20% - Accent1 2 2 3 7 2" xfId="14340" xr:uid="{00000000-0005-0000-0000-00008E010000}"/>
    <cellStyle name="20% - Accent1 2 2 3 7 2 2" xfId="27889" xr:uid="{00000000-0005-0000-0000-00008F010000}"/>
    <cellStyle name="20% - Accent1 2 2 3 7 3" xfId="17464" xr:uid="{00000000-0005-0000-0000-000090010000}"/>
    <cellStyle name="20% - Accent1 2 2 3 8" xfId="141" xr:uid="{00000000-0005-0000-0000-000091010000}"/>
    <cellStyle name="20% - Accent1 2 2 3 8 2" xfId="14569" xr:uid="{00000000-0005-0000-0000-000092010000}"/>
    <cellStyle name="20% - Accent1 2 2 3 8 2 2" xfId="28118" xr:uid="{00000000-0005-0000-0000-000093010000}"/>
    <cellStyle name="20% - Accent1 2 2 3 8 3" xfId="17465" xr:uid="{00000000-0005-0000-0000-000094010000}"/>
    <cellStyle name="20% - Accent1 2 2 3 9" xfId="142" xr:uid="{00000000-0005-0000-0000-000095010000}"/>
    <cellStyle name="20% - Accent1 2 2 3 9 2" xfId="16226" xr:uid="{00000000-0005-0000-0000-000096010000}"/>
    <cellStyle name="20% - Accent1 2 2 3 9 2 2" xfId="29633" xr:uid="{00000000-0005-0000-0000-000097010000}"/>
    <cellStyle name="20% - Accent1 2 2 3 9 3" xfId="17466" xr:uid="{00000000-0005-0000-0000-000098010000}"/>
    <cellStyle name="20% - Accent1 2 2 4" xfId="143" xr:uid="{00000000-0005-0000-0000-000099010000}"/>
    <cellStyle name="20% - Accent1 2 2 4 2" xfId="144" xr:uid="{00000000-0005-0000-0000-00009A010000}"/>
    <cellStyle name="20% - Accent1 2 2 4 2 2" xfId="10553" xr:uid="{00000000-0005-0000-0000-00009B010000}"/>
    <cellStyle name="20% - Accent1 2 2 4 2 2 2" xfId="24495" xr:uid="{00000000-0005-0000-0000-00009C010000}"/>
    <cellStyle name="20% - Accent1 2 2 4 2 3" xfId="17468" xr:uid="{00000000-0005-0000-0000-00009D010000}"/>
    <cellStyle name="20% - Accent1 2 2 4 3" xfId="145" xr:uid="{00000000-0005-0000-0000-00009E010000}"/>
    <cellStyle name="20% - Accent1 2 2 4 3 2" xfId="12104" xr:uid="{00000000-0005-0000-0000-00009F010000}"/>
    <cellStyle name="20% - Accent1 2 2 4 3 2 2" xfId="25816" xr:uid="{00000000-0005-0000-0000-0000A0010000}"/>
    <cellStyle name="20% - Accent1 2 2 4 3 3" xfId="17469" xr:uid="{00000000-0005-0000-0000-0000A1010000}"/>
    <cellStyle name="20% - Accent1 2 2 4 4" xfId="146" xr:uid="{00000000-0005-0000-0000-0000A2010000}"/>
    <cellStyle name="20% - Accent1 2 2 4 4 2" xfId="14566" xr:uid="{00000000-0005-0000-0000-0000A3010000}"/>
    <cellStyle name="20% - Accent1 2 2 4 4 2 2" xfId="28115" xr:uid="{00000000-0005-0000-0000-0000A4010000}"/>
    <cellStyle name="20% - Accent1 2 2 4 4 3" xfId="17470" xr:uid="{00000000-0005-0000-0000-0000A5010000}"/>
    <cellStyle name="20% - Accent1 2 2 4 5" xfId="147" xr:uid="{00000000-0005-0000-0000-0000A6010000}"/>
    <cellStyle name="20% - Accent1 2 2 4 5 2" xfId="17154" xr:uid="{00000000-0005-0000-0000-0000A7010000}"/>
    <cellStyle name="20% - Accent1 2 2 4 5 2 2" xfId="30513" xr:uid="{00000000-0005-0000-0000-0000A8010000}"/>
    <cellStyle name="20% - Accent1 2 2 4 5 3" xfId="17471" xr:uid="{00000000-0005-0000-0000-0000A9010000}"/>
    <cellStyle name="20% - Accent1 2 2 4 6" xfId="8828" xr:uid="{00000000-0005-0000-0000-0000AA010000}"/>
    <cellStyle name="20% - Accent1 2 2 4 6 2" xfId="23303" xr:uid="{00000000-0005-0000-0000-0000AB010000}"/>
    <cellStyle name="20% - Accent1 2 2 4 7" xfId="17467" xr:uid="{00000000-0005-0000-0000-0000AC010000}"/>
    <cellStyle name="20% - Accent1 2 2 5" xfId="148" xr:uid="{00000000-0005-0000-0000-0000AD010000}"/>
    <cellStyle name="20% - Accent1 2 2 5 2" xfId="149" xr:uid="{00000000-0005-0000-0000-0000AE010000}"/>
    <cellStyle name="20% - Accent1 2 2 5 2 2" xfId="14565" xr:uid="{00000000-0005-0000-0000-0000AF010000}"/>
    <cellStyle name="20% - Accent1 2 2 5 2 2 2" xfId="28114" xr:uid="{00000000-0005-0000-0000-0000B0010000}"/>
    <cellStyle name="20% - Accent1 2 2 5 2 3" xfId="17473" xr:uid="{00000000-0005-0000-0000-0000B1010000}"/>
    <cellStyle name="20% - Accent1 2 2 5 3" xfId="150" xr:uid="{00000000-0005-0000-0000-0000B2010000}"/>
    <cellStyle name="20% - Accent1 2 2 5 3 2" xfId="17243" xr:uid="{00000000-0005-0000-0000-0000B3010000}"/>
    <cellStyle name="20% - Accent1 2 2 5 3 2 2" xfId="30602" xr:uid="{00000000-0005-0000-0000-0000B4010000}"/>
    <cellStyle name="20% - Accent1 2 2 5 3 3" xfId="17474" xr:uid="{00000000-0005-0000-0000-0000B5010000}"/>
    <cellStyle name="20% - Accent1 2 2 5 4" xfId="10546" xr:uid="{00000000-0005-0000-0000-0000B6010000}"/>
    <cellStyle name="20% - Accent1 2 2 5 4 2" xfId="24488" xr:uid="{00000000-0005-0000-0000-0000B7010000}"/>
    <cellStyle name="20% - Accent1 2 2 5 5" xfId="17472" xr:uid="{00000000-0005-0000-0000-0000B8010000}"/>
    <cellStyle name="20% - Accent1 2 2 6" xfId="151" xr:uid="{00000000-0005-0000-0000-0000B9010000}"/>
    <cellStyle name="20% - Accent1 2 2 6 2" xfId="152" xr:uid="{00000000-0005-0000-0000-0000BA010000}"/>
    <cellStyle name="20% - Accent1 2 2 6 2 2" xfId="16518" xr:uid="{00000000-0005-0000-0000-0000BB010000}"/>
    <cellStyle name="20% - Accent1 2 2 6 2 2 2" xfId="29925" xr:uid="{00000000-0005-0000-0000-0000BC010000}"/>
    <cellStyle name="20% - Accent1 2 2 6 2 3" xfId="17476" xr:uid="{00000000-0005-0000-0000-0000BD010000}"/>
    <cellStyle name="20% - Accent1 2 2 6 3" xfId="11893" xr:uid="{00000000-0005-0000-0000-0000BE010000}"/>
    <cellStyle name="20% - Accent1 2 2 6 3 2" xfId="25608" xr:uid="{00000000-0005-0000-0000-0000BF010000}"/>
    <cellStyle name="20% - Accent1 2 2 6 4" xfId="17475" xr:uid="{00000000-0005-0000-0000-0000C0010000}"/>
    <cellStyle name="20% - Accent1 2 2 7" xfId="153" xr:uid="{00000000-0005-0000-0000-0000C1010000}"/>
    <cellStyle name="20% - Accent1 2 2 7 2" xfId="12405" xr:uid="{00000000-0005-0000-0000-0000C2010000}"/>
    <cellStyle name="20% - Accent1 2 2 7 2 2" xfId="26117" xr:uid="{00000000-0005-0000-0000-0000C3010000}"/>
    <cellStyle name="20% - Accent1 2 2 7 3" xfId="17477" xr:uid="{00000000-0005-0000-0000-0000C4010000}"/>
    <cellStyle name="20% - Accent1 2 2 8" xfId="154" xr:uid="{00000000-0005-0000-0000-0000C5010000}"/>
    <cellStyle name="20% - Accent1 2 2 8 2" xfId="13470" xr:uid="{00000000-0005-0000-0000-0000C6010000}"/>
    <cellStyle name="20% - Accent1 2 2 8 2 2" xfId="27019" xr:uid="{00000000-0005-0000-0000-0000C7010000}"/>
    <cellStyle name="20% - Accent1 2 2 8 3" xfId="17478" xr:uid="{00000000-0005-0000-0000-0000C8010000}"/>
    <cellStyle name="20% - Accent1 2 2 9" xfId="155" xr:uid="{00000000-0005-0000-0000-0000C9010000}"/>
    <cellStyle name="20% - Accent1 2 2 9 2" xfId="14051" xr:uid="{00000000-0005-0000-0000-0000CA010000}"/>
    <cellStyle name="20% - Accent1 2 2 9 2 2" xfId="27600" xr:uid="{00000000-0005-0000-0000-0000CB010000}"/>
    <cellStyle name="20% - Accent1 2 2 9 3" xfId="17479" xr:uid="{00000000-0005-0000-0000-0000CC010000}"/>
    <cellStyle name="20% - Accent1 2 3" xfId="156" xr:uid="{00000000-0005-0000-0000-0000CD010000}"/>
    <cellStyle name="20% - Accent1 2 3 10" xfId="157" xr:uid="{00000000-0005-0000-0000-0000CE010000}"/>
    <cellStyle name="20% - Accent1 2 3 10 2" xfId="16034" xr:uid="{00000000-0005-0000-0000-0000CF010000}"/>
    <cellStyle name="20% - Accent1 2 3 10 2 2" xfId="29441" xr:uid="{00000000-0005-0000-0000-0000D0010000}"/>
    <cellStyle name="20% - Accent1 2 3 10 3" xfId="17481" xr:uid="{00000000-0005-0000-0000-0000D1010000}"/>
    <cellStyle name="20% - Accent1 2 3 11" xfId="8829" xr:uid="{00000000-0005-0000-0000-0000D2010000}"/>
    <cellStyle name="20% - Accent1 2 3 11 2" xfId="23304" xr:uid="{00000000-0005-0000-0000-0000D3010000}"/>
    <cellStyle name="20% - Accent1 2 3 12" xfId="17480" xr:uid="{00000000-0005-0000-0000-0000D4010000}"/>
    <cellStyle name="20% - Accent1 2 3 2" xfId="158" xr:uid="{00000000-0005-0000-0000-0000D5010000}"/>
    <cellStyle name="20% - Accent1 2 3 2 10" xfId="8830" xr:uid="{00000000-0005-0000-0000-0000D6010000}"/>
    <cellStyle name="20% - Accent1 2 3 2 10 2" xfId="23305" xr:uid="{00000000-0005-0000-0000-0000D7010000}"/>
    <cellStyle name="20% - Accent1 2 3 2 11" xfId="17482" xr:uid="{00000000-0005-0000-0000-0000D8010000}"/>
    <cellStyle name="20% - Accent1 2 3 2 2" xfId="159" xr:uid="{00000000-0005-0000-0000-0000D9010000}"/>
    <cellStyle name="20% - Accent1 2 3 2 2 2" xfId="160" xr:uid="{00000000-0005-0000-0000-0000DA010000}"/>
    <cellStyle name="20% - Accent1 2 3 2 2 2 2" xfId="10556" xr:uid="{00000000-0005-0000-0000-0000DB010000}"/>
    <cellStyle name="20% - Accent1 2 3 2 2 2 2 2" xfId="24498" xr:uid="{00000000-0005-0000-0000-0000DC010000}"/>
    <cellStyle name="20% - Accent1 2 3 2 2 2 3" xfId="17484" xr:uid="{00000000-0005-0000-0000-0000DD010000}"/>
    <cellStyle name="20% - Accent1 2 3 2 2 3" xfId="161" xr:uid="{00000000-0005-0000-0000-0000DE010000}"/>
    <cellStyle name="20% - Accent1 2 3 2 2 3 2" xfId="12420" xr:uid="{00000000-0005-0000-0000-0000DF010000}"/>
    <cellStyle name="20% - Accent1 2 3 2 2 3 2 2" xfId="26132" xr:uid="{00000000-0005-0000-0000-0000E0010000}"/>
    <cellStyle name="20% - Accent1 2 3 2 2 3 3" xfId="17485" xr:uid="{00000000-0005-0000-0000-0000E1010000}"/>
    <cellStyle name="20% - Accent1 2 3 2 2 4" xfId="162" xr:uid="{00000000-0005-0000-0000-0000E2010000}"/>
    <cellStyle name="20% - Accent1 2 3 2 2 4 2" xfId="14606" xr:uid="{00000000-0005-0000-0000-0000E3010000}"/>
    <cellStyle name="20% - Accent1 2 3 2 2 4 2 2" xfId="28155" xr:uid="{00000000-0005-0000-0000-0000E4010000}"/>
    <cellStyle name="20% - Accent1 2 3 2 2 4 3" xfId="17486" xr:uid="{00000000-0005-0000-0000-0000E5010000}"/>
    <cellStyle name="20% - Accent1 2 3 2 2 5" xfId="163" xr:uid="{00000000-0005-0000-0000-0000E6010000}"/>
    <cellStyle name="20% - Accent1 2 3 2 2 5 2" xfId="16904" xr:uid="{00000000-0005-0000-0000-0000E7010000}"/>
    <cellStyle name="20% - Accent1 2 3 2 2 5 2 2" xfId="30311" xr:uid="{00000000-0005-0000-0000-0000E8010000}"/>
    <cellStyle name="20% - Accent1 2 3 2 2 5 3" xfId="17487" xr:uid="{00000000-0005-0000-0000-0000E9010000}"/>
    <cellStyle name="20% - Accent1 2 3 2 2 6" xfId="8831" xr:uid="{00000000-0005-0000-0000-0000EA010000}"/>
    <cellStyle name="20% - Accent1 2 3 2 2 6 2" xfId="23306" xr:uid="{00000000-0005-0000-0000-0000EB010000}"/>
    <cellStyle name="20% - Accent1 2 3 2 2 7" xfId="17483" xr:uid="{00000000-0005-0000-0000-0000EC010000}"/>
    <cellStyle name="20% - Accent1 2 3 2 3" xfId="164" xr:uid="{00000000-0005-0000-0000-0000ED010000}"/>
    <cellStyle name="20% - Accent1 2 3 2 3 2" xfId="165" xr:uid="{00000000-0005-0000-0000-0000EE010000}"/>
    <cellStyle name="20% - Accent1 2 3 2 3 2 2" xfId="14564" xr:uid="{00000000-0005-0000-0000-0000EF010000}"/>
    <cellStyle name="20% - Accent1 2 3 2 3 2 2 2" xfId="28113" xr:uid="{00000000-0005-0000-0000-0000F0010000}"/>
    <cellStyle name="20% - Accent1 2 3 2 3 2 3" xfId="17489" xr:uid="{00000000-0005-0000-0000-0000F1010000}"/>
    <cellStyle name="20% - Accent1 2 3 2 3 3" xfId="10555" xr:uid="{00000000-0005-0000-0000-0000F2010000}"/>
    <cellStyle name="20% - Accent1 2 3 2 3 3 2" xfId="24497" xr:uid="{00000000-0005-0000-0000-0000F3010000}"/>
    <cellStyle name="20% - Accent1 2 3 2 3 4" xfId="17488" xr:uid="{00000000-0005-0000-0000-0000F4010000}"/>
    <cellStyle name="20% - Accent1 2 3 2 4" xfId="166" xr:uid="{00000000-0005-0000-0000-0000F5010000}"/>
    <cellStyle name="20% - Accent1 2 3 2 4 2" xfId="12292" xr:uid="{00000000-0005-0000-0000-0000F6010000}"/>
    <cellStyle name="20% - Accent1 2 3 2 4 2 2" xfId="26004" xr:uid="{00000000-0005-0000-0000-0000F7010000}"/>
    <cellStyle name="20% - Accent1 2 3 2 4 3" xfId="17490" xr:uid="{00000000-0005-0000-0000-0000F8010000}"/>
    <cellStyle name="20% - Accent1 2 3 2 5" xfId="167" xr:uid="{00000000-0005-0000-0000-0000F9010000}"/>
    <cellStyle name="20% - Accent1 2 3 2 5 2" xfId="12531" xr:uid="{00000000-0005-0000-0000-0000FA010000}"/>
    <cellStyle name="20% - Accent1 2 3 2 5 2 2" xfId="26243" xr:uid="{00000000-0005-0000-0000-0000FB010000}"/>
    <cellStyle name="20% - Accent1 2 3 2 5 3" xfId="17491" xr:uid="{00000000-0005-0000-0000-0000FC010000}"/>
    <cellStyle name="20% - Accent1 2 3 2 6" xfId="168" xr:uid="{00000000-0005-0000-0000-0000FD010000}"/>
    <cellStyle name="20% - Accent1 2 3 2 6 2" xfId="13856" xr:uid="{00000000-0005-0000-0000-0000FE010000}"/>
    <cellStyle name="20% - Accent1 2 3 2 6 2 2" xfId="27405" xr:uid="{00000000-0005-0000-0000-0000FF010000}"/>
    <cellStyle name="20% - Accent1 2 3 2 6 3" xfId="17492" xr:uid="{00000000-0005-0000-0000-000000020000}"/>
    <cellStyle name="20% - Accent1 2 3 2 7" xfId="169" xr:uid="{00000000-0005-0000-0000-000001020000}"/>
    <cellStyle name="20% - Accent1 2 3 2 7 2" xfId="14437" xr:uid="{00000000-0005-0000-0000-000002020000}"/>
    <cellStyle name="20% - Accent1 2 3 2 7 2 2" xfId="27986" xr:uid="{00000000-0005-0000-0000-000003020000}"/>
    <cellStyle name="20% - Accent1 2 3 2 7 3" xfId="17493" xr:uid="{00000000-0005-0000-0000-000004020000}"/>
    <cellStyle name="20% - Accent1 2 3 2 8" xfId="170" xr:uid="{00000000-0005-0000-0000-000005020000}"/>
    <cellStyle name="20% - Accent1 2 3 2 8 2" xfId="14604" xr:uid="{00000000-0005-0000-0000-000006020000}"/>
    <cellStyle name="20% - Accent1 2 3 2 8 2 2" xfId="28153" xr:uid="{00000000-0005-0000-0000-000007020000}"/>
    <cellStyle name="20% - Accent1 2 3 2 8 3" xfId="17494" xr:uid="{00000000-0005-0000-0000-000008020000}"/>
    <cellStyle name="20% - Accent1 2 3 2 9" xfId="171" xr:uid="{00000000-0005-0000-0000-000009020000}"/>
    <cellStyle name="20% - Accent1 2 3 2 9 2" xfId="16323" xr:uid="{00000000-0005-0000-0000-00000A020000}"/>
    <cellStyle name="20% - Accent1 2 3 2 9 2 2" xfId="29730" xr:uid="{00000000-0005-0000-0000-00000B020000}"/>
    <cellStyle name="20% - Accent1 2 3 2 9 3" xfId="17495" xr:uid="{00000000-0005-0000-0000-00000C020000}"/>
    <cellStyle name="20% - Accent1 2 3 3" xfId="172" xr:uid="{00000000-0005-0000-0000-00000D020000}"/>
    <cellStyle name="20% - Accent1 2 3 3 2" xfId="173" xr:uid="{00000000-0005-0000-0000-00000E020000}"/>
    <cellStyle name="20% - Accent1 2 3 3 2 2" xfId="10557" xr:uid="{00000000-0005-0000-0000-00000F020000}"/>
    <cellStyle name="20% - Accent1 2 3 3 2 2 2" xfId="24499" xr:uid="{00000000-0005-0000-0000-000010020000}"/>
    <cellStyle name="20% - Accent1 2 3 3 2 3" xfId="17497" xr:uid="{00000000-0005-0000-0000-000011020000}"/>
    <cellStyle name="20% - Accent1 2 3 3 3" xfId="174" xr:uid="{00000000-0005-0000-0000-000012020000}"/>
    <cellStyle name="20% - Accent1 2 3 3 3 2" xfId="11841" xr:uid="{00000000-0005-0000-0000-000013020000}"/>
    <cellStyle name="20% - Accent1 2 3 3 3 2 2" xfId="25556" xr:uid="{00000000-0005-0000-0000-000014020000}"/>
    <cellStyle name="20% - Accent1 2 3 3 3 3" xfId="17498" xr:uid="{00000000-0005-0000-0000-000015020000}"/>
    <cellStyle name="20% - Accent1 2 3 3 4" xfId="175" xr:uid="{00000000-0005-0000-0000-000016020000}"/>
    <cellStyle name="20% - Accent1 2 3 3 4 2" xfId="14563" xr:uid="{00000000-0005-0000-0000-000017020000}"/>
    <cellStyle name="20% - Accent1 2 3 3 4 2 2" xfId="28112" xr:uid="{00000000-0005-0000-0000-000018020000}"/>
    <cellStyle name="20% - Accent1 2 3 3 4 3" xfId="17499" xr:uid="{00000000-0005-0000-0000-000019020000}"/>
    <cellStyle name="20% - Accent1 2 3 3 5" xfId="176" xr:uid="{00000000-0005-0000-0000-00001A020000}"/>
    <cellStyle name="20% - Accent1 2 3 3 5 2" xfId="16615" xr:uid="{00000000-0005-0000-0000-00001B020000}"/>
    <cellStyle name="20% - Accent1 2 3 3 5 2 2" xfId="30022" xr:uid="{00000000-0005-0000-0000-00001C020000}"/>
    <cellStyle name="20% - Accent1 2 3 3 5 3" xfId="17500" xr:uid="{00000000-0005-0000-0000-00001D020000}"/>
    <cellStyle name="20% - Accent1 2 3 3 6" xfId="8832" xr:uid="{00000000-0005-0000-0000-00001E020000}"/>
    <cellStyle name="20% - Accent1 2 3 3 6 2" xfId="23307" xr:uid="{00000000-0005-0000-0000-00001F020000}"/>
    <cellStyle name="20% - Accent1 2 3 3 7" xfId="17496" xr:uid="{00000000-0005-0000-0000-000020020000}"/>
    <cellStyle name="20% - Accent1 2 3 4" xfId="177" xr:uid="{00000000-0005-0000-0000-000021020000}"/>
    <cellStyle name="20% - Accent1 2 3 4 2" xfId="178" xr:uid="{00000000-0005-0000-0000-000022020000}"/>
    <cellStyle name="20% - Accent1 2 3 4 2 2" xfId="14562" xr:uid="{00000000-0005-0000-0000-000023020000}"/>
    <cellStyle name="20% - Accent1 2 3 4 2 2 2" xfId="28111" xr:uid="{00000000-0005-0000-0000-000024020000}"/>
    <cellStyle name="20% - Accent1 2 3 4 2 3" xfId="17502" xr:uid="{00000000-0005-0000-0000-000025020000}"/>
    <cellStyle name="20% - Accent1 2 3 4 3" xfId="10554" xr:uid="{00000000-0005-0000-0000-000026020000}"/>
    <cellStyle name="20% - Accent1 2 3 4 3 2" xfId="24496" xr:uid="{00000000-0005-0000-0000-000027020000}"/>
    <cellStyle name="20% - Accent1 2 3 4 4" xfId="17501" xr:uid="{00000000-0005-0000-0000-000028020000}"/>
    <cellStyle name="20% - Accent1 2 3 5" xfId="179" xr:uid="{00000000-0005-0000-0000-000029020000}"/>
    <cellStyle name="20% - Accent1 2 3 5 2" xfId="11992" xr:uid="{00000000-0005-0000-0000-00002A020000}"/>
    <cellStyle name="20% - Accent1 2 3 5 2 2" xfId="25707" xr:uid="{00000000-0005-0000-0000-00002B020000}"/>
    <cellStyle name="20% - Accent1 2 3 5 3" xfId="17503" xr:uid="{00000000-0005-0000-0000-00002C020000}"/>
    <cellStyle name="20% - Accent1 2 3 6" xfId="180" xr:uid="{00000000-0005-0000-0000-00002D020000}"/>
    <cellStyle name="20% - Accent1 2 3 6 2" xfId="12683" xr:uid="{00000000-0005-0000-0000-00002E020000}"/>
    <cellStyle name="20% - Accent1 2 3 6 2 2" xfId="26395" xr:uid="{00000000-0005-0000-0000-00002F020000}"/>
    <cellStyle name="20% - Accent1 2 3 6 3" xfId="17504" xr:uid="{00000000-0005-0000-0000-000030020000}"/>
    <cellStyle name="20% - Accent1 2 3 7" xfId="181" xr:uid="{00000000-0005-0000-0000-000031020000}"/>
    <cellStyle name="20% - Accent1 2 3 7 2" xfId="13567" xr:uid="{00000000-0005-0000-0000-000032020000}"/>
    <cellStyle name="20% - Accent1 2 3 7 2 2" xfId="27116" xr:uid="{00000000-0005-0000-0000-000033020000}"/>
    <cellStyle name="20% - Accent1 2 3 7 3" xfId="17505" xr:uid="{00000000-0005-0000-0000-000034020000}"/>
    <cellStyle name="20% - Accent1 2 3 8" xfId="182" xr:uid="{00000000-0005-0000-0000-000035020000}"/>
    <cellStyle name="20% - Accent1 2 3 8 2" xfId="14148" xr:uid="{00000000-0005-0000-0000-000036020000}"/>
    <cellStyle name="20% - Accent1 2 3 8 2 2" xfId="27697" xr:uid="{00000000-0005-0000-0000-000037020000}"/>
    <cellStyle name="20% - Accent1 2 3 8 3" xfId="17506" xr:uid="{00000000-0005-0000-0000-000038020000}"/>
    <cellStyle name="20% - Accent1 2 3 9" xfId="183" xr:uid="{00000000-0005-0000-0000-000039020000}"/>
    <cellStyle name="20% - Accent1 2 3 9 2" xfId="14605" xr:uid="{00000000-0005-0000-0000-00003A020000}"/>
    <cellStyle name="20% - Accent1 2 3 9 2 2" xfId="28154" xr:uid="{00000000-0005-0000-0000-00003B020000}"/>
    <cellStyle name="20% - Accent1 2 3 9 3" xfId="17507" xr:uid="{00000000-0005-0000-0000-00003C020000}"/>
    <cellStyle name="20% - Accent1 2 4" xfId="184" xr:uid="{00000000-0005-0000-0000-00003D020000}"/>
    <cellStyle name="20% - Accent1 2 4 10" xfId="8833" xr:uid="{00000000-0005-0000-0000-00003E020000}"/>
    <cellStyle name="20% - Accent1 2 4 10 2" xfId="23308" xr:uid="{00000000-0005-0000-0000-00003F020000}"/>
    <cellStyle name="20% - Accent1 2 4 11" xfId="17508" xr:uid="{00000000-0005-0000-0000-000040020000}"/>
    <cellStyle name="20% - Accent1 2 4 2" xfId="185" xr:uid="{00000000-0005-0000-0000-000041020000}"/>
    <cellStyle name="20% - Accent1 2 4 2 2" xfId="186" xr:uid="{00000000-0005-0000-0000-000042020000}"/>
    <cellStyle name="20% - Accent1 2 4 2 2 2" xfId="10559" xr:uid="{00000000-0005-0000-0000-000043020000}"/>
    <cellStyle name="20% - Accent1 2 4 2 2 2 2" xfId="24501" xr:uid="{00000000-0005-0000-0000-000044020000}"/>
    <cellStyle name="20% - Accent1 2 4 2 2 3" xfId="17510" xr:uid="{00000000-0005-0000-0000-000045020000}"/>
    <cellStyle name="20% - Accent1 2 4 2 3" xfId="187" xr:uid="{00000000-0005-0000-0000-000046020000}"/>
    <cellStyle name="20% - Accent1 2 4 2 3 2" xfId="11746" xr:uid="{00000000-0005-0000-0000-000047020000}"/>
    <cellStyle name="20% - Accent1 2 4 2 3 2 2" xfId="25461" xr:uid="{00000000-0005-0000-0000-000048020000}"/>
    <cellStyle name="20% - Accent1 2 4 2 3 3" xfId="17511" xr:uid="{00000000-0005-0000-0000-000049020000}"/>
    <cellStyle name="20% - Accent1 2 4 2 4" xfId="188" xr:uid="{00000000-0005-0000-0000-00004A020000}"/>
    <cellStyle name="20% - Accent1 2 4 2 4 2" xfId="14560" xr:uid="{00000000-0005-0000-0000-00004B020000}"/>
    <cellStyle name="20% - Accent1 2 4 2 4 2 2" xfId="28109" xr:uid="{00000000-0005-0000-0000-00004C020000}"/>
    <cellStyle name="20% - Accent1 2 4 2 4 3" xfId="17512" xr:uid="{00000000-0005-0000-0000-00004D020000}"/>
    <cellStyle name="20% - Accent1 2 4 2 5" xfId="189" xr:uid="{00000000-0005-0000-0000-00004E020000}"/>
    <cellStyle name="20% - Accent1 2 4 2 5 2" xfId="16761" xr:uid="{00000000-0005-0000-0000-00004F020000}"/>
    <cellStyle name="20% - Accent1 2 4 2 5 2 2" xfId="30168" xr:uid="{00000000-0005-0000-0000-000050020000}"/>
    <cellStyle name="20% - Accent1 2 4 2 5 3" xfId="17513" xr:uid="{00000000-0005-0000-0000-000051020000}"/>
    <cellStyle name="20% - Accent1 2 4 2 6" xfId="8834" xr:uid="{00000000-0005-0000-0000-000052020000}"/>
    <cellStyle name="20% - Accent1 2 4 2 6 2" xfId="23309" xr:uid="{00000000-0005-0000-0000-000053020000}"/>
    <cellStyle name="20% - Accent1 2 4 2 7" xfId="17509" xr:uid="{00000000-0005-0000-0000-000054020000}"/>
    <cellStyle name="20% - Accent1 2 4 3" xfId="190" xr:uid="{00000000-0005-0000-0000-000055020000}"/>
    <cellStyle name="20% - Accent1 2 4 3 2" xfId="191" xr:uid="{00000000-0005-0000-0000-000056020000}"/>
    <cellStyle name="20% - Accent1 2 4 3 2 2" xfId="14559" xr:uid="{00000000-0005-0000-0000-000057020000}"/>
    <cellStyle name="20% - Accent1 2 4 3 2 2 2" xfId="28108" xr:uid="{00000000-0005-0000-0000-000058020000}"/>
    <cellStyle name="20% - Accent1 2 4 3 2 3" xfId="17515" xr:uid="{00000000-0005-0000-0000-000059020000}"/>
    <cellStyle name="20% - Accent1 2 4 3 3" xfId="10558" xr:uid="{00000000-0005-0000-0000-00005A020000}"/>
    <cellStyle name="20% - Accent1 2 4 3 3 2" xfId="24500" xr:uid="{00000000-0005-0000-0000-00005B020000}"/>
    <cellStyle name="20% - Accent1 2 4 3 4" xfId="17514" xr:uid="{00000000-0005-0000-0000-00005C020000}"/>
    <cellStyle name="20% - Accent1 2 4 4" xfId="192" xr:uid="{00000000-0005-0000-0000-00005D020000}"/>
    <cellStyle name="20% - Accent1 2 4 4 2" xfId="12149" xr:uid="{00000000-0005-0000-0000-00005E020000}"/>
    <cellStyle name="20% - Accent1 2 4 4 2 2" xfId="25861" xr:uid="{00000000-0005-0000-0000-00005F020000}"/>
    <cellStyle name="20% - Accent1 2 4 4 3" xfId="17516" xr:uid="{00000000-0005-0000-0000-000060020000}"/>
    <cellStyle name="20% - Accent1 2 4 5" xfId="193" xr:uid="{00000000-0005-0000-0000-000061020000}"/>
    <cellStyle name="20% - Accent1 2 4 5 2" xfId="12498" xr:uid="{00000000-0005-0000-0000-000062020000}"/>
    <cellStyle name="20% - Accent1 2 4 5 2 2" xfId="26210" xr:uid="{00000000-0005-0000-0000-000063020000}"/>
    <cellStyle name="20% - Accent1 2 4 5 3" xfId="17517" xr:uid="{00000000-0005-0000-0000-000064020000}"/>
    <cellStyle name="20% - Accent1 2 4 6" xfId="194" xr:uid="{00000000-0005-0000-0000-000065020000}"/>
    <cellStyle name="20% - Accent1 2 4 6 2" xfId="13713" xr:uid="{00000000-0005-0000-0000-000066020000}"/>
    <cellStyle name="20% - Accent1 2 4 6 2 2" xfId="27262" xr:uid="{00000000-0005-0000-0000-000067020000}"/>
    <cellStyle name="20% - Accent1 2 4 6 3" xfId="17518" xr:uid="{00000000-0005-0000-0000-000068020000}"/>
    <cellStyle name="20% - Accent1 2 4 7" xfId="195" xr:uid="{00000000-0005-0000-0000-000069020000}"/>
    <cellStyle name="20% - Accent1 2 4 7 2" xfId="14294" xr:uid="{00000000-0005-0000-0000-00006A020000}"/>
    <cellStyle name="20% - Accent1 2 4 7 2 2" xfId="27843" xr:uid="{00000000-0005-0000-0000-00006B020000}"/>
    <cellStyle name="20% - Accent1 2 4 7 3" xfId="17519" xr:uid="{00000000-0005-0000-0000-00006C020000}"/>
    <cellStyle name="20% - Accent1 2 4 8" xfId="196" xr:uid="{00000000-0005-0000-0000-00006D020000}"/>
    <cellStyle name="20% - Accent1 2 4 8 2" xfId="14561" xr:uid="{00000000-0005-0000-0000-00006E020000}"/>
    <cellStyle name="20% - Accent1 2 4 8 2 2" xfId="28110" xr:uid="{00000000-0005-0000-0000-00006F020000}"/>
    <cellStyle name="20% - Accent1 2 4 8 3" xfId="17520" xr:uid="{00000000-0005-0000-0000-000070020000}"/>
    <cellStyle name="20% - Accent1 2 4 9" xfId="197" xr:uid="{00000000-0005-0000-0000-000071020000}"/>
    <cellStyle name="20% - Accent1 2 4 9 2" xfId="16180" xr:uid="{00000000-0005-0000-0000-000072020000}"/>
    <cellStyle name="20% - Accent1 2 4 9 2 2" xfId="29587" xr:uid="{00000000-0005-0000-0000-000073020000}"/>
    <cellStyle name="20% - Accent1 2 4 9 3" xfId="17521" xr:uid="{00000000-0005-0000-0000-000074020000}"/>
    <cellStyle name="20% - Accent1 2 5" xfId="198" xr:uid="{00000000-0005-0000-0000-000075020000}"/>
    <cellStyle name="20% - Accent1 2 5 2" xfId="199" xr:uid="{00000000-0005-0000-0000-000076020000}"/>
    <cellStyle name="20% - Accent1 2 5 2 2" xfId="200" xr:uid="{00000000-0005-0000-0000-000077020000}"/>
    <cellStyle name="20% - Accent1 2 5 2 2 2" xfId="10561" xr:uid="{00000000-0005-0000-0000-000078020000}"/>
    <cellStyle name="20% - Accent1 2 5 2 2 2 2" xfId="24503" xr:uid="{00000000-0005-0000-0000-000079020000}"/>
    <cellStyle name="20% - Accent1 2 5 2 2 3" xfId="17524" xr:uid="{00000000-0005-0000-0000-00007A020000}"/>
    <cellStyle name="20% - Accent1 2 5 2 3" xfId="201" xr:uid="{00000000-0005-0000-0000-00007B020000}"/>
    <cellStyle name="20% - Accent1 2 5 2 3 2" xfId="12670" xr:uid="{00000000-0005-0000-0000-00007C020000}"/>
    <cellStyle name="20% - Accent1 2 5 2 3 2 2" xfId="26382" xr:uid="{00000000-0005-0000-0000-00007D020000}"/>
    <cellStyle name="20% - Accent1 2 5 2 3 3" xfId="17525" xr:uid="{00000000-0005-0000-0000-00007E020000}"/>
    <cellStyle name="20% - Accent1 2 5 2 4" xfId="202" xr:uid="{00000000-0005-0000-0000-00007F020000}"/>
    <cellStyle name="20% - Accent1 2 5 2 4 2" xfId="14557" xr:uid="{00000000-0005-0000-0000-000080020000}"/>
    <cellStyle name="20% - Accent1 2 5 2 4 2 2" xfId="28106" xr:uid="{00000000-0005-0000-0000-000081020000}"/>
    <cellStyle name="20% - Accent1 2 5 2 4 3" xfId="17526" xr:uid="{00000000-0005-0000-0000-000082020000}"/>
    <cellStyle name="20% - Accent1 2 5 2 5" xfId="8836" xr:uid="{00000000-0005-0000-0000-000083020000}"/>
    <cellStyle name="20% - Accent1 2 5 2 5 2" xfId="23311" xr:uid="{00000000-0005-0000-0000-000084020000}"/>
    <cellStyle name="20% - Accent1 2 5 2 6" xfId="17523" xr:uid="{00000000-0005-0000-0000-000085020000}"/>
    <cellStyle name="20% - Accent1 2 5 3" xfId="203" xr:uid="{00000000-0005-0000-0000-000086020000}"/>
    <cellStyle name="20% - Accent1 2 5 3 2" xfId="10560" xr:uid="{00000000-0005-0000-0000-000087020000}"/>
    <cellStyle name="20% - Accent1 2 5 3 2 2" xfId="24502" xr:uid="{00000000-0005-0000-0000-000088020000}"/>
    <cellStyle name="20% - Accent1 2 5 3 3" xfId="17527" xr:uid="{00000000-0005-0000-0000-000089020000}"/>
    <cellStyle name="20% - Accent1 2 5 4" xfId="204" xr:uid="{00000000-0005-0000-0000-00008A020000}"/>
    <cellStyle name="20% - Accent1 2 5 4 2" xfId="12580" xr:uid="{00000000-0005-0000-0000-00008B020000}"/>
    <cellStyle name="20% - Accent1 2 5 4 2 2" xfId="26292" xr:uid="{00000000-0005-0000-0000-00008C020000}"/>
    <cellStyle name="20% - Accent1 2 5 4 3" xfId="17528" xr:uid="{00000000-0005-0000-0000-00008D020000}"/>
    <cellStyle name="20% - Accent1 2 5 5" xfId="205" xr:uid="{00000000-0005-0000-0000-00008E020000}"/>
    <cellStyle name="20% - Accent1 2 5 5 2" xfId="14558" xr:uid="{00000000-0005-0000-0000-00008F020000}"/>
    <cellStyle name="20% - Accent1 2 5 5 2 2" xfId="28107" xr:uid="{00000000-0005-0000-0000-000090020000}"/>
    <cellStyle name="20% - Accent1 2 5 5 3" xfId="17529" xr:uid="{00000000-0005-0000-0000-000091020000}"/>
    <cellStyle name="20% - Accent1 2 5 6" xfId="206" xr:uid="{00000000-0005-0000-0000-000092020000}"/>
    <cellStyle name="20% - Accent1 2 5 6 2" xfId="16996" xr:uid="{00000000-0005-0000-0000-000093020000}"/>
    <cellStyle name="20% - Accent1 2 5 6 2 2" xfId="30403" xr:uid="{00000000-0005-0000-0000-000094020000}"/>
    <cellStyle name="20% - Accent1 2 5 6 3" xfId="17530" xr:uid="{00000000-0005-0000-0000-000095020000}"/>
    <cellStyle name="20% - Accent1 2 5 7" xfId="8835" xr:uid="{00000000-0005-0000-0000-000096020000}"/>
    <cellStyle name="20% - Accent1 2 5 7 2" xfId="23310" xr:uid="{00000000-0005-0000-0000-000097020000}"/>
    <cellStyle name="20% - Accent1 2 5 8" xfId="17522" xr:uid="{00000000-0005-0000-0000-000098020000}"/>
    <cellStyle name="20% - Accent1 2 6" xfId="207" xr:uid="{00000000-0005-0000-0000-000099020000}"/>
    <cellStyle name="20% - Accent1 2 6 2" xfId="208" xr:uid="{00000000-0005-0000-0000-00009A020000}"/>
    <cellStyle name="20% - Accent1 2 6 2 2" xfId="10562" xr:uid="{00000000-0005-0000-0000-00009B020000}"/>
    <cellStyle name="20% - Accent1 2 6 2 2 2" xfId="24504" xr:uid="{00000000-0005-0000-0000-00009C020000}"/>
    <cellStyle name="20% - Accent1 2 6 2 3" xfId="17532" xr:uid="{00000000-0005-0000-0000-00009D020000}"/>
    <cellStyle name="20% - Accent1 2 6 3" xfId="209" xr:uid="{00000000-0005-0000-0000-00009E020000}"/>
    <cellStyle name="20% - Accent1 2 6 3 2" xfId="11747" xr:uid="{00000000-0005-0000-0000-00009F020000}"/>
    <cellStyle name="20% - Accent1 2 6 3 2 2" xfId="25462" xr:uid="{00000000-0005-0000-0000-0000A0020000}"/>
    <cellStyle name="20% - Accent1 2 6 3 3" xfId="17533" xr:uid="{00000000-0005-0000-0000-0000A1020000}"/>
    <cellStyle name="20% - Accent1 2 6 4" xfId="210" xr:uid="{00000000-0005-0000-0000-0000A2020000}"/>
    <cellStyle name="20% - Accent1 2 6 4 2" xfId="14556" xr:uid="{00000000-0005-0000-0000-0000A3020000}"/>
    <cellStyle name="20% - Accent1 2 6 4 2 2" xfId="28105" xr:uid="{00000000-0005-0000-0000-0000A4020000}"/>
    <cellStyle name="20% - Accent1 2 6 4 3" xfId="17534" xr:uid="{00000000-0005-0000-0000-0000A5020000}"/>
    <cellStyle name="20% - Accent1 2 6 5" xfId="211" xr:uid="{00000000-0005-0000-0000-0000A6020000}"/>
    <cellStyle name="20% - Accent1 2 6 5 2" xfId="17108" xr:uid="{00000000-0005-0000-0000-0000A7020000}"/>
    <cellStyle name="20% - Accent1 2 6 5 2 2" xfId="30467" xr:uid="{00000000-0005-0000-0000-0000A8020000}"/>
    <cellStyle name="20% - Accent1 2 6 5 3" xfId="17535" xr:uid="{00000000-0005-0000-0000-0000A9020000}"/>
    <cellStyle name="20% - Accent1 2 6 6" xfId="8837" xr:uid="{00000000-0005-0000-0000-0000AA020000}"/>
    <cellStyle name="20% - Accent1 2 6 6 2" xfId="23312" xr:uid="{00000000-0005-0000-0000-0000AB020000}"/>
    <cellStyle name="20% - Accent1 2 6 7" xfId="17531" xr:uid="{00000000-0005-0000-0000-0000AC020000}"/>
    <cellStyle name="20% - Accent1 2 7" xfId="212" xr:uid="{00000000-0005-0000-0000-0000AD020000}"/>
    <cellStyle name="20% - Accent1 2 7 2" xfId="213" xr:uid="{00000000-0005-0000-0000-0000AE020000}"/>
    <cellStyle name="20% - Accent1 2 7 2 2" xfId="10563" xr:uid="{00000000-0005-0000-0000-0000AF020000}"/>
    <cellStyle name="20% - Accent1 2 7 2 2 2" xfId="24505" xr:uid="{00000000-0005-0000-0000-0000B0020000}"/>
    <cellStyle name="20% - Accent1 2 7 2 3" xfId="17537" xr:uid="{00000000-0005-0000-0000-0000B1020000}"/>
    <cellStyle name="20% - Accent1 2 7 3" xfId="214" xr:uid="{00000000-0005-0000-0000-0000B2020000}"/>
    <cellStyle name="20% - Accent1 2 7 3 2" xfId="12408" xr:uid="{00000000-0005-0000-0000-0000B3020000}"/>
    <cellStyle name="20% - Accent1 2 7 3 2 2" xfId="26120" xr:uid="{00000000-0005-0000-0000-0000B4020000}"/>
    <cellStyle name="20% - Accent1 2 7 3 3" xfId="17538" xr:uid="{00000000-0005-0000-0000-0000B5020000}"/>
    <cellStyle name="20% - Accent1 2 7 4" xfId="215" xr:uid="{00000000-0005-0000-0000-0000B6020000}"/>
    <cellStyle name="20% - Accent1 2 7 4 2" xfId="14555" xr:uid="{00000000-0005-0000-0000-0000B7020000}"/>
    <cellStyle name="20% - Accent1 2 7 4 2 2" xfId="28104" xr:uid="{00000000-0005-0000-0000-0000B8020000}"/>
    <cellStyle name="20% - Accent1 2 7 4 3" xfId="17539" xr:uid="{00000000-0005-0000-0000-0000B9020000}"/>
    <cellStyle name="20% - Accent1 2 7 5" xfId="216" xr:uid="{00000000-0005-0000-0000-0000BA020000}"/>
    <cellStyle name="20% - Accent1 2 7 5 2" xfId="17197" xr:uid="{00000000-0005-0000-0000-0000BB020000}"/>
    <cellStyle name="20% - Accent1 2 7 5 2 2" xfId="30556" xr:uid="{00000000-0005-0000-0000-0000BC020000}"/>
    <cellStyle name="20% - Accent1 2 7 5 3" xfId="17540" xr:uid="{00000000-0005-0000-0000-0000BD020000}"/>
    <cellStyle name="20% - Accent1 2 7 6" xfId="8838" xr:uid="{00000000-0005-0000-0000-0000BE020000}"/>
    <cellStyle name="20% - Accent1 2 7 6 2" xfId="23313" xr:uid="{00000000-0005-0000-0000-0000BF020000}"/>
    <cellStyle name="20% - Accent1 2 7 7" xfId="17536" xr:uid="{00000000-0005-0000-0000-0000C0020000}"/>
    <cellStyle name="20% - Accent1 2 8" xfId="217" xr:uid="{00000000-0005-0000-0000-0000C1020000}"/>
    <cellStyle name="20% - Accent1 2 8 2" xfId="218" xr:uid="{00000000-0005-0000-0000-0000C2020000}"/>
    <cellStyle name="20% - Accent1 2 8 2 2" xfId="12471" xr:uid="{00000000-0005-0000-0000-0000C3020000}"/>
    <cellStyle name="20% - Accent1 2 8 2 2 2" xfId="26183" xr:uid="{00000000-0005-0000-0000-0000C4020000}"/>
    <cellStyle name="20% - Accent1 2 8 2 3" xfId="17542" xr:uid="{00000000-0005-0000-0000-0000C5020000}"/>
    <cellStyle name="20% - Accent1 2 8 3" xfId="219" xr:uid="{00000000-0005-0000-0000-0000C6020000}"/>
    <cellStyle name="20% - Accent1 2 8 3 2" xfId="14554" xr:uid="{00000000-0005-0000-0000-0000C7020000}"/>
    <cellStyle name="20% - Accent1 2 8 3 2 2" xfId="28103" xr:uid="{00000000-0005-0000-0000-0000C8020000}"/>
    <cellStyle name="20% - Accent1 2 8 3 3" xfId="17543" xr:uid="{00000000-0005-0000-0000-0000C9020000}"/>
    <cellStyle name="20% - Accent1 2 8 4" xfId="220" xr:uid="{00000000-0005-0000-0000-0000CA020000}"/>
    <cellStyle name="20% - Accent1 2 8 4 2" xfId="16472" xr:uid="{00000000-0005-0000-0000-0000CB020000}"/>
    <cellStyle name="20% - Accent1 2 8 4 2 2" xfId="29879" xr:uid="{00000000-0005-0000-0000-0000CC020000}"/>
    <cellStyle name="20% - Accent1 2 8 4 3" xfId="17544" xr:uid="{00000000-0005-0000-0000-0000CD020000}"/>
    <cellStyle name="20% - Accent1 2 8 5" xfId="10517" xr:uid="{00000000-0005-0000-0000-0000CE020000}"/>
    <cellStyle name="20% - Accent1 2 8 5 2" xfId="24459" xr:uid="{00000000-0005-0000-0000-0000CF020000}"/>
    <cellStyle name="20% - Accent1 2 8 6" xfId="17541" xr:uid="{00000000-0005-0000-0000-0000D0020000}"/>
    <cellStyle name="20% - Accent1 2 9" xfId="221" xr:uid="{00000000-0005-0000-0000-0000D1020000}"/>
    <cellStyle name="20% - Accent1 2 9 2" xfId="222" xr:uid="{00000000-0005-0000-0000-0000D2020000}"/>
    <cellStyle name="20% - Accent1 2 9 2 2" xfId="12633" xr:uid="{00000000-0005-0000-0000-0000D3020000}"/>
    <cellStyle name="20% - Accent1 2 9 2 2 2" xfId="26345" xr:uid="{00000000-0005-0000-0000-0000D4020000}"/>
    <cellStyle name="20% - Accent1 2 9 2 3" xfId="17546" xr:uid="{00000000-0005-0000-0000-0000D5020000}"/>
    <cellStyle name="20% - Accent1 2 9 3" xfId="223" xr:uid="{00000000-0005-0000-0000-0000D6020000}"/>
    <cellStyle name="20% - Accent1 2 9 3 2" xfId="14553" xr:uid="{00000000-0005-0000-0000-0000D7020000}"/>
    <cellStyle name="20% - Accent1 2 9 3 2 2" xfId="28102" xr:uid="{00000000-0005-0000-0000-0000D8020000}"/>
    <cellStyle name="20% - Accent1 2 9 3 3" xfId="17547" xr:uid="{00000000-0005-0000-0000-0000D9020000}"/>
    <cellStyle name="20% - Accent1 2 9 4" xfId="10545" xr:uid="{00000000-0005-0000-0000-0000DA020000}"/>
    <cellStyle name="20% - Accent1 2 9 4 2" xfId="24487" xr:uid="{00000000-0005-0000-0000-0000DB020000}"/>
    <cellStyle name="20% - Accent1 2 9 5" xfId="17545" xr:uid="{00000000-0005-0000-0000-0000DC020000}"/>
    <cellStyle name="20% - Accent1 20" xfId="224" xr:uid="{00000000-0005-0000-0000-0000DD020000}"/>
    <cellStyle name="20% - Accent1 20 2" xfId="225" xr:uid="{00000000-0005-0000-0000-0000DE020000}"/>
    <cellStyle name="20% - Accent1 20 2 2" xfId="12466" xr:uid="{00000000-0005-0000-0000-0000DF020000}"/>
    <cellStyle name="20% - Accent1 20 2 2 2" xfId="26178" xr:uid="{00000000-0005-0000-0000-0000E0020000}"/>
    <cellStyle name="20% - Accent1 20 2 3" xfId="17549" xr:uid="{00000000-0005-0000-0000-0000E1020000}"/>
    <cellStyle name="20% - Accent1 20 3" xfId="226" xr:uid="{00000000-0005-0000-0000-0000E2020000}"/>
    <cellStyle name="20% - Accent1 20 3 2" xfId="14552" xr:uid="{00000000-0005-0000-0000-0000E3020000}"/>
    <cellStyle name="20% - Accent1 20 3 2 2" xfId="28101" xr:uid="{00000000-0005-0000-0000-0000E4020000}"/>
    <cellStyle name="20% - Accent1 20 3 3" xfId="17550" xr:uid="{00000000-0005-0000-0000-0000E5020000}"/>
    <cellStyle name="20% - Accent1 20 4" xfId="10492" xr:uid="{00000000-0005-0000-0000-0000E6020000}"/>
    <cellStyle name="20% - Accent1 20 4 2" xfId="24440" xr:uid="{00000000-0005-0000-0000-0000E7020000}"/>
    <cellStyle name="20% - Accent1 20 5" xfId="17548" xr:uid="{00000000-0005-0000-0000-0000E8020000}"/>
    <cellStyle name="20% - Accent1 21" xfId="227" xr:uid="{00000000-0005-0000-0000-0000E9020000}"/>
    <cellStyle name="20% - Accent1 21 2" xfId="228" xr:uid="{00000000-0005-0000-0000-0000EA020000}"/>
    <cellStyle name="20% - Accent1 21 2 2" xfId="12755" xr:uid="{00000000-0005-0000-0000-0000EB020000}"/>
    <cellStyle name="20% - Accent1 21 2 2 2" xfId="26467" xr:uid="{00000000-0005-0000-0000-0000EC020000}"/>
    <cellStyle name="20% - Accent1 21 2 3" xfId="17552" xr:uid="{00000000-0005-0000-0000-0000ED020000}"/>
    <cellStyle name="20% - Accent1 21 3" xfId="229" xr:uid="{00000000-0005-0000-0000-0000EE020000}"/>
    <cellStyle name="20% - Accent1 21 3 2" xfId="14551" xr:uid="{00000000-0005-0000-0000-0000EF020000}"/>
    <cellStyle name="20% - Accent1 21 3 2 2" xfId="28100" xr:uid="{00000000-0005-0000-0000-0000F0020000}"/>
    <cellStyle name="20% - Accent1 21 3 3" xfId="17553" xr:uid="{00000000-0005-0000-0000-0000F1020000}"/>
    <cellStyle name="20% - Accent1 21 4" xfId="10534" xr:uid="{00000000-0005-0000-0000-0000F2020000}"/>
    <cellStyle name="20% - Accent1 21 4 2" xfId="24476" xr:uid="{00000000-0005-0000-0000-0000F3020000}"/>
    <cellStyle name="20% - Accent1 21 5" xfId="17551" xr:uid="{00000000-0005-0000-0000-0000F4020000}"/>
    <cellStyle name="20% - Accent1 22" xfId="230" xr:uid="{00000000-0005-0000-0000-0000F5020000}"/>
    <cellStyle name="20% - Accent1 22 2" xfId="11728" xr:uid="{00000000-0005-0000-0000-0000F6020000}"/>
    <cellStyle name="20% - Accent1 22 2 2" xfId="25443" xr:uid="{00000000-0005-0000-0000-0000F7020000}"/>
    <cellStyle name="20% - Accent1 22 3" xfId="17554" xr:uid="{00000000-0005-0000-0000-0000F8020000}"/>
    <cellStyle name="20% - Accent1 23" xfId="231" xr:uid="{00000000-0005-0000-0000-0000F9020000}"/>
    <cellStyle name="20% - Accent1 23 2" xfId="12669" xr:uid="{00000000-0005-0000-0000-0000FA020000}"/>
    <cellStyle name="20% - Accent1 23 2 2" xfId="26381" xr:uid="{00000000-0005-0000-0000-0000FB020000}"/>
    <cellStyle name="20% - Accent1 23 3" xfId="17555" xr:uid="{00000000-0005-0000-0000-0000FC020000}"/>
    <cellStyle name="20% - Accent1 24" xfId="232" xr:uid="{00000000-0005-0000-0000-0000FD020000}"/>
    <cellStyle name="20% - Accent1 24 2" xfId="13367" xr:uid="{00000000-0005-0000-0000-0000FE020000}"/>
    <cellStyle name="20% - Accent1 24 2 2" xfId="26916" xr:uid="{00000000-0005-0000-0000-0000FF020000}"/>
    <cellStyle name="20% - Accent1 24 3" xfId="17556" xr:uid="{00000000-0005-0000-0000-000000030000}"/>
    <cellStyle name="20% - Accent1 25" xfId="233" xr:uid="{00000000-0005-0000-0000-000001030000}"/>
    <cellStyle name="20% - Accent1 25 2" xfId="13948" xr:uid="{00000000-0005-0000-0000-000002030000}"/>
    <cellStyle name="20% - Accent1 25 2 2" xfId="27497" xr:uid="{00000000-0005-0000-0000-000003030000}"/>
    <cellStyle name="20% - Accent1 25 3" xfId="17557" xr:uid="{00000000-0005-0000-0000-000004030000}"/>
    <cellStyle name="20% - Accent1 26" xfId="234" xr:uid="{00000000-0005-0000-0000-000005030000}"/>
    <cellStyle name="20% - Accent1 26 2" xfId="14590" xr:uid="{00000000-0005-0000-0000-000006030000}"/>
    <cellStyle name="20% - Accent1 26 2 2" xfId="28139" xr:uid="{00000000-0005-0000-0000-000007030000}"/>
    <cellStyle name="20% - Accent1 26 3" xfId="17558" xr:uid="{00000000-0005-0000-0000-000008030000}"/>
    <cellStyle name="20% - Accent1 27" xfId="235" xr:uid="{00000000-0005-0000-0000-000009030000}"/>
    <cellStyle name="20% - Accent1 27 2" xfId="15829" xr:uid="{00000000-0005-0000-0000-00000A030000}"/>
    <cellStyle name="20% - Accent1 27 2 2" xfId="29236" xr:uid="{00000000-0005-0000-0000-00000B030000}"/>
    <cellStyle name="20% - Accent1 27 3" xfId="17559" xr:uid="{00000000-0005-0000-0000-00000C030000}"/>
    <cellStyle name="20% - Accent1 28" xfId="236" xr:uid="{00000000-0005-0000-0000-00000D030000}"/>
    <cellStyle name="20% - Accent1 28 2" xfId="15834" xr:uid="{00000000-0005-0000-0000-00000E030000}"/>
    <cellStyle name="20% - Accent1 28 2 2" xfId="29241" xr:uid="{00000000-0005-0000-0000-00000F030000}"/>
    <cellStyle name="20% - Accent1 28 3" xfId="17560" xr:uid="{00000000-0005-0000-0000-000010030000}"/>
    <cellStyle name="20% - Accent1 29" xfId="237" xr:uid="{00000000-0005-0000-0000-000011030000}"/>
    <cellStyle name="20% - Accent1 29 2" xfId="8809" xr:uid="{00000000-0005-0000-0000-000012030000}"/>
    <cellStyle name="20% - Accent1 29 2 2" xfId="23284" xr:uid="{00000000-0005-0000-0000-000013030000}"/>
    <cellStyle name="20% - Accent1 29 3" xfId="17561" xr:uid="{00000000-0005-0000-0000-000014030000}"/>
    <cellStyle name="20% - Accent1 3" xfId="238" xr:uid="{00000000-0005-0000-0000-000015030000}"/>
    <cellStyle name="20% - Accent1 3 10" xfId="239" xr:uid="{00000000-0005-0000-0000-000016030000}"/>
    <cellStyle name="20% - Accent1 3 10 2" xfId="14028" xr:uid="{00000000-0005-0000-0000-000017030000}"/>
    <cellStyle name="20% - Accent1 3 10 2 2" xfId="27577" xr:uid="{00000000-0005-0000-0000-000018030000}"/>
    <cellStyle name="20% - Accent1 3 10 3" xfId="17563" xr:uid="{00000000-0005-0000-0000-000019030000}"/>
    <cellStyle name="20% - Accent1 3 11" xfId="240" xr:uid="{00000000-0005-0000-0000-00001A030000}"/>
    <cellStyle name="20% - Accent1 3 11 2" xfId="14550" xr:uid="{00000000-0005-0000-0000-00001B030000}"/>
    <cellStyle name="20% - Accent1 3 11 2 2" xfId="28099" xr:uid="{00000000-0005-0000-0000-00001C030000}"/>
    <cellStyle name="20% - Accent1 3 11 3" xfId="17564" xr:uid="{00000000-0005-0000-0000-00001D030000}"/>
    <cellStyle name="20% - Accent1 3 12" xfId="241" xr:uid="{00000000-0005-0000-0000-00001E030000}"/>
    <cellStyle name="20% - Accent1 3 12 2" xfId="15914" xr:uid="{00000000-0005-0000-0000-00001F030000}"/>
    <cellStyle name="20% - Accent1 3 12 2 2" xfId="29321" xr:uid="{00000000-0005-0000-0000-000020030000}"/>
    <cellStyle name="20% - Accent1 3 12 3" xfId="17565" xr:uid="{00000000-0005-0000-0000-000021030000}"/>
    <cellStyle name="20% - Accent1 3 13" xfId="8839" xr:uid="{00000000-0005-0000-0000-000022030000}"/>
    <cellStyle name="20% - Accent1 3 13 2" xfId="23314" xr:uid="{00000000-0005-0000-0000-000023030000}"/>
    <cellStyle name="20% - Accent1 3 14" xfId="17562" xr:uid="{00000000-0005-0000-0000-000024030000}"/>
    <cellStyle name="20% - Accent1 3 2" xfId="242" xr:uid="{00000000-0005-0000-0000-000025030000}"/>
    <cellStyle name="20% - Accent1 3 2 10" xfId="243" xr:uid="{00000000-0005-0000-0000-000026030000}"/>
    <cellStyle name="20% - Accent1 3 2 10 2" xfId="16057" xr:uid="{00000000-0005-0000-0000-000027030000}"/>
    <cellStyle name="20% - Accent1 3 2 10 2 2" xfId="29464" xr:uid="{00000000-0005-0000-0000-000028030000}"/>
    <cellStyle name="20% - Accent1 3 2 10 3" xfId="17567" xr:uid="{00000000-0005-0000-0000-000029030000}"/>
    <cellStyle name="20% - Accent1 3 2 11" xfId="8840" xr:uid="{00000000-0005-0000-0000-00002A030000}"/>
    <cellStyle name="20% - Accent1 3 2 11 2" xfId="23315" xr:uid="{00000000-0005-0000-0000-00002B030000}"/>
    <cellStyle name="20% - Accent1 3 2 12" xfId="17566" xr:uid="{00000000-0005-0000-0000-00002C030000}"/>
    <cellStyle name="20% - Accent1 3 2 2" xfId="244" xr:uid="{00000000-0005-0000-0000-00002D030000}"/>
    <cellStyle name="20% - Accent1 3 2 2 10" xfId="8841" xr:uid="{00000000-0005-0000-0000-00002E030000}"/>
    <cellStyle name="20% - Accent1 3 2 2 10 2" xfId="23316" xr:uid="{00000000-0005-0000-0000-00002F030000}"/>
    <cellStyle name="20% - Accent1 3 2 2 11" xfId="17568" xr:uid="{00000000-0005-0000-0000-000030030000}"/>
    <cellStyle name="20% - Accent1 3 2 2 2" xfId="245" xr:uid="{00000000-0005-0000-0000-000031030000}"/>
    <cellStyle name="20% - Accent1 3 2 2 2 2" xfId="246" xr:uid="{00000000-0005-0000-0000-000032030000}"/>
    <cellStyle name="20% - Accent1 3 2 2 2 2 2" xfId="10567" xr:uid="{00000000-0005-0000-0000-000033030000}"/>
    <cellStyle name="20% - Accent1 3 2 2 2 2 2 2" xfId="24509" xr:uid="{00000000-0005-0000-0000-000034030000}"/>
    <cellStyle name="20% - Accent1 3 2 2 2 2 3" xfId="17570" xr:uid="{00000000-0005-0000-0000-000035030000}"/>
    <cellStyle name="20% - Accent1 3 2 2 2 3" xfId="247" xr:uid="{00000000-0005-0000-0000-000036030000}"/>
    <cellStyle name="20% - Accent1 3 2 2 2 3 2" xfId="12583" xr:uid="{00000000-0005-0000-0000-000037030000}"/>
    <cellStyle name="20% - Accent1 3 2 2 2 3 2 2" xfId="26295" xr:uid="{00000000-0005-0000-0000-000038030000}"/>
    <cellStyle name="20% - Accent1 3 2 2 2 3 3" xfId="17571" xr:uid="{00000000-0005-0000-0000-000039030000}"/>
    <cellStyle name="20% - Accent1 3 2 2 2 4" xfId="248" xr:uid="{00000000-0005-0000-0000-00003A030000}"/>
    <cellStyle name="20% - Accent1 3 2 2 2 4 2" xfId="14547" xr:uid="{00000000-0005-0000-0000-00003B030000}"/>
    <cellStyle name="20% - Accent1 3 2 2 2 4 2 2" xfId="28096" xr:uid="{00000000-0005-0000-0000-00003C030000}"/>
    <cellStyle name="20% - Accent1 3 2 2 2 4 3" xfId="17572" xr:uid="{00000000-0005-0000-0000-00003D030000}"/>
    <cellStyle name="20% - Accent1 3 2 2 2 5" xfId="249" xr:uid="{00000000-0005-0000-0000-00003E030000}"/>
    <cellStyle name="20% - Accent1 3 2 2 2 5 2" xfId="16927" xr:uid="{00000000-0005-0000-0000-00003F030000}"/>
    <cellStyle name="20% - Accent1 3 2 2 2 5 2 2" xfId="30334" xr:uid="{00000000-0005-0000-0000-000040030000}"/>
    <cellStyle name="20% - Accent1 3 2 2 2 5 3" xfId="17573" xr:uid="{00000000-0005-0000-0000-000041030000}"/>
    <cellStyle name="20% - Accent1 3 2 2 2 6" xfId="8842" xr:uid="{00000000-0005-0000-0000-000042030000}"/>
    <cellStyle name="20% - Accent1 3 2 2 2 6 2" xfId="23317" xr:uid="{00000000-0005-0000-0000-000043030000}"/>
    <cellStyle name="20% - Accent1 3 2 2 2 7" xfId="17569" xr:uid="{00000000-0005-0000-0000-000044030000}"/>
    <cellStyle name="20% - Accent1 3 2 2 3" xfId="250" xr:uid="{00000000-0005-0000-0000-000045030000}"/>
    <cellStyle name="20% - Accent1 3 2 2 3 2" xfId="251" xr:uid="{00000000-0005-0000-0000-000046030000}"/>
    <cellStyle name="20% - Accent1 3 2 2 3 2 2" xfId="14546" xr:uid="{00000000-0005-0000-0000-000047030000}"/>
    <cellStyle name="20% - Accent1 3 2 2 3 2 2 2" xfId="28095" xr:uid="{00000000-0005-0000-0000-000048030000}"/>
    <cellStyle name="20% - Accent1 3 2 2 3 2 3" xfId="17575" xr:uid="{00000000-0005-0000-0000-000049030000}"/>
    <cellStyle name="20% - Accent1 3 2 2 3 3" xfId="10566" xr:uid="{00000000-0005-0000-0000-00004A030000}"/>
    <cellStyle name="20% - Accent1 3 2 2 3 3 2" xfId="24508" xr:uid="{00000000-0005-0000-0000-00004B030000}"/>
    <cellStyle name="20% - Accent1 3 2 2 3 4" xfId="17574" xr:uid="{00000000-0005-0000-0000-00004C030000}"/>
    <cellStyle name="20% - Accent1 3 2 2 4" xfId="252" xr:uid="{00000000-0005-0000-0000-00004D030000}"/>
    <cellStyle name="20% - Accent1 3 2 2 4 2" xfId="12315" xr:uid="{00000000-0005-0000-0000-00004E030000}"/>
    <cellStyle name="20% - Accent1 3 2 2 4 2 2" xfId="26027" xr:uid="{00000000-0005-0000-0000-00004F030000}"/>
    <cellStyle name="20% - Accent1 3 2 2 4 3" xfId="17576" xr:uid="{00000000-0005-0000-0000-000050030000}"/>
    <cellStyle name="20% - Accent1 3 2 2 5" xfId="253" xr:uid="{00000000-0005-0000-0000-000051030000}"/>
    <cellStyle name="20% - Accent1 3 2 2 5 2" xfId="12515" xr:uid="{00000000-0005-0000-0000-000052030000}"/>
    <cellStyle name="20% - Accent1 3 2 2 5 2 2" xfId="26227" xr:uid="{00000000-0005-0000-0000-000053030000}"/>
    <cellStyle name="20% - Accent1 3 2 2 5 3" xfId="17577" xr:uid="{00000000-0005-0000-0000-000054030000}"/>
    <cellStyle name="20% - Accent1 3 2 2 6" xfId="254" xr:uid="{00000000-0005-0000-0000-000055030000}"/>
    <cellStyle name="20% - Accent1 3 2 2 6 2" xfId="13879" xr:uid="{00000000-0005-0000-0000-000056030000}"/>
    <cellStyle name="20% - Accent1 3 2 2 6 2 2" xfId="27428" xr:uid="{00000000-0005-0000-0000-000057030000}"/>
    <cellStyle name="20% - Accent1 3 2 2 6 3" xfId="17578" xr:uid="{00000000-0005-0000-0000-000058030000}"/>
    <cellStyle name="20% - Accent1 3 2 2 7" xfId="255" xr:uid="{00000000-0005-0000-0000-000059030000}"/>
    <cellStyle name="20% - Accent1 3 2 2 7 2" xfId="14460" xr:uid="{00000000-0005-0000-0000-00005A030000}"/>
    <cellStyle name="20% - Accent1 3 2 2 7 2 2" xfId="28009" xr:uid="{00000000-0005-0000-0000-00005B030000}"/>
    <cellStyle name="20% - Accent1 3 2 2 7 3" xfId="17579" xr:uid="{00000000-0005-0000-0000-00005C030000}"/>
    <cellStyle name="20% - Accent1 3 2 2 8" xfId="256" xr:uid="{00000000-0005-0000-0000-00005D030000}"/>
    <cellStyle name="20% - Accent1 3 2 2 8 2" xfId="14548" xr:uid="{00000000-0005-0000-0000-00005E030000}"/>
    <cellStyle name="20% - Accent1 3 2 2 8 2 2" xfId="28097" xr:uid="{00000000-0005-0000-0000-00005F030000}"/>
    <cellStyle name="20% - Accent1 3 2 2 8 3" xfId="17580" xr:uid="{00000000-0005-0000-0000-000060030000}"/>
    <cellStyle name="20% - Accent1 3 2 2 9" xfId="257" xr:uid="{00000000-0005-0000-0000-000061030000}"/>
    <cellStyle name="20% - Accent1 3 2 2 9 2" xfId="16346" xr:uid="{00000000-0005-0000-0000-000062030000}"/>
    <cellStyle name="20% - Accent1 3 2 2 9 2 2" xfId="29753" xr:uid="{00000000-0005-0000-0000-000063030000}"/>
    <cellStyle name="20% - Accent1 3 2 2 9 3" xfId="17581" xr:uid="{00000000-0005-0000-0000-000064030000}"/>
    <cellStyle name="20% - Accent1 3 2 3" xfId="258" xr:uid="{00000000-0005-0000-0000-000065030000}"/>
    <cellStyle name="20% - Accent1 3 2 3 2" xfId="259" xr:uid="{00000000-0005-0000-0000-000066030000}"/>
    <cellStyle name="20% - Accent1 3 2 3 2 2" xfId="10568" xr:uid="{00000000-0005-0000-0000-000067030000}"/>
    <cellStyle name="20% - Accent1 3 2 3 2 2 2" xfId="24510" xr:uid="{00000000-0005-0000-0000-000068030000}"/>
    <cellStyle name="20% - Accent1 3 2 3 2 3" xfId="17583" xr:uid="{00000000-0005-0000-0000-000069030000}"/>
    <cellStyle name="20% - Accent1 3 2 3 3" xfId="260" xr:uid="{00000000-0005-0000-0000-00006A030000}"/>
    <cellStyle name="20% - Accent1 3 2 3 3 2" xfId="12586" xr:uid="{00000000-0005-0000-0000-00006B030000}"/>
    <cellStyle name="20% - Accent1 3 2 3 3 2 2" xfId="26298" xr:uid="{00000000-0005-0000-0000-00006C030000}"/>
    <cellStyle name="20% - Accent1 3 2 3 3 3" xfId="17584" xr:uid="{00000000-0005-0000-0000-00006D030000}"/>
    <cellStyle name="20% - Accent1 3 2 3 4" xfId="261" xr:uid="{00000000-0005-0000-0000-00006E030000}"/>
    <cellStyle name="20% - Accent1 3 2 3 4 2" xfId="14545" xr:uid="{00000000-0005-0000-0000-00006F030000}"/>
    <cellStyle name="20% - Accent1 3 2 3 4 2 2" xfId="28094" xr:uid="{00000000-0005-0000-0000-000070030000}"/>
    <cellStyle name="20% - Accent1 3 2 3 4 3" xfId="17585" xr:uid="{00000000-0005-0000-0000-000071030000}"/>
    <cellStyle name="20% - Accent1 3 2 3 5" xfId="262" xr:uid="{00000000-0005-0000-0000-000072030000}"/>
    <cellStyle name="20% - Accent1 3 2 3 5 2" xfId="16638" xr:uid="{00000000-0005-0000-0000-000073030000}"/>
    <cellStyle name="20% - Accent1 3 2 3 5 2 2" xfId="30045" xr:uid="{00000000-0005-0000-0000-000074030000}"/>
    <cellStyle name="20% - Accent1 3 2 3 5 3" xfId="17586" xr:uid="{00000000-0005-0000-0000-000075030000}"/>
    <cellStyle name="20% - Accent1 3 2 3 6" xfId="8843" xr:uid="{00000000-0005-0000-0000-000076030000}"/>
    <cellStyle name="20% - Accent1 3 2 3 6 2" xfId="23318" xr:uid="{00000000-0005-0000-0000-000077030000}"/>
    <cellStyle name="20% - Accent1 3 2 3 7" xfId="17582" xr:uid="{00000000-0005-0000-0000-000078030000}"/>
    <cellStyle name="20% - Accent1 3 2 4" xfId="263" xr:uid="{00000000-0005-0000-0000-000079030000}"/>
    <cellStyle name="20% - Accent1 3 2 4 2" xfId="264" xr:uid="{00000000-0005-0000-0000-00007A030000}"/>
    <cellStyle name="20% - Accent1 3 2 4 2 2" xfId="14607" xr:uid="{00000000-0005-0000-0000-00007B030000}"/>
    <cellStyle name="20% - Accent1 3 2 4 2 2 2" xfId="28156" xr:uid="{00000000-0005-0000-0000-00007C030000}"/>
    <cellStyle name="20% - Accent1 3 2 4 2 3" xfId="17588" xr:uid="{00000000-0005-0000-0000-00007D030000}"/>
    <cellStyle name="20% - Accent1 3 2 4 3" xfId="10565" xr:uid="{00000000-0005-0000-0000-00007E030000}"/>
    <cellStyle name="20% - Accent1 3 2 4 3 2" xfId="24507" xr:uid="{00000000-0005-0000-0000-00007F030000}"/>
    <cellStyle name="20% - Accent1 3 2 4 4" xfId="17587" xr:uid="{00000000-0005-0000-0000-000080030000}"/>
    <cellStyle name="20% - Accent1 3 2 5" xfId="265" xr:uid="{00000000-0005-0000-0000-000081030000}"/>
    <cellStyle name="20% - Accent1 3 2 5 2" xfId="12015" xr:uid="{00000000-0005-0000-0000-000082030000}"/>
    <cellStyle name="20% - Accent1 3 2 5 2 2" xfId="25730" xr:uid="{00000000-0005-0000-0000-000083030000}"/>
    <cellStyle name="20% - Accent1 3 2 5 3" xfId="17589" xr:uid="{00000000-0005-0000-0000-000084030000}"/>
    <cellStyle name="20% - Accent1 3 2 6" xfId="266" xr:uid="{00000000-0005-0000-0000-000085030000}"/>
    <cellStyle name="20% - Accent1 3 2 6 2" xfId="12431" xr:uid="{00000000-0005-0000-0000-000086030000}"/>
    <cellStyle name="20% - Accent1 3 2 6 2 2" xfId="26143" xr:uid="{00000000-0005-0000-0000-000087030000}"/>
    <cellStyle name="20% - Accent1 3 2 6 3" xfId="17590" xr:uid="{00000000-0005-0000-0000-000088030000}"/>
    <cellStyle name="20% - Accent1 3 2 7" xfId="267" xr:uid="{00000000-0005-0000-0000-000089030000}"/>
    <cellStyle name="20% - Accent1 3 2 7 2" xfId="13590" xr:uid="{00000000-0005-0000-0000-00008A030000}"/>
    <cellStyle name="20% - Accent1 3 2 7 2 2" xfId="27139" xr:uid="{00000000-0005-0000-0000-00008B030000}"/>
    <cellStyle name="20% - Accent1 3 2 7 3" xfId="17591" xr:uid="{00000000-0005-0000-0000-00008C030000}"/>
    <cellStyle name="20% - Accent1 3 2 8" xfId="268" xr:uid="{00000000-0005-0000-0000-00008D030000}"/>
    <cellStyle name="20% - Accent1 3 2 8 2" xfId="14171" xr:uid="{00000000-0005-0000-0000-00008E030000}"/>
    <cellStyle name="20% - Accent1 3 2 8 2 2" xfId="27720" xr:uid="{00000000-0005-0000-0000-00008F030000}"/>
    <cellStyle name="20% - Accent1 3 2 8 3" xfId="17592" xr:uid="{00000000-0005-0000-0000-000090030000}"/>
    <cellStyle name="20% - Accent1 3 2 9" xfId="269" xr:uid="{00000000-0005-0000-0000-000091030000}"/>
    <cellStyle name="20% - Accent1 3 2 9 2" xfId="14549" xr:uid="{00000000-0005-0000-0000-000092030000}"/>
    <cellStyle name="20% - Accent1 3 2 9 2 2" xfId="28098" xr:uid="{00000000-0005-0000-0000-000093030000}"/>
    <cellStyle name="20% - Accent1 3 2 9 3" xfId="17593" xr:uid="{00000000-0005-0000-0000-000094030000}"/>
    <cellStyle name="20% - Accent1 3 3" xfId="270" xr:uid="{00000000-0005-0000-0000-000095030000}"/>
    <cellStyle name="20% - Accent1 3 3 10" xfId="8844" xr:uid="{00000000-0005-0000-0000-000096030000}"/>
    <cellStyle name="20% - Accent1 3 3 10 2" xfId="23319" xr:uid="{00000000-0005-0000-0000-000097030000}"/>
    <cellStyle name="20% - Accent1 3 3 11" xfId="17594" xr:uid="{00000000-0005-0000-0000-000098030000}"/>
    <cellStyle name="20% - Accent1 3 3 2" xfId="271" xr:uid="{00000000-0005-0000-0000-000099030000}"/>
    <cellStyle name="20% - Accent1 3 3 2 2" xfId="272" xr:uid="{00000000-0005-0000-0000-00009A030000}"/>
    <cellStyle name="20% - Accent1 3 3 2 2 2" xfId="10570" xr:uid="{00000000-0005-0000-0000-00009B030000}"/>
    <cellStyle name="20% - Accent1 3 3 2 2 2 2" xfId="24512" xr:uid="{00000000-0005-0000-0000-00009C030000}"/>
    <cellStyle name="20% - Accent1 3 3 2 2 3" xfId="17596" xr:uid="{00000000-0005-0000-0000-00009D030000}"/>
    <cellStyle name="20% - Accent1 3 3 2 3" xfId="273" xr:uid="{00000000-0005-0000-0000-00009E030000}"/>
    <cellStyle name="20% - Accent1 3 3 2 3 2" xfId="12459" xr:uid="{00000000-0005-0000-0000-00009F030000}"/>
    <cellStyle name="20% - Accent1 3 3 2 3 2 2" xfId="26171" xr:uid="{00000000-0005-0000-0000-0000A0030000}"/>
    <cellStyle name="20% - Accent1 3 3 2 3 3" xfId="17597" xr:uid="{00000000-0005-0000-0000-0000A1030000}"/>
    <cellStyle name="20% - Accent1 3 3 2 4" xfId="274" xr:uid="{00000000-0005-0000-0000-0000A2030000}"/>
    <cellStyle name="20% - Accent1 3 3 2 4 2" xfId="14591" xr:uid="{00000000-0005-0000-0000-0000A3030000}"/>
    <cellStyle name="20% - Accent1 3 3 2 4 2 2" xfId="28140" xr:uid="{00000000-0005-0000-0000-0000A4030000}"/>
    <cellStyle name="20% - Accent1 3 3 2 4 3" xfId="17598" xr:uid="{00000000-0005-0000-0000-0000A5030000}"/>
    <cellStyle name="20% - Accent1 3 3 2 5" xfId="275" xr:uid="{00000000-0005-0000-0000-0000A6030000}"/>
    <cellStyle name="20% - Accent1 3 3 2 5 2" xfId="16784" xr:uid="{00000000-0005-0000-0000-0000A7030000}"/>
    <cellStyle name="20% - Accent1 3 3 2 5 2 2" xfId="30191" xr:uid="{00000000-0005-0000-0000-0000A8030000}"/>
    <cellStyle name="20% - Accent1 3 3 2 5 3" xfId="17599" xr:uid="{00000000-0005-0000-0000-0000A9030000}"/>
    <cellStyle name="20% - Accent1 3 3 2 6" xfId="8845" xr:uid="{00000000-0005-0000-0000-0000AA030000}"/>
    <cellStyle name="20% - Accent1 3 3 2 6 2" xfId="23320" xr:uid="{00000000-0005-0000-0000-0000AB030000}"/>
    <cellStyle name="20% - Accent1 3 3 2 7" xfId="17595" xr:uid="{00000000-0005-0000-0000-0000AC030000}"/>
    <cellStyle name="20% - Accent1 3 3 3" xfId="276" xr:uid="{00000000-0005-0000-0000-0000AD030000}"/>
    <cellStyle name="20% - Accent1 3 3 3 2" xfId="277" xr:uid="{00000000-0005-0000-0000-0000AE030000}"/>
    <cellStyle name="20% - Accent1 3 3 3 2 2" xfId="14592" xr:uid="{00000000-0005-0000-0000-0000AF030000}"/>
    <cellStyle name="20% - Accent1 3 3 3 2 2 2" xfId="28141" xr:uid="{00000000-0005-0000-0000-0000B0030000}"/>
    <cellStyle name="20% - Accent1 3 3 3 2 3" xfId="17601" xr:uid="{00000000-0005-0000-0000-0000B1030000}"/>
    <cellStyle name="20% - Accent1 3 3 3 3" xfId="10569" xr:uid="{00000000-0005-0000-0000-0000B2030000}"/>
    <cellStyle name="20% - Accent1 3 3 3 3 2" xfId="24511" xr:uid="{00000000-0005-0000-0000-0000B3030000}"/>
    <cellStyle name="20% - Accent1 3 3 3 4" xfId="17600" xr:uid="{00000000-0005-0000-0000-0000B4030000}"/>
    <cellStyle name="20% - Accent1 3 3 4" xfId="278" xr:uid="{00000000-0005-0000-0000-0000B5030000}"/>
    <cellStyle name="20% - Accent1 3 3 4 2" xfId="12172" xr:uid="{00000000-0005-0000-0000-0000B6030000}"/>
    <cellStyle name="20% - Accent1 3 3 4 2 2" xfId="25884" xr:uid="{00000000-0005-0000-0000-0000B7030000}"/>
    <cellStyle name="20% - Accent1 3 3 4 3" xfId="17602" xr:uid="{00000000-0005-0000-0000-0000B8030000}"/>
    <cellStyle name="20% - Accent1 3 3 5" xfId="279" xr:uid="{00000000-0005-0000-0000-0000B9030000}"/>
    <cellStyle name="20% - Accent1 3 3 5 2" xfId="12676" xr:uid="{00000000-0005-0000-0000-0000BA030000}"/>
    <cellStyle name="20% - Accent1 3 3 5 2 2" xfId="26388" xr:uid="{00000000-0005-0000-0000-0000BB030000}"/>
    <cellStyle name="20% - Accent1 3 3 5 3" xfId="17603" xr:uid="{00000000-0005-0000-0000-0000BC030000}"/>
    <cellStyle name="20% - Accent1 3 3 6" xfId="280" xr:uid="{00000000-0005-0000-0000-0000BD030000}"/>
    <cellStyle name="20% - Accent1 3 3 6 2" xfId="13736" xr:uid="{00000000-0005-0000-0000-0000BE030000}"/>
    <cellStyle name="20% - Accent1 3 3 6 2 2" xfId="27285" xr:uid="{00000000-0005-0000-0000-0000BF030000}"/>
    <cellStyle name="20% - Accent1 3 3 6 3" xfId="17604" xr:uid="{00000000-0005-0000-0000-0000C0030000}"/>
    <cellStyle name="20% - Accent1 3 3 7" xfId="281" xr:uid="{00000000-0005-0000-0000-0000C1030000}"/>
    <cellStyle name="20% - Accent1 3 3 7 2" xfId="14317" xr:uid="{00000000-0005-0000-0000-0000C2030000}"/>
    <cellStyle name="20% - Accent1 3 3 7 2 2" xfId="27866" xr:uid="{00000000-0005-0000-0000-0000C3030000}"/>
    <cellStyle name="20% - Accent1 3 3 7 3" xfId="17605" xr:uid="{00000000-0005-0000-0000-0000C4030000}"/>
    <cellStyle name="20% - Accent1 3 3 8" xfId="282" xr:uid="{00000000-0005-0000-0000-0000C5030000}"/>
    <cellStyle name="20% - Accent1 3 3 8 2" xfId="14544" xr:uid="{00000000-0005-0000-0000-0000C6030000}"/>
    <cellStyle name="20% - Accent1 3 3 8 2 2" xfId="28093" xr:uid="{00000000-0005-0000-0000-0000C7030000}"/>
    <cellStyle name="20% - Accent1 3 3 8 3" xfId="17606" xr:uid="{00000000-0005-0000-0000-0000C8030000}"/>
    <cellStyle name="20% - Accent1 3 3 9" xfId="283" xr:uid="{00000000-0005-0000-0000-0000C9030000}"/>
    <cellStyle name="20% - Accent1 3 3 9 2" xfId="16203" xr:uid="{00000000-0005-0000-0000-0000CA030000}"/>
    <cellStyle name="20% - Accent1 3 3 9 2 2" xfId="29610" xr:uid="{00000000-0005-0000-0000-0000CB030000}"/>
    <cellStyle name="20% - Accent1 3 3 9 3" xfId="17607" xr:uid="{00000000-0005-0000-0000-0000CC030000}"/>
    <cellStyle name="20% - Accent1 3 4" xfId="284" xr:uid="{00000000-0005-0000-0000-0000CD030000}"/>
    <cellStyle name="20% - Accent1 3 4 2" xfId="285" xr:uid="{00000000-0005-0000-0000-0000CE030000}"/>
    <cellStyle name="20% - Accent1 3 4 2 2" xfId="10571" xr:uid="{00000000-0005-0000-0000-0000CF030000}"/>
    <cellStyle name="20% - Accent1 3 4 2 2 2" xfId="24513" xr:uid="{00000000-0005-0000-0000-0000D0030000}"/>
    <cellStyle name="20% - Accent1 3 4 2 3" xfId="17609" xr:uid="{00000000-0005-0000-0000-0000D1030000}"/>
    <cellStyle name="20% - Accent1 3 4 3" xfId="286" xr:uid="{00000000-0005-0000-0000-0000D2030000}"/>
    <cellStyle name="20% - Accent1 3 4 3 2" xfId="11772" xr:uid="{00000000-0005-0000-0000-0000D3030000}"/>
    <cellStyle name="20% - Accent1 3 4 3 2 2" xfId="25487" xr:uid="{00000000-0005-0000-0000-0000D4030000}"/>
    <cellStyle name="20% - Accent1 3 4 3 3" xfId="17610" xr:uid="{00000000-0005-0000-0000-0000D5030000}"/>
    <cellStyle name="20% - Accent1 3 4 4" xfId="287" xr:uid="{00000000-0005-0000-0000-0000D6030000}"/>
    <cellStyle name="20% - Accent1 3 4 4 2" xfId="14543" xr:uid="{00000000-0005-0000-0000-0000D7030000}"/>
    <cellStyle name="20% - Accent1 3 4 4 2 2" xfId="28092" xr:uid="{00000000-0005-0000-0000-0000D8030000}"/>
    <cellStyle name="20% - Accent1 3 4 4 3" xfId="17611" xr:uid="{00000000-0005-0000-0000-0000D9030000}"/>
    <cellStyle name="20% - Accent1 3 4 5" xfId="288" xr:uid="{00000000-0005-0000-0000-0000DA030000}"/>
    <cellStyle name="20% - Accent1 3 4 5 2" xfId="17131" xr:uid="{00000000-0005-0000-0000-0000DB030000}"/>
    <cellStyle name="20% - Accent1 3 4 5 2 2" xfId="30490" xr:uid="{00000000-0005-0000-0000-0000DC030000}"/>
    <cellStyle name="20% - Accent1 3 4 5 3" xfId="17612" xr:uid="{00000000-0005-0000-0000-0000DD030000}"/>
    <cellStyle name="20% - Accent1 3 4 6" xfId="8846" xr:uid="{00000000-0005-0000-0000-0000DE030000}"/>
    <cellStyle name="20% - Accent1 3 4 6 2" xfId="23321" xr:uid="{00000000-0005-0000-0000-0000DF030000}"/>
    <cellStyle name="20% - Accent1 3 4 7" xfId="17608" xr:uid="{00000000-0005-0000-0000-0000E0030000}"/>
    <cellStyle name="20% - Accent1 3 5" xfId="289" xr:uid="{00000000-0005-0000-0000-0000E1030000}"/>
    <cellStyle name="20% - Accent1 3 5 2" xfId="290" xr:uid="{00000000-0005-0000-0000-0000E2030000}"/>
    <cellStyle name="20% - Accent1 3 5 2 2" xfId="10572" xr:uid="{00000000-0005-0000-0000-0000E3030000}"/>
    <cellStyle name="20% - Accent1 3 5 2 2 2" xfId="24514" xr:uid="{00000000-0005-0000-0000-0000E4030000}"/>
    <cellStyle name="20% - Accent1 3 5 2 3" xfId="17614" xr:uid="{00000000-0005-0000-0000-0000E5030000}"/>
    <cellStyle name="20% - Accent1 3 5 3" xfId="291" xr:uid="{00000000-0005-0000-0000-0000E6030000}"/>
    <cellStyle name="20% - Accent1 3 5 3 2" xfId="12699" xr:uid="{00000000-0005-0000-0000-0000E7030000}"/>
    <cellStyle name="20% - Accent1 3 5 3 2 2" xfId="26411" xr:uid="{00000000-0005-0000-0000-0000E8030000}"/>
    <cellStyle name="20% - Accent1 3 5 3 3" xfId="17615" xr:uid="{00000000-0005-0000-0000-0000E9030000}"/>
    <cellStyle name="20% - Accent1 3 5 4" xfId="292" xr:uid="{00000000-0005-0000-0000-0000EA030000}"/>
    <cellStyle name="20% - Accent1 3 5 4 2" xfId="14542" xr:uid="{00000000-0005-0000-0000-0000EB030000}"/>
    <cellStyle name="20% - Accent1 3 5 4 2 2" xfId="28091" xr:uid="{00000000-0005-0000-0000-0000EC030000}"/>
    <cellStyle name="20% - Accent1 3 5 4 3" xfId="17616" xr:uid="{00000000-0005-0000-0000-0000ED030000}"/>
    <cellStyle name="20% - Accent1 3 5 5" xfId="293" xr:uid="{00000000-0005-0000-0000-0000EE030000}"/>
    <cellStyle name="20% - Accent1 3 5 5 2" xfId="17220" xr:uid="{00000000-0005-0000-0000-0000EF030000}"/>
    <cellStyle name="20% - Accent1 3 5 5 2 2" xfId="30579" xr:uid="{00000000-0005-0000-0000-0000F0030000}"/>
    <cellStyle name="20% - Accent1 3 5 5 3" xfId="17617" xr:uid="{00000000-0005-0000-0000-0000F1030000}"/>
    <cellStyle name="20% - Accent1 3 5 6" xfId="8847" xr:uid="{00000000-0005-0000-0000-0000F2030000}"/>
    <cellStyle name="20% - Accent1 3 5 6 2" xfId="23322" xr:uid="{00000000-0005-0000-0000-0000F3030000}"/>
    <cellStyle name="20% - Accent1 3 5 7" xfId="17613" xr:uid="{00000000-0005-0000-0000-0000F4030000}"/>
    <cellStyle name="20% - Accent1 3 6" xfId="294" xr:uid="{00000000-0005-0000-0000-0000F5030000}"/>
    <cellStyle name="20% - Accent1 3 6 2" xfId="295" xr:uid="{00000000-0005-0000-0000-0000F6030000}"/>
    <cellStyle name="20% - Accent1 3 6 2 2" xfId="14541" xr:uid="{00000000-0005-0000-0000-0000F7030000}"/>
    <cellStyle name="20% - Accent1 3 6 2 2 2" xfId="28090" xr:uid="{00000000-0005-0000-0000-0000F8030000}"/>
    <cellStyle name="20% - Accent1 3 6 2 3" xfId="17619" xr:uid="{00000000-0005-0000-0000-0000F9030000}"/>
    <cellStyle name="20% - Accent1 3 6 3" xfId="296" xr:uid="{00000000-0005-0000-0000-0000FA030000}"/>
    <cellStyle name="20% - Accent1 3 6 3 2" xfId="16495" xr:uid="{00000000-0005-0000-0000-0000FB030000}"/>
    <cellStyle name="20% - Accent1 3 6 3 2 2" xfId="29902" xr:uid="{00000000-0005-0000-0000-0000FC030000}"/>
    <cellStyle name="20% - Accent1 3 6 3 3" xfId="17620" xr:uid="{00000000-0005-0000-0000-0000FD030000}"/>
    <cellStyle name="20% - Accent1 3 6 4" xfId="10564" xr:uid="{00000000-0005-0000-0000-0000FE030000}"/>
    <cellStyle name="20% - Accent1 3 6 4 2" xfId="24506" xr:uid="{00000000-0005-0000-0000-0000FF030000}"/>
    <cellStyle name="20% - Accent1 3 6 5" xfId="17618" xr:uid="{00000000-0005-0000-0000-000000040000}"/>
    <cellStyle name="20% - Accent1 3 7" xfId="297" xr:uid="{00000000-0005-0000-0000-000001040000}"/>
    <cellStyle name="20% - Accent1 3 7 2" xfId="11867" xr:uid="{00000000-0005-0000-0000-000002040000}"/>
    <cellStyle name="20% - Accent1 3 7 2 2" xfId="25582" xr:uid="{00000000-0005-0000-0000-000003040000}"/>
    <cellStyle name="20% - Accent1 3 7 3" xfId="17621" xr:uid="{00000000-0005-0000-0000-000004040000}"/>
    <cellStyle name="20% - Accent1 3 8" xfId="298" xr:uid="{00000000-0005-0000-0000-000005040000}"/>
    <cellStyle name="20% - Accent1 3 8 2" xfId="12558" xr:uid="{00000000-0005-0000-0000-000006040000}"/>
    <cellStyle name="20% - Accent1 3 8 2 2" xfId="26270" xr:uid="{00000000-0005-0000-0000-000007040000}"/>
    <cellStyle name="20% - Accent1 3 8 3" xfId="17622" xr:uid="{00000000-0005-0000-0000-000008040000}"/>
    <cellStyle name="20% - Accent1 3 9" xfId="299" xr:uid="{00000000-0005-0000-0000-000009040000}"/>
    <cellStyle name="20% - Accent1 3 9 2" xfId="13447" xr:uid="{00000000-0005-0000-0000-00000A040000}"/>
    <cellStyle name="20% - Accent1 3 9 2 2" xfId="26996" xr:uid="{00000000-0005-0000-0000-00000B040000}"/>
    <cellStyle name="20% - Accent1 3 9 3" xfId="17623" xr:uid="{00000000-0005-0000-0000-00000C040000}"/>
    <cellStyle name="20% - Accent1 30" xfId="23235" xr:uid="{00000000-0005-0000-0000-00000D040000}"/>
    <cellStyle name="20% - Accent1 4" xfId="300" xr:uid="{00000000-0005-0000-0000-00000E040000}"/>
    <cellStyle name="20% - Accent1 4 10" xfId="301" xr:uid="{00000000-0005-0000-0000-00000F040000}"/>
    <cellStyle name="20% - Accent1 4 10 2" xfId="14540" xr:uid="{00000000-0005-0000-0000-000010040000}"/>
    <cellStyle name="20% - Accent1 4 10 2 2" xfId="28089" xr:uid="{00000000-0005-0000-0000-000011040000}"/>
    <cellStyle name="20% - Accent1 4 10 3" xfId="17625" xr:uid="{00000000-0005-0000-0000-000012040000}"/>
    <cellStyle name="20% - Accent1 4 11" xfId="302" xr:uid="{00000000-0005-0000-0000-000013040000}"/>
    <cellStyle name="20% - Accent1 4 11 2" xfId="15868" xr:uid="{00000000-0005-0000-0000-000014040000}"/>
    <cellStyle name="20% - Accent1 4 11 2 2" xfId="29275" xr:uid="{00000000-0005-0000-0000-000015040000}"/>
    <cellStyle name="20% - Accent1 4 11 3" xfId="17626" xr:uid="{00000000-0005-0000-0000-000016040000}"/>
    <cellStyle name="20% - Accent1 4 12" xfId="8848" xr:uid="{00000000-0005-0000-0000-000017040000}"/>
    <cellStyle name="20% - Accent1 4 12 2" xfId="23323" xr:uid="{00000000-0005-0000-0000-000018040000}"/>
    <cellStyle name="20% - Accent1 4 13" xfId="17624" xr:uid="{00000000-0005-0000-0000-000019040000}"/>
    <cellStyle name="20% - Accent1 4 2" xfId="303" xr:uid="{00000000-0005-0000-0000-00001A040000}"/>
    <cellStyle name="20% - Accent1 4 2 10" xfId="304" xr:uid="{00000000-0005-0000-0000-00001B040000}"/>
    <cellStyle name="20% - Accent1 4 2 10 2" xfId="16011" xr:uid="{00000000-0005-0000-0000-00001C040000}"/>
    <cellStyle name="20% - Accent1 4 2 10 2 2" xfId="29418" xr:uid="{00000000-0005-0000-0000-00001D040000}"/>
    <cellStyle name="20% - Accent1 4 2 10 3" xfId="17628" xr:uid="{00000000-0005-0000-0000-00001E040000}"/>
    <cellStyle name="20% - Accent1 4 2 11" xfId="8849" xr:uid="{00000000-0005-0000-0000-00001F040000}"/>
    <cellStyle name="20% - Accent1 4 2 11 2" xfId="23324" xr:uid="{00000000-0005-0000-0000-000020040000}"/>
    <cellStyle name="20% - Accent1 4 2 12" xfId="17627" xr:uid="{00000000-0005-0000-0000-000021040000}"/>
    <cellStyle name="20% - Accent1 4 2 2" xfId="305" xr:uid="{00000000-0005-0000-0000-000022040000}"/>
    <cellStyle name="20% - Accent1 4 2 2 10" xfId="8850" xr:uid="{00000000-0005-0000-0000-000023040000}"/>
    <cellStyle name="20% - Accent1 4 2 2 10 2" xfId="23325" xr:uid="{00000000-0005-0000-0000-000024040000}"/>
    <cellStyle name="20% - Accent1 4 2 2 11" xfId="17629" xr:uid="{00000000-0005-0000-0000-000025040000}"/>
    <cellStyle name="20% - Accent1 4 2 2 2" xfId="306" xr:uid="{00000000-0005-0000-0000-000026040000}"/>
    <cellStyle name="20% - Accent1 4 2 2 2 2" xfId="307" xr:uid="{00000000-0005-0000-0000-000027040000}"/>
    <cellStyle name="20% - Accent1 4 2 2 2 2 2" xfId="10576" xr:uid="{00000000-0005-0000-0000-000028040000}"/>
    <cellStyle name="20% - Accent1 4 2 2 2 2 2 2" xfId="24518" xr:uid="{00000000-0005-0000-0000-000029040000}"/>
    <cellStyle name="20% - Accent1 4 2 2 2 2 3" xfId="17631" xr:uid="{00000000-0005-0000-0000-00002A040000}"/>
    <cellStyle name="20% - Accent1 4 2 2 2 3" xfId="308" xr:uid="{00000000-0005-0000-0000-00002B040000}"/>
    <cellStyle name="20% - Accent1 4 2 2 2 3 2" xfId="12392" xr:uid="{00000000-0005-0000-0000-00002C040000}"/>
    <cellStyle name="20% - Accent1 4 2 2 2 3 2 2" xfId="26104" xr:uid="{00000000-0005-0000-0000-00002D040000}"/>
    <cellStyle name="20% - Accent1 4 2 2 2 3 3" xfId="17632" xr:uid="{00000000-0005-0000-0000-00002E040000}"/>
    <cellStyle name="20% - Accent1 4 2 2 2 4" xfId="309" xr:uid="{00000000-0005-0000-0000-00002F040000}"/>
    <cellStyle name="20% - Accent1 4 2 2 2 4 2" xfId="14537" xr:uid="{00000000-0005-0000-0000-000030040000}"/>
    <cellStyle name="20% - Accent1 4 2 2 2 4 2 2" xfId="28086" xr:uid="{00000000-0005-0000-0000-000031040000}"/>
    <cellStyle name="20% - Accent1 4 2 2 2 4 3" xfId="17633" xr:uid="{00000000-0005-0000-0000-000032040000}"/>
    <cellStyle name="20% - Accent1 4 2 2 2 5" xfId="310" xr:uid="{00000000-0005-0000-0000-000033040000}"/>
    <cellStyle name="20% - Accent1 4 2 2 2 5 2" xfId="16881" xr:uid="{00000000-0005-0000-0000-000034040000}"/>
    <cellStyle name="20% - Accent1 4 2 2 2 5 2 2" xfId="30288" xr:uid="{00000000-0005-0000-0000-000035040000}"/>
    <cellStyle name="20% - Accent1 4 2 2 2 5 3" xfId="17634" xr:uid="{00000000-0005-0000-0000-000036040000}"/>
    <cellStyle name="20% - Accent1 4 2 2 2 6" xfId="8851" xr:uid="{00000000-0005-0000-0000-000037040000}"/>
    <cellStyle name="20% - Accent1 4 2 2 2 6 2" xfId="23326" xr:uid="{00000000-0005-0000-0000-000038040000}"/>
    <cellStyle name="20% - Accent1 4 2 2 2 7" xfId="17630" xr:uid="{00000000-0005-0000-0000-000039040000}"/>
    <cellStyle name="20% - Accent1 4 2 2 3" xfId="311" xr:uid="{00000000-0005-0000-0000-00003A040000}"/>
    <cellStyle name="20% - Accent1 4 2 2 3 2" xfId="312" xr:uid="{00000000-0005-0000-0000-00003B040000}"/>
    <cellStyle name="20% - Accent1 4 2 2 3 2 2" xfId="14536" xr:uid="{00000000-0005-0000-0000-00003C040000}"/>
    <cellStyle name="20% - Accent1 4 2 2 3 2 2 2" xfId="28085" xr:uid="{00000000-0005-0000-0000-00003D040000}"/>
    <cellStyle name="20% - Accent1 4 2 2 3 2 3" xfId="17636" xr:uid="{00000000-0005-0000-0000-00003E040000}"/>
    <cellStyle name="20% - Accent1 4 2 2 3 3" xfId="10575" xr:uid="{00000000-0005-0000-0000-00003F040000}"/>
    <cellStyle name="20% - Accent1 4 2 2 3 3 2" xfId="24517" xr:uid="{00000000-0005-0000-0000-000040040000}"/>
    <cellStyle name="20% - Accent1 4 2 2 3 4" xfId="17635" xr:uid="{00000000-0005-0000-0000-000041040000}"/>
    <cellStyle name="20% - Accent1 4 2 2 4" xfId="313" xr:uid="{00000000-0005-0000-0000-000042040000}"/>
    <cellStyle name="20% - Accent1 4 2 2 4 2" xfId="12269" xr:uid="{00000000-0005-0000-0000-000043040000}"/>
    <cellStyle name="20% - Accent1 4 2 2 4 2 2" xfId="25981" xr:uid="{00000000-0005-0000-0000-000044040000}"/>
    <cellStyle name="20% - Accent1 4 2 2 4 3" xfId="17637" xr:uid="{00000000-0005-0000-0000-000045040000}"/>
    <cellStyle name="20% - Accent1 4 2 2 5" xfId="314" xr:uid="{00000000-0005-0000-0000-000046040000}"/>
    <cellStyle name="20% - Accent1 4 2 2 5 2" xfId="12710" xr:uid="{00000000-0005-0000-0000-000047040000}"/>
    <cellStyle name="20% - Accent1 4 2 2 5 2 2" xfId="26422" xr:uid="{00000000-0005-0000-0000-000048040000}"/>
    <cellStyle name="20% - Accent1 4 2 2 5 3" xfId="17638" xr:uid="{00000000-0005-0000-0000-000049040000}"/>
    <cellStyle name="20% - Accent1 4 2 2 6" xfId="315" xr:uid="{00000000-0005-0000-0000-00004A040000}"/>
    <cellStyle name="20% - Accent1 4 2 2 6 2" xfId="13833" xr:uid="{00000000-0005-0000-0000-00004B040000}"/>
    <cellStyle name="20% - Accent1 4 2 2 6 2 2" xfId="27382" xr:uid="{00000000-0005-0000-0000-00004C040000}"/>
    <cellStyle name="20% - Accent1 4 2 2 6 3" xfId="17639" xr:uid="{00000000-0005-0000-0000-00004D040000}"/>
    <cellStyle name="20% - Accent1 4 2 2 7" xfId="316" xr:uid="{00000000-0005-0000-0000-00004E040000}"/>
    <cellStyle name="20% - Accent1 4 2 2 7 2" xfId="14414" xr:uid="{00000000-0005-0000-0000-00004F040000}"/>
    <cellStyle name="20% - Accent1 4 2 2 7 2 2" xfId="27963" xr:uid="{00000000-0005-0000-0000-000050040000}"/>
    <cellStyle name="20% - Accent1 4 2 2 7 3" xfId="17640" xr:uid="{00000000-0005-0000-0000-000051040000}"/>
    <cellStyle name="20% - Accent1 4 2 2 8" xfId="317" xr:uid="{00000000-0005-0000-0000-000052040000}"/>
    <cellStyle name="20% - Accent1 4 2 2 8 2" xfId="14538" xr:uid="{00000000-0005-0000-0000-000053040000}"/>
    <cellStyle name="20% - Accent1 4 2 2 8 2 2" xfId="28087" xr:uid="{00000000-0005-0000-0000-000054040000}"/>
    <cellStyle name="20% - Accent1 4 2 2 8 3" xfId="17641" xr:uid="{00000000-0005-0000-0000-000055040000}"/>
    <cellStyle name="20% - Accent1 4 2 2 9" xfId="318" xr:uid="{00000000-0005-0000-0000-000056040000}"/>
    <cellStyle name="20% - Accent1 4 2 2 9 2" xfId="16300" xr:uid="{00000000-0005-0000-0000-000057040000}"/>
    <cellStyle name="20% - Accent1 4 2 2 9 2 2" xfId="29707" xr:uid="{00000000-0005-0000-0000-000058040000}"/>
    <cellStyle name="20% - Accent1 4 2 2 9 3" xfId="17642" xr:uid="{00000000-0005-0000-0000-000059040000}"/>
    <cellStyle name="20% - Accent1 4 2 3" xfId="319" xr:uid="{00000000-0005-0000-0000-00005A040000}"/>
    <cellStyle name="20% - Accent1 4 2 3 2" xfId="320" xr:uid="{00000000-0005-0000-0000-00005B040000}"/>
    <cellStyle name="20% - Accent1 4 2 3 2 2" xfId="10577" xr:uid="{00000000-0005-0000-0000-00005C040000}"/>
    <cellStyle name="20% - Accent1 4 2 3 2 2 2" xfId="24519" xr:uid="{00000000-0005-0000-0000-00005D040000}"/>
    <cellStyle name="20% - Accent1 4 2 3 2 3" xfId="17644" xr:uid="{00000000-0005-0000-0000-00005E040000}"/>
    <cellStyle name="20% - Accent1 4 2 3 3" xfId="321" xr:uid="{00000000-0005-0000-0000-00005F040000}"/>
    <cellStyle name="20% - Accent1 4 2 3 3 2" xfId="12688" xr:uid="{00000000-0005-0000-0000-000060040000}"/>
    <cellStyle name="20% - Accent1 4 2 3 3 2 2" xfId="26400" xr:uid="{00000000-0005-0000-0000-000061040000}"/>
    <cellStyle name="20% - Accent1 4 2 3 3 3" xfId="17645" xr:uid="{00000000-0005-0000-0000-000062040000}"/>
    <cellStyle name="20% - Accent1 4 2 3 4" xfId="322" xr:uid="{00000000-0005-0000-0000-000063040000}"/>
    <cellStyle name="20% - Accent1 4 2 3 4 2" xfId="14535" xr:uid="{00000000-0005-0000-0000-000064040000}"/>
    <cellStyle name="20% - Accent1 4 2 3 4 2 2" xfId="28084" xr:uid="{00000000-0005-0000-0000-000065040000}"/>
    <cellStyle name="20% - Accent1 4 2 3 4 3" xfId="17646" xr:uid="{00000000-0005-0000-0000-000066040000}"/>
    <cellStyle name="20% - Accent1 4 2 3 5" xfId="323" xr:uid="{00000000-0005-0000-0000-000067040000}"/>
    <cellStyle name="20% - Accent1 4 2 3 5 2" xfId="16592" xr:uid="{00000000-0005-0000-0000-000068040000}"/>
    <cellStyle name="20% - Accent1 4 2 3 5 2 2" xfId="29999" xr:uid="{00000000-0005-0000-0000-000069040000}"/>
    <cellStyle name="20% - Accent1 4 2 3 5 3" xfId="17647" xr:uid="{00000000-0005-0000-0000-00006A040000}"/>
    <cellStyle name="20% - Accent1 4 2 3 6" xfId="8852" xr:uid="{00000000-0005-0000-0000-00006B040000}"/>
    <cellStyle name="20% - Accent1 4 2 3 6 2" xfId="23327" xr:uid="{00000000-0005-0000-0000-00006C040000}"/>
    <cellStyle name="20% - Accent1 4 2 3 7" xfId="17643" xr:uid="{00000000-0005-0000-0000-00006D040000}"/>
    <cellStyle name="20% - Accent1 4 2 4" xfId="324" xr:uid="{00000000-0005-0000-0000-00006E040000}"/>
    <cellStyle name="20% - Accent1 4 2 4 2" xfId="325" xr:uid="{00000000-0005-0000-0000-00006F040000}"/>
    <cellStyle name="20% - Accent1 4 2 4 2 2" xfId="14534" xr:uid="{00000000-0005-0000-0000-000070040000}"/>
    <cellStyle name="20% - Accent1 4 2 4 2 2 2" xfId="28083" xr:uid="{00000000-0005-0000-0000-000071040000}"/>
    <cellStyle name="20% - Accent1 4 2 4 2 3" xfId="17649" xr:uid="{00000000-0005-0000-0000-000072040000}"/>
    <cellStyle name="20% - Accent1 4 2 4 3" xfId="10574" xr:uid="{00000000-0005-0000-0000-000073040000}"/>
    <cellStyle name="20% - Accent1 4 2 4 3 2" xfId="24516" xr:uid="{00000000-0005-0000-0000-000074040000}"/>
    <cellStyle name="20% - Accent1 4 2 4 4" xfId="17648" xr:uid="{00000000-0005-0000-0000-000075040000}"/>
    <cellStyle name="20% - Accent1 4 2 5" xfId="326" xr:uid="{00000000-0005-0000-0000-000076040000}"/>
    <cellStyle name="20% - Accent1 4 2 5 2" xfId="11969" xr:uid="{00000000-0005-0000-0000-000077040000}"/>
    <cellStyle name="20% - Accent1 4 2 5 2 2" xfId="25684" xr:uid="{00000000-0005-0000-0000-000078040000}"/>
    <cellStyle name="20% - Accent1 4 2 5 3" xfId="17650" xr:uid="{00000000-0005-0000-0000-000079040000}"/>
    <cellStyle name="20% - Accent1 4 2 6" xfId="327" xr:uid="{00000000-0005-0000-0000-00007A040000}"/>
    <cellStyle name="20% - Accent1 4 2 6 2" xfId="12609" xr:uid="{00000000-0005-0000-0000-00007B040000}"/>
    <cellStyle name="20% - Accent1 4 2 6 2 2" xfId="26321" xr:uid="{00000000-0005-0000-0000-00007C040000}"/>
    <cellStyle name="20% - Accent1 4 2 6 3" xfId="17651" xr:uid="{00000000-0005-0000-0000-00007D040000}"/>
    <cellStyle name="20% - Accent1 4 2 7" xfId="328" xr:uid="{00000000-0005-0000-0000-00007E040000}"/>
    <cellStyle name="20% - Accent1 4 2 7 2" xfId="13544" xr:uid="{00000000-0005-0000-0000-00007F040000}"/>
    <cellStyle name="20% - Accent1 4 2 7 2 2" xfId="27093" xr:uid="{00000000-0005-0000-0000-000080040000}"/>
    <cellStyle name="20% - Accent1 4 2 7 3" xfId="17652" xr:uid="{00000000-0005-0000-0000-000081040000}"/>
    <cellStyle name="20% - Accent1 4 2 8" xfId="329" xr:uid="{00000000-0005-0000-0000-000082040000}"/>
    <cellStyle name="20% - Accent1 4 2 8 2" xfId="14125" xr:uid="{00000000-0005-0000-0000-000083040000}"/>
    <cellStyle name="20% - Accent1 4 2 8 2 2" xfId="27674" xr:uid="{00000000-0005-0000-0000-000084040000}"/>
    <cellStyle name="20% - Accent1 4 2 8 3" xfId="17653" xr:uid="{00000000-0005-0000-0000-000085040000}"/>
    <cellStyle name="20% - Accent1 4 2 9" xfId="330" xr:uid="{00000000-0005-0000-0000-000086040000}"/>
    <cellStyle name="20% - Accent1 4 2 9 2" xfId="14539" xr:uid="{00000000-0005-0000-0000-000087040000}"/>
    <cellStyle name="20% - Accent1 4 2 9 2 2" xfId="28088" xr:uid="{00000000-0005-0000-0000-000088040000}"/>
    <cellStyle name="20% - Accent1 4 2 9 3" xfId="17654" xr:uid="{00000000-0005-0000-0000-000089040000}"/>
    <cellStyle name="20% - Accent1 4 3" xfId="331" xr:uid="{00000000-0005-0000-0000-00008A040000}"/>
    <cellStyle name="20% - Accent1 4 3 10" xfId="8853" xr:uid="{00000000-0005-0000-0000-00008B040000}"/>
    <cellStyle name="20% - Accent1 4 3 10 2" xfId="23328" xr:uid="{00000000-0005-0000-0000-00008C040000}"/>
    <cellStyle name="20% - Accent1 4 3 11" xfId="17655" xr:uid="{00000000-0005-0000-0000-00008D040000}"/>
    <cellStyle name="20% - Accent1 4 3 2" xfId="332" xr:uid="{00000000-0005-0000-0000-00008E040000}"/>
    <cellStyle name="20% - Accent1 4 3 2 2" xfId="333" xr:uid="{00000000-0005-0000-0000-00008F040000}"/>
    <cellStyle name="20% - Accent1 4 3 2 2 2" xfId="10579" xr:uid="{00000000-0005-0000-0000-000090040000}"/>
    <cellStyle name="20% - Accent1 4 3 2 2 2 2" xfId="24521" xr:uid="{00000000-0005-0000-0000-000091040000}"/>
    <cellStyle name="20% - Accent1 4 3 2 2 3" xfId="17657" xr:uid="{00000000-0005-0000-0000-000092040000}"/>
    <cellStyle name="20% - Accent1 4 3 2 3" xfId="334" xr:uid="{00000000-0005-0000-0000-000093040000}"/>
    <cellStyle name="20% - Accent1 4 3 2 3 2" xfId="12559" xr:uid="{00000000-0005-0000-0000-000094040000}"/>
    <cellStyle name="20% - Accent1 4 3 2 3 2 2" xfId="26271" xr:uid="{00000000-0005-0000-0000-000095040000}"/>
    <cellStyle name="20% - Accent1 4 3 2 3 3" xfId="17658" xr:uid="{00000000-0005-0000-0000-000096040000}"/>
    <cellStyle name="20% - Accent1 4 3 2 4" xfId="335" xr:uid="{00000000-0005-0000-0000-000097040000}"/>
    <cellStyle name="20% - Accent1 4 3 2 4 2" xfId="14532" xr:uid="{00000000-0005-0000-0000-000098040000}"/>
    <cellStyle name="20% - Accent1 4 3 2 4 2 2" xfId="28081" xr:uid="{00000000-0005-0000-0000-000099040000}"/>
    <cellStyle name="20% - Accent1 4 3 2 4 3" xfId="17659" xr:uid="{00000000-0005-0000-0000-00009A040000}"/>
    <cellStyle name="20% - Accent1 4 3 2 5" xfId="336" xr:uid="{00000000-0005-0000-0000-00009B040000}"/>
    <cellStyle name="20% - Accent1 4 3 2 5 2" xfId="16741" xr:uid="{00000000-0005-0000-0000-00009C040000}"/>
    <cellStyle name="20% - Accent1 4 3 2 5 2 2" xfId="30148" xr:uid="{00000000-0005-0000-0000-00009D040000}"/>
    <cellStyle name="20% - Accent1 4 3 2 5 3" xfId="17660" xr:uid="{00000000-0005-0000-0000-00009E040000}"/>
    <cellStyle name="20% - Accent1 4 3 2 6" xfId="8854" xr:uid="{00000000-0005-0000-0000-00009F040000}"/>
    <cellStyle name="20% - Accent1 4 3 2 6 2" xfId="23329" xr:uid="{00000000-0005-0000-0000-0000A0040000}"/>
    <cellStyle name="20% - Accent1 4 3 2 7" xfId="17656" xr:uid="{00000000-0005-0000-0000-0000A1040000}"/>
    <cellStyle name="20% - Accent1 4 3 3" xfId="337" xr:uid="{00000000-0005-0000-0000-0000A2040000}"/>
    <cellStyle name="20% - Accent1 4 3 3 2" xfId="338" xr:uid="{00000000-0005-0000-0000-0000A3040000}"/>
    <cellStyle name="20% - Accent1 4 3 3 2 2" xfId="14531" xr:uid="{00000000-0005-0000-0000-0000A4040000}"/>
    <cellStyle name="20% - Accent1 4 3 3 2 2 2" xfId="28080" xr:uid="{00000000-0005-0000-0000-0000A5040000}"/>
    <cellStyle name="20% - Accent1 4 3 3 2 3" xfId="17662" xr:uid="{00000000-0005-0000-0000-0000A6040000}"/>
    <cellStyle name="20% - Accent1 4 3 3 3" xfId="10578" xr:uid="{00000000-0005-0000-0000-0000A7040000}"/>
    <cellStyle name="20% - Accent1 4 3 3 3 2" xfId="24520" xr:uid="{00000000-0005-0000-0000-0000A8040000}"/>
    <cellStyle name="20% - Accent1 4 3 3 4" xfId="17661" xr:uid="{00000000-0005-0000-0000-0000A9040000}"/>
    <cellStyle name="20% - Accent1 4 3 4" xfId="339" xr:uid="{00000000-0005-0000-0000-0000AA040000}"/>
    <cellStyle name="20% - Accent1 4 3 4 2" xfId="12129" xr:uid="{00000000-0005-0000-0000-0000AB040000}"/>
    <cellStyle name="20% - Accent1 4 3 4 2 2" xfId="25841" xr:uid="{00000000-0005-0000-0000-0000AC040000}"/>
    <cellStyle name="20% - Accent1 4 3 4 3" xfId="17663" xr:uid="{00000000-0005-0000-0000-0000AD040000}"/>
    <cellStyle name="20% - Accent1 4 3 5" xfId="340" xr:uid="{00000000-0005-0000-0000-0000AE040000}"/>
    <cellStyle name="20% - Accent1 4 3 5 2" xfId="12709" xr:uid="{00000000-0005-0000-0000-0000AF040000}"/>
    <cellStyle name="20% - Accent1 4 3 5 2 2" xfId="26421" xr:uid="{00000000-0005-0000-0000-0000B0040000}"/>
    <cellStyle name="20% - Accent1 4 3 5 3" xfId="17664" xr:uid="{00000000-0005-0000-0000-0000B1040000}"/>
    <cellStyle name="20% - Accent1 4 3 6" xfId="341" xr:uid="{00000000-0005-0000-0000-0000B2040000}"/>
    <cellStyle name="20% - Accent1 4 3 6 2" xfId="13693" xr:uid="{00000000-0005-0000-0000-0000B3040000}"/>
    <cellStyle name="20% - Accent1 4 3 6 2 2" xfId="27242" xr:uid="{00000000-0005-0000-0000-0000B4040000}"/>
    <cellStyle name="20% - Accent1 4 3 6 3" xfId="17665" xr:uid="{00000000-0005-0000-0000-0000B5040000}"/>
    <cellStyle name="20% - Accent1 4 3 7" xfId="342" xr:uid="{00000000-0005-0000-0000-0000B6040000}"/>
    <cellStyle name="20% - Accent1 4 3 7 2" xfId="14274" xr:uid="{00000000-0005-0000-0000-0000B7040000}"/>
    <cellStyle name="20% - Accent1 4 3 7 2 2" xfId="27823" xr:uid="{00000000-0005-0000-0000-0000B8040000}"/>
    <cellStyle name="20% - Accent1 4 3 7 3" xfId="17666" xr:uid="{00000000-0005-0000-0000-0000B9040000}"/>
    <cellStyle name="20% - Accent1 4 3 8" xfId="343" xr:uid="{00000000-0005-0000-0000-0000BA040000}"/>
    <cellStyle name="20% - Accent1 4 3 8 2" xfId="14533" xr:uid="{00000000-0005-0000-0000-0000BB040000}"/>
    <cellStyle name="20% - Accent1 4 3 8 2 2" xfId="28082" xr:uid="{00000000-0005-0000-0000-0000BC040000}"/>
    <cellStyle name="20% - Accent1 4 3 8 3" xfId="17667" xr:uid="{00000000-0005-0000-0000-0000BD040000}"/>
    <cellStyle name="20% - Accent1 4 3 9" xfId="344" xr:uid="{00000000-0005-0000-0000-0000BE040000}"/>
    <cellStyle name="20% - Accent1 4 3 9 2" xfId="16160" xr:uid="{00000000-0005-0000-0000-0000BF040000}"/>
    <cellStyle name="20% - Accent1 4 3 9 2 2" xfId="29567" xr:uid="{00000000-0005-0000-0000-0000C0040000}"/>
    <cellStyle name="20% - Accent1 4 3 9 3" xfId="17668" xr:uid="{00000000-0005-0000-0000-0000C1040000}"/>
    <cellStyle name="20% - Accent1 4 4" xfId="345" xr:uid="{00000000-0005-0000-0000-0000C2040000}"/>
    <cellStyle name="20% - Accent1 4 4 2" xfId="346" xr:uid="{00000000-0005-0000-0000-0000C3040000}"/>
    <cellStyle name="20% - Accent1 4 4 2 2" xfId="10580" xr:uid="{00000000-0005-0000-0000-0000C4040000}"/>
    <cellStyle name="20% - Accent1 4 4 2 2 2" xfId="24522" xr:uid="{00000000-0005-0000-0000-0000C5040000}"/>
    <cellStyle name="20% - Accent1 4 4 2 3" xfId="17670" xr:uid="{00000000-0005-0000-0000-0000C6040000}"/>
    <cellStyle name="20% - Accent1 4 4 3" xfId="347" xr:uid="{00000000-0005-0000-0000-0000C7040000}"/>
    <cellStyle name="20% - Accent1 4 4 3 2" xfId="12687" xr:uid="{00000000-0005-0000-0000-0000C8040000}"/>
    <cellStyle name="20% - Accent1 4 4 3 2 2" xfId="26399" xr:uid="{00000000-0005-0000-0000-0000C9040000}"/>
    <cellStyle name="20% - Accent1 4 4 3 3" xfId="17671" xr:uid="{00000000-0005-0000-0000-0000CA040000}"/>
    <cellStyle name="20% - Accent1 4 4 4" xfId="348" xr:uid="{00000000-0005-0000-0000-0000CB040000}"/>
    <cellStyle name="20% - Accent1 4 4 4 2" xfId="14530" xr:uid="{00000000-0005-0000-0000-0000CC040000}"/>
    <cellStyle name="20% - Accent1 4 4 4 2 2" xfId="28079" xr:uid="{00000000-0005-0000-0000-0000CD040000}"/>
    <cellStyle name="20% - Accent1 4 4 4 3" xfId="17672" xr:uid="{00000000-0005-0000-0000-0000CE040000}"/>
    <cellStyle name="20% - Accent1 4 4 5" xfId="349" xr:uid="{00000000-0005-0000-0000-0000CF040000}"/>
    <cellStyle name="20% - Accent1 4 4 5 2" xfId="16449" xr:uid="{00000000-0005-0000-0000-0000D0040000}"/>
    <cellStyle name="20% - Accent1 4 4 5 2 2" xfId="29856" xr:uid="{00000000-0005-0000-0000-0000D1040000}"/>
    <cellStyle name="20% - Accent1 4 4 5 3" xfId="17673" xr:uid="{00000000-0005-0000-0000-0000D2040000}"/>
    <cellStyle name="20% - Accent1 4 4 6" xfId="8855" xr:uid="{00000000-0005-0000-0000-0000D3040000}"/>
    <cellStyle name="20% - Accent1 4 4 6 2" xfId="23330" xr:uid="{00000000-0005-0000-0000-0000D4040000}"/>
    <cellStyle name="20% - Accent1 4 4 7" xfId="17669" xr:uid="{00000000-0005-0000-0000-0000D5040000}"/>
    <cellStyle name="20% - Accent1 4 5" xfId="350" xr:uid="{00000000-0005-0000-0000-0000D6040000}"/>
    <cellStyle name="20% - Accent1 4 5 2" xfId="351" xr:uid="{00000000-0005-0000-0000-0000D7040000}"/>
    <cellStyle name="20% - Accent1 4 5 2 2" xfId="14593" xr:uid="{00000000-0005-0000-0000-0000D8040000}"/>
    <cellStyle name="20% - Accent1 4 5 2 2 2" xfId="28142" xr:uid="{00000000-0005-0000-0000-0000D9040000}"/>
    <cellStyle name="20% - Accent1 4 5 2 3" xfId="17675" xr:uid="{00000000-0005-0000-0000-0000DA040000}"/>
    <cellStyle name="20% - Accent1 4 5 3" xfId="10573" xr:uid="{00000000-0005-0000-0000-0000DB040000}"/>
    <cellStyle name="20% - Accent1 4 5 3 2" xfId="24515" xr:uid="{00000000-0005-0000-0000-0000DC040000}"/>
    <cellStyle name="20% - Accent1 4 5 4" xfId="17674" xr:uid="{00000000-0005-0000-0000-0000DD040000}"/>
    <cellStyle name="20% - Accent1 4 6" xfId="352" xr:uid="{00000000-0005-0000-0000-0000DE040000}"/>
    <cellStyle name="20% - Accent1 4 6 2" xfId="11800" xr:uid="{00000000-0005-0000-0000-0000DF040000}"/>
    <cellStyle name="20% - Accent1 4 6 2 2" xfId="25515" xr:uid="{00000000-0005-0000-0000-0000E0040000}"/>
    <cellStyle name="20% - Accent1 4 6 3" xfId="17676" xr:uid="{00000000-0005-0000-0000-0000E1040000}"/>
    <cellStyle name="20% - Accent1 4 7" xfId="353" xr:uid="{00000000-0005-0000-0000-0000E2040000}"/>
    <cellStyle name="20% - Accent1 4 7 2" xfId="12705" xr:uid="{00000000-0005-0000-0000-0000E3040000}"/>
    <cellStyle name="20% - Accent1 4 7 2 2" xfId="26417" xr:uid="{00000000-0005-0000-0000-0000E4040000}"/>
    <cellStyle name="20% - Accent1 4 7 3" xfId="17677" xr:uid="{00000000-0005-0000-0000-0000E5040000}"/>
    <cellStyle name="20% - Accent1 4 8" xfId="354" xr:uid="{00000000-0005-0000-0000-0000E6040000}"/>
    <cellStyle name="20% - Accent1 4 8 2" xfId="13401" xr:uid="{00000000-0005-0000-0000-0000E7040000}"/>
    <cellStyle name="20% - Accent1 4 8 2 2" xfId="26950" xr:uid="{00000000-0005-0000-0000-0000E8040000}"/>
    <cellStyle name="20% - Accent1 4 8 3" xfId="17678" xr:uid="{00000000-0005-0000-0000-0000E9040000}"/>
    <cellStyle name="20% - Accent1 4 9" xfId="355" xr:uid="{00000000-0005-0000-0000-0000EA040000}"/>
    <cellStyle name="20% - Accent1 4 9 2" xfId="13982" xr:uid="{00000000-0005-0000-0000-0000EB040000}"/>
    <cellStyle name="20% - Accent1 4 9 2 2" xfId="27531" xr:uid="{00000000-0005-0000-0000-0000EC040000}"/>
    <cellStyle name="20% - Accent1 4 9 3" xfId="17679" xr:uid="{00000000-0005-0000-0000-0000ED040000}"/>
    <cellStyle name="20% - Accent1 5" xfId="356" xr:uid="{00000000-0005-0000-0000-0000EE040000}"/>
    <cellStyle name="20% - Accent1 5 10" xfId="357" xr:uid="{00000000-0005-0000-0000-0000EF040000}"/>
    <cellStyle name="20% - Accent1 5 10 2" xfId="14594" xr:uid="{00000000-0005-0000-0000-0000F0040000}"/>
    <cellStyle name="20% - Accent1 5 10 2 2" xfId="28143" xr:uid="{00000000-0005-0000-0000-0000F1040000}"/>
    <cellStyle name="20% - Accent1 5 10 3" xfId="17681" xr:uid="{00000000-0005-0000-0000-0000F2040000}"/>
    <cellStyle name="20% - Accent1 5 11" xfId="358" xr:uid="{00000000-0005-0000-0000-0000F3040000}"/>
    <cellStyle name="20% - Accent1 5 11 2" xfId="15851" xr:uid="{00000000-0005-0000-0000-0000F4040000}"/>
    <cellStyle name="20% - Accent1 5 11 2 2" xfId="29258" xr:uid="{00000000-0005-0000-0000-0000F5040000}"/>
    <cellStyle name="20% - Accent1 5 11 3" xfId="17682" xr:uid="{00000000-0005-0000-0000-0000F6040000}"/>
    <cellStyle name="20% - Accent1 5 12" xfId="8856" xr:uid="{00000000-0005-0000-0000-0000F7040000}"/>
    <cellStyle name="20% - Accent1 5 12 2" xfId="23331" xr:uid="{00000000-0005-0000-0000-0000F8040000}"/>
    <cellStyle name="20% - Accent1 5 13" xfId="17680" xr:uid="{00000000-0005-0000-0000-0000F9040000}"/>
    <cellStyle name="20% - Accent1 5 2" xfId="359" xr:uid="{00000000-0005-0000-0000-0000FA040000}"/>
    <cellStyle name="20% - Accent1 5 2 10" xfId="360" xr:uid="{00000000-0005-0000-0000-0000FB040000}"/>
    <cellStyle name="20% - Accent1 5 2 10 2" xfId="15994" xr:uid="{00000000-0005-0000-0000-0000FC040000}"/>
    <cellStyle name="20% - Accent1 5 2 10 2 2" xfId="29401" xr:uid="{00000000-0005-0000-0000-0000FD040000}"/>
    <cellStyle name="20% - Accent1 5 2 10 3" xfId="17684" xr:uid="{00000000-0005-0000-0000-0000FE040000}"/>
    <cellStyle name="20% - Accent1 5 2 11" xfId="8857" xr:uid="{00000000-0005-0000-0000-0000FF040000}"/>
    <cellStyle name="20% - Accent1 5 2 11 2" xfId="23332" xr:uid="{00000000-0005-0000-0000-000000050000}"/>
    <cellStyle name="20% - Accent1 5 2 12" xfId="17683" xr:uid="{00000000-0005-0000-0000-000001050000}"/>
    <cellStyle name="20% - Accent1 5 2 2" xfId="361" xr:uid="{00000000-0005-0000-0000-000002050000}"/>
    <cellStyle name="20% - Accent1 5 2 2 10" xfId="8858" xr:uid="{00000000-0005-0000-0000-000003050000}"/>
    <cellStyle name="20% - Accent1 5 2 2 10 2" xfId="23333" xr:uid="{00000000-0005-0000-0000-000004050000}"/>
    <cellStyle name="20% - Accent1 5 2 2 11" xfId="17685" xr:uid="{00000000-0005-0000-0000-000005050000}"/>
    <cellStyle name="20% - Accent1 5 2 2 2" xfId="362" xr:uid="{00000000-0005-0000-0000-000006050000}"/>
    <cellStyle name="20% - Accent1 5 2 2 2 2" xfId="363" xr:uid="{00000000-0005-0000-0000-000007050000}"/>
    <cellStyle name="20% - Accent1 5 2 2 2 2 2" xfId="10584" xr:uid="{00000000-0005-0000-0000-000008050000}"/>
    <cellStyle name="20% - Accent1 5 2 2 2 2 2 2" xfId="24526" xr:uid="{00000000-0005-0000-0000-000009050000}"/>
    <cellStyle name="20% - Accent1 5 2 2 2 2 3" xfId="17687" xr:uid="{00000000-0005-0000-0000-00000A050000}"/>
    <cellStyle name="20% - Accent1 5 2 2 2 3" xfId="364" xr:uid="{00000000-0005-0000-0000-00000B050000}"/>
    <cellStyle name="20% - Accent1 5 2 2 2 3 2" xfId="12533" xr:uid="{00000000-0005-0000-0000-00000C050000}"/>
    <cellStyle name="20% - Accent1 5 2 2 2 3 2 2" xfId="26245" xr:uid="{00000000-0005-0000-0000-00000D050000}"/>
    <cellStyle name="20% - Accent1 5 2 2 2 3 3" xfId="17688" xr:uid="{00000000-0005-0000-0000-00000E050000}"/>
    <cellStyle name="20% - Accent1 5 2 2 2 4" xfId="365" xr:uid="{00000000-0005-0000-0000-00000F050000}"/>
    <cellStyle name="20% - Accent1 5 2 2 2 4 2" xfId="14597" xr:uid="{00000000-0005-0000-0000-000010050000}"/>
    <cellStyle name="20% - Accent1 5 2 2 2 4 2 2" xfId="28146" xr:uid="{00000000-0005-0000-0000-000011050000}"/>
    <cellStyle name="20% - Accent1 5 2 2 2 4 3" xfId="17689" xr:uid="{00000000-0005-0000-0000-000012050000}"/>
    <cellStyle name="20% - Accent1 5 2 2 2 5" xfId="366" xr:uid="{00000000-0005-0000-0000-000013050000}"/>
    <cellStyle name="20% - Accent1 5 2 2 2 5 2" xfId="16864" xr:uid="{00000000-0005-0000-0000-000014050000}"/>
    <cellStyle name="20% - Accent1 5 2 2 2 5 2 2" xfId="30271" xr:uid="{00000000-0005-0000-0000-000015050000}"/>
    <cellStyle name="20% - Accent1 5 2 2 2 5 3" xfId="17690" xr:uid="{00000000-0005-0000-0000-000016050000}"/>
    <cellStyle name="20% - Accent1 5 2 2 2 6" xfId="8859" xr:uid="{00000000-0005-0000-0000-000017050000}"/>
    <cellStyle name="20% - Accent1 5 2 2 2 6 2" xfId="23334" xr:uid="{00000000-0005-0000-0000-000018050000}"/>
    <cellStyle name="20% - Accent1 5 2 2 2 7" xfId="17686" xr:uid="{00000000-0005-0000-0000-000019050000}"/>
    <cellStyle name="20% - Accent1 5 2 2 3" xfId="367" xr:uid="{00000000-0005-0000-0000-00001A050000}"/>
    <cellStyle name="20% - Accent1 5 2 2 3 2" xfId="368" xr:uid="{00000000-0005-0000-0000-00001B050000}"/>
    <cellStyle name="20% - Accent1 5 2 2 3 2 2" xfId="14598" xr:uid="{00000000-0005-0000-0000-00001C050000}"/>
    <cellStyle name="20% - Accent1 5 2 2 3 2 2 2" xfId="28147" xr:uid="{00000000-0005-0000-0000-00001D050000}"/>
    <cellStyle name="20% - Accent1 5 2 2 3 2 3" xfId="17692" xr:uid="{00000000-0005-0000-0000-00001E050000}"/>
    <cellStyle name="20% - Accent1 5 2 2 3 3" xfId="10583" xr:uid="{00000000-0005-0000-0000-00001F050000}"/>
    <cellStyle name="20% - Accent1 5 2 2 3 3 2" xfId="24525" xr:uid="{00000000-0005-0000-0000-000020050000}"/>
    <cellStyle name="20% - Accent1 5 2 2 3 4" xfId="17691" xr:uid="{00000000-0005-0000-0000-000021050000}"/>
    <cellStyle name="20% - Accent1 5 2 2 4" xfId="369" xr:uid="{00000000-0005-0000-0000-000022050000}"/>
    <cellStyle name="20% - Accent1 5 2 2 4 2" xfId="12252" xr:uid="{00000000-0005-0000-0000-000023050000}"/>
    <cellStyle name="20% - Accent1 5 2 2 4 2 2" xfId="25964" xr:uid="{00000000-0005-0000-0000-000024050000}"/>
    <cellStyle name="20% - Accent1 5 2 2 4 3" xfId="17693" xr:uid="{00000000-0005-0000-0000-000025050000}"/>
    <cellStyle name="20% - Accent1 5 2 2 5" xfId="370" xr:uid="{00000000-0005-0000-0000-000026050000}"/>
    <cellStyle name="20% - Accent1 5 2 2 5 2" xfId="12602" xr:uid="{00000000-0005-0000-0000-000027050000}"/>
    <cellStyle name="20% - Accent1 5 2 2 5 2 2" xfId="26314" xr:uid="{00000000-0005-0000-0000-000028050000}"/>
    <cellStyle name="20% - Accent1 5 2 2 5 3" xfId="17694" xr:uid="{00000000-0005-0000-0000-000029050000}"/>
    <cellStyle name="20% - Accent1 5 2 2 6" xfId="371" xr:uid="{00000000-0005-0000-0000-00002A050000}"/>
    <cellStyle name="20% - Accent1 5 2 2 6 2" xfId="13816" xr:uid="{00000000-0005-0000-0000-00002B050000}"/>
    <cellStyle name="20% - Accent1 5 2 2 6 2 2" xfId="27365" xr:uid="{00000000-0005-0000-0000-00002C050000}"/>
    <cellStyle name="20% - Accent1 5 2 2 6 3" xfId="17695" xr:uid="{00000000-0005-0000-0000-00002D050000}"/>
    <cellStyle name="20% - Accent1 5 2 2 7" xfId="372" xr:uid="{00000000-0005-0000-0000-00002E050000}"/>
    <cellStyle name="20% - Accent1 5 2 2 7 2" xfId="14397" xr:uid="{00000000-0005-0000-0000-00002F050000}"/>
    <cellStyle name="20% - Accent1 5 2 2 7 2 2" xfId="27946" xr:uid="{00000000-0005-0000-0000-000030050000}"/>
    <cellStyle name="20% - Accent1 5 2 2 7 3" xfId="17696" xr:uid="{00000000-0005-0000-0000-000031050000}"/>
    <cellStyle name="20% - Accent1 5 2 2 8" xfId="373" xr:uid="{00000000-0005-0000-0000-000032050000}"/>
    <cellStyle name="20% - Accent1 5 2 2 8 2" xfId="14596" xr:uid="{00000000-0005-0000-0000-000033050000}"/>
    <cellStyle name="20% - Accent1 5 2 2 8 2 2" xfId="28145" xr:uid="{00000000-0005-0000-0000-000034050000}"/>
    <cellStyle name="20% - Accent1 5 2 2 8 3" xfId="17697" xr:uid="{00000000-0005-0000-0000-000035050000}"/>
    <cellStyle name="20% - Accent1 5 2 2 9" xfId="374" xr:uid="{00000000-0005-0000-0000-000036050000}"/>
    <cellStyle name="20% - Accent1 5 2 2 9 2" xfId="16283" xr:uid="{00000000-0005-0000-0000-000037050000}"/>
    <cellStyle name="20% - Accent1 5 2 2 9 2 2" xfId="29690" xr:uid="{00000000-0005-0000-0000-000038050000}"/>
    <cellStyle name="20% - Accent1 5 2 2 9 3" xfId="17698" xr:uid="{00000000-0005-0000-0000-000039050000}"/>
    <cellStyle name="20% - Accent1 5 2 3" xfId="375" xr:uid="{00000000-0005-0000-0000-00003A050000}"/>
    <cellStyle name="20% - Accent1 5 2 3 2" xfId="376" xr:uid="{00000000-0005-0000-0000-00003B050000}"/>
    <cellStyle name="20% - Accent1 5 2 3 2 2" xfId="10585" xr:uid="{00000000-0005-0000-0000-00003C050000}"/>
    <cellStyle name="20% - Accent1 5 2 3 2 2 2" xfId="24527" xr:uid="{00000000-0005-0000-0000-00003D050000}"/>
    <cellStyle name="20% - Accent1 5 2 3 2 3" xfId="17700" xr:uid="{00000000-0005-0000-0000-00003E050000}"/>
    <cellStyle name="20% - Accent1 5 2 3 3" xfId="377" xr:uid="{00000000-0005-0000-0000-00003F050000}"/>
    <cellStyle name="20% - Accent1 5 2 3 3 2" xfId="12645" xr:uid="{00000000-0005-0000-0000-000040050000}"/>
    <cellStyle name="20% - Accent1 5 2 3 3 2 2" xfId="26357" xr:uid="{00000000-0005-0000-0000-000041050000}"/>
    <cellStyle name="20% - Accent1 5 2 3 3 3" xfId="17701" xr:uid="{00000000-0005-0000-0000-000042050000}"/>
    <cellStyle name="20% - Accent1 5 2 3 4" xfId="378" xr:uid="{00000000-0005-0000-0000-000043050000}"/>
    <cellStyle name="20% - Accent1 5 2 3 4 2" xfId="14599" xr:uid="{00000000-0005-0000-0000-000044050000}"/>
    <cellStyle name="20% - Accent1 5 2 3 4 2 2" xfId="28148" xr:uid="{00000000-0005-0000-0000-000045050000}"/>
    <cellStyle name="20% - Accent1 5 2 3 4 3" xfId="17702" xr:uid="{00000000-0005-0000-0000-000046050000}"/>
    <cellStyle name="20% - Accent1 5 2 3 5" xfId="379" xr:uid="{00000000-0005-0000-0000-000047050000}"/>
    <cellStyle name="20% - Accent1 5 2 3 5 2" xfId="16575" xr:uid="{00000000-0005-0000-0000-000048050000}"/>
    <cellStyle name="20% - Accent1 5 2 3 5 2 2" xfId="29982" xr:uid="{00000000-0005-0000-0000-000049050000}"/>
    <cellStyle name="20% - Accent1 5 2 3 5 3" xfId="17703" xr:uid="{00000000-0005-0000-0000-00004A050000}"/>
    <cellStyle name="20% - Accent1 5 2 3 6" xfId="8860" xr:uid="{00000000-0005-0000-0000-00004B050000}"/>
    <cellStyle name="20% - Accent1 5 2 3 6 2" xfId="23335" xr:uid="{00000000-0005-0000-0000-00004C050000}"/>
    <cellStyle name="20% - Accent1 5 2 3 7" xfId="17699" xr:uid="{00000000-0005-0000-0000-00004D050000}"/>
    <cellStyle name="20% - Accent1 5 2 4" xfId="380" xr:uid="{00000000-0005-0000-0000-00004E050000}"/>
    <cellStyle name="20% - Accent1 5 2 4 2" xfId="381" xr:uid="{00000000-0005-0000-0000-00004F050000}"/>
    <cellStyle name="20% - Accent1 5 2 4 2 2" xfId="14600" xr:uid="{00000000-0005-0000-0000-000050050000}"/>
    <cellStyle name="20% - Accent1 5 2 4 2 2 2" xfId="28149" xr:uid="{00000000-0005-0000-0000-000051050000}"/>
    <cellStyle name="20% - Accent1 5 2 4 2 3" xfId="17705" xr:uid="{00000000-0005-0000-0000-000052050000}"/>
    <cellStyle name="20% - Accent1 5 2 4 3" xfId="10582" xr:uid="{00000000-0005-0000-0000-000053050000}"/>
    <cellStyle name="20% - Accent1 5 2 4 3 2" xfId="24524" xr:uid="{00000000-0005-0000-0000-000054050000}"/>
    <cellStyle name="20% - Accent1 5 2 4 4" xfId="17704" xr:uid="{00000000-0005-0000-0000-000055050000}"/>
    <cellStyle name="20% - Accent1 5 2 5" xfId="382" xr:uid="{00000000-0005-0000-0000-000056050000}"/>
    <cellStyle name="20% - Accent1 5 2 5 2" xfId="11952" xr:uid="{00000000-0005-0000-0000-000057050000}"/>
    <cellStyle name="20% - Accent1 5 2 5 2 2" xfId="25667" xr:uid="{00000000-0005-0000-0000-000058050000}"/>
    <cellStyle name="20% - Accent1 5 2 5 3" xfId="17706" xr:uid="{00000000-0005-0000-0000-000059050000}"/>
    <cellStyle name="20% - Accent1 5 2 6" xfId="383" xr:uid="{00000000-0005-0000-0000-00005A050000}"/>
    <cellStyle name="20% - Accent1 5 2 6 2" xfId="12103" xr:uid="{00000000-0005-0000-0000-00005B050000}"/>
    <cellStyle name="20% - Accent1 5 2 6 2 2" xfId="25815" xr:uid="{00000000-0005-0000-0000-00005C050000}"/>
    <cellStyle name="20% - Accent1 5 2 6 3" xfId="17707" xr:uid="{00000000-0005-0000-0000-00005D050000}"/>
    <cellStyle name="20% - Accent1 5 2 7" xfId="384" xr:uid="{00000000-0005-0000-0000-00005E050000}"/>
    <cellStyle name="20% - Accent1 5 2 7 2" xfId="13527" xr:uid="{00000000-0005-0000-0000-00005F050000}"/>
    <cellStyle name="20% - Accent1 5 2 7 2 2" xfId="27076" xr:uid="{00000000-0005-0000-0000-000060050000}"/>
    <cellStyle name="20% - Accent1 5 2 7 3" xfId="17708" xr:uid="{00000000-0005-0000-0000-000061050000}"/>
    <cellStyle name="20% - Accent1 5 2 8" xfId="385" xr:uid="{00000000-0005-0000-0000-000062050000}"/>
    <cellStyle name="20% - Accent1 5 2 8 2" xfId="14108" xr:uid="{00000000-0005-0000-0000-000063050000}"/>
    <cellStyle name="20% - Accent1 5 2 8 2 2" xfId="27657" xr:uid="{00000000-0005-0000-0000-000064050000}"/>
    <cellStyle name="20% - Accent1 5 2 8 3" xfId="17709" xr:uid="{00000000-0005-0000-0000-000065050000}"/>
    <cellStyle name="20% - Accent1 5 2 9" xfId="386" xr:uid="{00000000-0005-0000-0000-000066050000}"/>
    <cellStyle name="20% - Accent1 5 2 9 2" xfId="14595" xr:uid="{00000000-0005-0000-0000-000067050000}"/>
    <cellStyle name="20% - Accent1 5 2 9 2 2" xfId="28144" xr:uid="{00000000-0005-0000-0000-000068050000}"/>
    <cellStyle name="20% - Accent1 5 2 9 3" xfId="17710" xr:uid="{00000000-0005-0000-0000-000069050000}"/>
    <cellStyle name="20% - Accent1 5 3" xfId="387" xr:uid="{00000000-0005-0000-0000-00006A050000}"/>
    <cellStyle name="20% - Accent1 5 3 10" xfId="8861" xr:uid="{00000000-0005-0000-0000-00006B050000}"/>
    <cellStyle name="20% - Accent1 5 3 10 2" xfId="23336" xr:uid="{00000000-0005-0000-0000-00006C050000}"/>
    <cellStyle name="20% - Accent1 5 3 11" xfId="17711" xr:uid="{00000000-0005-0000-0000-00006D050000}"/>
    <cellStyle name="20% - Accent1 5 3 2" xfId="388" xr:uid="{00000000-0005-0000-0000-00006E050000}"/>
    <cellStyle name="20% - Accent1 5 3 2 2" xfId="389" xr:uid="{00000000-0005-0000-0000-00006F050000}"/>
    <cellStyle name="20% - Accent1 5 3 2 2 2" xfId="10587" xr:uid="{00000000-0005-0000-0000-000070050000}"/>
    <cellStyle name="20% - Accent1 5 3 2 2 2 2" xfId="24529" xr:uid="{00000000-0005-0000-0000-000071050000}"/>
    <cellStyle name="20% - Accent1 5 3 2 2 3" xfId="17713" xr:uid="{00000000-0005-0000-0000-000072050000}"/>
    <cellStyle name="20% - Accent1 5 3 2 3" xfId="390" xr:uid="{00000000-0005-0000-0000-000073050000}"/>
    <cellStyle name="20% - Accent1 5 3 2 3 2" xfId="12453" xr:uid="{00000000-0005-0000-0000-000074050000}"/>
    <cellStyle name="20% - Accent1 5 3 2 3 2 2" xfId="26165" xr:uid="{00000000-0005-0000-0000-000075050000}"/>
    <cellStyle name="20% - Accent1 5 3 2 3 3" xfId="17714" xr:uid="{00000000-0005-0000-0000-000076050000}"/>
    <cellStyle name="20% - Accent1 5 3 2 4" xfId="391" xr:uid="{00000000-0005-0000-0000-000077050000}"/>
    <cellStyle name="20% - Accent1 5 3 2 4 2" xfId="14602" xr:uid="{00000000-0005-0000-0000-000078050000}"/>
    <cellStyle name="20% - Accent1 5 3 2 4 2 2" xfId="28151" xr:uid="{00000000-0005-0000-0000-000079050000}"/>
    <cellStyle name="20% - Accent1 5 3 2 4 3" xfId="17715" xr:uid="{00000000-0005-0000-0000-00007A050000}"/>
    <cellStyle name="20% - Accent1 5 3 2 5" xfId="392" xr:uid="{00000000-0005-0000-0000-00007B050000}"/>
    <cellStyle name="20% - Accent1 5 3 2 5 2" xfId="16714" xr:uid="{00000000-0005-0000-0000-00007C050000}"/>
    <cellStyle name="20% - Accent1 5 3 2 5 2 2" xfId="30121" xr:uid="{00000000-0005-0000-0000-00007D050000}"/>
    <cellStyle name="20% - Accent1 5 3 2 5 3" xfId="17716" xr:uid="{00000000-0005-0000-0000-00007E050000}"/>
    <cellStyle name="20% - Accent1 5 3 2 6" xfId="8862" xr:uid="{00000000-0005-0000-0000-00007F050000}"/>
    <cellStyle name="20% - Accent1 5 3 2 6 2" xfId="23337" xr:uid="{00000000-0005-0000-0000-000080050000}"/>
    <cellStyle name="20% - Accent1 5 3 2 7" xfId="17712" xr:uid="{00000000-0005-0000-0000-000081050000}"/>
    <cellStyle name="20% - Accent1 5 3 3" xfId="393" xr:uid="{00000000-0005-0000-0000-000082050000}"/>
    <cellStyle name="20% - Accent1 5 3 3 2" xfId="394" xr:uid="{00000000-0005-0000-0000-000083050000}"/>
    <cellStyle name="20% - Accent1 5 3 3 2 2" xfId="14603" xr:uid="{00000000-0005-0000-0000-000084050000}"/>
    <cellStyle name="20% - Accent1 5 3 3 2 2 2" xfId="28152" xr:uid="{00000000-0005-0000-0000-000085050000}"/>
    <cellStyle name="20% - Accent1 5 3 3 2 3" xfId="17718" xr:uid="{00000000-0005-0000-0000-000086050000}"/>
    <cellStyle name="20% - Accent1 5 3 3 3" xfId="10586" xr:uid="{00000000-0005-0000-0000-000087050000}"/>
    <cellStyle name="20% - Accent1 5 3 3 3 2" xfId="24528" xr:uid="{00000000-0005-0000-0000-000088050000}"/>
    <cellStyle name="20% - Accent1 5 3 3 4" xfId="17717" xr:uid="{00000000-0005-0000-0000-000089050000}"/>
    <cellStyle name="20% - Accent1 5 3 4" xfId="395" xr:uid="{00000000-0005-0000-0000-00008A050000}"/>
    <cellStyle name="20% - Accent1 5 3 4 2" xfId="12094" xr:uid="{00000000-0005-0000-0000-00008B050000}"/>
    <cellStyle name="20% - Accent1 5 3 4 2 2" xfId="25806" xr:uid="{00000000-0005-0000-0000-00008C050000}"/>
    <cellStyle name="20% - Accent1 5 3 4 3" xfId="17719" xr:uid="{00000000-0005-0000-0000-00008D050000}"/>
    <cellStyle name="20% - Accent1 5 3 5" xfId="396" xr:uid="{00000000-0005-0000-0000-00008E050000}"/>
    <cellStyle name="20% - Accent1 5 3 5 2" xfId="12423" xr:uid="{00000000-0005-0000-0000-00008F050000}"/>
    <cellStyle name="20% - Accent1 5 3 5 2 2" xfId="26135" xr:uid="{00000000-0005-0000-0000-000090050000}"/>
    <cellStyle name="20% - Accent1 5 3 5 3" xfId="17720" xr:uid="{00000000-0005-0000-0000-000091050000}"/>
    <cellStyle name="20% - Accent1 5 3 6" xfId="397" xr:uid="{00000000-0005-0000-0000-000092050000}"/>
    <cellStyle name="20% - Accent1 5 3 6 2" xfId="13666" xr:uid="{00000000-0005-0000-0000-000093050000}"/>
    <cellStyle name="20% - Accent1 5 3 6 2 2" xfId="27215" xr:uid="{00000000-0005-0000-0000-000094050000}"/>
    <cellStyle name="20% - Accent1 5 3 6 3" xfId="17721" xr:uid="{00000000-0005-0000-0000-000095050000}"/>
    <cellStyle name="20% - Accent1 5 3 7" xfId="398" xr:uid="{00000000-0005-0000-0000-000096050000}"/>
    <cellStyle name="20% - Accent1 5 3 7 2" xfId="14247" xr:uid="{00000000-0005-0000-0000-000097050000}"/>
    <cellStyle name="20% - Accent1 5 3 7 2 2" xfId="27796" xr:uid="{00000000-0005-0000-0000-000098050000}"/>
    <cellStyle name="20% - Accent1 5 3 7 3" xfId="17722" xr:uid="{00000000-0005-0000-0000-000099050000}"/>
    <cellStyle name="20% - Accent1 5 3 8" xfId="399" xr:uid="{00000000-0005-0000-0000-00009A050000}"/>
    <cellStyle name="20% - Accent1 5 3 8 2" xfId="14601" xr:uid="{00000000-0005-0000-0000-00009B050000}"/>
    <cellStyle name="20% - Accent1 5 3 8 2 2" xfId="28150" xr:uid="{00000000-0005-0000-0000-00009C050000}"/>
    <cellStyle name="20% - Accent1 5 3 8 3" xfId="17723" xr:uid="{00000000-0005-0000-0000-00009D050000}"/>
    <cellStyle name="20% - Accent1 5 3 9" xfId="400" xr:uid="{00000000-0005-0000-0000-00009E050000}"/>
    <cellStyle name="20% - Accent1 5 3 9 2" xfId="16133" xr:uid="{00000000-0005-0000-0000-00009F050000}"/>
    <cellStyle name="20% - Accent1 5 3 9 2 2" xfId="29540" xr:uid="{00000000-0005-0000-0000-0000A0050000}"/>
    <cellStyle name="20% - Accent1 5 3 9 3" xfId="17724" xr:uid="{00000000-0005-0000-0000-0000A1050000}"/>
    <cellStyle name="20% - Accent1 5 4" xfId="401" xr:uid="{00000000-0005-0000-0000-0000A2050000}"/>
    <cellStyle name="20% - Accent1 5 4 2" xfId="402" xr:uid="{00000000-0005-0000-0000-0000A3050000}"/>
    <cellStyle name="20% - Accent1 5 4 2 2" xfId="10588" xr:uid="{00000000-0005-0000-0000-0000A4050000}"/>
    <cellStyle name="20% - Accent1 5 4 2 2 2" xfId="24530" xr:uid="{00000000-0005-0000-0000-0000A5050000}"/>
    <cellStyle name="20% - Accent1 5 4 2 3" xfId="17726" xr:uid="{00000000-0005-0000-0000-0000A6050000}"/>
    <cellStyle name="20% - Accent1 5 4 3" xfId="403" xr:uid="{00000000-0005-0000-0000-0000A7050000}"/>
    <cellStyle name="20% - Accent1 5 4 3 2" xfId="12417" xr:uid="{00000000-0005-0000-0000-0000A8050000}"/>
    <cellStyle name="20% - Accent1 5 4 3 2 2" xfId="26129" xr:uid="{00000000-0005-0000-0000-0000A9050000}"/>
    <cellStyle name="20% - Accent1 5 4 3 3" xfId="17727" xr:uid="{00000000-0005-0000-0000-0000AA050000}"/>
    <cellStyle name="20% - Accent1 5 4 4" xfId="404" xr:uid="{00000000-0005-0000-0000-0000AB050000}"/>
    <cellStyle name="20% - Accent1 5 4 4 2" xfId="14608" xr:uid="{00000000-0005-0000-0000-0000AC050000}"/>
    <cellStyle name="20% - Accent1 5 4 4 2 2" xfId="28157" xr:uid="{00000000-0005-0000-0000-0000AD050000}"/>
    <cellStyle name="20% - Accent1 5 4 4 3" xfId="17728" xr:uid="{00000000-0005-0000-0000-0000AE050000}"/>
    <cellStyle name="20% - Accent1 5 4 5" xfId="405" xr:uid="{00000000-0005-0000-0000-0000AF050000}"/>
    <cellStyle name="20% - Accent1 5 4 5 2" xfId="16432" xr:uid="{00000000-0005-0000-0000-0000B0050000}"/>
    <cellStyle name="20% - Accent1 5 4 5 2 2" xfId="29839" xr:uid="{00000000-0005-0000-0000-0000B1050000}"/>
    <cellStyle name="20% - Accent1 5 4 5 3" xfId="17729" xr:uid="{00000000-0005-0000-0000-0000B2050000}"/>
    <cellStyle name="20% - Accent1 5 4 6" xfId="8863" xr:uid="{00000000-0005-0000-0000-0000B3050000}"/>
    <cellStyle name="20% - Accent1 5 4 6 2" xfId="23338" xr:uid="{00000000-0005-0000-0000-0000B4050000}"/>
    <cellStyle name="20% - Accent1 5 4 7" xfId="17725" xr:uid="{00000000-0005-0000-0000-0000B5050000}"/>
    <cellStyle name="20% - Accent1 5 5" xfId="406" xr:uid="{00000000-0005-0000-0000-0000B6050000}"/>
    <cellStyle name="20% - Accent1 5 5 2" xfId="407" xr:uid="{00000000-0005-0000-0000-0000B7050000}"/>
    <cellStyle name="20% - Accent1 5 5 2 2" xfId="14609" xr:uid="{00000000-0005-0000-0000-0000B8050000}"/>
    <cellStyle name="20% - Accent1 5 5 2 2 2" xfId="28158" xr:uid="{00000000-0005-0000-0000-0000B9050000}"/>
    <cellStyle name="20% - Accent1 5 5 2 3" xfId="17731" xr:uid="{00000000-0005-0000-0000-0000BA050000}"/>
    <cellStyle name="20% - Accent1 5 5 3" xfId="10581" xr:uid="{00000000-0005-0000-0000-0000BB050000}"/>
    <cellStyle name="20% - Accent1 5 5 3 2" xfId="24523" xr:uid="{00000000-0005-0000-0000-0000BC050000}"/>
    <cellStyle name="20% - Accent1 5 5 4" xfId="17730" xr:uid="{00000000-0005-0000-0000-0000BD050000}"/>
    <cellStyle name="20% - Accent1 5 6" xfId="408" xr:uid="{00000000-0005-0000-0000-0000BE050000}"/>
    <cellStyle name="20% - Accent1 5 6 2" xfId="11783" xr:uid="{00000000-0005-0000-0000-0000BF050000}"/>
    <cellStyle name="20% - Accent1 5 6 2 2" xfId="25498" xr:uid="{00000000-0005-0000-0000-0000C0050000}"/>
    <cellStyle name="20% - Accent1 5 6 3" xfId="17732" xr:uid="{00000000-0005-0000-0000-0000C1050000}"/>
    <cellStyle name="20% - Accent1 5 7" xfId="409" xr:uid="{00000000-0005-0000-0000-0000C2050000}"/>
    <cellStyle name="20% - Accent1 5 7 2" xfId="12545" xr:uid="{00000000-0005-0000-0000-0000C3050000}"/>
    <cellStyle name="20% - Accent1 5 7 2 2" xfId="26257" xr:uid="{00000000-0005-0000-0000-0000C4050000}"/>
    <cellStyle name="20% - Accent1 5 7 3" xfId="17733" xr:uid="{00000000-0005-0000-0000-0000C5050000}"/>
    <cellStyle name="20% - Accent1 5 8" xfId="410" xr:uid="{00000000-0005-0000-0000-0000C6050000}"/>
    <cellStyle name="20% - Accent1 5 8 2" xfId="13384" xr:uid="{00000000-0005-0000-0000-0000C7050000}"/>
    <cellStyle name="20% - Accent1 5 8 2 2" xfId="26933" xr:uid="{00000000-0005-0000-0000-0000C8050000}"/>
    <cellStyle name="20% - Accent1 5 8 3" xfId="17734" xr:uid="{00000000-0005-0000-0000-0000C9050000}"/>
    <cellStyle name="20% - Accent1 5 9" xfId="411" xr:uid="{00000000-0005-0000-0000-0000CA050000}"/>
    <cellStyle name="20% - Accent1 5 9 2" xfId="13965" xr:uid="{00000000-0005-0000-0000-0000CB050000}"/>
    <cellStyle name="20% - Accent1 5 9 2 2" xfId="27514" xr:uid="{00000000-0005-0000-0000-0000CC050000}"/>
    <cellStyle name="20% - Accent1 5 9 3" xfId="17735" xr:uid="{00000000-0005-0000-0000-0000CD050000}"/>
    <cellStyle name="20% - Accent1 6" xfId="412" xr:uid="{00000000-0005-0000-0000-0000CE050000}"/>
    <cellStyle name="20% - Accent1 6 10" xfId="413" xr:uid="{00000000-0005-0000-0000-0000CF050000}"/>
    <cellStyle name="20% - Accent1 6 10 2" xfId="14610" xr:uid="{00000000-0005-0000-0000-0000D0050000}"/>
    <cellStyle name="20% - Accent1 6 10 2 2" xfId="28159" xr:uid="{00000000-0005-0000-0000-0000D1050000}"/>
    <cellStyle name="20% - Accent1 6 10 3" xfId="17737" xr:uid="{00000000-0005-0000-0000-0000D2050000}"/>
    <cellStyle name="20% - Accent1 6 11" xfId="414" xr:uid="{00000000-0005-0000-0000-0000D3050000}"/>
    <cellStyle name="20% - Accent1 6 11 2" xfId="15957" xr:uid="{00000000-0005-0000-0000-0000D4050000}"/>
    <cellStyle name="20% - Accent1 6 11 2 2" xfId="29364" xr:uid="{00000000-0005-0000-0000-0000D5050000}"/>
    <cellStyle name="20% - Accent1 6 11 3" xfId="17738" xr:uid="{00000000-0005-0000-0000-0000D6050000}"/>
    <cellStyle name="20% - Accent1 6 12" xfId="8864" xr:uid="{00000000-0005-0000-0000-0000D7050000}"/>
    <cellStyle name="20% - Accent1 6 12 2" xfId="23339" xr:uid="{00000000-0005-0000-0000-0000D8050000}"/>
    <cellStyle name="20% - Accent1 6 13" xfId="17736" xr:uid="{00000000-0005-0000-0000-0000D9050000}"/>
    <cellStyle name="20% - Accent1 6 2" xfId="415" xr:uid="{00000000-0005-0000-0000-0000DA050000}"/>
    <cellStyle name="20% - Accent1 6 2 10" xfId="416" xr:uid="{00000000-0005-0000-0000-0000DB050000}"/>
    <cellStyle name="20% - Accent1 6 2 10 2" xfId="16100" xr:uid="{00000000-0005-0000-0000-0000DC050000}"/>
    <cellStyle name="20% - Accent1 6 2 10 2 2" xfId="29507" xr:uid="{00000000-0005-0000-0000-0000DD050000}"/>
    <cellStyle name="20% - Accent1 6 2 10 3" xfId="17740" xr:uid="{00000000-0005-0000-0000-0000DE050000}"/>
    <cellStyle name="20% - Accent1 6 2 11" xfId="8865" xr:uid="{00000000-0005-0000-0000-0000DF050000}"/>
    <cellStyle name="20% - Accent1 6 2 11 2" xfId="23340" xr:uid="{00000000-0005-0000-0000-0000E0050000}"/>
    <cellStyle name="20% - Accent1 6 2 12" xfId="17739" xr:uid="{00000000-0005-0000-0000-0000E1050000}"/>
    <cellStyle name="20% - Accent1 6 2 2" xfId="417" xr:uid="{00000000-0005-0000-0000-0000E2050000}"/>
    <cellStyle name="20% - Accent1 6 2 2 10" xfId="8866" xr:uid="{00000000-0005-0000-0000-0000E3050000}"/>
    <cellStyle name="20% - Accent1 6 2 2 10 2" xfId="23341" xr:uid="{00000000-0005-0000-0000-0000E4050000}"/>
    <cellStyle name="20% - Accent1 6 2 2 11" xfId="17741" xr:uid="{00000000-0005-0000-0000-0000E5050000}"/>
    <cellStyle name="20% - Accent1 6 2 2 2" xfId="418" xr:uid="{00000000-0005-0000-0000-0000E6050000}"/>
    <cellStyle name="20% - Accent1 6 2 2 2 2" xfId="419" xr:uid="{00000000-0005-0000-0000-0000E7050000}"/>
    <cellStyle name="20% - Accent1 6 2 2 2 2 2" xfId="10592" xr:uid="{00000000-0005-0000-0000-0000E8050000}"/>
    <cellStyle name="20% - Accent1 6 2 2 2 2 2 2" xfId="24534" xr:uid="{00000000-0005-0000-0000-0000E9050000}"/>
    <cellStyle name="20% - Accent1 6 2 2 2 2 3" xfId="17743" xr:uid="{00000000-0005-0000-0000-0000EA050000}"/>
    <cellStyle name="20% - Accent1 6 2 2 2 3" xfId="420" xr:uid="{00000000-0005-0000-0000-0000EB050000}"/>
    <cellStyle name="20% - Accent1 6 2 2 2 3 2" xfId="12800" xr:uid="{00000000-0005-0000-0000-0000EC050000}"/>
    <cellStyle name="20% - Accent1 6 2 2 2 3 2 2" xfId="26512" xr:uid="{00000000-0005-0000-0000-0000ED050000}"/>
    <cellStyle name="20% - Accent1 6 2 2 2 3 3" xfId="17744" xr:uid="{00000000-0005-0000-0000-0000EE050000}"/>
    <cellStyle name="20% - Accent1 6 2 2 2 4" xfId="421" xr:uid="{00000000-0005-0000-0000-0000EF050000}"/>
    <cellStyle name="20% - Accent1 6 2 2 2 4 2" xfId="14613" xr:uid="{00000000-0005-0000-0000-0000F0050000}"/>
    <cellStyle name="20% - Accent1 6 2 2 2 4 2 2" xfId="28162" xr:uid="{00000000-0005-0000-0000-0000F1050000}"/>
    <cellStyle name="20% - Accent1 6 2 2 2 4 3" xfId="17745" xr:uid="{00000000-0005-0000-0000-0000F2050000}"/>
    <cellStyle name="20% - Accent1 6 2 2 2 5" xfId="422" xr:uid="{00000000-0005-0000-0000-0000F3050000}"/>
    <cellStyle name="20% - Accent1 6 2 2 2 5 2" xfId="16970" xr:uid="{00000000-0005-0000-0000-0000F4050000}"/>
    <cellStyle name="20% - Accent1 6 2 2 2 5 2 2" xfId="30377" xr:uid="{00000000-0005-0000-0000-0000F5050000}"/>
    <cellStyle name="20% - Accent1 6 2 2 2 5 3" xfId="17746" xr:uid="{00000000-0005-0000-0000-0000F6050000}"/>
    <cellStyle name="20% - Accent1 6 2 2 2 6" xfId="8867" xr:uid="{00000000-0005-0000-0000-0000F7050000}"/>
    <cellStyle name="20% - Accent1 6 2 2 2 6 2" xfId="23342" xr:uid="{00000000-0005-0000-0000-0000F8050000}"/>
    <cellStyle name="20% - Accent1 6 2 2 2 7" xfId="17742" xr:uid="{00000000-0005-0000-0000-0000F9050000}"/>
    <cellStyle name="20% - Accent1 6 2 2 3" xfId="423" xr:uid="{00000000-0005-0000-0000-0000FA050000}"/>
    <cellStyle name="20% - Accent1 6 2 2 3 2" xfId="424" xr:uid="{00000000-0005-0000-0000-0000FB050000}"/>
    <cellStyle name="20% - Accent1 6 2 2 3 2 2" xfId="14614" xr:uid="{00000000-0005-0000-0000-0000FC050000}"/>
    <cellStyle name="20% - Accent1 6 2 2 3 2 2 2" xfId="28163" xr:uid="{00000000-0005-0000-0000-0000FD050000}"/>
    <cellStyle name="20% - Accent1 6 2 2 3 2 3" xfId="17748" xr:uid="{00000000-0005-0000-0000-0000FE050000}"/>
    <cellStyle name="20% - Accent1 6 2 2 3 3" xfId="10591" xr:uid="{00000000-0005-0000-0000-0000FF050000}"/>
    <cellStyle name="20% - Accent1 6 2 2 3 3 2" xfId="24533" xr:uid="{00000000-0005-0000-0000-000000060000}"/>
    <cellStyle name="20% - Accent1 6 2 2 3 4" xfId="17747" xr:uid="{00000000-0005-0000-0000-000001060000}"/>
    <cellStyle name="20% - Accent1 6 2 2 4" xfId="425" xr:uid="{00000000-0005-0000-0000-000002060000}"/>
    <cellStyle name="20% - Accent1 6 2 2 4 2" xfId="12358" xr:uid="{00000000-0005-0000-0000-000003060000}"/>
    <cellStyle name="20% - Accent1 6 2 2 4 2 2" xfId="26070" xr:uid="{00000000-0005-0000-0000-000004060000}"/>
    <cellStyle name="20% - Accent1 6 2 2 4 3" xfId="17749" xr:uid="{00000000-0005-0000-0000-000005060000}"/>
    <cellStyle name="20% - Accent1 6 2 2 5" xfId="426" xr:uid="{00000000-0005-0000-0000-000006060000}"/>
    <cellStyle name="20% - Accent1 6 2 2 5 2" xfId="12790" xr:uid="{00000000-0005-0000-0000-000007060000}"/>
    <cellStyle name="20% - Accent1 6 2 2 5 2 2" xfId="26502" xr:uid="{00000000-0005-0000-0000-000008060000}"/>
    <cellStyle name="20% - Accent1 6 2 2 5 3" xfId="17750" xr:uid="{00000000-0005-0000-0000-000009060000}"/>
    <cellStyle name="20% - Accent1 6 2 2 6" xfId="427" xr:uid="{00000000-0005-0000-0000-00000A060000}"/>
    <cellStyle name="20% - Accent1 6 2 2 6 2" xfId="13922" xr:uid="{00000000-0005-0000-0000-00000B060000}"/>
    <cellStyle name="20% - Accent1 6 2 2 6 2 2" xfId="27471" xr:uid="{00000000-0005-0000-0000-00000C060000}"/>
    <cellStyle name="20% - Accent1 6 2 2 6 3" xfId="17751" xr:uid="{00000000-0005-0000-0000-00000D060000}"/>
    <cellStyle name="20% - Accent1 6 2 2 7" xfId="428" xr:uid="{00000000-0005-0000-0000-00000E060000}"/>
    <cellStyle name="20% - Accent1 6 2 2 7 2" xfId="14503" xr:uid="{00000000-0005-0000-0000-00000F060000}"/>
    <cellStyle name="20% - Accent1 6 2 2 7 2 2" xfId="28052" xr:uid="{00000000-0005-0000-0000-000010060000}"/>
    <cellStyle name="20% - Accent1 6 2 2 7 3" xfId="17752" xr:uid="{00000000-0005-0000-0000-000011060000}"/>
    <cellStyle name="20% - Accent1 6 2 2 8" xfId="429" xr:uid="{00000000-0005-0000-0000-000012060000}"/>
    <cellStyle name="20% - Accent1 6 2 2 8 2" xfId="14612" xr:uid="{00000000-0005-0000-0000-000013060000}"/>
    <cellStyle name="20% - Accent1 6 2 2 8 2 2" xfId="28161" xr:uid="{00000000-0005-0000-0000-000014060000}"/>
    <cellStyle name="20% - Accent1 6 2 2 8 3" xfId="17753" xr:uid="{00000000-0005-0000-0000-000015060000}"/>
    <cellStyle name="20% - Accent1 6 2 2 9" xfId="430" xr:uid="{00000000-0005-0000-0000-000016060000}"/>
    <cellStyle name="20% - Accent1 6 2 2 9 2" xfId="16389" xr:uid="{00000000-0005-0000-0000-000017060000}"/>
    <cellStyle name="20% - Accent1 6 2 2 9 2 2" xfId="29796" xr:uid="{00000000-0005-0000-0000-000018060000}"/>
    <cellStyle name="20% - Accent1 6 2 2 9 3" xfId="17754" xr:uid="{00000000-0005-0000-0000-000019060000}"/>
    <cellStyle name="20% - Accent1 6 2 3" xfId="431" xr:uid="{00000000-0005-0000-0000-00001A060000}"/>
    <cellStyle name="20% - Accent1 6 2 3 2" xfId="432" xr:uid="{00000000-0005-0000-0000-00001B060000}"/>
    <cellStyle name="20% - Accent1 6 2 3 2 2" xfId="10593" xr:uid="{00000000-0005-0000-0000-00001C060000}"/>
    <cellStyle name="20% - Accent1 6 2 3 2 2 2" xfId="24535" xr:uid="{00000000-0005-0000-0000-00001D060000}"/>
    <cellStyle name="20% - Accent1 6 2 3 2 3" xfId="17756" xr:uid="{00000000-0005-0000-0000-00001E060000}"/>
    <cellStyle name="20% - Accent1 6 2 3 3" xfId="433" xr:uid="{00000000-0005-0000-0000-00001F060000}"/>
    <cellStyle name="20% - Accent1 6 2 3 3 2" xfId="12503" xr:uid="{00000000-0005-0000-0000-000020060000}"/>
    <cellStyle name="20% - Accent1 6 2 3 3 2 2" xfId="26215" xr:uid="{00000000-0005-0000-0000-000021060000}"/>
    <cellStyle name="20% - Accent1 6 2 3 3 3" xfId="17757" xr:uid="{00000000-0005-0000-0000-000022060000}"/>
    <cellStyle name="20% - Accent1 6 2 3 4" xfId="434" xr:uid="{00000000-0005-0000-0000-000023060000}"/>
    <cellStyle name="20% - Accent1 6 2 3 4 2" xfId="14615" xr:uid="{00000000-0005-0000-0000-000024060000}"/>
    <cellStyle name="20% - Accent1 6 2 3 4 2 2" xfId="28164" xr:uid="{00000000-0005-0000-0000-000025060000}"/>
    <cellStyle name="20% - Accent1 6 2 3 4 3" xfId="17758" xr:uid="{00000000-0005-0000-0000-000026060000}"/>
    <cellStyle name="20% - Accent1 6 2 3 5" xfId="435" xr:uid="{00000000-0005-0000-0000-000027060000}"/>
    <cellStyle name="20% - Accent1 6 2 3 5 2" xfId="16681" xr:uid="{00000000-0005-0000-0000-000028060000}"/>
    <cellStyle name="20% - Accent1 6 2 3 5 2 2" xfId="30088" xr:uid="{00000000-0005-0000-0000-000029060000}"/>
    <cellStyle name="20% - Accent1 6 2 3 5 3" xfId="17759" xr:uid="{00000000-0005-0000-0000-00002A060000}"/>
    <cellStyle name="20% - Accent1 6 2 3 6" xfId="8868" xr:uid="{00000000-0005-0000-0000-00002B060000}"/>
    <cellStyle name="20% - Accent1 6 2 3 6 2" xfId="23343" xr:uid="{00000000-0005-0000-0000-00002C060000}"/>
    <cellStyle name="20% - Accent1 6 2 3 7" xfId="17755" xr:uid="{00000000-0005-0000-0000-00002D060000}"/>
    <cellStyle name="20% - Accent1 6 2 4" xfId="436" xr:uid="{00000000-0005-0000-0000-00002E060000}"/>
    <cellStyle name="20% - Accent1 6 2 4 2" xfId="437" xr:uid="{00000000-0005-0000-0000-00002F060000}"/>
    <cellStyle name="20% - Accent1 6 2 4 2 2" xfId="14616" xr:uid="{00000000-0005-0000-0000-000030060000}"/>
    <cellStyle name="20% - Accent1 6 2 4 2 2 2" xfId="28165" xr:uid="{00000000-0005-0000-0000-000031060000}"/>
    <cellStyle name="20% - Accent1 6 2 4 2 3" xfId="17761" xr:uid="{00000000-0005-0000-0000-000032060000}"/>
    <cellStyle name="20% - Accent1 6 2 4 3" xfId="10590" xr:uid="{00000000-0005-0000-0000-000033060000}"/>
    <cellStyle name="20% - Accent1 6 2 4 3 2" xfId="24532" xr:uid="{00000000-0005-0000-0000-000034060000}"/>
    <cellStyle name="20% - Accent1 6 2 4 4" xfId="17760" xr:uid="{00000000-0005-0000-0000-000035060000}"/>
    <cellStyle name="20% - Accent1 6 2 5" xfId="438" xr:uid="{00000000-0005-0000-0000-000036060000}"/>
    <cellStyle name="20% - Accent1 6 2 5 2" xfId="12058" xr:uid="{00000000-0005-0000-0000-000037060000}"/>
    <cellStyle name="20% - Accent1 6 2 5 2 2" xfId="25773" xr:uid="{00000000-0005-0000-0000-000038060000}"/>
    <cellStyle name="20% - Accent1 6 2 5 3" xfId="17762" xr:uid="{00000000-0005-0000-0000-000039060000}"/>
    <cellStyle name="20% - Accent1 6 2 6" xfId="439" xr:uid="{00000000-0005-0000-0000-00003A060000}"/>
    <cellStyle name="20% - Accent1 6 2 6 2" xfId="12554" xr:uid="{00000000-0005-0000-0000-00003B060000}"/>
    <cellStyle name="20% - Accent1 6 2 6 2 2" xfId="26266" xr:uid="{00000000-0005-0000-0000-00003C060000}"/>
    <cellStyle name="20% - Accent1 6 2 6 3" xfId="17763" xr:uid="{00000000-0005-0000-0000-00003D060000}"/>
    <cellStyle name="20% - Accent1 6 2 7" xfId="440" xr:uid="{00000000-0005-0000-0000-00003E060000}"/>
    <cellStyle name="20% - Accent1 6 2 7 2" xfId="13633" xr:uid="{00000000-0005-0000-0000-00003F060000}"/>
    <cellStyle name="20% - Accent1 6 2 7 2 2" xfId="27182" xr:uid="{00000000-0005-0000-0000-000040060000}"/>
    <cellStyle name="20% - Accent1 6 2 7 3" xfId="17764" xr:uid="{00000000-0005-0000-0000-000041060000}"/>
    <cellStyle name="20% - Accent1 6 2 8" xfId="441" xr:uid="{00000000-0005-0000-0000-000042060000}"/>
    <cellStyle name="20% - Accent1 6 2 8 2" xfId="14214" xr:uid="{00000000-0005-0000-0000-000043060000}"/>
    <cellStyle name="20% - Accent1 6 2 8 2 2" xfId="27763" xr:uid="{00000000-0005-0000-0000-000044060000}"/>
    <cellStyle name="20% - Accent1 6 2 8 3" xfId="17765" xr:uid="{00000000-0005-0000-0000-000045060000}"/>
    <cellStyle name="20% - Accent1 6 2 9" xfId="442" xr:uid="{00000000-0005-0000-0000-000046060000}"/>
    <cellStyle name="20% - Accent1 6 2 9 2" xfId="14611" xr:uid="{00000000-0005-0000-0000-000047060000}"/>
    <cellStyle name="20% - Accent1 6 2 9 2 2" xfId="28160" xr:uid="{00000000-0005-0000-0000-000048060000}"/>
    <cellStyle name="20% - Accent1 6 2 9 3" xfId="17766" xr:uid="{00000000-0005-0000-0000-000049060000}"/>
    <cellStyle name="20% - Accent1 6 3" xfId="443" xr:uid="{00000000-0005-0000-0000-00004A060000}"/>
    <cellStyle name="20% - Accent1 6 3 10" xfId="8869" xr:uid="{00000000-0005-0000-0000-00004B060000}"/>
    <cellStyle name="20% - Accent1 6 3 10 2" xfId="23344" xr:uid="{00000000-0005-0000-0000-00004C060000}"/>
    <cellStyle name="20% - Accent1 6 3 11" xfId="17767" xr:uid="{00000000-0005-0000-0000-00004D060000}"/>
    <cellStyle name="20% - Accent1 6 3 2" xfId="444" xr:uid="{00000000-0005-0000-0000-00004E060000}"/>
    <cellStyle name="20% - Accent1 6 3 2 2" xfId="445" xr:uid="{00000000-0005-0000-0000-00004F060000}"/>
    <cellStyle name="20% - Accent1 6 3 2 2 2" xfId="10595" xr:uid="{00000000-0005-0000-0000-000050060000}"/>
    <cellStyle name="20% - Accent1 6 3 2 2 2 2" xfId="24537" xr:uid="{00000000-0005-0000-0000-000051060000}"/>
    <cellStyle name="20% - Accent1 6 3 2 2 3" xfId="17769" xr:uid="{00000000-0005-0000-0000-000052060000}"/>
    <cellStyle name="20% - Accent1 6 3 2 3" xfId="446" xr:uid="{00000000-0005-0000-0000-000053060000}"/>
    <cellStyle name="20% - Accent1 6 3 2 3 2" xfId="12526" xr:uid="{00000000-0005-0000-0000-000054060000}"/>
    <cellStyle name="20% - Accent1 6 3 2 3 2 2" xfId="26238" xr:uid="{00000000-0005-0000-0000-000055060000}"/>
    <cellStyle name="20% - Accent1 6 3 2 3 3" xfId="17770" xr:uid="{00000000-0005-0000-0000-000056060000}"/>
    <cellStyle name="20% - Accent1 6 3 2 4" xfId="447" xr:uid="{00000000-0005-0000-0000-000057060000}"/>
    <cellStyle name="20% - Accent1 6 3 2 4 2" xfId="14618" xr:uid="{00000000-0005-0000-0000-000058060000}"/>
    <cellStyle name="20% - Accent1 6 3 2 4 2 2" xfId="28167" xr:uid="{00000000-0005-0000-0000-000059060000}"/>
    <cellStyle name="20% - Accent1 6 3 2 4 3" xfId="17771" xr:uid="{00000000-0005-0000-0000-00005A060000}"/>
    <cellStyle name="20% - Accent1 6 3 2 5" xfId="448" xr:uid="{00000000-0005-0000-0000-00005B060000}"/>
    <cellStyle name="20% - Accent1 6 3 2 5 2" xfId="16827" xr:uid="{00000000-0005-0000-0000-00005C060000}"/>
    <cellStyle name="20% - Accent1 6 3 2 5 2 2" xfId="30234" xr:uid="{00000000-0005-0000-0000-00005D060000}"/>
    <cellStyle name="20% - Accent1 6 3 2 5 3" xfId="17772" xr:uid="{00000000-0005-0000-0000-00005E060000}"/>
    <cellStyle name="20% - Accent1 6 3 2 6" xfId="8870" xr:uid="{00000000-0005-0000-0000-00005F060000}"/>
    <cellStyle name="20% - Accent1 6 3 2 6 2" xfId="23345" xr:uid="{00000000-0005-0000-0000-000060060000}"/>
    <cellStyle name="20% - Accent1 6 3 2 7" xfId="17768" xr:uid="{00000000-0005-0000-0000-000061060000}"/>
    <cellStyle name="20% - Accent1 6 3 3" xfId="449" xr:uid="{00000000-0005-0000-0000-000062060000}"/>
    <cellStyle name="20% - Accent1 6 3 3 2" xfId="450" xr:uid="{00000000-0005-0000-0000-000063060000}"/>
    <cellStyle name="20% - Accent1 6 3 3 2 2" xfId="14619" xr:uid="{00000000-0005-0000-0000-000064060000}"/>
    <cellStyle name="20% - Accent1 6 3 3 2 2 2" xfId="28168" xr:uid="{00000000-0005-0000-0000-000065060000}"/>
    <cellStyle name="20% - Accent1 6 3 3 2 3" xfId="17774" xr:uid="{00000000-0005-0000-0000-000066060000}"/>
    <cellStyle name="20% - Accent1 6 3 3 3" xfId="10594" xr:uid="{00000000-0005-0000-0000-000067060000}"/>
    <cellStyle name="20% - Accent1 6 3 3 3 2" xfId="24536" xr:uid="{00000000-0005-0000-0000-000068060000}"/>
    <cellStyle name="20% - Accent1 6 3 3 4" xfId="17773" xr:uid="{00000000-0005-0000-0000-000069060000}"/>
    <cellStyle name="20% - Accent1 6 3 4" xfId="451" xr:uid="{00000000-0005-0000-0000-00006A060000}"/>
    <cellStyle name="20% - Accent1 6 3 4 2" xfId="12215" xr:uid="{00000000-0005-0000-0000-00006B060000}"/>
    <cellStyle name="20% - Accent1 6 3 4 2 2" xfId="25927" xr:uid="{00000000-0005-0000-0000-00006C060000}"/>
    <cellStyle name="20% - Accent1 6 3 4 3" xfId="17775" xr:uid="{00000000-0005-0000-0000-00006D060000}"/>
    <cellStyle name="20% - Accent1 6 3 5" xfId="452" xr:uid="{00000000-0005-0000-0000-00006E060000}"/>
    <cellStyle name="20% - Accent1 6 3 5 2" xfId="12499" xr:uid="{00000000-0005-0000-0000-00006F060000}"/>
    <cellStyle name="20% - Accent1 6 3 5 2 2" xfId="26211" xr:uid="{00000000-0005-0000-0000-000070060000}"/>
    <cellStyle name="20% - Accent1 6 3 5 3" xfId="17776" xr:uid="{00000000-0005-0000-0000-000071060000}"/>
    <cellStyle name="20% - Accent1 6 3 6" xfId="453" xr:uid="{00000000-0005-0000-0000-000072060000}"/>
    <cellStyle name="20% - Accent1 6 3 6 2" xfId="13779" xr:uid="{00000000-0005-0000-0000-000073060000}"/>
    <cellStyle name="20% - Accent1 6 3 6 2 2" xfId="27328" xr:uid="{00000000-0005-0000-0000-000074060000}"/>
    <cellStyle name="20% - Accent1 6 3 6 3" xfId="17777" xr:uid="{00000000-0005-0000-0000-000075060000}"/>
    <cellStyle name="20% - Accent1 6 3 7" xfId="454" xr:uid="{00000000-0005-0000-0000-000076060000}"/>
    <cellStyle name="20% - Accent1 6 3 7 2" xfId="14360" xr:uid="{00000000-0005-0000-0000-000077060000}"/>
    <cellStyle name="20% - Accent1 6 3 7 2 2" xfId="27909" xr:uid="{00000000-0005-0000-0000-000078060000}"/>
    <cellStyle name="20% - Accent1 6 3 7 3" xfId="17778" xr:uid="{00000000-0005-0000-0000-000079060000}"/>
    <cellStyle name="20% - Accent1 6 3 8" xfId="455" xr:uid="{00000000-0005-0000-0000-00007A060000}"/>
    <cellStyle name="20% - Accent1 6 3 8 2" xfId="14617" xr:uid="{00000000-0005-0000-0000-00007B060000}"/>
    <cellStyle name="20% - Accent1 6 3 8 2 2" xfId="28166" xr:uid="{00000000-0005-0000-0000-00007C060000}"/>
    <cellStyle name="20% - Accent1 6 3 8 3" xfId="17779" xr:uid="{00000000-0005-0000-0000-00007D060000}"/>
    <cellStyle name="20% - Accent1 6 3 9" xfId="456" xr:uid="{00000000-0005-0000-0000-00007E060000}"/>
    <cellStyle name="20% - Accent1 6 3 9 2" xfId="16246" xr:uid="{00000000-0005-0000-0000-00007F060000}"/>
    <cellStyle name="20% - Accent1 6 3 9 2 2" xfId="29653" xr:uid="{00000000-0005-0000-0000-000080060000}"/>
    <cellStyle name="20% - Accent1 6 3 9 3" xfId="17780" xr:uid="{00000000-0005-0000-0000-000081060000}"/>
    <cellStyle name="20% - Accent1 6 4" xfId="457" xr:uid="{00000000-0005-0000-0000-000082060000}"/>
    <cellStyle name="20% - Accent1 6 4 2" xfId="458" xr:uid="{00000000-0005-0000-0000-000083060000}"/>
    <cellStyle name="20% - Accent1 6 4 2 2" xfId="10596" xr:uid="{00000000-0005-0000-0000-000084060000}"/>
    <cellStyle name="20% - Accent1 6 4 2 2 2" xfId="24538" xr:uid="{00000000-0005-0000-0000-000085060000}"/>
    <cellStyle name="20% - Accent1 6 4 2 3" xfId="17782" xr:uid="{00000000-0005-0000-0000-000086060000}"/>
    <cellStyle name="20% - Accent1 6 4 3" xfId="459" xr:uid="{00000000-0005-0000-0000-000087060000}"/>
    <cellStyle name="20% - Accent1 6 4 3 2" xfId="12470" xr:uid="{00000000-0005-0000-0000-000088060000}"/>
    <cellStyle name="20% - Accent1 6 4 3 2 2" xfId="26182" xr:uid="{00000000-0005-0000-0000-000089060000}"/>
    <cellStyle name="20% - Accent1 6 4 3 3" xfId="17783" xr:uid="{00000000-0005-0000-0000-00008A060000}"/>
    <cellStyle name="20% - Accent1 6 4 4" xfId="460" xr:uid="{00000000-0005-0000-0000-00008B060000}"/>
    <cellStyle name="20% - Accent1 6 4 4 2" xfId="14620" xr:uid="{00000000-0005-0000-0000-00008C060000}"/>
    <cellStyle name="20% - Accent1 6 4 4 2 2" xfId="28169" xr:uid="{00000000-0005-0000-0000-00008D060000}"/>
    <cellStyle name="20% - Accent1 6 4 4 3" xfId="17784" xr:uid="{00000000-0005-0000-0000-00008E060000}"/>
    <cellStyle name="20% - Accent1 6 4 5" xfId="461" xr:uid="{00000000-0005-0000-0000-00008F060000}"/>
    <cellStyle name="20% - Accent1 6 4 5 2" xfId="16538" xr:uid="{00000000-0005-0000-0000-000090060000}"/>
    <cellStyle name="20% - Accent1 6 4 5 2 2" xfId="29945" xr:uid="{00000000-0005-0000-0000-000091060000}"/>
    <cellStyle name="20% - Accent1 6 4 5 3" xfId="17785" xr:uid="{00000000-0005-0000-0000-000092060000}"/>
    <cellStyle name="20% - Accent1 6 4 6" xfId="8871" xr:uid="{00000000-0005-0000-0000-000093060000}"/>
    <cellStyle name="20% - Accent1 6 4 6 2" xfId="23346" xr:uid="{00000000-0005-0000-0000-000094060000}"/>
    <cellStyle name="20% - Accent1 6 4 7" xfId="17781" xr:uid="{00000000-0005-0000-0000-000095060000}"/>
    <cellStyle name="20% - Accent1 6 5" xfId="462" xr:uid="{00000000-0005-0000-0000-000096060000}"/>
    <cellStyle name="20% - Accent1 6 5 2" xfId="463" xr:uid="{00000000-0005-0000-0000-000097060000}"/>
    <cellStyle name="20% - Accent1 6 5 2 2" xfId="14621" xr:uid="{00000000-0005-0000-0000-000098060000}"/>
    <cellStyle name="20% - Accent1 6 5 2 2 2" xfId="28170" xr:uid="{00000000-0005-0000-0000-000099060000}"/>
    <cellStyle name="20% - Accent1 6 5 2 3" xfId="17787" xr:uid="{00000000-0005-0000-0000-00009A060000}"/>
    <cellStyle name="20% - Accent1 6 5 3" xfId="10589" xr:uid="{00000000-0005-0000-0000-00009B060000}"/>
    <cellStyle name="20% - Accent1 6 5 3 2" xfId="24531" xr:uid="{00000000-0005-0000-0000-00009C060000}"/>
    <cellStyle name="20% - Accent1 6 5 4" xfId="17786" xr:uid="{00000000-0005-0000-0000-00009D060000}"/>
    <cellStyle name="20% - Accent1 6 6" xfId="464" xr:uid="{00000000-0005-0000-0000-00009E060000}"/>
    <cellStyle name="20% - Accent1 6 6 2" xfId="11913" xr:uid="{00000000-0005-0000-0000-00009F060000}"/>
    <cellStyle name="20% - Accent1 6 6 2 2" xfId="25628" xr:uid="{00000000-0005-0000-0000-0000A0060000}"/>
    <cellStyle name="20% - Accent1 6 6 3" xfId="17788" xr:uid="{00000000-0005-0000-0000-0000A1060000}"/>
    <cellStyle name="20% - Accent1 6 7" xfId="465" xr:uid="{00000000-0005-0000-0000-0000A2060000}"/>
    <cellStyle name="20% - Accent1 6 7 2" xfId="12553" xr:uid="{00000000-0005-0000-0000-0000A3060000}"/>
    <cellStyle name="20% - Accent1 6 7 2 2" xfId="26265" xr:uid="{00000000-0005-0000-0000-0000A4060000}"/>
    <cellStyle name="20% - Accent1 6 7 3" xfId="17789" xr:uid="{00000000-0005-0000-0000-0000A5060000}"/>
    <cellStyle name="20% - Accent1 6 8" xfId="466" xr:uid="{00000000-0005-0000-0000-0000A6060000}"/>
    <cellStyle name="20% - Accent1 6 8 2" xfId="13490" xr:uid="{00000000-0005-0000-0000-0000A7060000}"/>
    <cellStyle name="20% - Accent1 6 8 2 2" xfId="27039" xr:uid="{00000000-0005-0000-0000-0000A8060000}"/>
    <cellStyle name="20% - Accent1 6 8 3" xfId="17790" xr:uid="{00000000-0005-0000-0000-0000A9060000}"/>
    <cellStyle name="20% - Accent1 6 9" xfId="467" xr:uid="{00000000-0005-0000-0000-0000AA060000}"/>
    <cellStyle name="20% - Accent1 6 9 2" xfId="14071" xr:uid="{00000000-0005-0000-0000-0000AB060000}"/>
    <cellStyle name="20% - Accent1 6 9 2 2" xfId="27620" xr:uid="{00000000-0005-0000-0000-0000AC060000}"/>
    <cellStyle name="20% - Accent1 6 9 3" xfId="17791" xr:uid="{00000000-0005-0000-0000-0000AD060000}"/>
    <cellStyle name="20% - Accent1 7" xfId="468" xr:uid="{00000000-0005-0000-0000-0000AE060000}"/>
    <cellStyle name="20% - Accent1 7 10" xfId="469" xr:uid="{00000000-0005-0000-0000-0000AF060000}"/>
    <cellStyle name="20% - Accent1 7 10 2" xfId="15977" xr:uid="{00000000-0005-0000-0000-0000B0060000}"/>
    <cellStyle name="20% - Accent1 7 10 2 2" xfId="29384" xr:uid="{00000000-0005-0000-0000-0000B1060000}"/>
    <cellStyle name="20% - Accent1 7 10 3" xfId="17793" xr:uid="{00000000-0005-0000-0000-0000B2060000}"/>
    <cellStyle name="20% - Accent1 7 11" xfId="8872" xr:uid="{00000000-0005-0000-0000-0000B3060000}"/>
    <cellStyle name="20% - Accent1 7 11 2" xfId="23347" xr:uid="{00000000-0005-0000-0000-0000B4060000}"/>
    <cellStyle name="20% - Accent1 7 12" xfId="17792" xr:uid="{00000000-0005-0000-0000-0000B5060000}"/>
    <cellStyle name="20% - Accent1 7 2" xfId="470" xr:uid="{00000000-0005-0000-0000-0000B6060000}"/>
    <cellStyle name="20% - Accent1 7 2 10" xfId="8873" xr:uid="{00000000-0005-0000-0000-0000B7060000}"/>
    <cellStyle name="20% - Accent1 7 2 10 2" xfId="23348" xr:uid="{00000000-0005-0000-0000-0000B8060000}"/>
    <cellStyle name="20% - Accent1 7 2 11" xfId="17794" xr:uid="{00000000-0005-0000-0000-0000B9060000}"/>
    <cellStyle name="20% - Accent1 7 2 2" xfId="471" xr:uid="{00000000-0005-0000-0000-0000BA060000}"/>
    <cellStyle name="20% - Accent1 7 2 2 2" xfId="472" xr:uid="{00000000-0005-0000-0000-0000BB060000}"/>
    <cellStyle name="20% - Accent1 7 2 2 2 2" xfId="10599" xr:uid="{00000000-0005-0000-0000-0000BC060000}"/>
    <cellStyle name="20% - Accent1 7 2 2 2 2 2" xfId="24541" xr:uid="{00000000-0005-0000-0000-0000BD060000}"/>
    <cellStyle name="20% - Accent1 7 2 2 2 3" xfId="17796" xr:uid="{00000000-0005-0000-0000-0000BE060000}"/>
    <cellStyle name="20% - Accent1 7 2 2 3" xfId="473" xr:uid="{00000000-0005-0000-0000-0000BF060000}"/>
    <cellStyle name="20% - Accent1 7 2 2 3 2" xfId="11771" xr:uid="{00000000-0005-0000-0000-0000C0060000}"/>
    <cellStyle name="20% - Accent1 7 2 2 3 2 2" xfId="25486" xr:uid="{00000000-0005-0000-0000-0000C1060000}"/>
    <cellStyle name="20% - Accent1 7 2 2 3 3" xfId="17797" xr:uid="{00000000-0005-0000-0000-0000C2060000}"/>
    <cellStyle name="20% - Accent1 7 2 2 4" xfId="474" xr:uid="{00000000-0005-0000-0000-0000C3060000}"/>
    <cellStyle name="20% - Accent1 7 2 2 4 2" xfId="14624" xr:uid="{00000000-0005-0000-0000-0000C4060000}"/>
    <cellStyle name="20% - Accent1 7 2 2 4 2 2" xfId="28173" xr:uid="{00000000-0005-0000-0000-0000C5060000}"/>
    <cellStyle name="20% - Accent1 7 2 2 4 3" xfId="17798" xr:uid="{00000000-0005-0000-0000-0000C6060000}"/>
    <cellStyle name="20% - Accent1 7 2 2 5" xfId="475" xr:uid="{00000000-0005-0000-0000-0000C7060000}"/>
    <cellStyle name="20% - Accent1 7 2 2 5 2" xfId="16847" xr:uid="{00000000-0005-0000-0000-0000C8060000}"/>
    <cellStyle name="20% - Accent1 7 2 2 5 2 2" xfId="30254" xr:uid="{00000000-0005-0000-0000-0000C9060000}"/>
    <cellStyle name="20% - Accent1 7 2 2 5 3" xfId="17799" xr:uid="{00000000-0005-0000-0000-0000CA060000}"/>
    <cellStyle name="20% - Accent1 7 2 2 6" xfId="8874" xr:uid="{00000000-0005-0000-0000-0000CB060000}"/>
    <cellStyle name="20% - Accent1 7 2 2 6 2" xfId="23349" xr:uid="{00000000-0005-0000-0000-0000CC060000}"/>
    <cellStyle name="20% - Accent1 7 2 2 7" xfId="17795" xr:uid="{00000000-0005-0000-0000-0000CD060000}"/>
    <cellStyle name="20% - Accent1 7 2 3" xfId="476" xr:uid="{00000000-0005-0000-0000-0000CE060000}"/>
    <cellStyle name="20% - Accent1 7 2 3 2" xfId="477" xr:uid="{00000000-0005-0000-0000-0000CF060000}"/>
    <cellStyle name="20% - Accent1 7 2 3 2 2" xfId="14625" xr:uid="{00000000-0005-0000-0000-0000D0060000}"/>
    <cellStyle name="20% - Accent1 7 2 3 2 2 2" xfId="28174" xr:uid="{00000000-0005-0000-0000-0000D1060000}"/>
    <cellStyle name="20% - Accent1 7 2 3 2 3" xfId="17801" xr:uid="{00000000-0005-0000-0000-0000D2060000}"/>
    <cellStyle name="20% - Accent1 7 2 3 3" xfId="10598" xr:uid="{00000000-0005-0000-0000-0000D3060000}"/>
    <cellStyle name="20% - Accent1 7 2 3 3 2" xfId="24540" xr:uid="{00000000-0005-0000-0000-0000D4060000}"/>
    <cellStyle name="20% - Accent1 7 2 3 4" xfId="17800" xr:uid="{00000000-0005-0000-0000-0000D5060000}"/>
    <cellStyle name="20% - Accent1 7 2 4" xfId="478" xr:uid="{00000000-0005-0000-0000-0000D6060000}"/>
    <cellStyle name="20% - Accent1 7 2 4 2" xfId="12235" xr:uid="{00000000-0005-0000-0000-0000D7060000}"/>
    <cellStyle name="20% - Accent1 7 2 4 2 2" xfId="25947" xr:uid="{00000000-0005-0000-0000-0000D8060000}"/>
    <cellStyle name="20% - Accent1 7 2 4 3" xfId="17802" xr:uid="{00000000-0005-0000-0000-0000D9060000}"/>
    <cellStyle name="20% - Accent1 7 2 5" xfId="479" xr:uid="{00000000-0005-0000-0000-0000DA060000}"/>
    <cellStyle name="20% - Accent1 7 2 5 2" xfId="12671" xr:uid="{00000000-0005-0000-0000-0000DB060000}"/>
    <cellStyle name="20% - Accent1 7 2 5 2 2" xfId="26383" xr:uid="{00000000-0005-0000-0000-0000DC060000}"/>
    <cellStyle name="20% - Accent1 7 2 5 3" xfId="17803" xr:uid="{00000000-0005-0000-0000-0000DD060000}"/>
    <cellStyle name="20% - Accent1 7 2 6" xfId="480" xr:uid="{00000000-0005-0000-0000-0000DE060000}"/>
    <cellStyle name="20% - Accent1 7 2 6 2" xfId="13799" xr:uid="{00000000-0005-0000-0000-0000DF060000}"/>
    <cellStyle name="20% - Accent1 7 2 6 2 2" xfId="27348" xr:uid="{00000000-0005-0000-0000-0000E0060000}"/>
    <cellStyle name="20% - Accent1 7 2 6 3" xfId="17804" xr:uid="{00000000-0005-0000-0000-0000E1060000}"/>
    <cellStyle name="20% - Accent1 7 2 7" xfId="481" xr:uid="{00000000-0005-0000-0000-0000E2060000}"/>
    <cellStyle name="20% - Accent1 7 2 7 2" xfId="14380" xr:uid="{00000000-0005-0000-0000-0000E3060000}"/>
    <cellStyle name="20% - Accent1 7 2 7 2 2" xfId="27929" xr:uid="{00000000-0005-0000-0000-0000E4060000}"/>
    <cellStyle name="20% - Accent1 7 2 7 3" xfId="17805" xr:uid="{00000000-0005-0000-0000-0000E5060000}"/>
    <cellStyle name="20% - Accent1 7 2 8" xfId="482" xr:uid="{00000000-0005-0000-0000-0000E6060000}"/>
    <cellStyle name="20% - Accent1 7 2 8 2" xfId="14623" xr:uid="{00000000-0005-0000-0000-0000E7060000}"/>
    <cellStyle name="20% - Accent1 7 2 8 2 2" xfId="28172" xr:uid="{00000000-0005-0000-0000-0000E8060000}"/>
    <cellStyle name="20% - Accent1 7 2 8 3" xfId="17806" xr:uid="{00000000-0005-0000-0000-0000E9060000}"/>
    <cellStyle name="20% - Accent1 7 2 9" xfId="483" xr:uid="{00000000-0005-0000-0000-0000EA060000}"/>
    <cellStyle name="20% - Accent1 7 2 9 2" xfId="16266" xr:uid="{00000000-0005-0000-0000-0000EB060000}"/>
    <cellStyle name="20% - Accent1 7 2 9 2 2" xfId="29673" xr:uid="{00000000-0005-0000-0000-0000EC060000}"/>
    <cellStyle name="20% - Accent1 7 2 9 3" xfId="17807" xr:uid="{00000000-0005-0000-0000-0000ED060000}"/>
    <cellStyle name="20% - Accent1 7 3" xfId="484" xr:uid="{00000000-0005-0000-0000-0000EE060000}"/>
    <cellStyle name="20% - Accent1 7 3 2" xfId="485" xr:uid="{00000000-0005-0000-0000-0000EF060000}"/>
    <cellStyle name="20% - Accent1 7 3 2 2" xfId="10600" xr:uid="{00000000-0005-0000-0000-0000F0060000}"/>
    <cellStyle name="20% - Accent1 7 3 2 2 2" xfId="24542" xr:uid="{00000000-0005-0000-0000-0000F1060000}"/>
    <cellStyle name="20% - Accent1 7 3 2 3" xfId="17809" xr:uid="{00000000-0005-0000-0000-0000F2060000}"/>
    <cellStyle name="20% - Accent1 7 3 3" xfId="486" xr:uid="{00000000-0005-0000-0000-0000F3060000}"/>
    <cellStyle name="20% - Accent1 7 3 3 2" xfId="12562" xr:uid="{00000000-0005-0000-0000-0000F4060000}"/>
    <cellStyle name="20% - Accent1 7 3 3 2 2" xfId="26274" xr:uid="{00000000-0005-0000-0000-0000F5060000}"/>
    <cellStyle name="20% - Accent1 7 3 3 3" xfId="17810" xr:uid="{00000000-0005-0000-0000-0000F6060000}"/>
    <cellStyle name="20% - Accent1 7 3 4" xfId="487" xr:uid="{00000000-0005-0000-0000-0000F7060000}"/>
    <cellStyle name="20% - Accent1 7 3 4 2" xfId="14626" xr:uid="{00000000-0005-0000-0000-0000F8060000}"/>
    <cellStyle name="20% - Accent1 7 3 4 2 2" xfId="28175" xr:uid="{00000000-0005-0000-0000-0000F9060000}"/>
    <cellStyle name="20% - Accent1 7 3 4 3" xfId="17811" xr:uid="{00000000-0005-0000-0000-0000FA060000}"/>
    <cellStyle name="20% - Accent1 7 3 5" xfId="488" xr:uid="{00000000-0005-0000-0000-0000FB060000}"/>
    <cellStyle name="20% - Accent1 7 3 5 2" xfId="16558" xr:uid="{00000000-0005-0000-0000-0000FC060000}"/>
    <cellStyle name="20% - Accent1 7 3 5 2 2" xfId="29965" xr:uid="{00000000-0005-0000-0000-0000FD060000}"/>
    <cellStyle name="20% - Accent1 7 3 5 3" xfId="17812" xr:uid="{00000000-0005-0000-0000-0000FE060000}"/>
    <cellStyle name="20% - Accent1 7 3 6" xfId="8875" xr:uid="{00000000-0005-0000-0000-0000FF060000}"/>
    <cellStyle name="20% - Accent1 7 3 6 2" xfId="23350" xr:uid="{00000000-0005-0000-0000-000000070000}"/>
    <cellStyle name="20% - Accent1 7 3 7" xfId="17808" xr:uid="{00000000-0005-0000-0000-000001070000}"/>
    <cellStyle name="20% - Accent1 7 4" xfId="489" xr:uid="{00000000-0005-0000-0000-000002070000}"/>
    <cellStyle name="20% - Accent1 7 4 2" xfId="490" xr:uid="{00000000-0005-0000-0000-000003070000}"/>
    <cellStyle name="20% - Accent1 7 4 2 2" xfId="14627" xr:uid="{00000000-0005-0000-0000-000004070000}"/>
    <cellStyle name="20% - Accent1 7 4 2 2 2" xfId="28176" xr:uid="{00000000-0005-0000-0000-000005070000}"/>
    <cellStyle name="20% - Accent1 7 4 2 3" xfId="17814" xr:uid="{00000000-0005-0000-0000-000006070000}"/>
    <cellStyle name="20% - Accent1 7 4 3" xfId="10597" xr:uid="{00000000-0005-0000-0000-000007070000}"/>
    <cellStyle name="20% - Accent1 7 4 3 2" xfId="24539" xr:uid="{00000000-0005-0000-0000-000008070000}"/>
    <cellStyle name="20% - Accent1 7 4 4" xfId="17813" xr:uid="{00000000-0005-0000-0000-000009070000}"/>
    <cellStyle name="20% - Accent1 7 5" xfId="491" xr:uid="{00000000-0005-0000-0000-00000A070000}"/>
    <cellStyle name="20% - Accent1 7 5 2" xfId="11933" xr:uid="{00000000-0005-0000-0000-00000B070000}"/>
    <cellStyle name="20% - Accent1 7 5 2 2" xfId="25648" xr:uid="{00000000-0005-0000-0000-00000C070000}"/>
    <cellStyle name="20% - Accent1 7 5 3" xfId="17815" xr:uid="{00000000-0005-0000-0000-00000D070000}"/>
    <cellStyle name="20% - Accent1 7 6" xfId="492" xr:uid="{00000000-0005-0000-0000-00000E070000}"/>
    <cellStyle name="20% - Accent1 7 6 2" xfId="12581" xr:uid="{00000000-0005-0000-0000-00000F070000}"/>
    <cellStyle name="20% - Accent1 7 6 2 2" xfId="26293" xr:uid="{00000000-0005-0000-0000-000010070000}"/>
    <cellStyle name="20% - Accent1 7 6 3" xfId="17816" xr:uid="{00000000-0005-0000-0000-000011070000}"/>
    <cellStyle name="20% - Accent1 7 7" xfId="493" xr:uid="{00000000-0005-0000-0000-000012070000}"/>
    <cellStyle name="20% - Accent1 7 7 2" xfId="13510" xr:uid="{00000000-0005-0000-0000-000013070000}"/>
    <cellStyle name="20% - Accent1 7 7 2 2" xfId="27059" xr:uid="{00000000-0005-0000-0000-000014070000}"/>
    <cellStyle name="20% - Accent1 7 7 3" xfId="17817" xr:uid="{00000000-0005-0000-0000-000015070000}"/>
    <cellStyle name="20% - Accent1 7 8" xfId="494" xr:uid="{00000000-0005-0000-0000-000016070000}"/>
    <cellStyle name="20% - Accent1 7 8 2" xfId="14091" xr:uid="{00000000-0005-0000-0000-000017070000}"/>
    <cellStyle name="20% - Accent1 7 8 2 2" xfId="27640" xr:uid="{00000000-0005-0000-0000-000018070000}"/>
    <cellStyle name="20% - Accent1 7 8 3" xfId="17818" xr:uid="{00000000-0005-0000-0000-000019070000}"/>
    <cellStyle name="20% - Accent1 7 9" xfId="495" xr:uid="{00000000-0005-0000-0000-00001A070000}"/>
    <cellStyle name="20% - Accent1 7 9 2" xfId="14622" xr:uid="{00000000-0005-0000-0000-00001B070000}"/>
    <cellStyle name="20% - Accent1 7 9 2 2" xfId="28171" xr:uid="{00000000-0005-0000-0000-00001C070000}"/>
    <cellStyle name="20% - Accent1 7 9 3" xfId="17819" xr:uid="{00000000-0005-0000-0000-00001D070000}"/>
    <cellStyle name="20% - Accent1 8" xfId="496" xr:uid="{00000000-0005-0000-0000-00001E070000}"/>
    <cellStyle name="20% - Accent1 8 10" xfId="8876" xr:uid="{00000000-0005-0000-0000-00001F070000}"/>
    <cellStyle name="20% - Accent1 8 10 2" xfId="23351" xr:uid="{00000000-0005-0000-0000-000020070000}"/>
    <cellStyle name="20% - Accent1 8 11" xfId="17820" xr:uid="{00000000-0005-0000-0000-000021070000}"/>
    <cellStyle name="20% - Accent1 8 2" xfId="497" xr:uid="{00000000-0005-0000-0000-000022070000}"/>
    <cellStyle name="20% - Accent1 8 2 2" xfId="498" xr:uid="{00000000-0005-0000-0000-000023070000}"/>
    <cellStyle name="20% - Accent1 8 2 2 2" xfId="10602" xr:uid="{00000000-0005-0000-0000-000024070000}"/>
    <cellStyle name="20% - Accent1 8 2 2 2 2" xfId="24544" xr:uid="{00000000-0005-0000-0000-000025070000}"/>
    <cellStyle name="20% - Accent1 8 2 2 3" xfId="17822" xr:uid="{00000000-0005-0000-0000-000026070000}"/>
    <cellStyle name="20% - Accent1 8 2 3" xfId="499" xr:uid="{00000000-0005-0000-0000-000027070000}"/>
    <cellStyle name="20% - Accent1 8 2 3 2" xfId="12703" xr:uid="{00000000-0005-0000-0000-000028070000}"/>
    <cellStyle name="20% - Accent1 8 2 3 2 2" xfId="26415" xr:uid="{00000000-0005-0000-0000-000029070000}"/>
    <cellStyle name="20% - Accent1 8 2 3 3" xfId="17823" xr:uid="{00000000-0005-0000-0000-00002A070000}"/>
    <cellStyle name="20% - Accent1 8 2 4" xfId="500" xr:uid="{00000000-0005-0000-0000-00002B070000}"/>
    <cellStyle name="20% - Accent1 8 2 4 2" xfId="14629" xr:uid="{00000000-0005-0000-0000-00002C070000}"/>
    <cellStyle name="20% - Accent1 8 2 4 2 2" xfId="28178" xr:uid="{00000000-0005-0000-0000-00002D070000}"/>
    <cellStyle name="20% - Accent1 8 2 4 3" xfId="17824" xr:uid="{00000000-0005-0000-0000-00002E070000}"/>
    <cellStyle name="20% - Accent1 8 2 5" xfId="501" xr:uid="{00000000-0005-0000-0000-00002F070000}"/>
    <cellStyle name="20% - Accent1 8 2 5 2" xfId="16701" xr:uid="{00000000-0005-0000-0000-000030070000}"/>
    <cellStyle name="20% - Accent1 8 2 5 2 2" xfId="30108" xr:uid="{00000000-0005-0000-0000-000031070000}"/>
    <cellStyle name="20% - Accent1 8 2 5 3" xfId="17825" xr:uid="{00000000-0005-0000-0000-000032070000}"/>
    <cellStyle name="20% - Accent1 8 2 6" xfId="8877" xr:uid="{00000000-0005-0000-0000-000033070000}"/>
    <cellStyle name="20% - Accent1 8 2 6 2" xfId="23352" xr:uid="{00000000-0005-0000-0000-000034070000}"/>
    <cellStyle name="20% - Accent1 8 2 7" xfId="17821" xr:uid="{00000000-0005-0000-0000-000035070000}"/>
    <cellStyle name="20% - Accent1 8 3" xfId="502" xr:uid="{00000000-0005-0000-0000-000036070000}"/>
    <cellStyle name="20% - Accent1 8 3 2" xfId="503" xr:uid="{00000000-0005-0000-0000-000037070000}"/>
    <cellStyle name="20% - Accent1 8 3 2 2" xfId="14630" xr:uid="{00000000-0005-0000-0000-000038070000}"/>
    <cellStyle name="20% - Accent1 8 3 2 2 2" xfId="28179" xr:uid="{00000000-0005-0000-0000-000039070000}"/>
    <cellStyle name="20% - Accent1 8 3 2 3" xfId="17827" xr:uid="{00000000-0005-0000-0000-00003A070000}"/>
    <cellStyle name="20% - Accent1 8 3 3" xfId="10601" xr:uid="{00000000-0005-0000-0000-00003B070000}"/>
    <cellStyle name="20% - Accent1 8 3 3 2" xfId="24543" xr:uid="{00000000-0005-0000-0000-00003C070000}"/>
    <cellStyle name="20% - Accent1 8 3 4" xfId="17826" xr:uid="{00000000-0005-0000-0000-00003D070000}"/>
    <cellStyle name="20% - Accent1 8 4" xfId="504" xr:uid="{00000000-0005-0000-0000-00003E070000}"/>
    <cellStyle name="20% - Accent1 8 4 2" xfId="12079" xr:uid="{00000000-0005-0000-0000-00003F070000}"/>
    <cellStyle name="20% - Accent1 8 4 2 2" xfId="25793" xr:uid="{00000000-0005-0000-0000-000040070000}"/>
    <cellStyle name="20% - Accent1 8 4 3" xfId="17828" xr:uid="{00000000-0005-0000-0000-000041070000}"/>
    <cellStyle name="20% - Accent1 8 5" xfId="505" xr:uid="{00000000-0005-0000-0000-000042070000}"/>
    <cellStyle name="20% - Accent1 8 5 2" xfId="12569" xr:uid="{00000000-0005-0000-0000-000043070000}"/>
    <cellStyle name="20% - Accent1 8 5 2 2" xfId="26281" xr:uid="{00000000-0005-0000-0000-000044070000}"/>
    <cellStyle name="20% - Accent1 8 5 3" xfId="17829" xr:uid="{00000000-0005-0000-0000-000045070000}"/>
    <cellStyle name="20% - Accent1 8 6" xfId="506" xr:uid="{00000000-0005-0000-0000-000046070000}"/>
    <cellStyle name="20% - Accent1 8 6 2" xfId="13653" xr:uid="{00000000-0005-0000-0000-000047070000}"/>
    <cellStyle name="20% - Accent1 8 6 2 2" xfId="27202" xr:uid="{00000000-0005-0000-0000-000048070000}"/>
    <cellStyle name="20% - Accent1 8 6 3" xfId="17830" xr:uid="{00000000-0005-0000-0000-000049070000}"/>
    <cellStyle name="20% - Accent1 8 7" xfId="507" xr:uid="{00000000-0005-0000-0000-00004A070000}"/>
    <cellStyle name="20% - Accent1 8 7 2" xfId="14234" xr:uid="{00000000-0005-0000-0000-00004B070000}"/>
    <cellStyle name="20% - Accent1 8 7 2 2" xfId="27783" xr:uid="{00000000-0005-0000-0000-00004C070000}"/>
    <cellStyle name="20% - Accent1 8 7 3" xfId="17831" xr:uid="{00000000-0005-0000-0000-00004D070000}"/>
    <cellStyle name="20% - Accent1 8 8" xfId="508" xr:uid="{00000000-0005-0000-0000-00004E070000}"/>
    <cellStyle name="20% - Accent1 8 8 2" xfId="14628" xr:uid="{00000000-0005-0000-0000-00004F070000}"/>
    <cellStyle name="20% - Accent1 8 8 2 2" xfId="28177" xr:uid="{00000000-0005-0000-0000-000050070000}"/>
    <cellStyle name="20% - Accent1 8 8 3" xfId="17832" xr:uid="{00000000-0005-0000-0000-000051070000}"/>
    <cellStyle name="20% - Accent1 8 9" xfId="509" xr:uid="{00000000-0005-0000-0000-000052070000}"/>
    <cellStyle name="20% - Accent1 8 9 2" xfId="16120" xr:uid="{00000000-0005-0000-0000-000053070000}"/>
    <cellStyle name="20% - Accent1 8 9 2 2" xfId="29527" xr:uid="{00000000-0005-0000-0000-000054070000}"/>
    <cellStyle name="20% - Accent1 8 9 3" xfId="17833" xr:uid="{00000000-0005-0000-0000-000055070000}"/>
    <cellStyle name="20% - Accent1 9" xfId="510" xr:uid="{00000000-0005-0000-0000-000056070000}"/>
    <cellStyle name="20% - Accent1 9 2" xfId="511" xr:uid="{00000000-0005-0000-0000-000057070000}"/>
    <cellStyle name="20% - Accent1 9 2 2" xfId="10603" xr:uid="{00000000-0005-0000-0000-000058070000}"/>
    <cellStyle name="20% - Accent1 9 2 2 2" xfId="24545" xr:uid="{00000000-0005-0000-0000-000059070000}"/>
    <cellStyle name="20% - Accent1 9 2 3" xfId="17835" xr:uid="{00000000-0005-0000-0000-00005A070000}"/>
    <cellStyle name="20% - Accent1 9 3" xfId="512" xr:uid="{00000000-0005-0000-0000-00005B070000}"/>
    <cellStyle name="20% - Accent1 9 3 2" xfId="12572" xr:uid="{00000000-0005-0000-0000-00005C070000}"/>
    <cellStyle name="20% - Accent1 9 3 2 2" xfId="26284" xr:uid="{00000000-0005-0000-0000-00005D070000}"/>
    <cellStyle name="20% - Accent1 9 3 3" xfId="17836" xr:uid="{00000000-0005-0000-0000-00005E070000}"/>
    <cellStyle name="20% - Accent1 9 4" xfId="513" xr:uid="{00000000-0005-0000-0000-00005F070000}"/>
    <cellStyle name="20% - Accent1 9 4 2" xfId="14631" xr:uid="{00000000-0005-0000-0000-000060070000}"/>
    <cellStyle name="20% - Accent1 9 4 2 2" xfId="28180" xr:uid="{00000000-0005-0000-0000-000061070000}"/>
    <cellStyle name="20% - Accent1 9 4 3" xfId="17837" xr:uid="{00000000-0005-0000-0000-000062070000}"/>
    <cellStyle name="20% - Accent1 9 5" xfId="514" xr:uid="{00000000-0005-0000-0000-000063070000}"/>
    <cellStyle name="20% - Accent1 9 5 2" xfId="17085" xr:uid="{00000000-0005-0000-0000-000064070000}"/>
    <cellStyle name="20% - Accent1 9 5 2 2" xfId="30444" xr:uid="{00000000-0005-0000-0000-000065070000}"/>
    <cellStyle name="20% - Accent1 9 5 3" xfId="17838" xr:uid="{00000000-0005-0000-0000-000066070000}"/>
    <cellStyle name="20% - Accent1 9 6" xfId="8878" xr:uid="{00000000-0005-0000-0000-000067070000}"/>
    <cellStyle name="20% - Accent1 9 6 2" xfId="23353" xr:uid="{00000000-0005-0000-0000-000068070000}"/>
    <cellStyle name="20% - Accent1 9 7" xfId="17834" xr:uid="{00000000-0005-0000-0000-000069070000}"/>
    <cellStyle name="20% - Accent2" xfId="22" builtinId="34" customBuiltin="1"/>
    <cellStyle name="20% - Accent2 10" xfId="515" xr:uid="{00000000-0005-0000-0000-00006B070000}"/>
    <cellStyle name="20% - Accent2 10 2" xfId="516" xr:uid="{00000000-0005-0000-0000-00006C070000}"/>
    <cellStyle name="20% - Accent2 10 2 2" xfId="517" xr:uid="{00000000-0005-0000-0000-00006D070000}"/>
    <cellStyle name="20% - Accent2 10 2 2 2" xfId="12571" xr:uid="{00000000-0005-0000-0000-00006E070000}"/>
    <cellStyle name="20% - Accent2 10 2 2 2 2" xfId="26283" xr:uid="{00000000-0005-0000-0000-00006F070000}"/>
    <cellStyle name="20% - Accent2 10 2 2 3" xfId="17841" xr:uid="{00000000-0005-0000-0000-000070070000}"/>
    <cellStyle name="20% - Accent2 10 2 3" xfId="518" xr:uid="{00000000-0005-0000-0000-000071070000}"/>
    <cellStyle name="20% - Accent2 10 2 3 2" xfId="14634" xr:uid="{00000000-0005-0000-0000-000072070000}"/>
    <cellStyle name="20% - Accent2 10 2 3 2 2" xfId="28183" xr:uid="{00000000-0005-0000-0000-000073070000}"/>
    <cellStyle name="20% - Accent2 10 2 3 3" xfId="17842" xr:uid="{00000000-0005-0000-0000-000074070000}"/>
    <cellStyle name="20% - Accent2 10 2 4" xfId="10605" xr:uid="{00000000-0005-0000-0000-000075070000}"/>
    <cellStyle name="20% - Accent2 10 2 4 2" xfId="24547" xr:uid="{00000000-0005-0000-0000-000076070000}"/>
    <cellStyle name="20% - Accent2 10 2 5" xfId="17840" xr:uid="{00000000-0005-0000-0000-000077070000}"/>
    <cellStyle name="20% - Accent2 10 3" xfId="519" xr:uid="{00000000-0005-0000-0000-000078070000}"/>
    <cellStyle name="20% - Accent2 10 3 2" xfId="12393" xr:uid="{00000000-0005-0000-0000-000079070000}"/>
    <cellStyle name="20% - Accent2 10 3 2 2" xfId="26105" xr:uid="{00000000-0005-0000-0000-00007A070000}"/>
    <cellStyle name="20% - Accent2 10 3 3" xfId="17843" xr:uid="{00000000-0005-0000-0000-00007B070000}"/>
    <cellStyle name="20% - Accent2 10 4" xfId="520" xr:uid="{00000000-0005-0000-0000-00007C070000}"/>
    <cellStyle name="20% - Accent2 10 4 2" xfId="14633" xr:uid="{00000000-0005-0000-0000-00007D070000}"/>
    <cellStyle name="20% - Accent2 10 4 2 2" xfId="28182" xr:uid="{00000000-0005-0000-0000-00007E070000}"/>
    <cellStyle name="20% - Accent2 10 4 3" xfId="17844" xr:uid="{00000000-0005-0000-0000-00007F070000}"/>
    <cellStyle name="20% - Accent2 10 5" xfId="521" xr:uid="{00000000-0005-0000-0000-000080070000}"/>
    <cellStyle name="20% - Accent2 10 5 2" xfId="17175" xr:uid="{00000000-0005-0000-0000-000081070000}"/>
    <cellStyle name="20% - Accent2 10 5 2 2" xfId="30534" xr:uid="{00000000-0005-0000-0000-000082070000}"/>
    <cellStyle name="20% - Accent2 10 5 3" xfId="17845" xr:uid="{00000000-0005-0000-0000-000083070000}"/>
    <cellStyle name="20% - Accent2 10 6" xfId="8880" xr:uid="{00000000-0005-0000-0000-000084070000}"/>
    <cellStyle name="20% - Accent2 10 6 2" xfId="23355" xr:uid="{00000000-0005-0000-0000-000085070000}"/>
    <cellStyle name="20% - Accent2 10 7" xfId="17839" xr:uid="{00000000-0005-0000-0000-000086070000}"/>
    <cellStyle name="20% - Accent2 11" xfId="522" xr:uid="{00000000-0005-0000-0000-000087070000}"/>
    <cellStyle name="20% - Accent2 11 2" xfId="523" xr:uid="{00000000-0005-0000-0000-000088070000}"/>
    <cellStyle name="20% - Accent2 11 2 2" xfId="10606" xr:uid="{00000000-0005-0000-0000-000089070000}"/>
    <cellStyle name="20% - Accent2 11 2 2 2" xfId="24548" xr:uid="{00000000-0005-0000-0000-00008A070000}"/>
    <cellStyle name="20% - Accent2 11 2 3" xfId="17847" xr:uid="{00000000-0005-0000-0000-00008B070000}"/>
    <cellStyle name="20% - Accent2 11 3" xfId="524" xr:uid="{00000000-0005-0000-0000-00008C070000}"/>
    <cellStyle name="20% - Accent2 11 3 2" xfId="12527" xr:uid="{00000000-0005-0000-0000-00008D070000}"/>
    <cellStyle name="20% - Accent2 11 3 2 2" xfId="26239" xr:uid="{00000000-0005-0000-0000-00008E070000}"/>
    <cellStyle name="20% - Accent2 11 3 3" xfId="17848" xr:uid="{00000000-0005-0000-0000-00008F070000}"/>
    <cellStyle name="20% - Accent2 11 4" xfId="525" xr:uid="{00000000-0005-0000-0000-000090070000}"/>
    <cellStyle name="20% - Accent2 11 4 2" xfId="14635" xr:uid="{00000000-0005-0000-0000-000091070000}"/>
    <cellStyle name="20% - Accent2 11 4 2 2" xfId="28184" xr:uid="{00000000-0005-0000-0000-000092070000}"/>
    <cellStyle name="20% - Accent2 11 4 3" xfId="17849" xr:uid="{00000000-0005-0000-0000-000093070000}"/>
    <cellStyle name="20% - Accent2 11 5" xfId="526" xr:uid="{00000000-0005-0000-0000-000094070000}"/>
    <cellStyle name="20% - Accent2 11 5 2" xfId="17264" xr:uid="{00000000-0005-0000-0000-000095070000}"/>
    <cellStyle name="20% - Accent2 11 5 2 2" xfId="30623" xr:uid="{00000000-0005-0000-0000-000096070000}"/>
    <cellStyle name="20% - Accent2 11 5 3" xfId="17850" xr:uid="{00000000-0005-0000-0000-000097070000}"/>
    <cellStyle name="20% - Accent2 11 6" xfId="8881" xr:uid="{00000000-0005-0000-0000-000098070000}"/>
    <cellStyle name="20% - Accent2 11 6 2" xfId="23356" xr:uid="{00000000-0005-0000-0000-000099070000}"/>
    <cellStyle name="20% - Accent2 11 7" xfId="17846" xr:uid="{00000000-0005-0000-0000-00009A070000}"/>
    <cellStyle name="20% - Accent2 12" xfId="527" xr:uid="{00000000-0005-0000-0000-00009B070000}"/>
    <cellStyle name="20% - Accent2 12 2" xfId="528" xr:uid="{00000000-0005-0000-0000-00009C070000}"/>
    <cellStyle name="20% - Accent2 12 2 2" xfId="529" xr:uid="{00000000-0005-0000-0000-00009D070000}"/>
    <cellStyle name="20% - Accent2 12 2 2 2" xfId="10608" xr:uid="{00000000-0005-0000-0000-00009E070000}"/>
    <cellStyle name="20% - Accent2 12 2 2 2 2" xfId="24550" xr:uid="{00000000-0005-0000-0000-00009F070000}"/>
    <cellStyle name="20% - Accent2 12 2 2 3" xfId="17853" xr:uid="{00000000-0005-0000-0000-0000A0070000}"/>
    <cellStyle name="20% - Accent2 12 2 3" xfId="530" xr:uid="{00000000-0005-0000-0000-0000A1070000}"/>
    <cellStyle name="20% - Accent2 12 2 3 2" xfId="12445" xr:uid="{00000000-0005-0000-0000-0000A2070000}"/>
    <cellStyle name="20% - Accent2 12 2 3 2 2" xfId="26157" xr:uid="{00000000-0005-0000-0000-0000A3070000}"/>
    <cellStyle name="20% - Accent2 12 2 3 3" xfId="17854" xr:uid="{00000000-0005-0000-0000-0000A4070000}"/>
    <cellStyle name="20% - Accent2 12 2 4" xfId="531" xr:uid="{00000000-0005-0000-0000-0000A5070000}"/>
    <cellStyle name="20% - Accent2 12 2 4 2" xfId="14637" xr:uid="{00000000-0005-0000-0000-0000A6070000}"/>
    <cellStyle name="20% - Accent2 12 2 4 2 2" xfId="28186" xr:uid="{00000000-0005-0000-0000-0000A7070000}"/>
    <cellStyle name="20% - Accent2 12 2 4 3" xfId="17855" xr:uid="{00000000-0005-0000-0000-0000A8070000}"/>
    <cellStyle name="20% - Accent2 12 2 5" xfId="8883" xr:uid="{00000000-0005-0000-0000-0000A9070000}"/>
    <cellStyle name="20% - Accent2 12 2 5 2" xfId="23358" xr:uid="{00000000-0005-0000-0000-0000AA070000}"/>
    <cellStyle name="20% - Accent2 12 2 6" xfId="17852" xr:uid="{00000000-0005-0000-0000-0000AB070000}"/>
    <cellStyle name="20% - Accent2 12 3" xfId="532" xr:uid="{00000000-0005-0000-0000-0000AC070000}"/>
    <cellStyle name="20% - Accent2 12 3 2" xfId="10607" xr:uid="{00000000-0005-0000-0000-0000AD070000}"/>
    <cellStyle name="20% - Accent2 12 3 2 2" xfId="24549" xr:uid="{00000000-0005-0000-0000-0000AE070000}"/>
    <cellStyle name="20% - Accent2 12 3 3" xfId="17856" xr:uid="{00000000-0005-0000-0000-0000AF070000}"/>
    <cellStyle name="20% - Accent2 12 4" xfId="533" xr:uid="{00000000-0005-0000-0000-0000B0070000}"/>
    <cellStyle name="20% - Accent2 12 4 2" xfId="12547" xr:uid="{00000000-0005-0000-0000-0000B1070000}"/>
    <cellStyle name="20% - Accent2 12 4 2 2" xfId="26259" xr:uid="{00000000-0005-0000-0000-0000B2070000}"/>
    <cellStyle name="20% - Accent2 12 4 3" xfId="17857" xr:uid="{00000000-0005-0000-0000-0000B3070000}"/>
    <cellStyle name="20% - Accent2 12 5" xfId="534" xr:uid="{00000000-0005-0000-0000-0000B4070000}"/>
    <cellStyle name="20% - Accent2 12 5 2" xfId="14636" xr:uid="{00000000-0005-0000-0000-0000B5070000}"/>
    <cellStyle name="20% - Accent2 12 5 2 2" xfId="28185" xr:uid="{00000000-0005-0000-0000-0000B6070000}"/>
    <cellStyle name="20% - Accent2 12 5 3" xfId="17858" xr:uid="{00000000-0005-0000-0000-0000B7070000}"/>
    <cellStyle name="20% - Accent2 12 6" xfId="535" xr:uid="{00000000-0005-0000-0000-0000B8070000}"/>
    <cellStyle name="20% - Accent2 12 6 2" xfId="16416" xr:uid="{00000000-0005-0000-0000-0000B9070000}"/>
    <cellStyle name="20% - Accent2 12 6 2 2" xfId="29823" xr:uid="{00000000-0005-0000-0000-0000BA070000}"/>
    <cellStyle name="20% - Accent2 12 6 3" xfId="17859" xr:uid="{00000000-0005-0000-0000-0000BB070000}"/>
    <cellStyle name="20% - Accent2 12 7" xfId="8882" xr:uid="{00000000-0005-0000-0000-0000BC070000}"/>
    <cellStyle name="20% - Accent2 12 7 2" xfId="23357" xr:uid="{00000000-0005-0000-0000-0000BD070000}"/>
    <cellStyle name="20% - Accent2 12 8" xfId="17851" xr:uid="{00000000-0005-0000-0000-0000BE070000}"/>
    <cellStyle name="20% - Accent2 13" xfId="536" xr:uid="{00000000-0005-0000-0000-0000BF070000}"/>
    <cellStyle name="20% - Accent2 13 2" xfId="537" xr:uid="{00000000-0005-0000-0000-0000C0070000}"/>
    <cellStyle name="20% - Accent2 13 2 2" xfId="10609" xr:uid="{00000000-0005-0000-0000-0000C1070000}"/>
    <cellStyle name="20% - Accent2 13 2 2 2" xfId="24551" xr:uid="{00000000-0005-0000-0000-0000C2070000}"/>
    <cellStyle name="20% - Accent2 13 2 3" xfId="17861" xr:uid="{00000000-0005-0000-0000-0000C3070000}"/>
    <cellStyle name="20% - Accent2 13 3" xfId="538" xr:uid="{00000000-0005-0000-0000-0000C4070000}"/>
    <cellStyle name="20% - Accent2 13 3 2" xfId="12549" xr:uid="{00000000-0005-0000-0000-0000C5070000}"/>
    <cellStyle name="20% - Accent2 13 3 2 2" xfId="26261" xr:uid="{00000000-0005-0000-0000-0000C6070000}"/>
    <cellStyle name="20% - Accent2 13 3 3" xfId="17862" xr:uid="{00000000-0005-0000-0000-0000C7070000}"/>
    <cellStyle name="20% - Accent2 13 4" xfId="539" xr:uid="{00000000-0005-0000-0000-0000C8070000}"/>
    <cellStyle name="20% - Accent2 13 4 2" xfId="14638" xr:uid="{00000000-0005-0000-0000-0000C9070000}"/>
    <cellStyle name="20% - Accent2 13 4 2 2" xfId="28187" xr:uid="{00000000-0005-0000-0000-0000CA070000}"/>
    <cellStyle name="20% - Accent2 13 4 3" xfId="17863" xr:uid="{00000000-0005-0000-0000-0000CB070000}"/>
    <cellStyle name="20% - Accent2 13 5" xfId="8884" xr:uid="{00000000-0005-0000-0000-0000CC070000}"/>
    <cellStyle name="20% - Accent2 13 5 2" xfId="23359" xr:uid="{00000000-0005-0000-0000-0000CD070000}"/>
    <cellStyle name="20% - Accent2 13 6" xfId="17860" xr:uid="{00000000-0005-0000-0000-0000CE070000}"/>
    <cellStyle name="20% - Accent2 14" xfId="540" xr:uid="{00000000-0005-0000-0000-0000CF070000}"/>
    <cellStyle name="20% - Accent2 14 2" xfId="541" xr:uid="{00000000-0005-0000-0000-0000D0070000}"/>
    <cellStyle name="20% - Accent2 14 2 2" xfId="10610" xr:uid="{00000000-0005-0000-0000-0000D1070000}"/>
    <cellStyle name="20% - Accent2 14 2 2 2" xfId="24552" xr:uid="{00000000-0005-0000-0000-0000D2070000}"/>
    <cellStyle name="20% - Accent2 14 2 3" xfId="17865" xr:uid="{00000000-0005-0000-0000-0000D3070000}"/>
    <cellStyle name="20% - Accent2 14 3" xfId="542" xr:uid="{00000000-0005-0000-0000-0000D4070000}"/>
    <cellStyle name="20% - Accent2 14 3 2" xfId="12765" xr:uid="{00000000-0005-0000-0000-0000D5070000}"/>
    <cellStyle name="20% - Accent2 14 3 2 2" xfId="26477" xr:uid="{00000000-0005-0000-0000-0000D6070000}"/>
    <cellStyle name="20% - Accent2 14 3 3" xfId="17866" xr:uid="{00000000-0005-0000-0000-0000D7070000}"/>
    <cellStyle name="20% - Accent2 14 4" xfId="543" xr:uid="{00000000-0005-0000-0000-0000D8070000}"/>
    <cellStyle name="20% - Accent2 14 4 2" xfId="14639" xr:uid="{00000000-0005-0000-0000-0000D9070000}"/>
    <cellStyle name="20% - Accent2 14 4 2 2" xfId="28188" xr:uid="{00000000-0005-0000-0000-0000DA070000}"/>
    <cellStyle name="20% - Accent2 14 4 3" xfId="17867" xr:uid="{00000000-0005-0000-0000-0000DB070000}"/>
    <cellStyle name="20% - Accent2 14 5" xfId="8885" xr:uid="{00000000-0005-0000-0000-0000DC070000}"/>
    <cellStyle name="20% - Accent2 14 5 2" xfId="23360" xr:uid="{00000000-0005-0000-0000-0000DD070000}"/>
    <cellStyle name="20% - Accent2 14 6" xfId="17864" xr:uid="{00000000-0005-0000-0000-0000DE070000}"/>
    <cellStyle name="20% - Accent2 15" xfId="544" xr:uid="{00000000-0005-0000-0000-0000DF070000}"/>
    <cellStyle name="20% - Accent2 15 2" xfId="545" xr:uid="{00000000-0005-0000-0000-0000E0070000}"/>
    <cellStyle name="20% - Accent2 15 2 2" xfId="10611" xr:uid="{00000000-0005-0000-0000-0000E1070000}"/>
    <cellStyle name="20% - Accent2 15 2 2 2" xfId="24553" xr:uid="{00000000-0005-0000-0000-0000E2070000}"/>
    <cellStyle name="20% - Accent2 15 2 3" xfId="17869" xr:uid="{00000000-0005-0000-0000-0000E3070000}"/>
    <cellStyle name="20% - Accent2 15 3" xfId="546" xr:uid="{00000000-0005-0000-0000-0000E4070000}"/>
    <cellStyle name="20% - Accent2 15 3 2" xfId="12654" xr:uid="{00000000-0005-0000-0000-0000E5070000}"/>
    <cellStyle name="20% - Accent2 15 3 2 2" xfId="26366" xr:uid="{00000000-0005-0000-0000-0000E6070000}"/>
    <cellStyle name="20% - Accent2 15 3 3" xfId="17870" xr:uid="{00000000-0005-0000-0000-0000E7070000}"/>
    <cellStyle name="20% - Accent2 15 4" xfId="547" xr:uid="{00000000-0005-0000-0000-0000E8070000}"/>
    <cellStyle name="20% - Accent2 15 4 2" xfId="14640" xr:uid="{00000000-0005-0000-0000-0000E9070000}"/>
    <cellStyle name="20% - Accent2 15 4 2 2" xfId="28189" xr:uid="{00000000-0005-0000-0000-0000EA070000}"/>
    <cellStyle name="20% - Accent2 15 4 3" xfId="17871" xr:uid="{00000000-0005-0000-0000-0000EB070000}"/>
    <cellStyle name="20% - Accent2 15 5" xfId="8886" xr:uid="{00000000-0005-0000-0000-0000EC070000}"/>
    <cellStyle name="20% - Accent2 15 5 2" xfId="23361" xr:uid="{00000000-0005-0000-0000-0000ED070000}"/>
    <cellStyle name="20% - Accent2 15 6" xfId="17868" xr:uid="{00000000-0005-0000-0000-0000EE070000}"/>
    <cellStyle name="20% - Accent2 16" xfId="548" xr:uid="{00000000-0005-0000-0000-0000EF070000}"/>
    <cellStyle name="20% - Accent2 16 2" xfId="549" xr:uid="{00000000-0005-0000-0000-0000F0070000}"/>
    <cellStyle name="20% - Accent2 16 2 2" xfId="10612" xr:uid="{00000000-0005-0000-0000-0000F1070000}"/>
    <cellStyle name="20% - Accent2 16 2 2 2" xfId="24554" xr:uid="{00000000-0005-0000-0000-0000F2070000}"/>
    <cellStyle name="20% - Accent2 16 2 3" xfId="17873" xr:uid="{00000000-0005-0000-0000-0000F3070000}"/>
    <cellStyle name="20% - Accent2 16 3" xfId="550" xr:uid="{00000000-0005-0000-0000-0000F4070000}"/>
    <cellStyle name="20% - Accent2 16 3 2" xfId="12406" xr:uid="{00000000-0005-0000-0000-0000F5070000}"/>
    <cellStyle name="20% - Accent2 16 3 2 2" xfId="26118" xr:uid="{00000000-0005-0000-0000-0000F6070000}"/>
    <cellStyle name="20% - Accent2 16 3 3" xfId="17874" xr:uid="{00000000-0005-0000-0000-0000F7070000}"/>
    <cellStyle name="20% - Accent2 16 4" xfId="551" xr:uid="{00000000-0005-0000-0000-0000F8070000}"/>
    <cellStyle name="20% - Accent2 16 4 2" xfId="14641" xr:uid="{00000000-0005-0000-0000-0000F9070000}"/>
    <cellStyle name="20% - Accent2 16 4 2 2" xfId="28190" xr:uid="{00000000-0005-0000-0000-0000FA070000}"/>
    <cellStyle name="20% - Accent2 16 4 3" xfId="17875" xr:uid="{00000000-0005-0000-0000-0000FB070000}"/>
    <cellStyle name="20% - Accent2 16 5" xfId="8887" xr:uid="{00000000-0005-0000-0000-0000FC070000}"/>
    <cellStyle name="20% - Accent2 16 5 2" xfId="23362" xr:uid="{00000000-0005-0000-0000-0000FD070000}"/>
    <cellStyle name="20% - Accent2 16 6" xfId="17872" xr:uid="{00000000-0005-0000-0000-0000FE070000}"/>
    <cellStyle name="20% - Accent2 17" xfId="552" xr:uid="{00000000-0005-0000-0000-0000FF070000}"/>
    <cellStyle name="20% - Accent2 17 2" xfId="553" xr:uid="{00000000-0005-0000-0000-000000080000}"/>
    <cellStyle name="20% - Accent2 17 2 2" xfId="10613" xr:uid="{00000000-0005-0000-0000-000001080000}"/>
    <cellStyle name="20% - Accent2 17 2 2 2" xfId="24555" xr:uid="{00000000-0005-0000-0000-000002080000}"/>
    <cellStyle name="20% - Accent2 17 2 3" xfId="17877" xr:uid="{00000000-0005-0000-0000-000003080000}"/>
    <cellStyle name="20% - Accent2 17 3" xfId="554" xr:uid="{00000000-0005-0000-0000-000004080000}"/>
    <cellStyle name="20% - Accent2 17 3 2" xfId="12514" xr:uid="{00000000-0005-0000-0000-000005080000}"/>
    <cellStyle name="20% - Accent2 17 3 2 2" xfId="26226" xr:uid="{00000000-0005-0000-0000-000006080000}"/>
    <cellStyle name="20% - Accent2 17 3 3" xfId="17878" xr:uid="{00000000-0005-0000-0000-000007080000}"/>
    <cellStyle name="20% - Accent2 17 4" xfId="555" xr:uid="{00000000-0005-0000-0000-000008080000}"/>
    <cellStyle name="20% - Accent2 17 4 2" xfId="14642" xr:uid="{00000000-0005-0000-0000-000009080000}"/>
    <cellStyle name="20% - Accent2 17 4 2 2" xfId="28191" xr:uid="{00000000-0005-0000-0000-00000A080000}"/>
    <cellStyle name="20% - Accent2 17 4 3" xfId="17879" xr:uid="{00000000-0005-0000-0000-00000B080000}"/>
    <cellStyle name="20% - Accent2 17 5" xfId="8888" xr:uid="{00000000-0005-0000-0000-00000C080000}"/>
    <cellStyle name="20% - Accent2 17 5 2" xfId="23363" xr:uid="{00000000-0005-0000-0000-00000D080000}"/>
    <cellStyle name="20% - Accent2 17 6" xfId="17876" xr:uid="{00000000-0005-0000-0000-00000E080000}"/>
    <cellStyle name="20% - Accent2 18" xfId="556" xr:uid="{00000000-0005-0000-0000-00000F080000}"/>
    <cellStyle name="20% - Accent2 18 2" xfId="557" xr:uid="{00000000-0005-0000-0000-000010080000}"/>
    <cellStyle name="20% - Accent2 18 2 2" xfId="10614" xr:uid="{00000000-0005-0000-0000-000011080000}"/>
    <cellStyle name="20% - Accent2 18 2 2 2" xfId="24556" xr:uid="{00000000-0005-0000-0000-000012080000}"/>
    <cellStyle name="20% - Accent2 18 2 3" xfId="17881" xr:uid="{00000000-0005-0000-0000-000013080000}"/>
    <cellStyle name="20% - Accent2 18 3" xfId="558" xr:uid="{00000000-0005-0000-0000-000014080000}"/>
    <cellStyle name="20% - Accent2 18 3 2" xfId="12729" xr:uid="{00000000-0005-0000-0000-000015080000}"/>
    <cellStyle name="20% - Accent2 18 3 2 2" xfId="26441" xr:uid="{00000000-0005-0000-0000-000016080000}"/>
    <cellStyle name="20% - Accent2 18 3 3" xfId="17882" xr:uid="{00000000-0005-0000-0000-000017080000}"/>
    <cellStyle name="20% - Accent2 18 4" xfId="559" xr:uid="{00000000-0005-0000-0000-000018080000}"/>
    <cellStyle name="20% - Accent2 18 4 2" xfId="14643" xr:uid="{00000000-0005-0000-0000-000019080000}"/>
    <cellStyle name="20% - Accent2 18 4 2 2" xfId="28192" xr:uid="{00000000-0005-0000-0000-00001A080000}"/>
    <cellStyle name="20% - Accent2 18 4 3" xfId="17883" xr:uid="{00000000-0005-0000-0000-00001B080000}"/>
    <cellStyle name="20% - Accent2 18 5" xfId="8889" xr:uid="{00000000-0005-0000-0000-00001C080000}"/>
    <cellStyle name="20% - Accent2 18 5 2" xfId="23364" xr:uid="{00000000-0005-0000-0000-00001D080000}"/>
    <cellStyle name="20% - Accent2 18 6" xfId="17880" xr:uid="{00000000-0005-0000-0000-00001E080000}"/>
    <cellStyle name="20% - Accent2 19" xfId="560" xr:uid="{00000000-0005-0000-0000-00001F080000}"/>
    <cellStyle name="20% - Accent2 19 2" xfId="561" xr:uid="{00000000-0005-0000-0000-000020080000}"/>
    <cellStyle name="20% - Accent2 19 2 2" xfId="11700" xr:uid="{00000000-0005-0000-0000-000021080000}"/>
    <cellStyle name="20% - Accent2 19 2 2 2" xfId="25420" xr:uid="{00000000-0005-0000-0000-000022080000}"/>
    <cellStyle name="20% - Accent2 19 2 3" xfId="17885" xr:uid="{00000000-0005-0000-0000-000023080000}"/>
    <cellStyle name="20% - Accent2 19 3" xfId="562" xr:uid="{00000000-0005-0000-0000-000024080000}"/>
    <cellStyle name="20% - Accent2 19 3 2" xfId="12619" xr:uid="{00000000-0005-0000-0000-000025080000}"/>
    <cellStyle name="20% - Accent2 19 3 2 2" xfId="26331" xr:uid="{00000000-0005-0000-0000-000026080000}"/>
    <cellStyle name="20% - Accent2 19 3 3" xfId="17886" xr:uid="{00000000-0005-0000-0000-000027080000}"/>
    <cellStyle name="20% - Accent2 19 4" xfId="563" xr:uid="{00000000-0005-0000-0000-000028080000}"/>
    <cellStyle name="20% - Accent2 19 4 2" xfId="14644" xr:uid="{00000000-0005-0000-0000-000029080000}"/>
    <cellStyle name="20% - Accent2 19 4 2 2" xfId="28193" xr:uid="{00000000-0005-0000-0000-00002A080000}"/>
    <cellStyle name="20% - Accent2 19 4 3" xfId="17887" xr:uid="{00000000-0005-0000-0000-00002B080000}"/>
    <cellStyle name="20% - Accent2 19 5" xfId="10452" xr:uid="{00000000-0005-0000-0000-00002C080000}"/>
    <cellStyle name="20% - Accent2 19 5 2" xfId="24411" xr:uid="{00000000-0005-0000-0000-00002D080000}"/>
    <cellStyle name="20% - Accent2 19 6" xfId="17884" xr:uid="{00000000-0005-0000-0000-00002E080000}"/>
    <cellStyle name="20% - Accent2 2" xfId="564" xr:uid="{00000000-0005-0000-0000-00002F080000}"/>
    <cellStyle name="20% - Accent2 2 10" xfId="565" xr:uid="{00000000-0005-0000-0000-000030080000}"/>
    <cellStyle name="20% - Accent2 2 10 2" xfId="566" xr:uid="{00000000-0005-0000-0000-000031080000}"/>
    <cellStyle name="20% - Accent2 2 10 2 2" xfId="14646" xr:uid="{00000000-0005-0000-0000-000032080000}"/>
    <cellStyle name="20% - Accent2 2 10 2 2 2" xfId="28195" xr:uid="{00000000-0005-0000-0000-000033080000}"/>
    <cellStyle name="20% - Accent2 2 10 2 3" xfId="17890" xr:uid="{00000000-0005-0000-0000-000034080000}"/>
    <cellStyle name="20% - Accent2 2 10 3" xfId="11827" xr:uid="{00000000-0005-0000-0000-000035080000}"/>
    <cellStyle name="20% - Accent2 2 10 3 2" xfId="25542" xr:uid="{00000000-0005-0000-0000-000036080000}"/>
    <cellStyle name="20% - Accent2 2 10 4" xfId="17889" xr:uid="{00000000-0005-0000-0000-000037080000}"/>
    <cellStyle name="20% - Accent2 2 11" xfId="567" xr:uid="{00000000-0005-0000-0000-000038080000}"/>
    <cellStyle name="20% - Accent2 2 11 2" xfId="11753" xr:uid="{00000000-0005-0000-0000-000039080000}"/>
    <cellStyle name="20% - Accent2 2 11 2 2" xfId="25468" xr:uid="{00000000-0005-0000-0000-00003A080000}"/>
    <cellStyle name="20% - Accent2 2 11 3" xfId="17891" xr:uid="{00000000-0005-0000-0000-00003B080000}"/>
    <cellStyle name="20% - Accent2 2 12" xfId="568" xr:uid="{00000000-0005-0000-0000-00003C080000}"/>
    <cellStyle name="20% - Accent2 2 12 2" xfId="13426" xr:uid="{00000000-0005-0000-0000-00003D080000}"/>
    <cellStyle name="20% - Accent2 2 12 2 2" xfId="26975" xr:uid="{00000000-0005-0000-0000-00003E080000}"/>
    <cellStyle name="20% - Accent2 2 12 3" xfId="17892" xr:uid="{00000000-0005-0000-0000-00003F080000}"/>
    <cellStyle name="20% - Accent2 2 13" xfId="569" xr:uid="{00000000-0005-0000-0000-000040080000}"/>
    <cellStyle name="20% - Accent2 2 13 2" xfId="14007" xr:uid="{00000000-0005-0000-0000-000041080000}"/>
    <cellStyle name="20% - Accent2 2 13 2 2" xfId="27556" xr:uid="{00000000-0005-0000-0000-000042080000}"/>
    <cellStyle name="20% - Accent2 2 13 3" xfId="17893" xr:uid="{00000000-0005-0000-0000-000043080000}"/>
    <cellStyle name="20% - Accent2 2 14" xfId="570" xr:uid="{00000000-0005-0000-0000-000044080000}"/>
    <cellStyle name="20% - Accent2 2 14 2" xfId="14645" xr:uid="{00000000-0005-0000-0000-000045080000}"/>
    <cellStyle name="20% - Accent2 2 14 2 2" xfId="28194" xr:uid="{00000000-0005-0000-0000-000046080000}"/>
    <cellStyle name="20% - Accent2 2 14 3" xfId="17894" xr:uid="{00000000-0005-0000-0000-000047080000}"/>
    <cellStyle name="20% - Accent2 2 15" xfId="571" xr:uid="{00000000-0005-0000-0000-000048080000}"/>
    <cellStyle name="20% - Accent2 2 15 2" xfId="15893" xr:uid="{00000000-0005-0000-0000-000049080000}"/>
    <cellStyle name="20% - Accent2 2 15 2 2" xfId="29300" xr:uid="{00000000-0005-0000-0000-00004A080000}"/>
    <cellStyle name="20% - Accent2 2 15 3" xfId="17895" xr:uid="{00000000-0005-0000-0000-00004B080000}"/>
    <cellStyle name="20% - Accent2 2 16" xfId="8890" xr:uid="{00000000-0005-0000-0000-00004C080000}"/>
    <cellStyle name="20% - Accent2 2 16 2" xfId="23365" xr:uid="{00000000-0005-0000-0000-00004D080000}"/>
    <cellStyle name="20% - Accent2 2 17" xfId="17888" xr:uid="{00000000-0005-0000-0000-00004E080000}"/>
    <cellStyle name="20% - Accent2 2 2" xfId="572" xr:uid="{00000000-0005-0000-0000-00004F080000}"/>
    <cellStyle name="20% - Accent2 2 2 10" xfId="573" xr:uid="{00000000-0005-0000-0000-000050080000}"/>
    <cellStyle name="20% - Accent2 2 2 10 2" xfId="14647" xr:uid="{00000000-0005-0000-0000-000051080000}"/>
    <cellStyle name="20% - Accent2 2 2 10 2 2" xfId="28196" xr:uid="{00000000-0005-0000-0000-000052080000}"/>
    <cellStyle name="20% - Accent2 2 2 10 3" xfId="17897" xr:uid="{00000000-0005-0000-0000-000053080000}"/>
    <cellStyle name="20% - Accent2 2 2 11" xfId="574" xr:uid="{00000000-0005-0000-0000-000054080000}"/>
    <cellStyle name="20% - Accent2 2 2 11 2" xfId="15939" xr:uid="{00000000-0005-0000-0000-000055080000}"/>
    <cellStyle name="20% - Accent2 2 2 11 2 2" xfId="29346" xr:uid="{00000000-0005-0000-0000-000056080000}"/>
    <cellStyle name="20% - Accent2 2 2 11 3" xfId="17898" xr:uid="{00000000-0005-0000-0000-000057080000}"/>
    <cellStyle name="20% - Accent2 2 2 12" xfId="8891" xr:uid="{00000000-0005-0000-0000-000058080000}"/>
    <cellStyle name="20% - Accent2 2 2 12 2" xfId="23366" xr:uid="{00000000-0005-0000-0000-000059080000}"/>
    <cellStyle name="20% - Accent2 2 2 13" xfId="17896" xr:uid="{00000000-0005-0000-0000-00005A080000}"/>
    <cellStyle name="20% - Accent2 2 2 2" xfId="575" xr:uid="{00000000-0005-0000-0000-00005B080000}"/>
    <cellStyle name="20% - Accent2 2 2 2 10" xfId="576" xr:uid="{00000000-0005-0000-0000-00005C080000}"/>
    <cellStyle name="20% - Accent2 2 2 2 10 2" xfId="16082" xr:uid="{00000000-0005-0000-0000-00005D080000}"/>
    <cellStyle name="20% - Accent2 2 2 2 10 2 2" xfId="29489" xr:uid="{00000000-0005-0000-0000-00005E080000}"/>
    <cellStyle name="20% - Accent2 2 2 2 10 3" xfId="17900" xr:uid="{00000000-0005-0000-0000-00005F080000}"/>
    <cellStyle name="20% - Accent2 2 2 2 11" xfId="8892" xr:uid="{00000000-0005-0000-0000-000060080000}"/>
    <cellStyle name="20% - Accent2 2 2 2 11 2" xfId="23367" xr:uid="{00000000-0005-0000-0000-000061080000}"/>
    <cellStyle name="20% - Accent2 2 2 2 12" xfId="17899" xr:uid="{00000000-0005-0000-0000-000062080000}"/>
    <cellStyle name="20% - Accent2 2 2 2 2" xfId="577" xr:uid="{00000000-0005-0000-0000-000063080000}"/>
    <cellStyle name="20% - Accent2 2 2 2 2 10" xfId="8893" xr:uid="{00000000-0005-0000-0000-000064080000}"/>
    <cellStyle name="20% - Accent2 2 2 2 2 10 2" xfId="23368" xr:uid="{00000000-0005-0000-0000-000065080000}"/>
    <cellStyle name="20% - Accent2 2 2 2 2 11" xfId="17901" xr:uid="{00000000-0005-0000-0000-000066080000}"/>
    <cellStyle name="20% - Accent2 2 2 2 2 2" xfId="578" xr:uid="{00000000-0005-0000-0000-000067080000}"/>
    <cellStyle name="20% - Accent2 2 2 2 2 2 2" xfId="579" xr:uid="{00000000-0005-0000-0000-000068080000}"/>
    <cellStyle name="20% - Accent2 2 2 2 2 2 2 2" xfId="10619" xr:uid="{00000000-0005-0000-0000-000069080000}"/>
    <cellStyle name="20% - Accent2 2 2 2 2 2 2 2 2" xfId="24561" xr:uid="{00000000-0005-0000-0000-00006A080000}"/>
    <cellStyle name="20% - Accent2 2 2 2 2 2 2 3" xfId="17903" xr:uid="{00000000-0005-0000-0000-00006B080000}"/>
    <cellStyle name="20% - Accent2 2 2 2 2 2 3" xfId="580" xr:uid="{00000000-0005-0000-0000-00006C080000}"/>
    <cellStyle name="20% - Accent2 2 2 2 2 2 3 2" xfId="12651" xr:uid="{00000000-0005-0000-0000-00006D080000}"/>
    <cellStyle name="20% - Accent2 2 2 2 2 2 3 2 2" xfId="26363" xr:uid="{00000000-0005-0000-0000-00006E080000}"/>
    <cellStyle name="20% - Accent2 2 2 2 2 2 3 3" xfId="17904" xr:uid="{00000000-0005-0000-0000-00006F080000}"/>
    <cellStyle name="20% - Accent2 2 2 2 2 2 4" xfId="581" xr:uid="{00000000-0005-0000-0000-000070080000}"/>
    <cellStyle name="20% - Accent2 2 2 2 2 2 4 2" xfId="14650" xr:uid="{00000000-0005-0000-0000-000071080000}"/>
    <cellStyle name="20% - Accent2 2 2 2 2 2 4 2 2" xfId="28199" xr:uid="{00000000-0005-0000-0000-000072080000}"/>
    <cellStyle name="20% - Accent2 2 2 2 2 2 4 3" xfId="17905" xr:uid="{00000000-0005-0000-0000-000073080000}"/>
    <cellStyle name="20% - Accent2 2 2 2 2 2 5" xfId="582" xr:uid="{00000000-0005-0000-0000-000074080000}"/>
    <cellStyle name="20% - Accent2 2 2 2 2 2 5 2" xfId="16952" xr:uid="{00000000-0005-0000-0000-000075080000}"/>
    <cellStyle name="20% - Accent2 2 2 2 2 2 5 2 2" xfId="30359" xr:uid="{00000000-0005-0000-0000-000076080000}"/>
    <cellStyle name="20% - Accent2 2 2 2 2 2 5 3" xfId="17906" xr:uid="{00000000-0005-0000-0000-000077080000}"/>
    <cellStyle name="20% - Accent2 2 2 2 2 2 6" xfId="8894" xr:uid="{00000000-0005-0000-0000-000078080000}"/>
    <cellStyle name="20% - Accent2 2 2 2 2 2 6 2" xfId="23369" xr:uid="{00000000-0005-0000-0000-000079080000}"/>
    <cellStyle name="20% - Accent2 2 2 2 2 2 7" xfId="17902" xr:uid="{00000000-0005-0000-0000-00007A080000}"/>
    <cellStyle name="20% - Accent2 2 2 2 2 3" xfId="583" xr:uid="{00000000-0005-0000-0000-00007B080000}"/>
    <cellStyle name="20% - Accent2 2 2 2 2 3 2" xfId="584" xr:uid="{00000000-0005-0000-0000-00007C080000}"/>
    <cellStyle name="20% - Accent2 2 2 2 2 3 2 2" xfId="14651" xr:uid="{00000000-0005-0000-0000-00007D080000}"/>
    <cellStyle name="20% - Accent2 2 2 2 2 3 2 2 2" xfId="28200" xr:uid="{00000000-0005-0000-0000-00007E080000}"/>
    <cellStyle name="20% - Accent2 2 2 2 2 3 2 3" xfId="17908" xr:uid="{00000000-0005-0000-0000-00007F080000}"/>
    <cellStyle name="20% - Accent2 2 2 2 2 3 3" xfId="10618" xr:uid="{00000000-0005-0000-0000-000080080000}"/>
    <cellStyle name="20% - Accent2 2 2 2 2 3 3 2" xfId="24560" xr:uid="{00000000-0005-0000-0000-000081080000}"/>
    <cellStyle name="20% - Accent2 2 2 2 2 3 4" xfId="17907" xr:uid="{00000000-0005-0000-0000-000082080000}"/>
    <cellStyle name="20% - Accent2 2 2 2 2 4" xfId="585" xr:uid="{00000000-0005-0000-0000-000083080000}"/>
    <cellStyle name="20% - Accent2 2 2 2 2 4 2" xfId="12340" xr:uid="{00000000-0005-0000-0000-000084080000}"/>
    <cellStyle name="20% - Accent2 2 2 2 2 4 2 2" xfId="26052" xr:uid="{00000000-0005-0000-0000-000085080000}"/>
    <cellStyle name="20% - Accent2 2 2 2 2 4 3" xfId="17909" xr:uid="{00000000-0005-0000-0000-000086080000}"/>
    <cellStyle name="20% - Accent2 2 2 2 2 5" xfId="586" xr:uid="{00000000-0005-0000-0000-000087080000}"/>
    <cellStyle name="20% - Accent2 2 2 2 2 5 2" xfId="12779" xr:uid="{00000000-0005-0000-0000-000088080000}"/>
    <cellStyle name="20% - Accent2 2 2 2 2 5 2 2" xfId="26491" xr:uid="{00000000-0005-0000-0000-000089080000}"/>
    <cellStyle name="20% - Accent2 2 2 2 2 5 3" xfId="17910" xr:uid="{00000000-0005-0000-0000-00008A080000}"/>
    <cellStyle name="20% - Accent2 2 2 2 2 6" xfId="587" xr:uid="{00000000-0005-0000-0000-00008B080000}"/>
    <cellStyle name="20% - Accent2 2 2 2 2 6 2" xfId="13904" xr:uid="{00000000-0005-0000-0000-00008C080000}"/>
    <cellStyle name="20% - Accent2 2 2 2 2 6 2 2" xfId="27453" xr:uid="{00000000-0005-0000-0000-00008D080000}"/>
    <cellStyle name="20% - Accent2 2 2 2 2 6 3" xfId="17911" xr:uid="{00000000-0005-0000-0000-00008E080000}"/>
    <cellStyle name="20% - Accent2 2 2 2 2 7" xfId="588" xr:uid="{00000000-0005-0000-0000-00008F080000}"/>
    <cellStyle name="20% - Accent2 2 2 2 2 7 2" xfId="14485" xr:uid="{00000000-0005-0000-0000-000090080000}"/>
    <cellStyle name="20% - Accent2 2 2 2 2 7 2 2" xfId="28034" xr:uid="{00000000-0005-0000-0000-000091080000}"/>
    <cellStyle name="20% - Accent2 2 2 2 2 7 3" xfId="17912" xr:uid="{00000000-0005-0000-0000-000092080000}"/>
    <cellStyle name="20% - Accent2 2 2 2 2 8" xfId="589" xr:uid="{00000000-0005-0000-0000-000093080000}"/>
    <cellStyle name="20% - Accent2 2 2 2 2 8 2" xfId="14649" xr:uid="{00000000-0005-0000-0000-000094080000}"/>
    <cellStyle name="20% - Accent2 2 2 2 2 8 2 2" xfId="28198" xr:uid="{00000000-0005-0000-0000-000095080000}"/>
    <cellStyle name="20% - Accent2 2 2 2 2 8 3" xfId="17913" xr:uid="{00000000-0005-0000-0000-000096080000}"/>
    <cellStyle name="20% - Accent2 2 2 2 2 9" xfId="590" xr:uid="{00000000-0005-0000-0000-000097080000}"/>
    <cellStyle name="20% - Accent2 2 2 2 2 9 2" xfId="16371" xr:uid="{00000000-0005-0000-0000-000098080000}"/>
    <cellStyle name="20% - Accent2 2 2 2 2 9 2 2" xfId="29778" xr:uid="{00000000-0005-0000-0000-000099080000}"/>
    <cellStyle name="20% - Accent2 2 2 2 2 9 3" xfId="17914" xr:uid="{00000000-0005-0000-0000-00009A080000}"/>
    <cellStyle name="20% - Accent2 2 2 2 3" xfId="591" xr:uid="{00000000-0005-0000-0000-00009B080000}"/>
    <cellStyle name="20% - Accent2 2 2 2 3 2" xfId="592" xr:uid="{00000000-0005-0000-0000-00009C080000}"/>
    <cellStyle name="20% - Accent2 2 2 2 3 2 2" xfId="10620" xr:uid="{00000000-0005-0000-0000-00009D080000}"/>
    <cellStyle name="20% - Accent2 2 2 2 3 2 2 2" xfId="24562" xr:uid="{00000000-0005-0000-0000-00009E080000}"/>
    <cellStyle name="20% - Accent2 2 2 2 3 2 3" xfId="17916" xr:uid="{00000000-0005-0000-0000-00009F080000}"/>
    <cellStyle name="20% - Accent2 2 2 2 3 3" xfId="593" xr:uid="{00000000-0005-0000-0000-0000A0080000}"/>
    <cellStyle name="20% - Accent2 2 2 2 3 3 2" xfId="12546" xr:uid="{00000000-0005-0000-0000-0000A1080000}"/>
    <cellStyle name="20% - Accent2 2 2 2 3 3 2 2" xfId="26258" xr:uid="{00000000-0005-0000-0000-0000A2080000}"/>
    <cellStyle name="20% - Accent2 2 2 2 3 3 3" xfId="17917" xr:uid="{00000000-0005-0000-0000-0000A3080000}"/>
    <cellStyle name="20% - Accent2 2 2 2 3 4" xfId="594" xr:uid="{00000000-0005-0000-0000-0000A4080000}"/>
    <cellStyle name="20% - Accent2 2 2 2 3 4 2" xfId="14652" xr:uid="{00000000-0005-0000-0000-0000A5080000}"/>
    <cellStyle name="20% - Accent2 2 2 2 3 4 2 2" xfId="28201" xr:uid="{00000000-0005-0000-0000-0000A6080000}"/>
    <cellStyle name="20% - Accent2 2 2 2 3 4 3" xfId="17918" xr:uid="{00000000-0005-0000-0000-0000A7080000}"/>
    <cellStyle name="20% - Accent2 2 2 2 3 5" xfId="595" xr:uid="{00000000-0005-0000-0000-0000A8080000}"/>
    <cellStyle name="20% - Accent2 2 2 2 3 5 2" xfId="16663" xr:uid="{00000000-0005-0000-0000-0000A9080000}"/>
    <cellStyle name="20% - Accent2 2 2 2 3 5 2 2" xfId="30070" xr:uid="{00000000-0005-0000-0000-0000AA080000}"/>
    <cellStyle name="20% - Accent2 2 2 2 3 5 3" xfId="17919" xr:uid="{00000000-0005-0000-0000-0000AB080000}"/>
    <cellStyle name="20% - Accent2 2 2 2 3 6" xfId="8895" xr:uid="{00000000-0005-0000-0000-0000AC080000}"/>
    <cellStyle name="20% - Accent2 2 2 2 3 6 2" xfId="23370" xr:uid="{00000000-0005-0000-0000-0000AD080000}"/>
    <cellStyle name="20% - Accent2 2 2 2 3 7" xfId="17915" xr:uid="{00000000-0005-0000-0000-0000AE080000}"/>
    <cellStyle name="20% - Accent2 2 2 2 4" xfId="596" xr:uid="{00000000-0005-0000-0000-0000AF080000}"/>
    <cellStyle name="20% - Accent2 2 2 2 4 2" xfId="597" xr:uid="{00000000-0005-0000-0000-0000B0080000}"/>
    <cellStyle name="20% - Accent2 2 2 2 4 2 2" xfId="14653" xr:uid="{00000000-0005-0000-0000-0000B1080000}"/>
    <cellStyle name="20% - Accent2 2 2 2 4 2 2 2" xfId="28202" xr:uid="{00000000-0005-0000-0000-0000B2080000}"/>
    <cellStyle name="20% - Accent2 2 2 2 4 2 3" xfId="17921" xr:uid="{00000000-0005-0000-0000-0000B3080000}"/>
    <cellStyle name="20% - Accent2 2 2 2 4 3" xfId="10617" xr:uid="{00000000-0005-0000-0000-0000B4080000}"/>
    <cellStyle name="20% - Accent2 2 2 2 4 3 2" xfId="24559" xr:uid="{00000000-0005-0000-0000-0000B5080000}"/>
    <cellStyle name="20% - Accent2 2 2 2 4 4" xfId="17920" xr:uid="{00000000-0005-0000-0000-0000B6080000}"/>
    <cellStyle name="20% - Accent2 2 2 2 5" xfId="598" xr:uid="{00000000-0005-0000-0000-0000B7080000}"/>
    <cellStyle name="20% - Accent2 2 2 2 5 2" xfId="12040" xr:uid="{00000000-0005-0000-0000-0000B8080000}"/>
    <cellStyle name="20% - Accent2 2 2 2 5 2 2" xfId="25755" xr:uid="{00000000-0005-0000-0000-0000B9080000}"/>
    <cellStyle name="20% - Accent2 2 2 2 5 3" xfId="17922" xr:uid="{00000000-0005-0000-0000-0000BA080000}"/>
    <cellStyle name="20% - Accent2 2 2 2 6" xfId="599" xr:uid="{00000000-0005-0000-0000-0000BB080000}"/>
    <cellStyle name="20% - Accent2 2 2 2 6 2" xfId="12749" xr:uid="{00000000-0005-0000-0000-0000BC080000}"/>
    <cellStyle name="20% - Accent2 2 2 2 6 2 2" xfId="26461" xr:uid="{00000000-0005-0000-0000-0000BD080000}"/>
    <cellStyle name="20% - Accent2 2 2 2 6 3" xfId="17923" xr:uid="{00000000-0005-0000-0000-0000BE080000}"/>
    <cellStyle name="20% - Accent2 2 2 2 7" xfId="600" xr:uid="{00000000-0005-0000-0000-0000BF080000}"/>
    <cellStyle name="20% - Accent2 2 2 2 7 2" xfId="13615" xr:uid="{00000000-0005-0000-0000-0000C0080000}"/>
    <cellStyle name="20% - Accent2 2 2 2 7 2 2" xfId="27164" xr:uid="{00000000-0005-0000-0000-0000C1080000}"/>
    <cellStyle name="20% - Accent2 2 2 2 7 3" xfId="17924" xr:uid="{00000000-0005-0000-0000-0000C2080000}"/>
    <cellStyle name="20% - Accent2 2 2 2 8" xfId="601" xr:uid="{00000000-0005-0000-0000-0000C3080000}"/>
    <cellStyle name="20% - Accent2 2 2 2 8 2" xfId="14196" xr:uid="{00000000-0005-0000-0000-0000C4080000}"/>
    <cellStyle name="20% - Accent2 2 2 2 8 2 2" xfId="27745" xr:uid="{00000000-0005-0000-0000-0000C5080000}"/>
    <cellStyle name="20% - Accent2 2 2 2 8 3" xfId="17925" xr:uid="{00000000-0005-0000-0000-0000C6080000}"/>
    <cellStyle name="20% - Accent2 2 2 2 9" xfId="602" xr:uid="{00000000-0005-0000-0000-0000C7080000}"/>
    <cellStyle name="20% - Accent2 2 2 2 9 2" xfId="14648" xr:uid="{00000000-0005-0000-0000-0000C8080000}"/>
    <cellStyle name="20% - Accent2 2 2 2 9 2 2" xfId="28197" xr:uid="{00000000-0005-0000-0000-0000C9080000}"/>
    <cellStyle name="20% - Accent2 2 2 2 9 3" xfId="17926" xr:uid="{00000000-0005-0000-0000-0000CA080000}"/>
    <cellStyle name="20% - Accent2 2 2 3" xfId="603" xr:uid="{00000000-0005-0000-0000-0000CB080000}"/>
    <cellStyle name="20% - Accent2 2 2 3 10" xfId="8896" xr:uid="{00000000-0005-0000-0000-0000CC080000}"/>
    <cellStyle name="20% - Accent2 2 2 3 10 2" xfId="23371" xr:uid="{00000000-0005-0000-0000-0000CD080000}"/>
    <cellStyle name="20% - Accent2 2 2 3 11" xfId="17927" xr:uid="{00000000-0005-0000-0000-0000CE080000}"/>
    <cellStyle name="20% - Accent2 2 2 3 2" xfId="604" xr:uid="{00000000-0005-0000-0000-0000CF080000}"/>
    <cellStyle name="20% - Accent2 2 2 3 2 2" xfId="605" xr:uid="{00000000-0005-0000-0000-0000D0080000}"/>
    <cellStyle name="20% - Accent2 2 2 3 2 2 2" xfId="10622" xr:uid="{00000000-0005-0000-0000-0000D1080000}"/>
    <cellStyle name="20% - Accent2 2 2 3 2 2 2 2" xfId="24564" xr:uid="{00000000-0005-0000-0000-0000D2080000}"/>
    <cellStyle name="20% - Accent2 2 2 3 2 2 3" xfId="17929" xr:uid="{00000000-0005-0000-0000-0000D3080000}"/>
    <cellStyle name="20% - Accent2 2 2 3 2 3" xfId="606" xr:uid="{00000000-0005-0000-0000-0000D4080000}"/>
    <cellStyle name="20% - Accent2 2 2 3 2 3 2" xfId="12738" xr:uid="{00000000-0005-0000-0000-0000D5080000}"/>
    <cellStyle name="20% - Accent2 2 2 3 2 3 2 2" xfId="26450" xr:uid="{00000000-0005-0000-0000-0000D6080000}"/>
    <cellStyle name="20% - Accent2 2 2 3 2 3 3" xfId="17930" xr:uid="{00000000-0005-0000-0000-0000D7080000}"/>
    <cellStyle name="20% - Accent2 2 2 3 2 4" xfId="607" xr:uid="{00000000-0005-0000-0000-0000D8080000}"/>
    <cellStyle name="20% - Accent2 2 2 3 2 4 2" xfId="14655" xr:uid="{00000000-0005-0000-0000-0000D9080000}"/>
    <cellStyle name="20% - Accent2 2 2 3 2 4 2 2" xfId="28204" xr:uid="{00000000-0005-0000-0000-0000DA080000}"/>
    <cellStyle name="20% - Accent2 2 2 3 2 4 3" xfId="17931" xr:uid="{00000000-0005-0000-0000-0000DB080000}"/>
    <cellStyle name="20% - Accent2 2 2 3 2 5" xfId="608" xr:uid="{00000000-0005-0000-0000-0000DC080000}"/>
    <cellStyle name="20% - Accent2 2 2 3 2 5 2" xfId="16809" xr:uid="{00000000-0005-0000-0000-0000DD080000}"/>
    <cellStyle name="20% - Accent2 2 2 3 2 5 2 2" xfId="30216" xr:uid="{00000000-0005-0000-0000-0000DE080000}"/>
    <cellStyle name="20% - Accent2 2 2 3 2 5 3" xfId="17932" xr:uid="{00000000-0005-0000-0000-0000DF080000}"/>
    <cellStyle name="20% - Accent2 2 2 3 2 6" xfId="8897" xr:uid="{00000000-0005-0000-0000-0000E0080000}"/>
    <cellStyle name="20% - Accent2 2 2 3 2 6 2" xfId="23372" xr:uid="{00000000-0005-0000-0000-0000E1080000}"/>
    <cellStyle name="20% - Accent2 2 2 3 2 7" xfId="17928" xr:uid="{00000000-0005-0000-0000-0000E2080000}"/>
    <cellStyle name="20% - Accent2 2 2 3 3" xfId="609" xr:uid="{00000000-0005-0000-0000-0000E3080000}"/>
    <cellStyle name="20% - Accent2 2 2 3 3 2" xfId="610" xr:uid="{00000000-0005-0000-0000-0000E4080000}"/>
    <cellStyle name="20% - Accent2 2 2 3 3 2 2" xfId="14656" xr:uid="{00000000-0005-0000-0000-0000E5080000}"/>
    <cellStyle name="20% - Accent2 2 2 3 3 2 2 2" xfId="28205" xr:uid="{00000000-0005-0000-0000-0000E6080000}"/>
    <cellStyle name="20% - Accent2 2 2 3 3 2 3" xfId="17934" xr:uid="{00000000-0005-0000-0000-0000E7080000}"/>
    <cellStyle name="20% - Accent2 2 2 3 3 3" xfId="10621" xr:uid="{00000000-0005-0000-0000-0000E8080000}"/>
    <cellStyle name="20% - Accent2 2 2 3 3 3 2" xfId="24563" xr:uid="{00000000-0005-0000-0000-0000E9080000}"/>
    <cellStyle name="20% - Accent2 2 2 3 3 4" xfId="17933" xr:uid="{00000000-0005-0000-0000-0000EA080000}"/>
    <cellStyle name="20% - Accent2 2 2 3 4" xfId="611" xr:uid="{00000000-0005-0000-0000-0000EB080000}"/>
    <cellStyle name="20% - Accent2 2 2 3 4 2" xfId="12197" xr:uid="{00000000-0005-0000-0000-0000EC080000}"/>
    <cellStyle name="20% - Accent2 2 2 3 4 2 2" xfId="25909" xr:uid="{00000000-0005-0000-0000-0000ED080000}"/>
    <cellStyle name="20% - Accent2 2 2 3 4 3" xfId="17935" xr:uid="{00000000-0005-0000-0000-0000EE080000}"/>
    <cellStyle name="20% - Accent2 2 2 3 5" xfId="612" xr:uid="{00000000-0005-0000-0000-0000EF080000}"/>
    <cellStyle name="20% - Accent2 2 2 3 5 2" xfId="12652" xr:uid="{00000000-0005-0000-0000-0000F0080000}"/>
    <cellStyle name="20% - Accent2 2 2 3 5 2 2" xfId="26364" xr:uid="{00000000-0005-0000-0000-0000F1080000}"/>
    <cellStyle name="20% - Accent2 2 2 3 5 3" xfId="17936" xr:uid="{00000000-0005-0000-0000-0000F2080000}"/>
    <cellStyle name="20% - Accent2 2 2 3 6" xfId="613" xr:uid="{00000000-0005-0000-0000-0000F3080000}"/>
    <cellStyle name="20% - Accent2 2 2 3 6 2" xfId="13761" xr:uid="{00000000-0005-0000-0000-0000F4080000}"/>
    <cellStyle name="20% - Accent2 2 2 3 6 2 2" xfId="27310" xr:uid="{00000000-0005-0000-0000-0000F5080000}"/>
    <cellStyle name="20% - Accent2 2 2 3 6 3" xfId="17937" xr:uid="{00000000-0005-0000-0000-0000F6080000}"/>
    <cellStyle name="20% - Accent2 2 2 3 7" xfId="614" xr:uid="{00000000-0005-0000-0000-0000F7080000}"/>
    <cellStyle name="20% - Accent2 2 2 3 7 2" xfId="14342" xr:uid="{00000000-0005-0000-0000-0000F8080000}"/>
    <cellStyle name="20% - Accent2 2 2 3 7 2 2" xfId="27891" xr:uid="{00000000-0005-0000-0000-0000F9080000}"/>
    <cellStyle name="20% - Accent2 2 2 3 7 3" xfId="17938" xr:uid="{00000000-0005-0000-0000-0000FA080000}"/>
    <cellStyle name="20% - Accent2 2 2 3 8" xfId="615" xr:uid="{00000000-0005-0000-0000-0000FB080000}"/>
    <cellStyle name="20% - Accent2 2 2 3 8 2" xfId="14654" xr:uid="{00000000-0005-0000-0000-0000FC080000}"/>
    <cellStyle name="20% - Accent2 2 2 3 8 2 2" xfId="28203" xr:uid="{00000000-0005-0000-0000-0000FD080000}"/>
    <cellStyle name="20% - Accent2 2 2 3 8 3" xfId="17939" xr:uid="{00000000-0005-0000-0000-0000FE080000}"/>
    <cellStyle name="20% - Accent2 2 2 3 9" xfId="616" xr:uid="{00000000-0005-0000-0000-0000FF080000}"/>
    <cellStyle name="20% - Accent2 2 2 3 9 2" xfId="16228" xr:uid="{00000000-0005-0000-0000-000000090000}"/>
    <cellStyle name="20% - Accent2 2 2 3 9 2 2" xfId="29635" xr:uid="{00000000-0005-0000-0000-000001090000}"/>
    <cellStyle name="20% - Accent2 2 2 3 9 3" xfId="17940" xr:uid="{00000000-0005-0000-0000-000002090000}"/>
    <cellStyle name="20% - Accent2 2 2 4" xfId="617" xr:uid="{00000000-0005-0000-0000-000003090000}"/>
    <cellStyle name="20% - Accent2 2 2 4 2" xfId="618" xr:uid="{00000000-0005-0000-0000-000004090000}"/>
    <cellStyle name="20% - Accent2 2 2 4 2 2" xfId="10623" xr:uid="{00000000-0005-0000-0000-000005090000}"/>
    <cellStyle name="20% - Accent2 2 2 4 2 2 2" xfId="24565" xr:uid="{00000000-0005-0000-0000-000006090000}"/>
    <cellStyle name="20% - Accent2 2 2 4 2 3" xfId="17942" xr:uid="{00000000-0005-0000-0000-000007090000}"/>
    <cellStyle name="20% - Accent2 2 2 4 3" xfId="619" xr:uid="{00000000-0005-0000-0000-000008090000}"/>
    <cellStyle name="20% - Accent2 2 2 4 3 2" xfId="12539" xr:uid="{00000000-0005-0000-0000-000009090000}"/>
    <cellStyle name="20% - Accent2 2 2 4 3 2 2" xfId="26251" xr:uid="{00000000-0005-0000-0000-00000A090000}"/>
    <cellStyle name="20% - Accent2 2 2 4 3 3" xfId="17943" xr:uid="{00000000-0005-0000-0000-00000B090000}"/>
    <cellStyle name="20% - Accent2 2 2 4 4" xfId="620" xr:uid="{00000000-0005-0000-0000-00000C090000}"/>
    <cellStyle name="20% - Accent2 2 2 4 4 2" xfId="14657" xr:uid="{00000000-0005-0000-0000-00000D090000}"/>
    <cellStyle name="20% - Accent2 2 2 4 4 2 2" xfId="28206" xr:uid="{00000000-0005-0000-0000-00000E090000}"/>
    <cellStyle name="20% - Accent2 2 2 4 4 3" xfId="17944" xr:uid="{00000000-0005-0000-0000-00000F090000}"/>
    <cellStyle name="20% - Accent2 2 2 4 5" xfId="621" xr:uid="{00000000-0005-0000-0000-000010090000}"/>
    <cellStyle name="20% - Accent2 2 2 4 5 2" xfId="17156" xr:uid="{00000000-0005-0000-0000-000011090000}"/>
    <cellStyle name="20% - Accent2 2 2 4 5 2 2" xfId="30515" xr:uid="{00000000-0005-0000-0000-000012090000}"/>
    <cellStyle name="20% - Accent2 2 2 4 5 3" xfId="17945" xr:uid="{00000000-0005-0000-0000-000013090000}"/>
    <cellStyle name="20% - Accent2 2 2 4 6" xfId="8898" xr:uid="{00000000-0005-0000-0000-000014090000}"/>
    <cellStyle name="20% - Accent2 2 2 4 6 2" xfId="23373" xr:uid="{00000000-0005-0000-0000-000015090000}"/>
    <cellStyle name="20% - Accent2 2 2 4 7" xfId="17941" xr:uid="{00000000-0005-0000-0000-000016090000}"/>
    <cellStyle name="20% - Accent2 2 2 5" xfId="622" xr:uid="{00000000-0005-0000-0000-000017090000}"/>
    <cellStyle name="20% - Accent2 2 2 5 2" xfId="623" xr:uid="{00000000-0005-0000-0000-000018090000}"/>
    <cellStyle name="20% - Accent2 2 2 5 2 2" xfId="14658" xr:uid="{00000000-0005-0000-0000-000019090000}"/>
    <cellStyle name="20% - Accent2 2 2 5 2 2 2" xfId="28207" xr:uid="{00000000-0005-0000-0000-00001A090000}"/>
    <cellStyle name="20% - Accent2 2 2 5 2 3" xfId="17947" xr:uid="{00000000-0005-0000-0000-00001B090000}"/>
    <cellStyle name="20% - Accent2 2 2 5 3" xfId="624" xr:uid="{00000000-0005-0000-0000-00001C090000}"/>
    <cellStyle name="20% - Accent2 2 2 5 3 2" xfId="17245" xr:uid="{00000000-0005-0000-0000-00001D090000}"/>
    <cellStyle name="20% - Accent2 2 2 5 3 2 2" xfId="30604" xr:uid="{00000000-0005-0000-0000-00001E090000}"/>
    <cellStyle name="20% - Accent2 2 2 5 3 3" xfId="17948" xr:uid="{00000000-0005-0000-0000-00001F090000}"/>
    <cellStyle name="20% - Accent2 2 2 5 4" xfId="10616" xr:uid="{00000000-0005-0000-0000-000020090000}"/>
    <cellStyle name="20% - Accent2 2 2 5 4 2" xfId="24558" xr:uid="{00000000-0005-0000-0000-000021090000}"/>
    <cellStyle name="20% - Accent2 2 2 5 5" xfId="17946" xr:uid="{00000000-0005-0000-0000-000022090000}"/>
    <cellStyle name="20% - Accent2 2 2 6" xfId="625" xr:uid="{00000000-0005-0000-0000-000023090000}"/>
    <cellStyle name="20% - Accent2 2 2 6 2" xfId="626" xr:uid="{00000000-0005-0000-0000-000024090000}"/>
    <cellStyle name="20% - Accent2 2 2 6 2 2" xfId="16520" xr:uid="{00000000-0005-0000-0000-000025090000}"/>
    <cellStyle name="20% - Accent2 2 2 6 2 2 2" xfId="29927" xr:uid="{00000000-0005-0000-0000-000026090000}"/>
    <cellStyle name="20% - Accent2 2 2 6 2 3" xfId="17950" xr:uid="{00000000-0005-0000-0000-000027090000}"/>
    <cellStyle name="20% - Accent2 2 2 6 3" xfId="11895" xr:uid="{00000000-0005-0000-0000-000028090000}"/>
    <cellStyle name="20% - Accent2 2 2 6 3 2" xfId="25610" xr:uid="{00000000-0005-0000-0000-000029090000}"/>
    <cellStyle name="20% - Accent2 2 2 6 4" xfId="17949" xr:uid="{00000000-0005-0000-0000-00002A090000}"/>
    <cellStyle name="20% - Accent2 2 2 7" xfId="627" xr:uid="{00000000-0005-0000-0000-00002B090000}"/>
    <cellStyle name="20% - Accent2 2 2 7 2" xfId="11862" xr:uid="{00000000-0005-0000-0000-00002C090000}"/>
    <cellStyle name="20% - Accent2 2 2 7 2 2" xfId="25577" xr:uid="{00000000-0005-0000-0000-00002D090000}"/>
    <cellStyle name="20% - Accent2 2 2 7 3" xfId="17951" xr:uid="{00000000-0005-0000-0000-00002E090000}"/>
    <cellStyle name="20% - Accent2 2 2 8" xfId="628" xr:uid="{00000000-0005-0000-0000-00002F090000}"/>
    <cellStyle name="20% - Accent2 2 2 8 2" xfId="13472" xr:uid="{00000000-0005-0000-0000-000030090000}"/>
    <cellStyle name="20% - Accent2 2 2 8 2 2" xfId="27021" xr:uid="{00000000-0005-0000-0000-000031090000}"/>
    <cellStyle name="20% - Accent2 2 2 8 3" xfId="17952" xr:uid="{00000000-0005-0000-0000-000032090000}"/>
    <cellStyle name="20% - Accent2 2 2 9" xfId="629" xr:uid="{00000000-0005-0000-0000-000033090000}"/>
    <cellStyle name="20% - Accent2 2 2 9 2" xfId="14053" xr:uid="{00000000-0005-0000-0000-000034090000}"/>
    <cellStyle name="20% - Accent2 2 2 9 2 2" xfId="27602" xr:uid="{00000000-0005-0000-0000-000035090000}"/>
    <cellStyle name="20% - Accent2 2 2 9 3" xfId="17953" xr:uid="{00000000-0005-0000-0000-000036090000}"/>
    <cellStyle name="20% - Accent2 2 3" xfId="630" xr:uid="{00000000-0005-0000-0000-000037090000}"/>
    <cellStyle name="20% - Accent2 2 3 10" xfId="631" xr:uid="{00000000-0005-0000-0000-000038090000}"/>
    <cellStyle name="20% - Accent2 2 3 10 2" xfId="16036" xr:uid="{00000000-0005-0000-0000-000039090000}"/>
    <cellStyle name="20% - Accent2 2 3 10 2 2" xfId="29443" xr:uid="{00000000-0005-0000-0000-00003A090000}"/>
    <cellStyle name="20% - Accent2 2 3 10 3" xfId="17955" xr:uid="{00000000-0005-0000-0000-00003B090000}"/>
    <cellStyle name="20% - Accent2 2 3 11" xfId="8899" xr:uid="{00000000-0005-0000-0000-00003C090000}"/>
    <cellStyle name="20% - Accent2 2 3 11 2" xfId="23374" xr:uid="{00000000-0005-0000-0000-00003D090000}"/>
    <cellStyle name="20% - Accent2 2 3 12" xfId="17954" xr:uid="{00000000-0005-0000-0000-00003E090000}"/>
    <cellStyle name="20% - Accent2 2 3 2" xfId="632" xr:uid="{00000000-0005-0000-0000-00003F090000}"/>
    <cellStyle name="20% - Accent2 2 3 2 10" xfId="8900" xr:uid="{00000000-0005-0000-0000-000040090000}"/>
    <cellStyle name="20% - Accent2 2 3 2 10 2" xfId="23375" xr:uid="{00000000-0005-0000-0000-000041090000}"/>
    <cellStyle name="20% - Accent2 2 3 2 11" xfId="17956" xr:uid="{00000000-0005-0000-0000-000042090000}"/>
    <cellStyle name="20% - Accent2 2 3 2 2" xfId="633" xr:uid="{00000000-0005-0000-0000-000043090000}"/>
    <cellStyle name="20% - Accent2 2 3 2 2 2" xfId="634" xr:uid="{00000000-0005-0000-0000-000044090000}"/>
    <cellStyle name="20% - Accent2 2 3 2 2 2 2" xfId="10626" xr:uid="{00000000-0005-0000-0000-000045090000}"/>
    <cellStyle name="20% - Accent2 2 3 2 2 2 2 2" xfId="24568" xr:uid="{00000000-0005-0000-0000-000046090000}"/>
    <cellStyle name="20% - Accent2 2 3 2 2 2 3" xfId="17958" xr:uid="{00000000-0005-0000-0000-000047090000}"/>
    <cellStyle name="20% - Accent2 2 3 2 2 3" xfId="635" xr:uid="{00000000-0005-0000-0000-000048090000}"/>
    <cellStyle name="20% - Accent2 2 3 2 2 3 2" xfId="12636" xr:uid="{00000000-0005-0000-0000-000049090000}"/>
    <cellStyle name="20% - Accent2 2 3 2 2 3 2 2" xfId="26348" xr:uid="{00000000-0005-0000-0000-00004A090000}"/>
    <cellStyle name="20% - Accent2 2 3 2 2 3 3" xfId="17959" xr:uid="{00000000-0005-0000-0000-00004B090000}"/>
    <cellStyle name="20% - Accent2 2 3 2 2 4" xfId="636" xr:uid="{00000000-0005-0000-0000-00004C090000}"/>
    <cellStyle name="20% - Accent2 2 3 2 2 4 2" xfId="14661" xr:uid="{00000000-0005-0000-0000-00004D090000}"/>
    <cellStyle name="20% - Accent2 2 3 2 2 4 2 2" xfId="28210" xr:uid="{00000000-0005-0000-0000-00004E090000}"/>
    <cellStyle name="20% - Accent2 2 3 2 2 4 3" xfId="17960" xr:uid="{00000000-0005-0000-0000-00004F090000}"/>
    <cellStyle name="20% - Accent2 2 3 2 2 5" xfId="637" xr:uid="{00000000-0005-0000-0000-000050090000}"/>
    <cellStyle name="20% - Accent2 2 3 2 2 5 2" xfId="16906" xr:uid="{00000000-0005-0000-0000-000051090000}"/>
    <cellStyle name="20% - Accent2 2 3 2 2 5 2 2" xfId="30313" xr:uid="{00000000-0005-0000-0000-000052090000}"/>
    <cellStyle name="20% - Accent2 2 3 2 2 5 3" xfId="17961" xr:uid="{00000000-0005-0000-0000-000053090000}"/>
    <cellStyle name="20% - Accent2 2 3 2 2 6" xfId="8901" xr:uid="{00000000-0005-0000-0000-000054090000}"/>
    <cellStyle name="20% - Accent2 2 3 2 2 6 2" xfId="23376" xr:uid="{00000000-0005-0000-0000-000055090000}"/>
    <cellStyle name="20% - Accent2 2 3 2 2 7" xfId="17957" xr:uid="{00000000-0005-0000-0000-000056090000}"/>
    <cellStyle name="20% - Accent2 2 3 2 3" xfId="638" xr:uid="{00000000-0005-0000-0000-000057090000}"/>
    <cellStyle name="20% - Accent2 2 3 2 3 2" xfId="639" xr:uid="{00000000-0005-0000-0000-000058090000}"/>
    <cellStyle name="20% - Accent2 2 3 2 3 2 2" xfId="14662" xr:uid="{00000000-0005-0000-0000-000059090000}"/>
    <cellStyle name="20% - Accent2 2 3 2 3 2 2 2" xfId="28211" xr:uid="{00000000-0005-0000-0000-00005A090000}"/>
    <cellStyle name="20% - Accent2 2 3 2 3 2 3" xfId="17963" xr:uid="{00000000-0005-0000-0000-00005B090000}"/>
    <cellStyle name="20% - Accent2 2 3 2 3 3" xfId="10625" xr:uid="{00000000-0005-0000-0000-00005C090000}"/>
    <cellStyle name="20% - Accent2 2 3 2 3 3 2" xfId="24567" xr:uid="{00000000-0005-0000-0000-00005D090000}"/>
    <cellStyle name="20% - Accent2 2 3 2 3 4" xfId="17962" xr:uid="{00000000-0005-0000-0000-00005E090000}"/>
    <cellStyle name="20% - Accent2 2 3 2 4" xfId="640" xr:uid="{00000000-0005-0000-0000-00005F090000}"/>
    <cellStyle name="20% - Accent2 2 3 2 4 2" xfId="12294" xr:uid="{00000000-0005-0000-0000-000060090000}"/>
    <cellStyle name="20% - Accent2 2 3 2 4 2 2" xfId="26006" xr:uid="{00000000-0005-0000-0000-000061090000}"/>
    <cellStyle name="20% - Accent2 2 3 2 4 3" xfId="17964" xr:uid="{00000000-0005-0000-0000-000062090000}"/>
    <cellStyle name="20% - Accent2 2 3 2 5" xfId="641" xr:uid="{00000000-0005-0000-0000-000063090000}"/>
    <cellStyle name="20% - Accent2 2 3 2 5 2" xfId="12412" xr:uid="{00000000-0005-0000-0000-000064090000}"/>
    <cellStyle name="20% - Accent2 2 3 2 5 2 2" xfId="26124" xr:uid="{00000000-0005-0000-0000-000065090000}"/>
    <cellStyle name="20% - Accent2 2 3 2 5 3" xfId="17965" xr:uid="{00000000-0005-0000-0000-000066090000}"/>
    <cellStyle name="20% - Accent2 2 3 2 6" xfId="642" xr:uid="{00000000-0005-0000-0000-000067090000}"/>
    <cellStyle name="20% - Accent2 2 3 2 6 2" xfId="13858" xr:uid="{00000000-0005-0000-0000-000068090000}"/>
    <cellStyle name="20% - Accent2 2 3 2 6 2 2" xfId="27407" xr:uid="{00000000-0005-0000-0000-000069090000}"/>
    <cellStyle name="20% - Accent2 2 3 2 6 3" xfId="17966" xr:uid="{00000000-0005-0000-0000-00006A090000}"/>
    <cellStyle name="20% - Accent2 2 3 2 7" xfId="643" xr:uid="{00000000-0005-0000-0000-00006B090000}"/>
    <cellStyle name="20% - Accent2 2 3 2 7 2" xfId="14439" xr:uid="{00000000-0005-0000-0000-00006C090000}"/>
    <cellStyle name="20% - Accent2 2 3 2 7 2 2" xfId="27988" xr:uid="{00000000-0005-0000-0000-00006D090000}"/>
    <cellStyle name="20% - Accent2 2 3 2 7 3" xfId="17967" xr:uid="{00000000-0005-0000-0000-00006E090000}"/>
    <cellStyle name="20% - Accent2 2 3 2 8" xfId="644" xr:uid="{00000000-0005-0000-0000-00006F090000}"/>
    <cellStyle name="20% - Accent2 2 3 2 8 2" xfId="14660" xr:uid="{00000000-0005-0000-0000-000070090000}"/>
    <cellStyle name="20% - Accent2 2 3 2 8 2 2" xfId="28209" xr:uid="{00000000-0005-0000-0000-000071090000}"/>
    <cellStyle name="20% - Accent2 2 3 2 8 3" xfId="17968" xr:uid="{00000000-0005-0000-0000-000072090000}"/>
    <cellStyle name="20% - Accent2 2 3 2 9" xfId="645" xr:uid="{00000000-0005-0000-0000-000073090000}"/>
    <cellStyle name="20% - Accent2 2 3 2 9 2" xfId="16325" xr:uid="{00000000-0005-0000-0000-000074090000}"/>
    <cellStyle name="20% - Accent2 2 3 2 9 2 2" xfId="29732" xr:uid="{00000000-0005-0000-0000-000075090000}"/>
    <cellStyle name="20% - Accent2 2 3 2 9 3" xfId="17969" xr:uid="{00000000-0005-0000-0000-000076090000}"/>
    <cellStyle name="20% - Accent2 2 3 3" xfId="646" xr:uid="{00000000-0005-0000-0000-000077090000}"/>
    <cellStyle name="20% - Accent2 2 3 3 2" xfId="647" xr:uid="{00000000-0005-0000-0000-000078090000}"/>
    <cellStyle name="20% - Accent2 2 3 3 2 2" xfId="10627" xr:uid="{00000000-0005-0000-0000-000079090000}"/>
    <cellStyle name="20% - Accent2 2 3 3 2 2 2" xfId="24569" xr:uid="{00000000-0005-0000-0000-00007A090000}"/>
    <cellStyle name="20% - Accent2 2 3 3 2 3" xfId="17971" xr:uid="{00000000-0005-0000-0000-00007B090000}"/>
    <cellStyle name="20% - Accent2 2 3 3 3" xfId="648" xr:uid="{00000000-0005-0000-0000-00007C090000}"/>
    <cellStyle name="20% - Accent2 2 3 3 3 2" xfId="12667" xr:uid="{00000000-0005-0000-0000-00007D090000}"/>
    <cellStyle name="20% - Accent2 2 3 3 3 2 2" xfId="26379" xr:uid="{00000000-0005-0000-0000-00007E090000}"/>
    <cellStyle name="20% - Accent2 2 3 3 3 3" xfId="17972" xr:uid="{00000000-0005-0000-0000-00007F090000}"/>
    <cellStyle name="20% - Accent2 2 3 3 4" xfId="649" xr:uid="{00000000-0005-0000-0000-000080090000}"/>
    <cellStyle name="20% - Accent2 2 3 3 4 2" xfId="14663" xr:uid="{00000000-0005-0000-0000-000081090000}"/>
    <cellStyle name="20% - Accent2 2 3 3 4 2 2" xfId="28212" xr:uid="{00000000-0005-0000-0000-000082090000}"/>
    <cellStyle name="20% - Accent2 2 3 3 4 3" xfId="17973" xr:uid="{00000000-0005-0000-0000-000083090000}"/>
    <cellStyle name="20% - Accent2 2 3 3 5" xfId="650" xr:uid="{00000000-0005-0000-0000-000084090000}"/>
    <cellStyle name="20% - Accent2 2 3 3 5 2" xfId="16617" xr:uid="{00000000-0005-0000-0000-000085090000}"/>
    <cellStyle name="20% - Accent2 2 3 3 5 2 2" xfId="30024" xr:uid="{00000000-0005-0000-0000-000086090000}"/>
    <cellStyle name="20% - Accent2 2 3 3 5 3" xfId="17974" xr:uid="{00000000-0005-0000-0000-000087090000}"/>
    <cellStyle name="20% - Accent2 2 3 3 6" xfId="8902" xr:uid="{00000000-0005-0000-0000-000088090000}"/>
    <cellStyle name="20% - Accent2 2 3 3 6 2" xfId="23377" xr:uid="{00000000-0005-0000-0000-000089090000}"/>
    <cellStyle name="20% - Accent2 2 3 3 7" xfId="17970" xr:uid="{00000000-0005-0000-0000-00008A090000}"/>
    <cellStyle name="20% - Accent2 2 3 4" xfId="651" xr:uid="{00000000-0005-0000-0000-00008B090000}"/>
    <cellStyle name="20% - Accent2 2 3 4 2" xfId="652" xr:uid="{00000000-0005-0000-0000-00008C090000}"/>
    <cellStyle name="20% - Accent2 2 3 4 2 2" xfId="14664" xr:uid="{00000000-0005-0000-0000-00008D090000}"/>
    <cellStyle name="20% - Accent2 2 3 4 2 2 2" xfId="28213" xr:uid="{00000000-0005-0000-0000-00008E090000}"/>
    <cellStyle name="20% - Accent2 2 3 4 2 3" xfId="17976" xr:uid="{00000000-0005-0000-0000-00008F090000}"/>
    <cellStyle name="20% - Accent2 2 3 4 3" xfId="10624" xr:uid="{00000000-0005-0000-0000-000090090000}"/>
    <cellStyle name="20% - Accent2 2 3 4 3 2" xfId="24566" xr:uid="{00000000-0005-0000-0000-000091090000}"/>
    <cellStyle name="20% - Accent2 2 3 4 4" xfId="17975" xr:uid="{00000000-0005-0000-0000-000092090000}"/>
    <cellStyle name="20% - Accent2 2 3 5" xfId="653" xr:uid="{00000000-0005-0000-0000-000093090000}"/>
    <cellStyle name="20% - Accent2 2 3 5 2" xfId="11994" xr:uid="{00000000-0005-0000-0000-000094090000}"/>
    <cellStyle name="20% - Accent2 2 3 5 2 2" xfId="25709" xr:uid="{00000000-0005-0000-0000-000095090000}"/>
    <cellStyle name="20% - Accent2 2 3 5 3" xfId="17977" xr:uid="{00000000-0005-0000-0000-000096090000}"/>
    <cellStyle name="20% - Accent2 2 3 6" xfId="654" xr:uid="{00000000-0005-0000-0000-000097090000}"/>
    <cellStyle name="20% - Accent2 2 3 6 2" xfId="12594" xr:uid="{00000000-0005-0000-0000-000098090000}"/>
    <cellStyle name="20% - Accent2 2 3 6 2 2" xfId="26306" xr:uid="{00000000-0005-0000-0000-000099090000}"/>
    <cellStyle name="20% - Accent2 2 3 6 3" xfId="17978" xr:uid="{00000000-0005-0000-0000-00009A090000}"/>
    <cellStyle name="20% - Accent2 2 3 7" xfId="655" xr:uid="{00000000-0005-0000-0000-00009B090000}"/>
    <cellStyle name="20% - Accent2 2 3 7 2" xfId="13569" xr:uid="{00000000-0005-0000-0000-00009C090000}"/>
    <cellStyle name="20% - Accent2 2 3 7 2 2" xfId="27118" xr:uid="{00000000-0005-0000-0000-00009D090000}"/>
    <cellStyle name="20% - Accent2 2 3 7 3" xfId="17979" xr:uid="{00000000-0005-0000-0000-00009E090000}"/>
    <cellStyle name="20% - Accent2 2 3 8" xfId="656" xr:uid="{00000000-0005-0000-0000-00009F090000}"/>
    <cellStyle name="20% - Accent2 2 3 8 2" xfId="14150" xr:uid="{00000000-0005-0000-0000-0000A0090000}"/>
    <cellStyle name="20% - Accent2 2 3 8 2 2" xfId="27699" xr:uid="{00000000-0005-0000-0000-0000A1090000}"/>
    <cellStyle name="20% - Accent2 2 3 8 3" xfId="17980" xr:uid="{00000000-0005-0000-0000-0000A2090000}"/>
    <cellStyle name="20% - Accent2 2 3 9" xfId="657" xr:uid="{00000000-0005-0000-0000-0000A3090000}"/>
    <cellStyle name="20% - Accent2 2 3 9 2" xfId="14659" xr:uid="{00000000-0005-0000-0000-0000A4090000}"/>
    <cellStyle name="20% - Accent2 2 3 9 2 2" xfId="28208" xr:uid="{00000000-0005-0000-0000-0000A5090000}"/>
    <cellStyle name="20% - Accent2 2 3 9 3" xfId="17981" xr:uid="{00000000-0005-0000-0000-0000A6090000}"/>
    <cellStyle name="20% - Accent2 2 4" xfId="658" xr:uid="{00000000-0005-0000-0000-0000A7090000}"/>
    <cellStyle name="20% - Accent2 2 4 10" xfId="8903" xr:uid="{00000000-0005-0000-0000-0000A8090000}"/>
    <cellStyle name="20% - Accent2 2 4 10 2" xfId="23378" xr:uid="{00000000-0005-0000-0000-0000A9090000}"/>
    <cellStyle name="20% - Accent2 2 4 11" xfId="17982" xr:uid="{00000000-0005-0000-0000-0000AA090000}"/>
    <cellStyle name="20% - Accent2 2 4 2" xfId="659" xr:uid="{00000000-0005-0000-0000-0000AB090000}"/>
    <cellStyle name="20% - Accent2 2 4 2 2" xfId="660" xr:uid="{00000000-0005-0000-0000-0000AC090000}"/>
    <cellStyle name="20% - Accent2 2 4 2 2 2" xfId="10629" xr:uid="{00000000-0005-0000-0000-0000AD090000}"/>
    <cellStyle name="20% - Accent2 2 4 2 2 2 2" xfId="24571" xr:uid="{00000000-0005-0000-0000-0000AE090000}"/>
    <cellStyle name="20% - Accent2 2 4 2 2 3" xfId="17984" xr:uid="{00000000-0005-0000-0000-0000AF090000}"/>
    <cellStyle name="20% - Accent2 2 4 2 3" xfId="661" xr:uid="{00000000-0005-0000-0000-0000B0090000}"/>
    <cellStyle name="20% - Accent2 2 4 2 3 2" xfId="12763" xr:uid="{00000000-0005-0000-0000-0000B1090000}"/>
    <cellStyle name="20% - Accent2 2 4 2 3 2 2" xfId="26475" xr:uid="{00000000-0005-0000-0000-0000B2090000}"/>
    <cellStyle name="20% - Accent2 2 4 2 3 3" xfId="17985" xr:uid="{00000000-0005-0000-0000-0000B3090000}"/>
    <cellStyle name="20% - Accent2 2 4 2 4" xfId="662" xr:uid="{00000000-0005-0000-0000-0000B4090000}"/>
    <cellStyle name="20% - Accent2 2 4 2 4 2" xfId="14666" xr:uid="{00000000-0005-0000-0000-0000B5090000}"/>
    <cellStyle name="20% - Accent2 2 4 2 4 2 2" xfId="28215" xr:uid="{00000000-0005-0000-0000-0000B6090000}"/>
    <cellStyle name="20% - Accent2 2 4 2 4 3" xfId="17986" xr:uid="{00000000-0005-0000-0000-0000B7090000}"/>
    <cellStyle name="20% - Accent2 2 4 2 5" xfId="663" xr:uid="{00000000-0005-0000-0000-0000B8090000}"/>
    <cellStyle name="20% - Accent2 2 4 2 5 2" xfId="16763" xr:uid="{00000000-0005-0000-0000-0000B9090000}"/>
    <cellStyle name="20% - Accent2 2 4 2 5 2 2" xfId="30170" xr:uid="{00000000-0005-0000-0000-0000BA090000}"/>
    <cellStyle name="20% - Accent2 2 4 2 5 3" xfId="17987" xr:uid="{00000000-0005-0000-0000-0000BB090000}"/>
    <cellStyle name="20% - Accent2 2 4 2 6" xfId="8904" xr:uid="{00000000-0005-0000-0000-0000BC090000}"/>
    <cellStyle name="20% - Accent2 2 4 2 6 2" xfId="23379" xr:uid="{00000000-0005-0000-0000-0000BD090000}"/>
    <cellStyle name="20% - Accent2 2 4 2 7" xfId="17983" xr:uid="{00000000-0005-0000-0000-0000BE090000}"/>
    <cellStyle name="20% - Accent2 2 4 3" xfId="664" xr:uid="{00000000-0005-0000-0000-0000BF090000}"/>
    <cellStyle name="20% - Accent2 2 4 3 2" xfId="665" xr:uid="{00000000-0005-0000-0000-0000C0090000}"/>
    <cellStyle name="20% - Accent2 2 4 3 2 2" xfId="14667" xr:uid="{00000000-0005-0000-0000-0000C1090000}"/>
    <cellStyle name="20% - Accent2 2 4 3 2 2 2" xfId="28216" xr:uid="{00000000-0005-0000-0000-0000C2090000}"/>
    <cellStyle name="20% - Accent2 2 4 3 2 3" xfId="17989" xr:uid="{00000000-0005-0000-0000-0000C3090000}"/>
    <cellStyle name="20% - Accent2 2 4 3 3" xfId="10628" xr:uid="{00000000-0005-0000-0000-0000C4090000}"/>
    <cellStyle name="20% - Accent2 2 4 3 3 2" xfId="24570" xr:uid="{00000000-0005-0000-0000-0000C5090000}"/>
    <cellStyle name="20% - Accent2 2 4 3 4" xfId="17988" xr:uid="{00000000-0005-0000-0000-0000C6090000}"/>
    <cellStyle name="20% - Accent2 2 4 4" xfId="666" xr:uid="{00000000-0005-0000-0000-0000C7090000}"/>
    <cellStyle name="20% - Accent2 2 4 4 2" xfId="12151" xr:uid="{00000000-0005-0000-0000-0000C8090000}"/>
    <cellStyle name="20% - Accent2 2 4 4 2 2" xfId="25863" xr:uid="{00000000-0005-0000-0000-0000C9090000}"/>
    <cellStyle name="20% - Accent2 2 4 4 3" xfId="17990" xr:uid="{00000000-0005-0000-0000-0000CA090000}"/>
    <cellStyle name="20% - Accent2 2 4 5" xfId="667" xr:uid="{00000000-0005-0000-0000-0000CB090000}"/>
    <cellStyle name="20% - Accent2 2 4 5 2" xfId="12668" xr:uid="{00000000-0005-0000-0000-0000CC090000}"/>
    <cellStyle name="20% - Accent2 2 4 5 2 2" xfId="26380" xr:uid="{00000000-0005-0000-0000-0000CD090000}"/>
    <cellStyle name="20% - Accent2 2 4 5 3" xfId="17991" xr:uid="{00000000-0005-0000-0000-0000CE090000}"/>
    <cellStyle name="20% - Accent2 2 4 6" xfId="668" xr:uid="{00000000-0005-0000-0000-0000CF090000}"/>
    <cellStyle name="20% - Accent2 2 4 6 2" xfId="13715" xr:uid="{00000000-0005-0000-0000-0000D0090000}"/>
    <cellStyle name="20% - Accent2 2 4 6 2 2" xfId="27264" xr:uid="{00000000-0005-0000-0000-0000D1090000}"/>
    <cellStyle name="20% - Accent2 2 4 6 3" xfId="17992" xr:uid="{00000000-0005-0000-0000-0000D2090000}"/>
    <cellStyle name="20% - Accent2 2 4 7" xfId="669" xr:uid="{00000000-0005-0000-0000-0000D3090000}"/>
    <cellStyle name="20% - Accent2 2 4 7 2" xfId="14296" xr:uid="{00000000-0005-0000-0000-0000D4090000}"/>
    <cellStyle name="20% - Accent2 2 4 7 2 2" xfId="27845" xr:uid="{00000000-0005-0000-0000-0000D5090000}"/>
    <cellStyle name="20% - Accent2 2 4 7 3" xfId="17993" xr:uid="{00000000-0005-0000-0000-0000D6090000}"/>
    <cellStyle name="20% - Accent2 2 4 8" xfId="670" xr:uid="{00000000-0005-0000-0000-0000D7090000}"/>
    <cellStyle name="20% - Accent2 2 4 8 2" xfId="14665" xr:uid="{00000000-0005-0000-0000-0000D8090000}"/>
    <cellStyle name="20% - Accent2 2 4 8 2 2" xfId="28214" xr:uid="{00000000-0005-0000-0000-0000D9090000}"/>
    <cellStyle name="20% - Accent2 2 4 8 3" xfId="17994" xr:uid="{00000000-0005-0000-0000-0000DA090000}"/>
    <cellStyle name="20% - Accent2 2 4 9" xfId="671" xr:uid="{00000000-0005-0000-0000-0000DB090000}"/>
    <cellStyle name="20% - Accent2 2 4 9 2" xfId="16182" xr:uid="{00000000-0005-0000-0000-0000DC090000}"/>
    <cellStyle name="20% - Accent2 2 4 9 2 2" xfId="29589" xr:uid="{00000000-0005-0000-0000-0000DD090000}"/>
    <cellStyle name="20% - Accent2 2 4 9 3" xfId="17995" xr:uid="{00000000-0005-0000-0000-0000DE090000}"/>
    <cellStyle name="20% - Accent2 2 5" xfId="672" xr:uid="{00000000-0005-0000-0000-0000DF090000}"/>
    <cellStyle name="20% - Accent2 2 5 2" xfId="673" xr:uid="{00000000-0005-0000-0000-0000E0090000}"/>
    <cellStyle name="20% - Accent2 2 5 2 2" xfId="674" xr:uid="{00000000-0005-0000-0000-0000E1090000}"/>
    <cellStyle name="20% - Accent2 2 5 2 2 2" xfId="10631" xr:uid="{00000000-0005-0000-0000-0000E2090000}"/>
    <cellStyle name="20% - Accent2 2 5 2 2 2 2" xfId="24573" xr:uid="{00000000-0005-0000-0000-0000E3090000}"/>
    <cellStyle name="20% - Accent2 2 5 2 2 3" xfId="17998" xr:uid="{00000000-0005-0000-0000-0000E4090000}"/>
    <cellStyle name="20% - Accent2 2 5 2 3" xfId="675" xr:uid="{00000000-0005-0000-0000-0000E5090000}"/>
    <cellStyle name="20% - Accent2 2 5 2 3 2" xfId="12522" xr:uid="{00000000-0005-0000-0000-0000E6090000}"/>
    <cellStyle name="20% - Accent2 2 5 2 3 2 2" xfId="26234" xr:uid="{00000000-0005-0000-0000-0000E7090000}"/>
    <cellStyle name="20% - Accent2 2 5 2 3 3" xfId="17999" xr:uid="{00000000-0005-0000-0000-0000E8090000}"/>
    <cellStyle name="20% - Accent2 2 5 2 4" xfId="676" xr:uid="{00000000-0005-0000-0000-0000E9090000}"/>
    <cellStyle name="20% - Accent2 2 5 2 4 2" xfId="14669" xr:uid="{00000000-0005-0000-0000-0000EA090000}"/>
    <cellStyle name="20% - Accent2 2 5 2 4 2 2" xfId="28218" xr:uid="{00000000-0005-0000-0000-0000EB090000}"/>
    <cellStyle name="20% - Accent2 2 5 2 4 3" xfId="18000" xr:uid="{00000000-0005-0000-0000-0000EC090000}"/>
    <cellStyle name="20% - Accent2 2 5 2 5" xfId="8906" xr:uid="{00000000-0005-0000-0000-0000ED090000}"/>
    <cellStyle name="20% - Accent2 2 5 2 5 2" xfId="23381" xr:uid="{00000000-0005-0000-0000-0000EE090000}"/>
    <cellStyle name="20% - Accent2 2 5 2 6" xfId="17997" xr:uid="{00000000-0005-0000-0000-0000EF090000}"/>
    <cellStyle name="20% - Accent2 2 5 3" xfId="677" xr:uid="{00000000-0005-0000-0000-0000F0090000}"/>
    <cellStyle name="20% - Accent2 2 5 3 2" xfId="10630" xr:uid="{00000000-0005-0000-0000-0000F1090000}"/>
    <cellStyle name="20% - Accent2 2 5 3 2 2" xfId="24572" xr:uid="{00000000-0005-0000-0000-0000F2090000}"/>
    <cellStyle name="20% - Accent2 2 5 3 3" xfId="18001" xr:uid="{00000000-0005-0000-0000-0000F3090000}"/>
    <cellStyle name="20% - Accent2 2 5 4" xfId="678" xr:uid="{00000000-0005-0000-0000-0000F4090000}"/>
    <cellStyle name="20% - Accent2 2 5 4 2" xfId="12512" xr:uid="{00000000-0005-0000-0000-0000F5090000}"/>
    <cellStyle name="20% - Accent2 2 5 4 2 2" xfId="26224" xr:uid="{00000000-0005-0000-0000-0000F6090000}"/>
    <cellStyle name="20% - Accent2 2 5 4 3" xfId="18002" xr:uid="{00000000-0005-0000-0000-0000F7090000}"/>
    <cellStyle name="20% - Accent2 2 5 5" xfId="679" xr:uid="{00000000-0005-0000-0000-0000F8090000}"/>
    <cellStyle name="20% - Accent2 2 5 5 2" xfId="14668" xr:uid="{00000000-0005-0000-0000-0000F9090000}"/>
    <cellStyle name="20% - Accent2 2 5 5 2 2" xfId="28217" xr:uid="{00000000-0005-0000-0000-0000FA090000}"/>
    <cellStyle name="20% - Accent2 2 5 5 3" xfId="18003" xr:uid="{00000000-0005-0000-0000-0000FB090000}"/>
    <cellStyle name="20% - Accent2 2 5 6" xfId="680" xr:uid="{00000000-0005-0000-0000-0000FC090000}"/>
    <cellStyle name="20% - Accent2 2 5 6 2" xfId="16997" xr:uid="{00000000-0005-0000-0000-0000FD090000}"/>
    <cellStyle name="20% - Accent2 2 5 6 2 2" xfId="30404" xr:uid="{00000000-0005-0000-0000-0000FE090000}"/>
    <cellStyle name="20% - Accent2 2 5 6 3" xfId="18004" xr:uid="{00000000-0005-0000-0000-0000FF090000}"/>
    <cellStyle name="20% - Accent2 2 5 7" xfId="8905" xr:uid="{00000000-0005-0000-0000-0000000A0000}"/>
    <cellStyle name="20% - Accent2 2 5 7 2" xfId="23380" xr:uid="{00000000-0005-0000-0000-0000010A0000}"/>
    <cellStyle name="20% - Accent2 2 5 8" xfId="17996" xr:uid="{00000000-0005-0000-0000-0000020A0000}"/>
    <cellStyle name="20% - Accent2 2 6" xfId="681" xr:uid="{00000000-0005-0000-0000-0000030A0000}"/>
    <cellStyle name="20% - Accent2 2 6 2" xfId="682" xr:uid="{00000000-0005-0000-0000-0000040A0000}"/>
    <cellStyle name="20% - Accent2 2 6 2 2" xfId="10632" xr:uid="{00000000-0005-0000-0000-0000050A0000}"/>
    <cellStyle name="20% - Accent2 2 6 2 2 2" xfId="24574" xr:uid="{00000000-0005-0000-0000-0000060A0000}"/>
    <cellStyle name="20% - Accent2 2 6 2 3" xfId="18006" xr:uid="{00000000-0005-0000-0000-0000070A0000}"/>
    <cellStyle name="20% - Accent2 2 6 3" xfId="683" xr:uid="{00000000-0005-0000-0000-0000080A0000}"/>
    <cellStyle name="20% - Accent2 2 6 3 2" xfId="12679" xr:uid="{00000000-0005-0000-0000-0000090A0000}"/>
    <cellStyle name="20% - Accent2 2 6 3 2 2" xfId="26391" xr:uid="{00000000-0005-0000-0000-00000A0A0000}"/>
    <cellStyle name="20% - Accent2 2 6 3 3" xfId="18007" xr:uid="{00000000-0005-0000-0000-00000B0A0000}"/>
    <cellStyle name="20% - Accent2 2 6 4" xfId="684" xr:uid="{00000000-0005-0000-0000-00000C0A0000}"/>
    <cellStyle name="20% - Accent2 2 6 4 2" xfId="14670" xr:uid="{00000000-0005-0000-0000-00000D0A0000}"/>
    <cellStyle name="20% - Accent2 2 6 4 2 2" xfId="28219" xr:uid="{00000000-0005-0000-0000-00000E0A0000}"/>
    <cellStyle name="20% - Accent2 2 6 4 3" xfId="18008" xr:uid="{00000000-0005-0000-0000-00000F0A0000}"/>
    <cellStyle name="20% - Accent2 2 6 5" xfId="685" xr:uid="{00000000-0005-0000-0000-0000100A0000}"/>
    <cellStyle name="20% - Accent2 2 6 5 2" xfId="17110" xr:uid="{00000000-0005-0000-0000-0000110A0000}"/>
    <cellStyle name="20% - Accent2 2 6 5 2 2" xfId="30469" xr:uid="{00000000-0005-0000-0000-0000120A0000}"/>
    <cellStyle name="20% - Accent2 2 6 5 3" xfId="18009" xr:uid="{00000000-0005-0000-0000-0000130A0000}"/>
    <cellStyle name="20% - Accent2 2 6 6" xfId="8907" xr:uid="{00000000-0005-0000-0000-0000140A0000}"/>
    <cellStyle name="20% - Accent2 2 6 6 2" xfId="23382" xr:uid="{00000000-0005-0000-0000-0000150A0000}"/>
    <cellStyle name="20% - Accent2 2 6 7" xfId="18005" xr:uid="{00000000-0005-0000-0000-0000160A0000}"/>
    <cellStyle name="20% - Accent2 2 7" xfId="686" xr:uid="{00000000-0005-0000-0000-0000170A0000}"/>
    <cellStyle name="20% - Accent2 2 7 2" xfId="687" xr:uid="{00000000-0005-0000-0000-0000180A0000}"/>
    <cellStyle name="20% - Accent2 2 7 2 2" xfId="10633" xr:uid="{00000000-0005-0000-0000-0000190A0000}"/>
    <cellStyle name="20% - Accent2 2 7 2 2 2" xfId="24575" xr:uid="{00000000-0005-0000-0000-00001A0A0000}"/>
    <cellStyle name="20% - Accent2 2 7 2 3" xfId="18011" xr:uid="{00000000-0005-0000-0000-00001B0A0000}"/>
    <cellStyle name="20% - Accent2 2 7 3" xfId="688" xr:uid="{00000000-0005-0000-0000-00001C0A0000}"/>
    <cellStyle name="20% - Accent2 2 7 3 2" xfId="12455" xr:uid="{00000000-0005-0000-0000-00001D0A0000}"/>
    <cellStyle name="20% - Accent2 2 7 3 2 2" xfId="26167" xr:uid="{00000000-0005-0000-0000-00001E0A0000}"/>
    <cellStyle name="20% - Accent2 2 7 3 3" xfId="18012" xr:uid="{00000000-0005-0000-0000-00001F0A0000}"/>
    <cellStyle name="20% - Accent2 2 7 4" xfId="689" xr:uid="{00000000-0005-0000-0000-0000200A0000}"/>
    <cellStyle name="20% - Accent2 2 7 4 2" xfId="14671" xr:uid="{00000000-0005-0000-0000-0000210A0000}"/>
    <cellStyle name="20% - Accent2 2 7 4 2 2" xfId="28220" xr:uid="{00000000-0005-0000-0000-0000220A0000}"/>
    <cellStyle name="20% - Accent2 2 7 4 3" xfId="18013" xr:uid="{00000000-0005-0000-0000-0000230A0000}"/>
    <cellStyle name="20% - Accent2 2 7 5" xfId="690" xr:uid="{00000000-0005-0000-0000-0000240A0000}"/>
    <cellStyle name="20% - Accent2 2 7 5 2" xfId="17199" xr:uid="{00000000-0005-0000-0000-0000250A0000}"/>
    <cellStyle name="20% - Accent2 2 7 5 2 2" xfId="30558" xr:uid="{00000000-0005-0000-0000-0000260A0000}"/>
    <cellStyle name="20% - Accent2 2 7 5 3" xfId="18014" xr:uid="{00000000-0005-0000-0000-0000270A0000}"/>
    <cellStyle name="20% - Accent2 2 7 6" xfId="8908" xr:uid="{00000000-0005-0000-0000-0000280A0000}"/>
    <cellStyle name="20% - Accent2 2 7 6 2" xfId="23383" xr:uid="{00000000-0005-0000-0000-0000290A0000}"/>
    <cellStyle name="20% - Accent2 2 7 7" xfId="18010" xr:uid="{00000000-0005-0000-0000-00002A0A0000}"/>
    <cellStyle name="20% - Accent2 2 8" xfId="691" xr:uid="{00000000-0005-0000-0000-00002B0A0000}"/>
    <cellStyle name="20% - Accent2 2 8 2" xfId="692" xr:uid="{00000000-0005-0000-0000-00002C0A0000}"/>
    <cellStyle name="20% - Accent2 2 8 2 2" xfId="12561" xr:uid="{00000000-0005-0000-0000-00002D0A0000}"/>
    <cellStyle name="20% - Accent2 2 8 2 2 2" xfId="26273" xr:uid="{00000000-0005-0000-0000-00002E0A0000}"/>
    <cellStyle name="20% - Accent2 2 8 2 3" xfId="18016" xr:uid="{00000000-0005-0000-0000-00002F0A0000}"/>
    <cellStyle name="20% - Accent2 2 8 3" xfId="693" xr:uid="{00000000-0005-0000-0000-0000300A0000}"/>
    <cellStyle name="20% - Accent2 2 8 3 2" xfId="14672" xr:uid="{00000000-0005-0000-0000-0000310A0000}"/>
    <cellStyle name="20% - Accent2 2 8 3 2 2" xfId="28221" xr:uid="{00000000-0005-0000-0000-0000320A0000}"/>
    <cellStyle name="20% - Accent2 2 8 3 3" xfId="18017" xr:uid="{00000000-0005-0000-0000-0000330A0000}"/>
    <cellStyle name="20% - Accent2 2 8 4" xfId="694" xr:uid="{00000000-0005-0000-0000-0000340A0000}"/>
    <cellStyle name="20% - Accent2 2 8 4 2" xfId="16474" xr:uid="{00000000-0005-0000-0000-0000350A0000}"/>
    <cellStyle name="20% - Accent2 2 8 4 2 2" xfId="29881" xr:uid="{00000000-0005-0000-0000-0000360A0000}"/>
    <cellStyle name="20% - Accent2 2 8 4 3" xfId="18018" xr:uid="{00000000-0005-0000-0000-0000370A0000}"/>
    <cellStyle name="20% - Accent2 2 8 5" xfId="10518" xr:uid="{00000000-0005-0000-0000-0000380A0000}"/>
    <cellStyle name="20% - Accent2 2 8 5 2" xfId="24460" xr:uid="{00000000-0005-0000-0000-0000390A0000}"/>
    <cellStyle name="20% - Accent2 2 8 6" xfId="18015" xr:uid="{00000000-0005-0000-0000-00003A0A0000}"/>
    <cellStyle name="20% - Accent2 2 9" xfId="695" xr:uid="{00000000-0005-0000-0000-00003B0A0000}"/>
    <cellStyle name="20% - Accent2 2 9 2" xfId="696" xr:uid="{00000000-0005-0000-0000-00003C0A0000}"/>
    <cellStyle name="20% - Accent2 2 9 2 2" xfId="12778" xr:uid="{00000000-0005-0000-0000-00003D0A0000}"/>
    <cellStyle name="20% - Accent2 2 9 2 2 2" xfId="26490" xr:uid="{00000000-0005-0000-0000-00003E0A0000}"/>
    <cellStyle name="20% - Accent2 2 9 2 3" xfId="18020" xr:uid="{00000000-0005-0000-0000-00003F0A0000}"/>
    <cellStyle name="20% - Accent2 2 9 3" xfId="697" xr:uid="{00000000-0005-0000-0000-0000400A0000}"/>
    <cellStyle name="20% - Accent2 2 9 3 2" xfId="14673" xr:uid="{00000000-0005-0000-0000-0000410A0000}"/>
    <cellStyle name="20% - Accent2 2 9 3 2 2" xfId="28222" xr:uid="{00000000-0005-0000-0000-0000420A0000}"/>
    <cellStyle name="20% - Accent2 2 9 3 3" xfId="18021" xr:uid="{00000000-0005-0000-0000-0000430A0000}"/>
    <cellStyle name="20% - Accent2 2 9 4" xfId="10615" xr:uid="{00000000-0005-0000-0000-0000440A0000}"/>
    <cellStyle name="20% - Accent2 2 9 4 2" xfId="24557" xr:uid="{00000000-0005-0000-0000-0000450A0000}"/>
    <cellStyle name="20% - Accent2 2 9 5" xfId="18019" xr:uid="{00000000-0005-0000-0000-0000460A0000}"/>
    <cellStyle name="20% - Accent2 20" xfId="698" xr:uid="{00000000-0005-0000-0000-0000470A0000}"/>
    <cellStyle name="20% - Accent2 20 2" xfId="699" xr:uid="{00000000-0005-0000-0000-0000480A0000}"/>
    <cellStyle name="20% - Accent2 20 2 2" xfId="12666" xr:uid="{00000000-0005-0000-0000-0000490A0000}"/>
    <cellStyle name="20% - Accent2 20 2 2 2" xfId="26378" xr:uid="{00000000-0005-0000-0000-00004A0A0000}"/>
    <cellStyle name="20% - Accent2 20 2 3" xfId="18023" xr:uid="{00000000-0005-0000-0000-00004B0A0000}"/>
    <cellStyle name="20% - Accent2 20 3" xfId="700" xr:uid="{00000000-0005-0000-0000-00004C0A0000}"/>
    <cellStyle name="20% - Accent2 20 3 2" xfId="14674" xr:uid="{00000000-0005-0000-0000-00004D0A0000}"/>
    <cellStyle name="20% - Accent2 20 3 2 2" xfId="28223" xr:uid="{00000000-0005-0000-0000-00004E0A0000}"/>
    <cellStyle name="20% - Accent2 20 3 3" xfId="18024" xr:uid="{00000000-0005-0000-0000-00004F0A0000}"/>
    <cellStyle name="20% - Accent2 20 4" xfId="10493" xr:uid="{00000000-0005-0000-0000-0000500A0000}"/>
    <cellStyle name="20% - Accent2 20 4 2" xfId="24441" xr:uid="{00000000-0005-0000-0000-0000510A0000}"/>
    <cellStyle name="20% - Accent2 20 5" xfId="18022" xr:uid="{00000000-0005-0000-0000-0000520A0000}"/>
    <cellStyle name="20% - Accent2 21" xfId="701" xr:uid="{00000000-0005-0000-0000-0000530A0000}"/>
    <cellStyle name="20% - Accent2 21 2" xfId="702" xr:uid="{00000000-0005-0000-0000-0000540A0000}"/>
    <cellStyle name="20% - Accent2 21 2 2" xfId="12528" xr:uid="{00000000-0005-0000-0000-0000550A0000}"/>
    <cellStyle name="20% - Accent2 21 2 2 2" xfId="26240" xr:uid="{00000000-0005-0000-0000-0000560A0000}"/>
    <cellStyle name="20% - Accent2 21 2 3" xfId="18026" xr:uid="{00000000-0005-0000-0000-0000570A0000}"/>
    <cellStyle name="20% - Accent2 21 3" xfId="703" xr:uid="{00000000-0005-0000-0000-0000580A0000}"/>
    <cellStyle name="20% - Accent2 21 3 2" xfId="14675" xr:uid="{00000000-0005-0000-0000-0000590A0000}"/>
    <cellStyle name="20% - Accent2 21 3 2 2" xfId="28224" xr:uid="{00000000-0005-0000-0000-00005A0A0000}"/>
    <cellStyle name="20% - Accent2 21 3 3" xfId="18027" xr:uid="{00000000-0005-0000-0000-00005B0A0000}"/>
    <cellStyle name="20% - Accent2 21 4" xfId="10604" xr:uid="{00000000-0005-0000-0000-00005C0A0000}"/>
    <cellStyle name="20% - Accent2 21 4 2" xfId="24546" xr:uid="{00000000-0005-0000-0000-00005D0A0000}"/>
    <cellStyle name="20% - Accent2 21 5" xfId="18025" xr:uid="{00000000-0005-0000-0000-00005E0A0000}"/>
    <cellStyle name="20% - Accent2 22" xfId="704" xr:uid="{00000000-0005-0000-0000-00005F0A0000}"/>
    <cellStyle name="20% - Accent2 22 2" xfId="11729" xr:uid="{00000000-0005-0000-0000-0000600A0000}"/>
    <cellStyle name="20% - Accent2 22 2 2" xfId="25444" xr:uid="{00000000-0005-0000-0000-0000610A0000}"/>
    <cellStyle name="20% - Accent2 22 3" xfId="18028" xr:uid="{00000000-0005-0000-0000-0000620A0000}"/>
    <cellStyle name="20% - Accent2 23" xfId="705" xr:uid="{00000000-0005-0000-0000-0000630A0000}"/>
    <cellStyle name="20% - Accent2 23 2" xfId="12767" xr:uid="{00000000-0005-0000-0000-0000640A0000}"/>
    <cellStyle name="20% - Accent2 23 2 2" xfId="26479" xr:uid="{00000000-0005-0000-0000-0000650A0000}"/>
    <cellStyle name="20% - Accent2 23 3" xfId="18029" xr:uid="{00000000-0005-0000-0000-0000660A0000}"/>
    <cellStyle name="20% - Accent2 24" xfId="706" xr:uid="{00000000-0005-0000-0000-0000670A0000}"/>
    <cellStyle name="20% - Accent2 24 2" xfId="13368" xr:uid="{00000000-0005-0000-0000-0000680A0000}"/>
    <cellStyle name="20% - Accent2 24 2 2" xfId="26917" xr:uid="{00000000-0005-0000-0000-0000690A0000}"/>
    <cellStyle name="20% - Accent2 24 3" xfId="18030" xr:uid="{00000000-0005-0000-0000-00006A0A0000}"/>
    <cellStyle name="20% - Accent2 25" xfId="707" xr:uid="{00000000-0005-0000-0000-00006B0A0000}"/>
    <cellStyle name="20% - Accent2 25 2" xfId="13949" xr:uid="{00000000-0005-0000-0000-00006C0A0000}"/>
    <cellStyle name="20% - Accent2 25 2 2" xfId="27498" xr:uid="{00000000-0005-0000-0000-00006D0A0000}"/>
    <cellStyle name="20% - Accent2 25 3" xfId="18031" xr:uid="{00000000-0005-0000-0000-00006E0A0000}"/>
    <cellStyle name="20% - Accent2 26" xfId="708" xr:uid="{00000000-0005-0000-0000-00006F0A0000}"/>
    <cellStyle name="20% - Accent2 26 2" xfId="14632" xr:uid="{00000000-0005-0000-0000-0000700A0000}"/>
    <cellStyle name="20% - Accent2 26 2 2" xfId="28181" xr:uid="{00000000-0005-0000-0000-0000710A0000}"/>
    <cellStyle name="20% - Accent2 26 3" xfId="18032" xr:uid="{00000000-0005-0000-0000-0000720A0000}"/>
    <cellStyle name="20% - Accent2 27" xfId="709" xr:uid="{00000000-0005-0000-0000-0000730A0000}"/>
    <cellStyle name="20% - Accent2 27 2" xfId="15828" xr:uid="{00000000-0005-0000-0000-0000740A0000}"/>
    <cellStyle name="20% - Accent2 27 2 2" xfId="29235" xr:uid="{00000000-0005-0000-0000-0000750A0000}"/>
    <cellStyle name="20% - Accent2 27 3" xfId="18033" xr:uid="{00000000-0005-0000-0000-0000760A0000}"/>
    <cellStyle name="20% - Accent2 28" xfId="710" xr:uid="{00000000-0005-0000-0000-0000770A0000}"/>
    <cellStyle name="20% - Accent2 28 2" xfId="15835" xr:uid="{00000000-0005-0000-0000-0000780A0000}"/>
    <cellStyle name="20% - Accent2 28 2 2" xfId="29242" xr:uid="{00000000-0005-0000-0000-0000790A0000}"/>
    <cellStyle name="20% - Accent2 28 3" xfId="18034" xr:uid="{00000000-0005-0000-0000-00007A0A0000}"/>
    <cellStyle name="20% - Accent2 29" xfId="711" xr:uid="{00000000-0005-0000-0000-00007B0A0000}"/>
    <cellStyle name="20% - Accent2 29 2" xfId="8879" xr:uid="{00000000-0005-0000-0000-00007C0A0000}"/>
    <cellStyle name="20% - Accent2 29 2 2" xfId="23354" xr:uid="{00000000-0005-0000-0000-00007D0A0000}"/>
    <cellStyle name="20% - Accent2 29 3" xfId="18035" xr:uid="{00000000-0005-0000-0000-00007E0A0000}"/>
    <cellStyle name="20% - Accent2 3" xfId="712" xr:uid="{00000000-0005-0000-0000-00007F0A0000}"/>
    <cellStyle name="20% - Accent2 3 10" xfId="713" xr:uid="{00000000-0005-0000-0000-0000800A0000}"/>
    <cellStyle name="20% - Accent2 3 10 2" xfId="14030" xr:uid="{00000000-0005-0000-0000-0000810A0000}"/>
    <cellStyle name="20% - Accent2 3 10 2 2" xfId="27579" xr:uid="{00000000-0005-0000-0000-0000820A0000}"/>
    <cellStyle name="20% - Accent2 3 10 3" xfId="18037" xr:uid="{00000000-0005-0000-0000-0000830A0000}"/>
    <cellStyle name="20% - Accent2 3 11" xfId="714" xr:uid="{00000000-0005-0000-0000-0000840A0000}"/>
    <cellStyle name="20% - Accent2 3 11 2" xfId="14676" xr:uid="{00000000-0005-0000-0000-0000850A0000}"/>
    <cellStyle name="20% - Accent2 3 11 2 2" xfId="28225" xr:uid="{00000000-0005-0000-0000-0000860A0000}"/>
    <cellStyle name="20% - Accent2 3 11 3" xfId="18038" xr:uid="{00000000-0005-0000-0000-0000870A0000}"/>
    <cellStyle name="20% - Accent2 3 12" xfId="715" xr:uid="{00000000-0005-0000-0000-0000880A0000}"/>
    <cellStyle name="20% - Accent2 3 12 2" xfId="15916" xr:uid="{00000000-0005-0000-0000-0000890A0000}"/>
    <cellStyle name="20% - Accent2 3 12 2 2" xfId="29323" xr:uid="{00000000-0005-0000-0000-00008A0A0000}"/>
    <cellStyle name="20% - Accent2 3 12 3" xfId="18039" xr:uid="{00000000-0005-0000-0000-00008B0A0000}"/>
    <cellStyle name="20% - Accent2 3 13" xfId="8909" xr:uid="{00000000-0005-0000-0000-00008C0A0000}"/>
    <cellStyle name="20% - Accent2 3 13 2" xfId="23384" xr:uid="{00000000-0005-0000-0000-00008D0A0000}"/>
    <cellStyle name="20% - Accent2 3 14" xfId="18036" xr:uid="{00000000-0005-0000-0000-00008E0A0000}"/>
    <cellStyle name="20% - Accent2 3 2" xfId="716" xr:uid="{00000000-0005-0000-0000-00008F0A0000}"/>
    <cellStyle name="20% - Accent2 3 2 10" xfId="717" xr:uid="{00000000-0005-0000-0000-0000900A0000}"/>
    <cellStyle name="20% - Accent2 3 2 10 2" xfId="16059" xr:uid="{00000000-0005-0000-0000-0000910A0000}"/>
    <cellStyle name="20% - Accent2 3 2 10 2 2" xfId="29466" xr:uid="{00000000-0005-0000-0000-0000920A0000}"/>
    <cellStyle name="20% - Accent2 3 2 10 3" xfId="18041" xr:uid="{00000000-0005-0000-0000-0000930A0000}"/>
    <cellStyle name="20% - Accent2 3 2 11" xfId="8910" xr:uid="{00000000-0005-0000-0000-0000940A0000}"/>
    <cellStyle name="20% - Accent2 3 2 11 2" xfId="23385" xr:uid="{00000000-0005-0000-0000-0000950A0000}"/>
    <cellStyle name="20% - Accent2 3 2 12" xfId="18040" xr:uid="{00000000-0005-0000-0000-0000960A0000}"/>
    <cellStyle name="20% - Accent2 3 2 2" xfId="718" xr:uid="{00000000-0005-0000-0000-0000970A0000}"/>
    <cellStyle name="20% - Accent2 3 2 2 10" xfId="8911" xr:uid="{00000000-0005-0000-0000-0000980A0000}"/>
    <cellStyle name="20% - Accent2 3 2 2 10 2" xfId="23386" xr:uid="{00000000-0005-0000-0000-0000990A0000}"/>
    <cellStyle name="20% - Accent2 3 2 2 11" xfId="18042" xr:uid="{00000000-0005-0000-0000-00009A0A0000}"/>
    <cellStyle name="20% - Accent2 3 2 2 2" xfId="719" xr:uid="{00000000-0005-0000-0000-00009B0A0000}"/>
    <cellStyle name="20% - Accent2 3 2 2 2 2" xfId="720" xr:uid="{00000000-0005-0000-0000-00009C0A0000}"/>
    <cellStyle name="20% - Accent2 3 2 2 2 2 2" xfId="10637" xr:uid="{00000000-0005-0000-0000-00009D0A0000}"/>
    <cellStyle name="20% - Accent2 3 2 2 2 2 2 2" xfId="24579" xr:uid="{00000000-0005-0000-0000-00009E0A0000}"/>
    <cellStyle name="20% - Accent2 3 2 2 2 2 3" xfId="18044" xr:uid="{00000000-0005-0000-0000-00009F0A0000}"/>
    <cellStyle name="20% - Accent2 3 2 2 2 3" xfId="721" xr:uid="{00000000-0005-0000-0000-0000A00A0000}"/>
    <cellStyle name="20% - Accent2 3 2 2 2 3 2" xfId="12719" xr:uid="{00000000-0005-0000-0000-0000A10A0000}"/>
    <cellStyle name="20% - Accent2 3 2 2 2 3 2 2" xfId="26431" xr:uid="{00000000-0005-0000-0000-0000A20A0000}"/>
    <cellStyle name="20% - Accent2 3 2 2 2 3 3" xfId="18045" xr:uid="{00000000-0005-0000-0000-0000A30A0000}"/>
    <cellStyle name="20% - Accent2 3 2 2 2 4" xfId="722" xr:uid="{00000000-0005-0000-0000-0000A40A0000}"/>
    <cellStyle name="20% - Accent2 3 2 2 2 4 2" xfId="14679" xr:uid="{00000000-0005-0000-0000-0000A50A0000}"/>
    <cellStyle name="20% - Accent2 3 2 2 2 4 2 2" xfId="28228" xr:uid="{00000000-0005-0000-0000-0000A60A0000}"/>
    <cellStyle name="20% - Accent2 3 2 2 2 4 3" xfId="18046" xr:uid="{00000000-0005-0000-0000-0000A70A0000}"/>
    <cellStyle name="20% - Accent2 3 2 2 2 5" xfId="723" xr:uid="{00000000-0005-0000-0000-0000A80A0000}"/>
    <cellStyle name="20% - Accent2 3 2 2 2 5 2" xfId="16929" xr:uid="{00000000-0005-0000-0000-0000A90A0000}"/>
    <cellStyle name="20% - Accent2 3 2 2 2 5 2 2" xfId="30336" xr:uid="{00000000-0005-0000-0000-0000AA0A0000}"/>
    <cellStyle name="20% - Accent2 3 2 2 2 5 3" xfId="18047" xr:uid="{00000000-0005-0000-0000-0000AB0A0000}"/>
    <cellStyle name="20% - Accent2 3 2 2 2 6" xfId="8912" xr:uid="{00000000-0005-0000-0000-0000AC0A0000}"/>
    <cellStyle name="20% - Accent2 3 2 2 2 6 2" xfId="23387" xr:uid="{00000000-0005-0000-0000-0000AD0A0000}"/>
    <cellStyle name="20% - Accent2 3 2 2 2 7" xfId="18043" xr:uid="{00000000-0005-0000-0000-0000AE0A0000}"/>
    <cellStyle name="20% - Accent2 3 2 2 3" xfId="724" xr:uid="{00000000-0005-0000-0000-0000AF0A0000}"/>
    <cellStyle name="20% - Accent2 3 2 2 3 2" xfId="725" xr:uid="{00000000-0005-0000-0000-0000B00A0000}"/>
    <cellStyle name="20% - Accent2 3 2 2 3 2 2" xfId="14680" xr:uid="{00000000-0005-0000-0000-0000B10A0000}"/>
    <cellStyle name="20% - Accent2 3 2 2 3 2 2 2" xfId="28229" xr:uid="{00000000-0005-0000-0000-0000B20A0000}"/>
    <cellStyle name="20% - Accent2 3 2 2 3 2 3" xfId="18049" xr:uid="{00000000-0005-0000-0000-0000B30A0000}"/>
    <cellStyle name="20% - Accent2 3 2 2 3 3" xfId="10636" xr:uid="{00000000-0005-0000-0000-0000B40A0000}"/>
    <cellStyle name="20% - Accent2 3 2 2 3 3 2" xfId="24578" xr:uid="{00000000-0005-0000-0000-0000B50A0000}"/>
    <cellStyle name="20% - Accent2 3 2 2 3 4" xfId="18048" xr:uid="{00000000-0005-0000-0000-0000B60A0000}"/>
    <cellStyle name="20% - Accent2 3 2 2 4" xfId="726" xr:uid="{00000000-0005-0000-0000-0000B70A0000}"/>
    <cellStyle name="20% - Accent2 3 2 2 4 2" xfId="12317" xr:uid="{00000000-0005-0000-0000-0000B80A0000}"/>
    <cellStyle name="20% - Accent2 3 2 2 4 2 2" xfId="26029" xr:uid="{00000000-0005-0000-0000-0000B90A0000}"/>
    <cellStyle name="20% - Accent2 3 2 2 4 3" xfId="18050" xr:uid="{00000000-0005-0000-0000-0000BA0A0000}"/>
    <cellStyle name="20% - Accent2 3 2 2 5" xfId="727" xr:uid="{00000000-0005-0000-0000-0000BB0A0000}"/>
    <cellStyle name="20% - Accent2 3 2 2 5 2" xfId="12745" xr:uid="{00000000-0005-0000-0000-0000BC0A0000}"/>
    <cellStyle name="20% - Accent2 3 2 2 5 2 2" xfId="26457" xr:uid="{00000000-0005-0000-0000-0000BD0A0000}"/>
    <cellStyle name="20% - Accent2 3 2 2 5 3" xfId="18051" xr:uid="{00000000-0005-0000-0000-0000BE0A0000}"/>
    <cellStyle name="20% - Accent2 3 2 2 6" xfId="728" xr:uid="{00000000-0005-0000-0000-0000BF0A0000}"/>
    <cellStyle name="20% - Accent2 3 2 2 6 2" xfId="13881" xr:uid="{00000000-0005-0000-0000-0000C00A0000}"/>
    <cellStyle name="20% - Accent2 3 2 2 6 2 2" xfId="27430" xr:uid="{00000000-0005-0000-0000-0000C10A0000}"/>
    <cellStyle name="20% - Accent2 3 2 2 6 3" xfId="18052" xr:uid="{00000000-0005-0000-0000-0000C20A0000}"/>
    <cellStyle name="20% - Accent2 3 2 2 7" xfId="729" xr:uid="{00000000-0005-0000-0000-0000C30A0000}"/>
    <cellStyle name="20% - Accent2 3 2 2 7 2" xfId="14462" xr:uid="{00000000-0005-0000-0000-0000C40A0000}"/>
    <cellStyle name="20% - Accent2 3 2 2 7 2 2" xfId="28011" xr:uid="{00000000-0005-0000-0000-0000C50A0000}"/>
    <cellStyle name="20% - Accent2 3 2 2 7 3" xfId="18053" xr:uid="{00000000-0005-0000-0000-0000C60A0000}"/>
    <cellStyle name="20% - Accent2 3 2 2 8" xfId="730" xr:uid="{00000000-0005-0000-0000-0000C70A0000}"/>
    <cellStyle name="20% - Accent2 3 2 2 8 2" xfId="14678" xr:uid="{00000000-0005-0000-0000-0000C80A0000}"/>
    <cellStyle name="20% - Accent2 3 2 2 8 2 2" xfId="28227" xr:uid="{00000000-0005-0000-0000-0000C90A0000}"/>
    <cellStyle name="20% - Accent2 3 2 2 8 3" xfId="18054" xr:uid="{00000000-0005-0000-0000-0000CA0A0000}"/>
    <cellStyle name="20% - Accent2 3 2 2 9" xfId="731" xr:uid="{00000000-0005-0000-0000-0000CB0A0000}"/>
    <cellStyle name="20% - Accent2 3 2 2 9 2" xfId="16348" xr:uid="{00000000-0005-0000-0000-0000CC0A0000}"/>
    <cellStyle name="20% - Accent2 3 2 2 9 2 2" xfId="29755" xr:uid="{00000000-0005-0000-0000-0000CD0A0000}"/>
    <cellStyle name="20% - Accent2 3 2 2 9 3" xfId="18055" xr:uid="{00000000-0005-0000-0000-0000CE0A0000}"/>
    <cellStyle name="20% - Accent2 3 2 3" xfId="732" xr:uid="{00000000-0005-0000-0000-0000CF0A0000}"/>
    <cellStyle name="20% - Accent2 3 2 3 2" xfId="733" xr:uid="{00000000-0005-0000-0000-0000D00A0000}"/>
    <cellStyle name="20% - Accent2 3 2 3 2 2" xfId="10638" xr:uid="{00000000-0005-0000-0000-0000D10A0000}"/>
    <cellStyle name="20% - Accent2 3 2 3 2 2 2" xfId="24580" xr:uid="{00000000-0005-0000-0000-0000D20A0000}"/>
    <cellStyle name="20% - Accent2 3 2 3 2 3" xfId="18057" xr:uid="{00000000-0005-0000-0000-0000D30A0000}"/>
    <cellStyle name="20% - Accent2 3 2 3 3" xfId="734" xr:uid="{00000000-0005-0000-0000-0000D40A0000}"/>
    <cellStyle name="20% - Accent2 3 2 3 3 2" xfId="12641" xr:uid="{00000000-0005-0000-0000-0000D50A0000}"/>
    <cellStyle name="20% - Accent2 3 2 3 3 2 2" xfId="26353" xr:uid="{00000000-0005-0000-0000-0000D60A0000}"/>
    <cellStyle name="20% - Accent2 3 2 3 3 3" xfId="18058" xr:uid="{00000000-0005-0000-0000-0000D70A0000}"/>
    <cellStyle name="20% - Accent2 3 2 3 4" xfId="735" xr:uid="{00000000-0005-0000-0000-0000D80A0000}"/>
    <cellStyle name="20% - Accent2 3 2 3 4 2" xfId="14681" xr:uid="{00000000-0005-0000-0000-0000D90A0000}"/>
    <cellStyle name="20% - Accent2 3 2 3 4 2 2" xfId="28230" xr:uid="{00000000-0005-0000-0000-0000DA0A0000}"/>
    <cellStyle name="20% - Accent2 3 2 3 4 3" xfId="18059" xr:uid="{00000000-0005-0000-0000-0000DB0A0000}"/>
    <cellStyle name="20% - Accent2 3 2 3 5" xfId="736" xr:uid="{00000000-0005-0000-0000-0000DC0A0000}"/>
    <cellStyle name="20% - Accent2 3 2 3 5 2" xfId="16640" xr:uid="{00000000-0005-0000-0000-0000DD0A0000}"/>
    <cellStyle name="20% - Accent2 3 2 3 5 2 2" xfId="30047" xr:uid="{00000000-0005-0000-0000-0000DE0A0000}"/>
    <cellStyle name="20% - Accent2 3 2 3 5 3" xfId="18060" xr:uid="{00000000-0005-0000-0000-0000DF0A0000}"/>
    <cellStyle name="20% - Accent2 3 2 3 6" xfId="8913" xr:uid="{00000000-0005-0000-0000-0000E00A0000}"/>
    <cellStyle name="20% - Accent2 3 2 3 6 2" xfId="23388" xr:uid="{00000000-0005-0000-0000-0000E10A0000}"/>
    <cellStyle name="20% - Accent2 3 2 3 7" xfId="18056" xr:uid="{00000000-0005-0000-0000-0000E20A0000}"/>
    <cellStyle name="20% - Accent2 3 2 4" xfId="737" xr:uid="{00000000-0005-0000-0000-0000E30A0000}"/>
    <cellStyle name="20% - Accent2 3 2 4 2" xfId="738" xr:uid="{00000000-0005-0000-0000-0000E40A0000}"/>
    <cellStyle name="20% - Accent2 3 2 4 2 2" xfId="14682" xr:uid="{00000000-0005-0000-0000-0000E50A0000}"/>
    <cellStyle name="20% - Accent2 3 2 4 2 2 2" xfId="28231" xr:uid="{00000000-0005-0000-0000-0000E60A0000}"/>
    <cellStyle name="20% - Accent2 3 2 4 2 3" xfId="18062" xr:uid="{00000000-0005-0000-0000-0000E70A0000}"/>
    <cellStyle name="20% - Accent2 3 2 4 3" xfId="10635" xr:uid="{00000000-0005-0000-0000-0000E80A0000}"/>
    <cellStyle name="20% - Accent2 3 2 4 3 2" xfId="24577" xr:uid="{00000000-0005-0000-0000-0000E90A0000}"/>
    <cellStyle name="20% - Accent2 3 2 4 4" xfId="18061" xr:uid="{00000000-0005-0000-0000-0000EA0A0000}"/>
    <cellStyle name="20% - Accent2 3 2 5" xfId="739" xr:uid="{00000000-0005-0000-0000-0000EB0A0000}"/>
    <cellStyle name="20% - Accent2 3 2 5 2" xfId="12017" xr:uid="{00000000-0005-0000-0000-0000EC0A0000}"/>
    <cellStyle name="20% - Accent2 3 2 5 2 2" xfId="25732" xr:uid="{00000000-0005-0000-0000-0000ED0A0000}"/>
    <cellStyle name="20% - Accent2 3 2 5 3" xfId="18063" xr:uid="{00000000-0005-0000-0000-0000EE0A0000}"/>
    <cellStyle name="20% - Accent2 3 2 6" xfId="740" xr:uid="{00000000-0005-0000-0000-0000EF0A0000}"/>
    <cellStyle name="20% - Accent2 3 2 6 2" xfId="12631" xr:uid="{00000000-0005-0000-0000-0000F00A0000}"/>
    <cellStyle name="20% - Accent2 3 2 6 2 2" xfId="26343" xr:uid="{00000000-0005-0000-0000-0000F10A0000}"/>
    <cellStyle name="20% - Accent2 3 2 6 3" xfId="18064" xr:uid="{00000000-0005-0000-0000-0000F20A0000}"/>
    <cellStyle name="20% - Accent2 3 2 7" xfId="741" xr:uid="{00000000-0005-0000-0000-0000F30A0000}"/>
    <cellStyle name="20% - Accent2 3 2 7 2" xfId="13592" xr:uid="{00000000-0005-0000-0000-0000F40A0000}"/>
    <cellStyle name="20% - Accent2 3 2 7 2 2" xfId="27141" xr:uid="{00000000-0005-0000-0000-0000F50A0000}"/>
    <cellStyle name="20% - Accent2 3 2 7 3" xfId="18065" xr:uid="{00000000-0005-0000-0000-0000F60A0000}"/>
    <cellStyle name="20% - Accent2 3 2 8" xfId="742" xr:uid="{00000000-0005-0000-0000-0000F70A0000}"/>
    <cellStyle name="20% - Accent2 3 2 8 2" xfId="14173" xr:uid="{00000000-0005-0000-0000-0000F80A0000}"/>
    <cellStyle name="20% - Accent2 3 2 8 2 2" xfId="27722" xr:uid="{00000000-0005-0000-0000-0000F90A0000}"/>
    <cellStyle name="20% - Accent2 3 2 8 3" xfId="18066" xr:uid="{00000000-0005-0000-0000-0000FA0A0000}"/>
    <cellStyle name="20% - Accent2 3 2 9" xfId="743" xr:uid="{00000000-0005-0000-0000-0000FB0A0000}"/>
    <cellStyle name="20% - Accent2 3 2 9 2" xfId="14677" xr:uid="{00000000-0005-0000-0000-0000FC0A0000}"/>
    <cellStyle name="20% - Accent2 3 2 9 2 2" xfId="28226" xr:uid="{00000000-0005-0000-0000-0000FD0A0000}"/>
    <cellStyle name="20% - Accent2 3 2 9 3" xfId="18067" xr:uid="{00000000-0005-0000-0000-0000FE0A0000}"/>
    <cellStyle name="20% - Accent2 3 3" xfId="744" xr:uid="{00000000-0005-0000-0000-0000FF0A0000}"/>
    <cellStyle name="20% - Accent2 3 3 10" xfId="8914" xr:uid="{00000000-0005-0000-0000-0000000B0000}"/>
    <cellStyle name="20% - Accent2 3 3 10 2" xfId="23389" xr:uid="{00000000-0005-0000-0000-0000010B0000}"/>
    <cellStyle name="20% - Accent2 3 3 11" xfId="18068" xr:uid="{00000000-0005-0000-0000-0000020B0000}"/>
    <cellStyle name="20% - Accent2 3 3 2" xfId="745" xr:uid="{00000000-0005-0000-0000-0000030B0000}"/>
    <cellStyle name="20% - Accent2 3 3 2 2" xfId="746" xr:uid="{00000000-0005-0000-0000-0000040B0000}"/>
    <cellStyle name="20% - Accent2 3 3 2 2 2" xfId="10640" xr:uid="{00000000-0005-0000-0000-0000050B0000}"/>
    <cellStyle name="20% - Accent2 3 3 2 2 2 2" xfId="24582" xr:uid="{00000000-0005-0000-0000-0000060B0000}"/>
    <cellStyle name="20% - Accent2 3 3 2 2 3" xfId="18070" xr:uid="{00000000-0005-0000-0000-0000070B0000}"/>
    <cellStyle name="20% - Accent2 3 3 2 3" xfId="747" xr:uid="{00000000-0005-0000-0000-0000080B0000}"/>
    <cellStyle name="20% - Accent2 3 3 2 3 2" xfId="12780" xr:uid="{00000000-0005-0000-0000-0000090B0000}"/>
    <cellStyle name="20% - Accent2 3 3 2 3 2 2" xfId="26492" xr:uid="{00000000-0005-0000-0000-00000A0B0000}"/>
    <cellStyle name="20% - Accent2 3 3 2 3 3" xfId="18071" xr:uid="{00000000-0005-0000-0000-00000B0B0000}"/>
    <cellStyle name="20% - Accent2 3 3 2 4" xfId="748" xr:uid="{00000000-0005-0000-0000-00000C0B0000}"/>
    <cellStyle name="20% - Accent2 3 3 2 4 2" xfId="14684" xr:uid="{00000000-0005-0000-0000-00000D0B0000}"/>
    <cellStyle name="20% - Accent2 3 3 2 4 2 2" xfId="28233" xr:uid="{00000000-0005-0000-0000-00000E0B0000}"/>
    <cellStyle name="20% - Accent2 3 3 2 4 3" xfId="18072" xr:uid="{00000000-0005-0000-0000-00000F0B0000}"/>
    <cellStyle name="20% - Accent2 3 3 2 5" xfId="749" xr:uid="{00000000-0005-0000-0000-0000100B0000}"/>
    <cellStyle name="20% - Accent2 3 3 2 5 2" xfId="16786" xr:uid="{00000000-0005-0000-0000-0000110B0000}"/>
    <cellStyle name="20% - Accent2 3 3 2 5 2 2" xfId="30193" xr:uid="{00000000-0005-0000-0000-0000120B0000}"/>
    <cellStyle name="20% - Accent2 3 3 2 5 3" xfId="18073" xr:uid="{00000000-0005-0000-0000-0000130B0000}"/>
    <cellStyle name="20% - Accent2 3 3 2 6" xfId="8915" xr:uid="{00000000-0005-0000-0000-0000140B0000}"/>
    <cellStyle name="20% - Accent2 3 3 2 6 2" xfId="23390" xr:uid="{00000000-0005-0000-0000-0000150B0000}"/>
    <cellStyle name="20% - Accent2 3 3 2 7" xfId="18069" xr:uid="{00000000-0005-0000-0000-0000160B0000}"/>
    <cellStyle name="20% - Accent2 3 3 3" xfId="750" xr:uid="{00000000-0005-0000-0000-0000170B0000}"/>
    <cellStyle name="20% - Accent2 3 3 3 2" xfId="751" xr:uid="{00000000-0005-0000-0000-0000180B0000}"/>
    <cellStyle name="20% - Accent2 3 3 3 2 2" xfId="14685" xr:uid="{00000000-0005-0000-0000-0000190B0000}"/>
    <cellStyle name="20% - Accent2 3 3 3 2 2 2" xfId="28234" xr:uid="{00000000-0005-0000-0000-00001A0B0000}"/>
    <cellStyle name="20% - Accent2 3 3 3 2 3" xfId="18075" xr:uid="{00000000-0005-0000-0000-00001B0B0000}"/>
    <cellStyle name="20% - Accent2 3 3 3 3" xfId="10639" xr:uid="{00000000-0005-0000-0000-00001C0B0000}"/>
    <cellStyle name="20% - Accent2 3 3 3 3 2" xfId="24581" xr:uid="{00000000-0005-0000-0000-00001D0B0000}"/>
    <cellStyle name="20% - Accent2 3 3 3 4" xfId="18074" xr:uid="{00000000-0005-0000-0000-00001E0B0000}"/>
    <cellStyle name="20% - Accent2 3 3 4" xfId="752" xr:uid="{00000000-0005-0000-0000-00001F0B0000}"/>
    <cellStyle name="20% - Accent2 3 3 4 2" xfId="12174" xr:uid="{00000000-0005-0000-0000-0000200B0000}"/>
    <cellStyle name="20% - Accent2 3 3 4 2 2" xfId="25886" xr:uid="{00000000-0005-0000-0000-0000210B0000}"/>
    <cellStyle name="20% - Accent2 3 3 4 3" xfId="18076" xr:uid="{00000000-0005-0000-0000-0000220B0000}"/>
    <cellStyle name="20% - Accent2 3 3 5" xfId="753" xr:uid="{00000000-0005-0000-0000-0000230B0000}"/>
    <cellStyle name="20% - Accent2 3 3 5 2" xfId="12723" xr:uid="{00000000-0005-0000-0000-0000240B0000}"/>
    <cellStyle name="20% - Accent2 3 3 5 2 2" xfId="26435" xr:uid="{00000000-0005-0000-0000-0000250B0000}"/>
    <cellStyle name="20% - Accent2 3 3 5 3" xfId="18077" xr:uid="{00000000-0005-0000-0000-0000260B0000}"/>
    <cellStyle name="20% - Accent2 3 3 6" xfId="754" xr:uid="{00000000-0005-0000-0000-0000270B0000}"/>
    <cellStyle name="20% - Accent2 3 3 6 2" xfId="13738" xr:uid="{00000000-0005-0000-0000-0000280B0000}"/>
    <cellStyle name="20% - Accent2 3 3 6 2 2" xfId="27287" xr:uid="{00000000-0005-0000-0000-0000290B0000}"/>
    <cellStyle name="20% - Accent2 3 3 6 3" xfId="18078" xr:uid="{00000000-0005-0000-0000-00002A0B0000}"/>
    <cellStyle name="20% - Accent2 3 3 7" xfId="755" xr:uid="{00000000-0005-0000-0000-00002B0B0000}"/>
    <cellStyle name="20% - Accent2 3 3 7 2" xfId="14319" xr:uid="{00000000-0005-0000-0000-00002C0B0000}"/>
    <cellStyle name="20% - Accent2 3 3 7 2 2" xfId="27868" xr:uid="{00000000-0005-0000-0000-00002D0B0000}"/>
    <cellStyle name="20% - Accent2 3 3 7 3" xfId="18079" xr:uid="{00000000-0005-0000-0000-00002E0B0000}"/>
    <cellStyle name="20% - Accent2 3 3 8" xfId="756" xr:uid="{00000000-0005-0000-0000-00002F0B0000}"/>
    <cellStyle name="20% - Accent2 3 3 8 2" xfId="14683" xr:uid="{00000000-0005-0000-0000-0000300B0000}"/>
    <cellStyle name="20% - Accent2 3 3 8 2 2" xfId="28232" xr:uid="{00000000-0005-0000-0000-0000310B0000}"/>
    <cellStyle name="20% - Accent2 3 3 8 3" xfId="18080" xr:uid="{00000000-0005-0000-0000-0000320B0000}"/>
    <cellStyle name="20% - Accent2 3 3 9" xfId="757" xr:uid="{00000000-0005-0000-0000-0000330B0000}"/>
    <cellStyle name="20% - Accent2 3 3 9 2" xfId="16205" xr:uid="{00000000-0005-0000-0000-0000340B0000}"/>
    <cellStyle name="20% - Accent2 3 3 9 2 2" xfId="29612" xr:uid="{00000000-0005-0000-0000-0000350B0000}"/>
    <cellStyle name="20% - Accent2 3 3 9 3" xfId="18081" xr:uid="{00000000-0005-0000-0000-0000360B0000}"/>
    <cellStyle name="20% - Accent2 3 4" xfId="758" xr:uid="{00000000-0005-0000-0000-0000370B0000}"/>
    <cellStyle name="20% - Accent2 3 4 2" xfId="759" xr:uid="{00000000-0005-0000-0000-0000380B0000}"/>
    <cellStyle name="20% - Accent2 3 4 2 2" xfId="10641" xr:uid="{00000000-0005-0000-0000-0000390B0000}"/>
    <cellStyle name="20% - Accent2 3 4 2 2 2" xfId="24583" xr:uid="{00000000-0005-0000-0000-00003A0B0000}"/>
    <cellStyle name="20% - Accent2 3 4 2 3" xfId="18083" xr:uid="{00000000-0005-0000-0000-00003B0B0000}"/>
    <cellStyle name="20% - Accent2 3 4 3" xfId="760" xr:uid="{00000000-0005-0000-0000-00003C0B0000}"/>
    <cellStyle name="20% - Accent2 3 4 3 2" xfId="12747" xr:uid="{00000000-0005-0000-0000-00003D0B0000}"/>
    <cellStyle name="20% - Accent2 3 4 3 2 2" xfId="26459" xr:uid="{00000000-0005-0000-0000-00003E0B0000}"/>
    <cellStyle name="20% - Accent2 3 4 3 3" xfId="18084" xr:uid="{00000000-0005-0000-0000-00003F0B0000}"/>
    <cellStyle name="20% - Accent2 3 4 4" xfId="761" xr:uid="{00000000-0005-0000-0000-0000400B0000}"/>
    <cellStyle name="20% - Accent2 3 4 4 2" xfId="14686" xr:uid="{00000000-0005-0000-0000-0000410B0000}"/>
    <cellStyle name="20% - Accent2 3 4 4 2 2" xfId="28235" xr:uid="{00000000-0005-0000-0000-0000420B0000}"/>
    <cellStyle name="20% - Accent2 3 4 4 3" xfId="18085" xr:uid="{00000000-0005-0000-0000-0000430B0000}"/>
    <cellStyle name="20% - Accent2 3 4 5" xfId="762" xr:uid="{00000000-0005-0000-0000-0000440B0000}"/>
    <cellStyle name="20% - Accent2 3 4 5 2" xfId="17133" xr:uid="{00000000-0005-0000-0000-0000450B0000}"/>
    <cellStyle name="20% - Accent2 3 4 5 2 2" xfId="30492" xr:uid="{00000000-0005-0000-0000-0000460B0000}"/>
    <cellStyle name="20% - Accent2 3 4 5 3" xfId="18086" xr:uid="{00000000-0005-0000-0000-0000470B0000}"/>
    <cellStyle name="20% - Accent2 3 4 6" xfId="8916" xr:uid="{00000000-0005-0000-0000-0000480B0000}"/>
    <cellStyle name="20% - Accent2 3 4 6 2" xfId="23391" xr:uid="{00000000-0005-0000-0000-0000490B0000}"/>
    <cellStyle name="20% - Accent2 3 4 7" xfId="18082" xr:uid="{00000000-0005-0000-0000-00004A0B0000}"/>
    <cellStyle name="20% - Accent2 3 5" xfId="763" xr:uid="{00000000-0005-0000-0000-00004B0B0000}"/>
    <cellStyle name="20% - Accent2 3 5 2" xfId="764" xr:uid="{00000000-0005-0000-0000-00004C0B0000}"/>
    <cellStyle name="20% - Accent2 3 5 2 2" xfId="10642" xr:uid="{00000000-0005-0000-0000-00004D0B0000}"/>
    <cellStyle name="20% - Accent2 3 5 2 2 2" xfId="24584" xr:uid="{00000000-0005-0000-0000-00004E0B0000}"/>
    <cellStyle name="20% - Accent2 3 5 2 3" xfId="18088" xr:uid="{00000000-0005-0000-0000-00004F0B0000}"/>
    <cellStyle name="20% - Accent2 3 5 3" xfId="765" xr:uid="{00000000-0005-0000-0000-0000500B0000}"/>
    <cellStyle name="20% - Accent2 3 5 3 2" xfId="12413" xr:uid="{00000000-0005-0000-0000-0000510B0000}"/>
    <cellStyle name="20% - Accent2 3 5 3 2 2" xfId="26125" xr:uid="{00000000-0005-0000-0000-0000520B0000}"/>
    <cellStyle name="20% - Accent2 3 5 3 3" xfId="18089" xr:uid="{00000000-0005-0000-0000-0000530B0000}"/>
    <cellStyle name="20% - Accent2 3 5 4" xfId="766" xr:uid="{00000000-0005-0000-0000-0000540B0000}"/>
    <cellStyle name="20% - Accent2 3 5 4 2" xfId="14687" xr:uid="{00000000-0005-0000-0000-0000550B0000}"/>
    <cellStyle name="20% - Accent2 3 5 4 2 2" xfId="28236" xr:uid="{00000000-0005-0000-0000-0000560B0000}"/>
    <cellStyle name="20% - Accent2 3 5 4 3" xfId="18090" xr:uid="{00000000-0005-0000-0000-0000570B0000}"/>
    <cellStyle name="20% - Accent2 3 5 5" xfId="767" xr:uid="{00000000-0005-0000-0000-0000580B0000}"/>
    <cellStyle name="20% - Accent2 3 5 5 2" xfId="17222" xr:uid="{00000000-0005-0000-0000-0000590B0000}"/>
    <cellStyle name="20% - Accent2 3 5 5 2 2" xfId="30581" xr:uid="{00000000-0005-0000-0000-00005A0B0000}"/>
    <cellStyle name="20% - Accent2 3 5 5 3" xfId="18091" xr:uid="{00000000-0005-0000-0000-00005B0B0000}"/>
    <cellStyle name="20% - Accent2 3 5 6" xfId="8917" xr:uid="{00000000-0005-0000-0000-00005C0B0000}"/>
    <cellStyle name="20% - Accent2 3 5 6 2" xfId="23392" xr:uid="{00000000-0005-0000-0000-00005D0B0000}"/>
    <cellStyle name="20% - Accent2 3 5 7" xfId="18087" xr:uid="{00000000-0005-0000-0000-00005E0B0000}"/>
    <cellStyle name="20% - Accent2 3 6" xfId="768" xr:uid="{00000000-0005-0000-0000-00005F0B0000}"/>
    <cellStyle name="20% - Accent2 3 6 2" xfId="769" xr:uid="{00000000-0005-0000-0000-0000600B0000}"/>
    <cellStyle name="20% - Accent2 3 6 2 2" xfId="14688" xr:uid="{00000000-0005-0000-0000-0000610B0000}"/>
    <cellStyle name="20% - Accent2 3 6 2 2 2" xfId="28237" xr:uid="{00000000-0005-0000-0000-0000620B0000}"/>
    <cellStyle name="20% - Accent2 3 6 2 3" xfId="18093" xr:uid="{00000000-0005-0000-0000-0000630B0000}"/>
    <cellStyle name="20% - Accent2 3 6 3" xfId="770" xr:uid="{00000000-0005-0000-0000-0000640B0000}"/>
    <cellStyle name="20% - Accent2 3 6 3 2" xfId="16497" xr:uid="{00000000-0005-0000-0000-0000650B0000}"/>
    <cellStyle name="20% - Accent2 3 6 3 2 2" xfId="29904" xr:uid="{00000000-0005-0000-0000-0000660B0000}"/>
    <cellStyle name="20% - Accent2 3 6 3 3" xfId="18094" xr:uid="{00000000-0005-0000-0000-0000670B0000}"/>
    <cellStyle name="20% - Accent2 3 6 4" xfId="10634" xr:uid="{00000000-0005-0000-0000-0000680B0000}"/>
    <cellStyle name="20% - Accent2 3 6 4 2" xfId="24576" xr:uid="{00000000-0005-0000-0000-0000690B0000}"/>
    <cellStyle name="20% - Accent2 3 6 5" xfId="18092" xr:uid="{00000000-0005-0000-0000-00006A0B0000}"/>
    <cellStyle name="20% - Accent2 3 7" xfId="771" xr:uid="{00000000-0005-0000-0000-00006B0B0000}"/>
    <cellStyle name="20% - Accent2 3 7 2" xfId="11869" xr:uid="{00000000-0005-0000-0000-00006C0B0000}"/>
    <cellStyle name="20% - Accent2 3 7 2 2" xfId="25584" xr:uid="{00000000-0005-0000-0000-00006D0B0000}"/>
    <cellStyle name="20% - Accent2 3 7 3" xfId="18095" xr:uid="{00000000-0005-0000-0000-00006E0B0000}"/>
    <cellStyle name="20% - Accent2 3 8" xfId="772" xr:uid="{00000000-0005-0000-0000-00006F0B0000}"/>
    <cellStyle name="20% - Accent2 3 8 2" xfId="12744" xr:uid="{00000000-0005-0000-0000-0000700B0000}"/>
    <cellStyle name="20% - Accent2 3 8 2 2" xfId="26456" xr:uid="{00000000-0005-0000-0000-0000710B0000}"/>
    <cellStyle name="20% - Accent2 3 8 3" xfId="18096" xr:uid="{00000000-0005-0000-0000-0000720B0000}"/>
    <cellStyle name="20% - Accent2 3 9" xfId="773" xr:uid="{00000000-0005-0000-0000-0000730B0000}"/>
    <cellStyle name="20% - Accent2 3 9 2" xfId="13449" xr:uid="{00000000-0005-0000-0000-0000740B0000}"/>
    <cellStyle name="20% - Accent2 3 9 2 2" xfId="26998" xr:uid="{00000000-0005-0000-0000-0000750B0000}"/>
    <cellStyle name="20% - Accent2 3 9 3" xfId="18097" xr:uid="{00000000-0005-0000-0000-0000760B0000}"/>
    <cellStyle name="20% - Accent2 30" xfId="23239" xr:uid="{00000000-0005-0000-0000-0000770B0000}"/>
    <cellStyle name="20% - Accent2 4" xfId="774" xr:uid="{00000000-0005-0000-0000-0000780B0000}"/>
    <cellStyle name="20% - Accent2 4 10" xfId="775" xr:uid="{00000000-0005-0000-0000-0000790B0000}"/>
    <cellStyle name="20% - Accent2 4 10 2" xfId="14689" xr:uid="{00000000-0005-0000-0000-00007A0B0000}"/>
    <cellStyle name="20% - Accent2 4 10 2 2" xfId="28238" xr:uid="{00000000-0005-0000-0000-00007B0B0000}"/>
    <cellStyle name="20% - Accent2 4 10 3" xfId="18099" xr:uid="{00000000-0005-0000-0000-00007C0B0000}"/>
    <cellStyle name="20% - Accent2 4 11" xfId="776" xr:uid="{00000000-0005-0000-0000-00007D0B0000}"/>
    <cellStyle name="20% - Accent2 4 11 2" xfId="15869" xr:uid="{00000000-0005-0000-0000-00007E0B0000}"/>
    <cellStyle name="20% - Accent2 4 11 2 2" xfId="29276" xr:uid="{00000000-0005-0000-0000-00007F0B0000}"/>
    <cellStyle name="20% - Accent2 4 11 3" xfId="18100" xr:uid="{00000000-0005-0000-0000-0000800B0000}"/>
    <cellStyle name="20% - Accent2 4 12" xfId="8918" xr:uid="{00000000-0005-0000-0000-0000810B0000}"/>
    <cellStyle name="20% - Accent2 4 12 2" xfId="23393" xr:uid="{00000000-0005-0000-0000-0000820B0000}"/>
    <cellStyle name="20% - Accent2 4 13" xfId="18098" xr:uid="{00000000-0005-0000-0000-0000830B0000}"/>
    <cellStyle name="20% - Accent2 4 2" xfId="777" xr:uid="{00000000-0005-0000-0000-0000840B0000}"/>
    <cellStyle name="20% - Accent2 4 2 10" xfId="778" xr:uid="{00000000-0005-0000-0000-0000850B0000}"/>
    <cellStyle name="20% - Accent2 4 2 10 2" xfId="16012" xr:uid="{00000000-0005-0000-0000-0000860B0000}"/>
    <cellStyle name="20% - Accent2 4 2 10 2 2" xfId="29419" xr:uid="{00000000-0005-0000-0000-0000870B0000}"/>
    <cellStyle name="20% - Accent2 4 2 10 3" xfId="18102" xr:uid="{00000000-0005-0000-0000-0000880B0000}"/>
    <cellStyle name="20% - Accent2 4 2 11" xfId="8919" xr:uid="{00000000-0005-0000-0000-0000890B0000}"/>
    <cellStyle name="20% - Accent2 4 2 11 2" xfId="23394" xr:uid="{00000000-0005-0000-0000-00008A0B0000}"/>
    <cellStyle name="20% - Accent2 4 2 12" xfId="18101" xr:uid="{00000000-0005-0000-0000-00008B0B0000}"/>
    <cellStyle name="20% - Accent2 4 2 2" xfId="779" xr:uid="{00000000-0005-0000-0000-00008C0B0000}"/>
    <cellStyle name="20% - Accent2 4 2 2 10" xfId="8920" xr:uid="{00000000-0005-0000-0000-00008D0B0000}"/>
    <cellStyle name="20% - Accent2 4 2 2 10 2" xfId="23395" xr:uid="{00000000-0005-0000-0000-00008E0B0000}"/>
    <cellStyle name="20% - Accent2 4 2 2 11" xfId="18103" xr:uid="{00000000-0005-0000-0000-00008F0B0000}"/>
    <cellStyle name="20% - Accent2 4 2 2 2" xfId="780" xr:uid="{00000000-0005-0000-0000-0000900B0000}"/>
    <cellStyle name="20% - Accent2 4 2 2 2 2" xfId="781" xr:uid="{00000000-0005-0000-0000-0000910B0000}"/>
    <cellStyle name="20% - Accent2 4 2 2 2 2 2" xfId="10646" xr:uid="{00000000-0005-0000-0000-0000920B0000}"/>
    <cellStyle name="20% - Accent2 4 2 2 2 2 2 2" xfId="24588" xr:uid="{00000000-0005-0000-0000-0000930B0000}"/>
    <cellStyle name="20% - Accent2 4 2 2 2 2 3" xfId="18105" xr:uid="{00000000-0005-0000-0000-0000940B0000}"/>
    <cellStyle name="20% - Accent2 4 2 2 2 3" xfId="782" xr:uid="{00000000-0005-0000-0000-0000950B0000}"/>
    <cellStyle name="20% - Accent2 4 2 2 2 3 2" xfId="12604" xr:uid="{00000000-0005-0000-0000-0000960B0000}"/>
    <cellStyle name="20% - Accent2 4 2 2 2 3 2 2" xfId="26316" xr:uid="{00000000-0005-0000-0000-0000970B0000}"/>
    <cellStyle name="20% - Accent2 4 2 2 2 3 3" xfId="18106" xr:uid="{00000000-0005-0000-0000-0000980B0000}"/>
    <cellStyle name="20% - Accent2 4 2 2 2 4" xfId="783" xr:uid="{00000000-0005-0000-0000-0000990B0000}"/>
    <cellStyle name="20% - Accent2 4 2 2 2 4 2" xfId="14692" xr:uid="{00000000-0005-0000-0000-00009A0B0000}"/>
    <cellStyle name="20% - Accent2 4 2 2 2 4 2 2" xfId="28241" xr:uid="{00000000-0005-0000-0000-00009B0B0000}"/>
    <cellStyle name="20% - Accent2 4 2 2 2 4 3" xfId="18107" xr:uid="{00000000-0005-0000-0000-00009C0B0000}"/>
    <cellStyle name="20% - Accent2 4 2 2 2 5" xfId="784" xr:uid="{00000000-0005-0000-0000-00009D0B0000}"/>
    <cellStyle name="20% - Accent2 4 2 2 2 5 2" xfId="16882" xr:uid="{00000000-0005-0000-0000-00009E0B0000}"/>
    <cellStyle name="20% - Accent2 4 2 2 2 5 2 2" xfId="30289" xr:uid="{00000000-0005-0000-0000-00009F0B0000}"/>
    <cellStyle name="20% - Accent2 4 2 2 2 5 3" xfId="18108" xr:uid="{00000000-0005-0000-0000-0000A00B0000}"/>
    <cellStyle name="20% - Accent2 4 2 2 2 6" xfId="8921" xr:uid="{00000000-0005-0000-0000-0000A10B0000}"/>
    <cellStyle name="20% - Accent2 4 2 2 2 6 2" xfId="23396" xr:uid="{00000000-0005-0000-0000-0000A20B0000}"/>
    <cellStyle name="20% - Accent2 4 2 2 2 7" xfId="18104" xr:uid="{00000000-0005-0000-0000-0000A30B0000}"/>
    <cellStyle name="20% - Accent2 4 2 2 3" xfId="785" xr:uid="{00000000-0005-0000-0000-0000A40B0000}"/>
    <cellStyle name="20% - Accent2 4 2 2 3 2" xfId="786" xr:uid="{00000000-0005-0000-0000-0000A50B0000}"/>
    <cellStyle name="20% - Accent2 4 2 2 3 2 2" xfId="14693" xr:uid="{00000000-0005-0000-0000-0000A60B0000}"/>
    <cellStyle name="20% - Accent2 4 2 2 3 2 2 2" xfId="28242" xr:uid="{00000000-0005-0000-0000-0000A70B0000}"/>
    <cellStyle name="20% - Accent2 4 2 2 3 2 3" xfId="18110" xr:uid="{00000000-0005-0000-0000-0000A80B0000}"/>
    <cellStyle name="20% - Accent2 4 2 2 3 3" xfId="10645" xr:uid="{00000000-0005-0000-0000-0000A90B0000}"/>
    <cellStyle name="20% - Accent2 4 2 2 3 3 2" xfId="24587" xr:uid="{00000000-0005-0000-0000-0000AA0B0000}"/>
    <cellStyle name="20% - Accent2 4 2 2 3 4" xfId="18109" xr:uid="{00000000-0005-0000-0000-0000AB0B0000}"/>
    <cellStyle name="20% - Accent2 4 2 2 4" xfId="787" xr:uid="{00000000-0005-0000-0000-0000AC0B0000}"/>
    <cellStyle name="20% - Accent2 4 2 2 4 2" xfId="12270" xr:uid="{00000000-0005-0000-0000-0000AD0B0000}"/>
    <cellStyle name="20% - Accent2 4 2 2 4 2 2" xfId="25982" xr:uid="{00000000-0005-0000-0000-0000AE0B0000}"/>
    <cellStyle name="20% - Accent2 4 2 2 4 3" xfId="18111" xr:uid="{00000000-0005-0000-0000-0000AF0B0000}"/>
    <cellStyle name="20% - Accent2 4 2 2 5" xfId="788" xr:uid="{00000000-0005-0000-0000-0000B00B0000}"/>
    <cellStyle name="20% - Accent2 4 2 2 5 2" xfId="11768" xr:uid="{00000000-0005-0000-0000-0000B10B0000}"/>
    <cellStyle name="20% - Accent2 4 2 2 5 2 2" xfId="25483" xr:uid="{00000000-0005-0000-0000-0000B20B0000}"/>
    <cellStyle name="20% - Accent2 4 2 2 5 3" xfId="18112" xr:uid="{00000000-0005-0000-0000-0000B30B0000}"/>
    <cellStyle name="20% - Accent2 4 2 2 6" xfId="789" xr:uid="{00000000-0005-0000-0000-0000B40B0000}"/>
    <cellStyle name="20% - Accent2 4 2 2 6 2" xfId="13834" xr:uid="{00000000-0005-0000-0000-0000B50B0000}"/>
    <cellStyle name="20% - Accent2 4 2 2 6 2 2" xfId="27383" xr:uid="{00000000-0005-0000-0000-0000B60B0000}"/>
    <cellStyle name="20% - Accent2 4 2 2 6 3" xfId="18113" xr:uid="{00000000-0005-0000-0000-0000B70B0000}"/>
    <cellStyle name="20% - Accent2 4 2 2 7" xfId="790" xr:uid="{00000000-0005-0000-0000-0000B80B0000}"/>
    <cellStyle name="20% - Accent2 4 2 2 7 2" xfId="14415" xr:uid="{00000000-0005-0000-0000-0000B90B0000}"/>
    <cellStyle name="20% - Accent2 4 2 2 7 2 2" xfId="27964" xr:uid="{00000000-0005-0000-0000-0000BA0B0000}"/>
    <cellStyle name="20% - Accent2 4 2 2 7 3" xfId="18114" xr:uid="{00000000-0005-0000-0000-0000BB0B0000}"/>
    <cellStyle name="20% - Accent2 4 2 2 8" xfId="791" xr:uid="{00000000-0005-0000-0000-0000BC0B0000}"/>
    <cellStyle name="20% - Accent2 4 2 2 8 2" xfId="14691" xr:uid="{00000000-0005-0000-0000-0000BD0B0000}"/>
    <cellStyle name="20% - Accent2 4 2 2 8 2 2" xfId="28240" xr:uid="{00000000-0005-0000-0000-0000BE0B0000}"/>
    <cellStyle name="20% - Accent2 4 2 2 8 3" xfId="18115" xr:uid="{00000000-0005-0000-0000-0000BF0B0000}"/>
    <cellStyle name="20% - Accent2 4 2 2 9" xfId="792" xr:uid="{00000000-0005-0000-0000-0000C00B0000}"/>
    <cellStyle name="20% - Accent2 4 2 2 9 2" xfId="16301" xr:uid="{00000000-0005-0000-0000-0000C10B0000}"/>
    <cellStyle name="20% - Accent2 4 2 2 9 2 2" xfId="29708" xr:uid="{00000000-0005-0000-0000-0000C20B0000}"/>
    <cellStyle name="20% - Accent2 4 2 2 9 3" xfId="18116" xr:uid="{00000000-0005-0000-0000-0000C30B0000}"/>
    <cellStyle name="20% - Accent2 4 2 3" xfId="793" xr:uid="{00000000-0005-0000-0000-0000C40B0000}"/>
    <cellStyle name="20% - Accent2 4 2 3 2" xfId="794" xr:uid="{00000000-0005-0000-0000-0000C50B0000}"/>
    <cellStyle name="20% - Accent2 4 2 3 2 2" xfId="10647" xr:uid="{00000000-0005-0000-0000-0000C60B0000}"/>
    <cellStyle name="20% - Accent2 4 2 3 2 2 2" xfId="24589" xr:uid="{00000000-0005-0000-0000-0000C70B0000}"/>
    <cellStyle name="20% - Accent2 4 2 3 2 3" xfId="18118" xr:uid="{00000000-0005-0000-0000-0000C80B0000}"/>
    <cellStyle name="20% - Accent2 4 2 3 3" xfId="795" xr:uid="{00000000-0005-0000-0000-0000C90B0000}"/>
    <cellStyle name="20% - Accent2 4 2 3 3 2" xfId="11751" xr:uid="{00000000-0005-0000-0000-0000CA0B0000}"/>
    <cellStyle name="20% - Accent2 4 2 3 3 2 2" xfId="25466" xr:uid="{00000000-0005-0000-0000-0000CB0B0000}"/>
    <cellStyle name="20% - Accent2 4 2 3 3 3" xfId="18119" xr:uid="{00000000-0005-0000-0000-0000CC0B0000}"/>
    <cellStyle name="20% - Accent2 4 2 3 4" xfId="796" xr:uid="{00000000-0005-0000-0000-0000CD0B0000}"/>
    <cellStyle name="20% - Accent2 4 2 3 4 2" xfId="14694" xr:uid="{00000000-0005-0000-0000-0000CE0B0000}"/>
    <cellStyle name="20% - Accent2 4 2 3 4 2 2" xfId="28243" xr:uid="{00000000-0005-0000-0000-0000CF0B0000}"/>
    <cellStyle name="20% - Accent2 4 2 3 4 3" xfId="18120" xr:uid="{00000000-0005-0000-0000-0000D00B0000}"/>
    <cellStyle name="20% - Accent2 4 2 3 5" xfId="797" xr:uid="{00000000-0005-0000-0000-0000D10B0000}"/>
    <cellStyle name="20% - Accent2 4 2 3 5 2" xfId="16593" xr:uid="{00000000-0005-0000-0000-0000D20B0000}"/>
    <cellStyle name="20% - Accent2 4 2 3 5 2 2" xfId="30000" xr:uid="{00000000-0005-0000-0000-0000D30B0000}"/>
    <cellStyle name="20% - Accent2 4 2 3 5 3" xfId="18121" xr:uid="{00000000-0005-0000-0000-0000D40B0000}"/>
    <cellStyle name="20% - Accent2 4 2 3 6" xfId="8922" xr:uid="{00000000-0005-0000-0000-0000D50B0000}"/>
    <cellStyle name="20% - Accent2 4 2 3 6 2" xfId="23397" xr:uid="{00000000-0005-0000-0000-0000D60B0000}"/>
    <cellStyle name="20% - Accent2 4 2 3 7" xfId="18117" xr:uid="{00000000-0005-0000-0000-0000D70B0000}"/>
    <cellStyle name="20% - Accent2 4 2 4" xfId="798" xr:uid="{00000000-0005-0000-0000-0000D80B0000}"/>
    <cellStyle name="20% - Accent2 4 2 4 2" xfId="799" xr:uid="{00000000-0005-0000-0000-0000D90B0000}"/>
    <cellStyle name="20% - Accent2 4 2 4 2 2" xfId="14695" xr:uid="{00000000-0005-0000-0000-0000DA0B0000}"/>
    <cellStyle name="20% - Accent2 4 2 4 2 2 2" xfId="28244" xr:uid="{00000000-0005-0000-0000-0000DB0B0000}"/>
    <cellStyle name="20% - Accent2 4 2 4 2 3" xfId="18123" xr:uid="{00000000-0005-0000-0000-0000DC0B0000}"/>
    <cellStyle name="20% - Accent2 4 2 4 3" xfId="10644" xr:uid="{00000000-0005-0000-0000-0000DD0B0000}"/>
    <cellStyle name="20% - Accent2 4 2 4 3 2" xfId="24586" xr:uid="{00000000-0005-0000-0000-0000DE0B0000}"/>
    <cellStyle name="20% - Accent2 4 2 4 4" xfId="18122" xr:uid="{00000000-0005-0000-0000-0000DF0B0000}"/>
    <cellStyle name="20% - Accent2 4 2 5" xfId="800" xr:uid="{00000000-0005-0000-0000-0000E00B0000}"/>
    <cellStyle name="20% - Accent2 4 2 5 2" xfId="11970" xr:uid="{00000000-0005-0000-0000-0000E10B0000}"/>
    <cellStyle name="20% - Accent2 4 2 5 2 2" xfId="25685" xr:uid="{00000000-0005-0000-0000-0000E20B0000}"/>
    <cellStyle name="20% - Accent2 4 2 5 3" xfId="18124" xr:uid="{00000000-0005-0000-0000-0000E30B0000}"/>
    <cellStyle name="20% - Accent2 4 2 6" xfId="801" xr:uid="{00000000-0005-0000-0000-0000E40B0000}"/>
    <cellStyle name="20% - Accent2 4 2 6 2" xfId="12735" xr:uid="{00000000-0005-0000-0000-0000E50B0000}"/>
    <cellStyle name="20% - Accent2 4 2 6 2 2" xfId="26447" xr:uid="{00000000-0005-0000-0000-0000E60B0000}"/>
    <cellStyle name="20% - Accent2 4 2 6 3" xfId="18125" xr:uid="{00000000-0005-0000-0000-0000E70B0000}"/>
    <cellStyle name="20% - Accent2 4 2 7" xfId="802" xr:uid="{00000000-0005-0000-0000-0000E80B0000}"/>
    <cellStyle name="20% - Accent2 4 2 7 2" xfId="13545" xr:uid="{00000000-0005-0000-0000-0000E90B0000}"/>
    <cellStyle name="20% - Accent2 4 2 7 2 2" xfId="27094" xr:uid="{00000000-0005-0000-0000-0000EA0B0000}"/>
    <cellStyle name="20% - Accent2 4 2 7 3" xfId="18126" xr:uid="{00000000-0005-0000-0000-0000EB0B0000}"/>
    <cellStyle name="20% - Accent2 4 2 8" xfId="803" xr:uid="{00000000-0005-0000-0000-0000EC0B0000}"/>
    <cellStyle name="20% - Accent2 4 2 8 2" xfId="14126" xr:uid="{00000000-0005-0000-0000-0000ED0B0000}"/>
    <cellStyle name="20% - Accent2 4 2 8 2 2" xfId="27675" xr:uid="{00000000-0005-0000-0000-0000EE0B0000}"/>
    <cellStyle name="20% - Accent2 4 2 8 3" xfId="18127" xr:uid="{00000000-0005-0000-0000-0000EF0B0000}"/>
    <cellStyle name="20% - Accent2 4 2 9" xfId="804" xr:uid="{00000000-0005-0000-0000-0000F00B0000}"/>
    <cellStyle name="20% - Accent2 4 2 9 2" xfId="14690" xr:uid="{00000000-0005-0000-0000-0000F10B0000}"/>
    <cellStyle name="20% - Accent2 4 2 9 2 2" xfId="28239" xr:uid="{00000000-0005-0000-0000-0000F20B0000}"/>
    <cellStyle name="20% - Accent2 4 2 9 3" xfId="18128" xr:uid="{00000000-0005-0000-0000-0000F30B0000}"/>
    <cellStyle name="20% - Accent2 4 3" xfId="805" xr:uid="{00000000-0005-0000-0000-0000F40B0000}"/>
    <cellStyle name="20% - Accent2 4 3 10" xfId="8923" xr:uid="{00000000-0005-0000-0000-0000F50B0000}"/>
    <cellStyle name="20% - Accent2 4 3 10 2" xfId="23398" xr:uid="{00000000-0005-0000-0000-0000F60B0000}"/>
    <cellStyle name="20% - Accent2 4 3 11" xfId="18129" xr:uid="{00000000-0005-0000-0000-0000F70B0000}"/>
    <cellStyle name="20% - Accent2 4 3 2" xfId="806" xr:uid="{00000000-0005-0000-0000-0000F80B0000}"/>
    <cellStyle name="20% - Accent2 4 3 2 2" xfId="807" xr:uid="{00000000-0005-0000-0000-0000F90B0000}"/>
    <cellStyle name="20% - Accent2 4 3 2 2 2" xfId="10649" xr:uid="{00000000-0005-0000-0000-0000FA0B0000}"/>
    <cellStyle name="20% - Accent2 4 3 2 2 2 2" xfId="24591" xr:uid="{00000000-0005-0000-0000-0000FB0B0000}"/>
    <cellStyle name="20% - Accent2 4 3 2 2 3" xfId="18131" xr:uid="{00000000-0005-0000-0000-0000FC0B0000}"/>
    <cellStyle name="20% - Accent2 4 3 2 3" xfId="808" xr:uid="{00000000-0005-0000-0000-0000FD0B0000}"/>
    <cellStyle name="20% - Accent2 4 3 2 3 2" xfId="12573" xr:uid="{00000000-0005-0000-0000-0000FE0B0000}"/>
    <cellStyle name="20% - Accent2 4 3 2 3 2 2" xfId="26285" xr:uid="{00000000-0005-0000-0000-0000FF0B0000}"/>
    <cellStyle name="20% - Accent2 4 3 2 3 3" xfId="18132" xr:uid="{00000000-0005-0000-0000-0000000C0000}"/>
    <cellStyle name="20% - Accent2 4 3 2 4" xfId="809" xr:uid="{00000000-0005-0000-0000-0000010C0000}"/>
    <cellStyle name="20% - Accent2 4 3 2 4 2" xfId="14697" xr:uid="{00000000-0005-0000-0000-0000020C0000}"/>
    <cellStyle name="20% - Accent2 4 3 2 4 2 2" xfId="28246" xr:uid="{00000000-0005-0000-0000-0000030C0000}"/>
    <cellStyle name="20% - Accent2 4 3 2 4 3" xfId="18133" xr:uid="{00000000-0005-0000-0000-0000040C0000}"/>
    <cellStyle name="20% - Accent2 4 3 2 5" xfId="810" xr:uid="{00000000-0005-0000-0000-0000050C0000}"/>
    <cellStyle name="20% - Accent2 4 3 2 5 2" xfId="16742" xr:uid="{00000000-0005-0000-0000-0000060C0000}"/>
    <cellStyle name="20% - Accent2 4 3 2 5 2 2" xfId="30149" xr:uid="{00000000-0005-0000-0000-0000070C0000}"/>
    <cellStyle name="20% - Accent2 4 3 2 5 3" xfId="18134" xr:uid="{00000000-0005-0000-0000-0000080C0000}"/>
    <cellStyle name="20% - Accent2 4 3 2 6" xfId="8924" xr:uid="{00000000-0005-0000-0000-0000090C0000}"/>
    <cellStyle name="20% - Accent2 4 3 2 6 2" xfId="23399" xr:uid="{00000000-0005-0000-0000-00000A0C0000}"/>
    <cellStyle name="20% - Accent2 4 3 2 7" xfId="18130" xr:uid="{00000000-0005-0000-0000-00000B0C0000}"/>
    <cellStyle name="20% - Accent2 4 3 3" xfId="811" xr:uid="{00000000-0005-0000-0000-00000C0C0000}"/>
    <cellStyle name="20% - Accent2 4 3 3 2" xfId="812" xr:uid="{00000000-0005-0000-0000-00000D0C0000}"/>
    <cellStyle name="20% - Accent2 4 3 3 2 2" xfId="14698" xr:uid="{00000000-0005-0000-0000-00000E0C0000}"/>
    <cellStyle name="20% - Accent2 4 3 3 2 2 2" xfId="28247" xr:uid="{00000000-0005-0000-0000-00000F0C0000}"/>
    <cellStyle name="20% - Accent2 4 3 3 2 3" xfId="18136" xr:uid="{00000000-0005-0000-0000-0000100C0000}"/>
    <cellStyle name="20% - Accent2 4 3 3 3" xfId="10648" xr:uid="{00000000-0005-0000-0000-0000110C0000}"/>
    <cellStyle name="20% - Accent2 4 3 3 3 2" xfId="24590" xr:uid="{00000000-0005-0000-0000-0000120C0000}"/>
    <cellStyle name="20% - Accent2 4 3 3 4" xfId="18135" xr:uid="{00000000-0005-0000-0000-0000130C0000}"/>
    <cellStyle name="20% - Accent2 4 3 4" xfId="813" xr:uid="{00000000-0005-0000-0000-0000140C0000}"/>
    <cellStyle name="20% - Accent2 4 3 4 2" xfId="12130" xr:uid="{00000000-0005-0000-0000-0000150C0000}"/>
    <cellStyle name="20% - Accent2 4 3 4 2 2" xfId="25842" xr:uid="{00000000-0005-0000-0000-0000160C0000}"/>
    <cellStyle name="20% - Accent2 4 3 4 3" xfId="18137" xr:uid="{00000000-0005-0000-0000-0000170C0000}"/>
    <cellStyle name="20% - Accent2 4 3 5" xfId="814" xr:uid="{00000000-0005-0000-0000-0000180C0000}"/>
    <cellStyle name="20% - Accent2 4 3 5 2" xfId="11773" xr:uid="{00000000-0005-0000-0000-0000190C0000}"/>
    <cellStyle name="20% - Accent2 4 3 5 2 2" xfId="25488" xr:uid="{00000000-0005-0000-0000-00001A0C0000}"/>
    <cellStyle name="20% - Accent2 4 3 5 3" xfId="18138" xr:uid="{00000000-0005-0000-0000-00001B0C0000}"/>
    <cellStyle name="20% - Accent2 4 3 6" xfId="815" xr:uid="{00000000-0005-0000-0000-00001C0C0000}"/>
    <cellStyle name="20% - Accent2 4 3 6 2" xfId="13694" xr:uid="{00000000-0005-0000-0000-00001D0C0000}"/>
    <cellStyle name="20% - Accent2 4 3 6 2 2" xfId="27243" xr:uid="{00000000-0005-0000-0000-00001E0C0000}"/>
    <cellStyle name="20% - Accent2 4 3 6 3" xfId="18139" xr:uid="{00000000-0005-0000-0000-00001F0C0000}"/>
    <cellStyle name="20% - Accent2 4 3 7" xfId="816" xr:uid="{00000000-0005-0000-0000-0000200C0000}"/>
    <cellStyle name="20% - Accent2 4 3 7 2" xfId="14275" xr:uid="{00000000-0005-0000-0000-0000210C0000}"/>
    <cellStyle name="20% - Accent2 4 3 7 2 2" xfId="27824" xr:uid="{00000000-0005-0000-0000-0000220C0000}"/>
    <cellStyle name="20% - Accent2 4 3 7 3" xfId="18140" xr:uid="{00000000-0005-0000-0000-0000230C0000}"/>
    <cellStyle name="20% - Accent2 4 3 8" xfId="817" xr:uid="{00000000-0005-0000-0000-0000240C0000}"/>
    <cellStyle name="20% - Accent2 4 3 8 2" xfId="14696" xr:uid="{00000000-0005-0000-0000-0000250C0000}"/>
    <cellStyle name="20% - Accent2 4 3 8 2 2" xfId="28245" xr:uid="{00000000-0005-0000-0000-0000260C0000}"/>
    <cellStyle name="20% - Accent2 4 3 8 3" xfId="18141" xr:uid="{00000000-0005-0000-0000-0000270C0000}"/>
    <cellStyle name="20% - Accent2 4 3 9" xfId="818" xr:uid="{00000000-0005-0000-0000-0000280C0000}"/>
    <cellStyle name="20% - Accent2 4 3 9 2" xfId="16161" xr:uid="{00000000-0005-0000-0000-0000290C0000}"/>
    <cellStyle name="20% - Accent2 4 3 9 2 2" xfId="29568" xr:uid="{00000000-0005-0000-0000-00002A0C0000}"/>
    <cellStyle name="20% - Accent2 4 3 9 3" xfId="18142" xr:uid="{00000000-0005-0000-0000-00002B0C0000}"/>
    <cellStyle name="20% - Accent2 4 4" xfId="819" xr:uid="{00000000-0005-0000-0000-00002C0C0000}"/>
    <cellStyle name="20% - Accent2 4 4 2" xfId="820" xr:uid="{00000000-0005-0000-0000-00002D0C0000}"/>
    <cellStyle name="20% - Accent2 4 4 2 2" xfId="10650" xr:uid="{00000000-0005-0000-0000-00002E0C0000}"/>
    <cellStyle name="20% - Accent2 4 4 2 2 2" xfId="24592" xr:uid="{00000000-0005-0000-0000-00002F0C0000}"/>
    <cellStyle name="20% - Accent2 4 4 2 3" xfId="18144" xr:uid="{00000000-0005-0000-0000-0000300C0000}"/>
    <cellStyle name="20% - Accent2 4 4 3" xfId="821" xr:uid="{00000000-0005-0000-0000-0000310C0000}"/>
    <cellStyle name="20% - Accent2 4 4 3 2" xfId="12530" xr:uid="{00000000-0005-0000-0000-0000320C0000}"/>
    <cellStyle name="20% - Accent2 4 4 3 2 2" xfId="26242" xr:uid="{00000000-0005-0000-0000-0000330C0000}"/>
    <cellStyle name="20% - Accent2 4 4 3 3" xfId="18145" xr:uid="{00000000-0005-0000-0000-0000340C0000}"/>
    <cellStyle name="20% - Accent2 4 4 4" xfId="822" xr:uid="{00000000-0005-0000-0000-0000350C0000}"/>
    <cellStyle name="20% - Accent2 4 4 4 2" xfId="14699" xr:uid="{00000000-0005-0000-0000-0000360C0000}"/>
    <cellStyle name="20% - Accent2 4 4 4 2 2" xfId="28248" xr:uid="{00000000-0005-0000-0000-0000370C0000}"/>
    <cellStyle name="20% - Accent2 4 4 4 3" xfId="18146" xr:uid="{00000000-0005-0000-0000-0000380C0000}"/>
    <cellStyle name="20% - Accent2 4 4 5" xfId="823" xr:uid="{00000000-0005-0000-0000-0000390C0000}"/>
    <cellStyle name="20% - Accent2 4 4 5 2" xfId="16450" xr:uid="{00000000-0005-0000-0000-00003A0C0000}"/>
    <cellStyle name="20% - Accent2 4 4 5 2 2" xfId="29857" xr:uid="{00000000-0005-0000-0000-00003B0C0000}"/>
    <cellStyle name="20% - Accent2 4 4 5 3" xfId="18147" xr:uid="{00000000-0005-0000-0000-00003C0C0000}"/>
    <cellStyle name="20% - Accent2 4 4 6" xfId="8925" xr:uid="{00000000-0005-0000-0000-00003D0C0000}"/>
    <cellStyle name="20% - Accent2 4 4 6 2" xfId="23400" xr:uid="{00000000-0005-0000-0000-00003E0C0000}"/>
    <cellStyle name="20% - Accent2 4 4 7" xfId="18143" xr:uid="{00000000-0005-0000-0000-00003F0C0000}"/>
    <cellStyle name="20% - Accent2 4 5" xfId="824" xr:uid="{00000000-0005-0000-0000-0000400C0000}"/>
    <cellStyle name="20% - Accent2 4 5 2" xfId="825" xr:uid="{00000000-0005-0000-0000-0000410C0000}"/>
    <cellStyle name="20% - Accent2 4 5 2 2" xfId="14700" xr:uid="{00000000-0005-0000-0000-0000420C0000}"/>
    <cellStyle name="20% - Accent2 4 5 2 2 2" xfId="28249" xr:uid="{00000000-0005-0000-0000-0000430C0000}"/>
    <cellStyle name="20% - Accent2 4 5 2 3" xfId="18149" xr:uid="{00000000-0005-0000-0000-0000440C0000}"/>
    <cellStyle name="20% - Accent2 4 5 3" xfId="10643" xr:uid="{00000000-0005-0000-0000-0000450C0000}"/>
    <cellStyle name="20% - Accent2 4 5 3 2" xfId="24585" xr:uid="{00000000-0005-0000-0000-0000460C0000}"/>
    <cellStyle name="20% - Accent2 4 5 4" xfId="18148" xr:uid="{00000000-0005-0000-0000-0000470C0000}"/>
    <cellStyle name="20% - Accent2 4 6" xfId="826" xr:uid="{00000000-0005-0000-0000-0000480C0000}"/>
    <cellStyle name="20% - Accent2 4 6 2" xfId="11801" xr:uid="{00000000-0005-0000-0000-0000490C0000}"/>
    <cellStyle name="20% - Accent2 4 6 2 2" xfId="25516" xr:uid="{00000000-0005-0000-0000-00004A0C0000}"/>
    <cellStyle name="20% - Accent2 4 6 3" xfId="18150" xr:uid="{00000000-0005-0000-0000-00004B0C0000}"/>
    <cellStyle name="20% - Accent2 4 7" xfId="827" xr:uid="{00000000-0005-0000-0000-00004C0C0000}"/>
    <cellStyle name="20% - Accent2 4 7 2" xfId="12538" xr:uid="{00000000-0005-0000-0000-00004D0C0000}"/>
    <cellStyle name="20% - Accent2 4 7 2 2" xfId="26250" xr:uid="{00000000-0005-0000-0000-00004E0C0000}"/>
    <cellStyle name="20% - Accent2 4 7 3" xfId="18151" xr:uid="{00000000-0005-0000-0000-00004F0C0000}"/>
    <cellStyle name="20% - Accent2 4 8" xfId="828" xr:uid="{00000000-0005-0000-0000-0000500C0000}"/>
    <cellStyle name="20% - Accent2 4 8 2" xfId="13402" xr:uid="{00000000-0005-0000-0000-0000510C0000}"/>
    <cellStyle name="20% - Accent2 4 8 2 2" xfId="26951" xr:uid="{00000000-0005-0000-0000-0000520C0000}"/>
    <cellStyle name="20% - Accent2 4 8 3" xfId="18152" xr:uid="{00000000-0005-0000-0000-0000530C0000}"/>
    <cellStyle name="20% - Accent2 4 9" xfId="829" xr:uid="{00000000-0005-0000-0000-0000540C0000}"/>
    <cellStyle name="20% - Accent2 4 9 2" xfId="13983" xr:uid="{00000000-0005-0000-0000-0000550C0000}"/>
    <cellStyle name="20% - Accent2 4 9 2 2" xfId="27532" xr:uid="{00000000-0005-0000-0000-0000560C0000}"/>
    <cellStyle name="20% - Accent2 4 9 3" xfId="18153" xr:uid="{00000000-0005-0000-0000-0000570C0000}"/>
    <cellStyle name="20% - Accent2 5" xfId="830" xr:uid="{00000000-0005-0000-0000-0000580C0000}"/>
    <cellStyle name="20% - Accent2 5 10" xfId="831" xr:uid="{00000000-0005-0000-0000-0000590C0000}"/>
    <cellStyle name="20% - Accent2 5 10 2" xfId="14701" xr:uid="{00000000-0005-0000-0000-00005A0C0000}"/>
    <cellStyle name="20% - Accent2 5 10 2 2" xfId="28250" xr:uid="{00000000-0005-0000-0000-00005B0C0000}"/>
    <cellStyle name="20% - Accent2 5 10 3" xfId="18155" xr:uid="{00000000-0005-0000-0000-00005C0C0000}"/>
    <cellStyle name="20% - Accent2 5 11" xfId="832" xr:uid="{00000000-0005-0000-0000-00005D0C0000}"/>
    <cellStyle name="20% - Accent2 5 11 2" xfId="15852" xr:uid="{00000000-0005-0000-0000-00005E0C0000}"/>
    <cellStyle name="20% - Accent2 5 11 2 2" xfId="29259" xr:uid="{00000000-0005-0000-0000-00005F0C0000}"/>
    <cellStyle name="20% - Accent2 5 11 3" xfId="18156" xr:uid="{00000000-0005-0000-0000-0000600C0000}"/>
    <cellStyle name="20% - Accent2 5 12" xfId="8926" xr:uid="{00000000-0005-0000-0000-0000610C0000}"/>
    <cellStyle name="20% - Accent2 5 12 2" xfId="23401" xr:uid="{00000000-0005-0000-0000-0000620C0000}"/>
    <cellStyle name="20% - Accent2 5 13" xfId="18154" xr:uid="{00000000-0005-0000-0000-0000630C0000}"/>
    <cellStyle name="20% - Accent2 5 2" xfId="833" xr:uid="{00000000-0005-0000-0000-0000640C0000}"/>
    <cellStyle name="20% - Accent2 5 2 10" xfId="834" xr:uid="{00000000-0005-0000-0000-0000650C0000}"/>
    <cellStyle name="20% - Accent2 5 2 10 2" xfId="15995" xr:uid="{00000000-0005-0000-0000-0000660C0000}"/>
    <cellStyle name="20% - Accent2 5 2 10 2 2" xfId="29402" xr:uid="{00000000-0005-0000-0000-0000670C0000}"/>
    <cellStyle name="20% - Accent2 5 2 10 3" xfId="18158" xr:uid="{00000000-0005-0000-0000-0000680C0000}"/>
    <cellStyle name="20% - Accent2 5 2 11" xfId="8927" xr:uid="{00000000-0005-0000-0000-0000690C0000}"/>
    <cellStyle name="20% - Accent2 5 2 11 2" xfId="23402" xr:uid="{00000000-0005-0000-0000-00006A0C0000}"/>
    <cellStyle name="20% - Accent2 5 2 12" xfId="18157" xr:uid="{00000000-0005-0000-0000-00006B0C0000}"/>
    <cellStyle name="20% - Accent2 5 2 2" xfId="835" xr:uid="{00000000-0005-0000-0000-00006C0C0000}"/>
    <cellStyle name="20% - Accent2 5 2 2 10" xfId="8928" xr:uid="{00000000-0005-0000-0000-00006D0C0000}"/>
    <cellStyle name="20% - Accent2 5 2 2 10 2" xfId="23403" xr:uid="{00000000-0005-0000-0000-00006E0C0000}"/>
    <cellStyle name="20% - Accent2 5 2 2 11" xfId="18159" xr:uid="{00000000-0005-0000-0000-00006F0C0000}"/>
    <cellStyle name="20% - Accent2 5 2 2 2" xfId="836" xr:uid="{00000000-0005-0000-0000-0000700C0000}"/>
    <cellStyle name="20% - Accent2 5 2 2 2 2" xfId="837" xr:uid="{00000000-0005-0000-0000-0000710C0000}"/>
    <cellStyle name="20% - Accent2 5 2 2 2 2 2" xfId="10654" xr:uid="{00000000-0005-0000-0000-0000720C0000}"/>
    <cellStyle name="20% - Accent2 5 2 2 2 2 2 2" xfId="24596" xr:uid="{00000000-0005-0000-0000-0000730C0000}"/>
    <cellStyle name="20% - Accent2 5 2 2 2 2 3" xfId="18161" xr:uid="{00000000-0005-0000-0000-0000740C0000}"/>
    <cellStyle name="20% - Accent2 5 2 2 2 3" xfId="838" xr:uid="{00000000-0005-0000-0000-0000750C0000}"/>
    <cellStyle name="20% - Accent2 5 2 2 2 3 2" xfId="12462" xr:uid="{00000000-0005-0000-0000-0000760C0000}"/>
    <cellStyle name="20% - Accent2 5 2 2 2 3 2 2" xfId="26174" xr:uid="{00000000-0005-0000-0000-0000770C0000}"/>
    <cellStyle name="20% - Accent2 5 2 2 2 3 3" xfId="18162" xr:uid="{00000000-0005-0000-0000-0000780C0000}"/>
    <cellStyle name="20% - Accent2 5 2 2 2 4" xfId="839" xr:uid="{00000000-0005-0000-0000-0000790C0000}"/>
    <cellStyle name="20% - Accent2 5 2 2 2 4 2" xfId="14704" xr:uid="{00000000-0005-0000-0000-00007A0C0000}"/>
    <cellStyle name="20% - Accent2 5 2 2 2 4 2 2" xfId="28253" xr:uid="{00000000-0005-0000-0000-00007B0C0000}"/>
    <cellStyle name="20% - Accent2 5 2 2 2 4 3" xfId="18163" xr:uid="{00000000-0005-0000-0000-00007C0C0000}"/>
    <cellStyle name="20% - Accent2 5 2 2 2 5" xfId="840" xr:uid="{00000000-0005-0000-0000-00007D0C0000}"/>
    <cellStyle name="20% - Accent2 5 2 2 2 5 2" xfId="16865" xr:uid="{00000000-0005-0000-0000-00007E0C0000}"/>
    <cellStyle name="20% - Accent2 5 2 2 2 5 2 2" xfId="30272" xr:uid="{00000000-0005-0000-0000-00007F0C0000}"/>
    <cellStyle name="20% - Accent2 5 2 2 2 5 3" xfId="18164" xr:uid="{00000000-0005-0000-0000-0000800C0000}"/>
    <cellStyle name="20% - Accent2 5 2 2 2 6" xfId="8929" xr:uid="{00000000-0005-0000-0000-0000810C0000}"/>
    <cellStyle name="20% - Accent2 5 2 2 2 6 2" xfId="23404" xr:uid="{00000000-0005-0000-0000-0000820C0000}"/>
    <cellStyle name="20% - Accent2 5 2 2 2 7" xfId="18160" xr:uid="{00000000-0005-0000-0000-0000830C0000}"/>
    <cellStyle name="20% - Accent2 5 2 2 3" xfId="841" xr:uid="{00000000-0005-0000-0000-0000840C0000}"/>
    <cellStyle name="20% - Accent2 5 2 2 3 2" xfId="842" xr:uid="{00000000-0005-0000-0000-0000850C0000}"/>
    <cellStyle name="20% - Accent2 5 2 2 3 2 2" xfId="14705" xr:uid="{00000000-0005-0000-0000-0000860C0000}"/>
    <cellStyle name="20% - Accent2 5 2 2 3 2 2 2" xfId="28254" xr:uid="{00000000-0005-0000-0000-0000870C0000}"/>
    <cellStyle name="20% - Accent2 5 2 2 3 2 3" xfId="18166" xr:uid="{00000000-0005-0000-0000-0000880C0000}"/>
    <cellStyle name="20% - Accent2 5 2 2 3 3" xfId="10653" xr:uid="{00000000-0005-0000-0000-0000890C0000}"/>
    <cellStyle name="20% - Accent2 5 2 2 3 3 2" xfId="24595" xr:uid="{00000000-0005-0000-0000-00008A0C0000}"/>
    <cellStyle name="20% - Accent2 5 2 2 3 4" xfId="18165" xr:uid="{00000000-0005-0000-0000-00008B0C0000}"/>
    <cellStyle name="20% - Accent2 5 2 2 4" xfId="843" xr:uid="{00000000-0005-0000-0000-00008C0C0000}"/>
    <cellStyle name="20% - Accent2 5 2 2 4 2" xfId="12253" xr:uid="{00000000-0005-0000-0000-00008D0C0000}"/>
    <cellStyle name="20% - Accent2 5 2 2 4 2 2" xfId="25965" xr:uid="{00000000-0005-0000-0000-00008E0C0000}"/>
    <cellStyle name="20% - Accent2 5 2 2 4 3" xfId="18167" xr:uid="{00000000-0005-0000-0000-00008F0C0000}"/>
    <cellStyle name="20% - Accent2 5 2 2 5" xfId="844" xr:uid="{00000000-0005-0000-0000-0000900C0000}"/>
    <cellStyle name="20% - Accent2 5 2 2 5 2" xfId="12555" xr:uid="{00000000-0005-0000-0000-0000910C0000}"/>
    <cellStyle name="20% - Accent2 5 2 2 5 2 2" xfId="26267" xr:uid="{00000000-0005-0000-0000-0000920C0000}"/>
    <cellStyle name="20% - Accent2 5 2 2 5 3" xfId="18168" xr:uid="{00000000-0005-0000-0000-0000930C0000}"/>
    <cellStyle name="20% - Accent2 5 2 2 6" xfId="845" xr:uid="{00000000-0005-0000-0000-0000940C0000}"/>
    <cellStyle name="20% - Accent2 5 2 2 6 2" xfId="13817" xr:uid="{00000000-0005-0000-0000-0000950C0000}"/>
    <cellStyle name="20% - Accent2 5 2 2 6 2 2" xfId="27366" xr:uid="{00000000-0005-0000-0000-0000960C0000}"/>
    <cellStyle name="20% - Accent2 5 2 2 6 3" xfId="18169" xr:uid="{00000000-0005-0000-0000-0000970C0000}"/>
    <cellStyle name="20% - Accent2 5 2 2 7" xfId="846" xr:uid="{00000000-0005-0000-0000-0000980C0000}"/>
    <cellStyle name="20% - Accent2 5 2 2 7 2" xfId="14398" xr:uid="{00000000-0005-0000-0000-0000990C0000}"/>
    <cellStyle name="20% - Accent2 5 2 2 7 2 2" xfId="27947" xr:uid="{00000000-0005-0000-0000-00009A0C0000}"/>
    <cellStyle name="20% - Accent2 5 2 2 7 3" xfId="18170" xr:uid="{00000000-0005-0000-0000-00009B0C0000}"/>
    <cellStyle name="20% - Accent2 5 2 2 8" xfId="847" xr:uid="{00000000-0005-0000-0000-00009C0C0000}"/>
    <cellStyle name="20% - Accent2 5 2 2 8 2" xfId="14703" xr:uid="{00000000-0005-0000-0000-00009D0C0000}"/>
    <cellStyle name="20% - Accent2 5 2 2 8 2 2" xfId="28252" xr:uid="{00000000-0005-0000-0000-00009E0C0000}"/>
    <cellStyle name="20% - Accent2 5 2 2 8 3" xfId="18171" xr:uid="{00000000-0005-0000-0000-00009F0C0000}"/>
    <cellStyle name="20% - Accent2 5 2 2 9" xfId="848" xr:uid="{00000000-0005-0000-0000-0000A00C0000}"/>
    <cellStyle name="20% - Accent2 5 2 2 9 2" xfId="16284" xr:uid="{00000000-0005-0000-0000-0000A10C0000}"/>
    <cellStyle name="20% - Accent2 5 2 2 9 2 2" xfId="29691" xr:uid="{00000000-0005-0000-0000-0000A20C0000}"/>
    <cellStyle name="20% - Accent2 5 2 2 9 3" xfId="18172" xr:uid="{00000000-0005-0000-0000-0000A30C0000}"/>
    <cellStyle name="20% - Accent2 5 2 3" xfId="849" xr:uid="{00000000-0005-0000-0000-0000A40C0000}"/>
    <cellStyle name="20% - Accent2 5 2 3 2" xfId="850" xr:uid="{00000000-0005-0000-0000-0000A50C0000}"/>
    <cellStyle name="20% - Accent2 5 2 3 2 2" xfId="10655" xr:uid="{00000000-0005-0000-0000-0000A60C0000}"/>
    <cellStyle name="20% - Accent2 5 2 3 2 2 2" xfId="24597" xr:uid="{00000000-0005-0000-0000-0000A70C0000}"/>
    <cellStyle name="20% - Accent2 5 2 3 2 3" xfId="18174" xr:uid="{00000000-0005-0000-0000-0000A80C0000}"/>
    <cellStyle name="20% - Accent2 5 2 3 3" xfId="851" xr:uid="{00000000-0005-0000-0000-0000A90C0000}"/>
    <cellStyle name="20% - Accent2 5 2 3 3 2" xfId="12435" xr:uid="{00000000-0005-0000-0000-0000AA0C0000}"/>
    <cellStyle name="20% - Accent2 5 2 3 3 2 2" xfId="26147" xr:uid="{00000000-0005-0000-0000-0000AB0C0000}"/>
    <cellStyle name="20% - Accent2 5 2 3 3 3" xfId="18175" xr:uid="{00000000-0005-0000-0000-0000AC0C0000}"/>
    <cellStyle name="20% - Accent2 5 2 3 4" xfId="852" xr:uid="{00000000-0005-0000-0000-0000AD0C0000}"/>
    <cellStyle name="20% - Accent2 5 2 3 4 2" xfId="14706" xr:uid="{00000000-0005-0000-0000-0000AE0C0000}"/>
    <cellStyle name="20% - Accent2 5 2 3 4 2 2" xfId="28255" xr:uid="{00000000-0005-0000-0000-0000AF0C0000}"/>
    <cellStyle name="20% - Accent2 5 2 3 4 3" xfId="18176" xr:uid="{00000000-0005-0000-0000-0000B00C0000}"/>
    <cellStyle name="20% - Accent2 5 2 3 5" xfId="853" xr:uid="{00000000-0005-0000-0000-0000B10C0000}"/>
    <cellStyle name="20% - Accent2 5 2 3 5 2" xfId="16576" xr:uid="{00000000-0005-0000-0000-0000B20C0000}"/>
    <cellStyle name="20% - Accent2 5 2 3 5 2 2" xfId="29983" xr:uid="{00000000-0005-0000-0000-0000B30C0000}"/>
    <cellStyle name="20% - Accent2 5 2 3 5 3" xfId="18177" xr:uid="{00000000-0005-0000-0000-0000B40C0000}"/>
    <cellStyle name="20% - Accent2 5 2 3 6" xfId="8930" xr:uid="{00000000-0005-0000-0000-0000B50C0000}"/>
    <cellStyle name="20% - Accent2 5 2 3 6 2" xfId="23405" xr:uid="{00000000-0005-0000-0000-0000B60C0000}"/>
    <cellStyle name="20% - Accent2 5 2 3 7" xfId="18173" xr:uid="{00000000-0005-0000-0000-0000B70C0000}"/>
    <cellStyle name="20% - Accent2 5 2 4" xfId="854" xr:uid="{00000000-0005-0000-0000-0000B80C0000}"/>
    <cellStyle name="20% - Accent2 5 2 4 2" xfId="855" xr:uid="{00000000-0005-0000-0000-0000B90C0000}"/>
    <cellStyle name="20% - Accent2 5 2 4 2 2" xfId="14707" xr:uid="{00000000-0005-0000-0000-0000BA0C0000}"/>
    <cellStyle name="20% - Accent2 5 2 4 2 2 2" xfId="28256" xr:uid="{00000000-0005-0000-0000-0000BB0C0000}"/>
    <cellStyle name="20% - Accent2 5 2 4 2 3" xfId="18179" xr:uid="{00000000-0005-0000-0000-0000BC0C0000}"/>
    <cellStyle name="20% - Accent2 5 2 4 3" xfId="10652" xr:uid="{00000000-0005-0000-0000-0000BD0C0000}"/>
    <cellStyle name="20% - Accent2 5 2 4 3 2" xfId="24594" xr:uid="{00000000-0005-0000-0000-0000BE0C0000}"/>
    <cellStyle name="20% - Accent2 5 2 4 4" xfId="18178" xr:uid="{00000000-0005-0000-0000-0000BF0C0000}"/>
    <cellStyle name="20% - Accent2 5 2 5" xfId="856" xr:uid="{00000000-0005-0000-0000-0000C00C0000}"/>
    <cellStyle name="20% - Accent2 5 2 5 2" xfId="11953" xr:uid="{00000000-0005-0000-0000-0000C10C0000}"/>
    <cellStyle name="20% - Accent2 5 2 5 2 2" xfId="25668" xr:uid="{00000000-0005-0000-0000-0000C20C0000}"/>
    <cellStyle name="20% - Accent2 5 2 5 3" xfId="18180" xr:uid="{00000000-0005-0000-0000-0000C30C0000}"/>
    <cellStyle name="20% - Accent2 5 2 6" xfId="857" xr:uid="{00000000-0005-0000-0000-0000C40C0000}"/>
    <cellStyle name="20% - Accent2 5 2 6 2" xfId="12492" xr:uid="{00000000-0005-0000-0000-0000C50C0000}"/>
    <cellStyle name="20% - Accent2 5 2 6 2 2" xfId="26204" xr:uid="{00000000-0005-0000-0000-0000C60C0000}"/>
    <cellStyle name="20% - Accent2 5 2 6 3" xfId="18181" xr:uid="{00000000-0005-0000-0000-0000C70C0000}"/>
    <cellStyle name="20% - Accent2 5 2 7" xfId="858" xr:uid="{00000000-0005-0000-0000-0000C80C0000}"/>
    <cellStyle name="20% - Accent2 5 2 7 2" xfId="13528" xr:uid="{00000000-0005-0000-0000-0000C90C0000}"/>
    <cellStyle name="20% - Accent2 5 2 7 2 2" xfId="27077" xr:uid="{00000000-0005-0000-0000-0000CA0C0000}"/>
    <cellStyle name="20% - Accent2 5 2 7 3" xfId="18182" xr:uid="{00000000-0005-0000-0000-0000CB0C0000}"/>
    <cellStyle name="20% - Accent2 5 2 8" xfId="859" xr:uid="{00000000-0005-0000-0000-0000CC0C0000}"/>
    <cellStyle name="20% - Accent2 5 2 8 2" xfId="14109" xr:uid="{00000000-0005-0000-0000-0000CD0C0000}"/>
    <cellStyle name="20% - Accent2 5 2 8 2 2" xfId="27658" xr:uid="{00000000-0005-0000-0000-0000CE0C0000}"/>
    <cellStyle name="20% - Accent2 5 2 8 3" xfId="18183" xr:uid="{00000000-0005-0000-0000-0000CF0C0000}"/>
    <cellStyle name="20% - Accent2 5 2 9" xfId="860" xr:uid="{00000000-0005-0000-0000-0000D00C0000}"/>
    <cellStyle name="20% - Accent2 5 2 9 2" xfId="14702" xr:uid="{00000000-0005-0000-0000-0000D10C0000}"/>
    <cellStyle name="20% - Accent2 5 2 9 2 2" xfId="28251" xr:uid="{00000000-0005-0000-0000-0000D20C0000}"/>
    <cellStyle name="20% - Accent2 5 2 9 3" xfId="18184" xr:uid="{00000000-0005-0000-0000-0000D30C0000}"/>
    <cellStyle name="20% - Accent2 5 3" xfId="861" xr:uid="{00000000-0005-0000-0000-0000D40C0000}"/>
    <cellStyle name="20% - Accent2 5 3 10" xfId="8931" xr:uid="{00000000-0005-0000-0000-0000D50C0000}"/>
    <cellStyle name="20% - Accent2 5 3 10 2" xfId="23406" xr:uid="{00000000-0005-0000-0000-0000D60C0000}"/>
    <cellStyle name="20% - Accent2 5 3 11" xfId="18185" xr:uid="{00000000-0005-0000-0000-0000D70C0000}"/>
    <cellStyle name="20% - Accent2 5 3 2" xfId="862" xr:uid="{00000000-0005-0000-0000-0000D80C0000}"/>
    <cellStyle name="20% - Accent2 5 3 2 2" xfId="863" xr:uid="{00000000-0005-0000-0000-0000D90C0000}"/>
    <cellStyle name="20% - Accent2 5 3 2 2 2" xfId="10657" xr:uid="{00000000-0005-0000-0000-0000DA0C0000}"/>
    <cellStyle name="20% - Accent2 5 3 2 2 2 2" xfId="24599" xr:uid="{00000000-0005-0000-0000-0000DB0C0000}"/>
    <cellStyle name="20% - Accent2 5 3 2 2 3" xfId="18187" xr:uid="{00000000-0005-0000-0000-0000DC0C0000}"/>
    <cellStyle name="20% - Accent2 5 3 2 3" xfId="864" xr:uid="{00000000-0005-0000-0000-0000DD0C0000}"/>
    <cellStyle name="20% - Accent2 5 3 2 3 2" xfId="12535" xr:uid="{00000000-0005-0000-0000-0000DE0C0000}"/>
    <cellStyle name="20% - Accent2 5 3 2 3 2 2" xfId="26247" xr:uid="{00000000-0005-0000-0000-0000DF0C0000}"/>
    <cellStyle name="20% - Accent2 5 3 2 3 3" xfId="18188" xr:uid="{00000000-0005-0000-0000-0000E00C0000}"/>
    <cellStyle name="20% - Accent2 5 3 2 4" xfId="865" xr:uid="{00000000-0005-0000-0000-0000E10C0000}"/>
    <cellStyle name="20% - Accent2 5 3 2 4 2" xfId="14709" xr:uid="{00000000-0005-0000-0000-0000E20C0000}"/>
    <cellStyle name="20% - Accent2 5 3 2 4 2 2" xfId="28258" xr:uid="{00000000-0005-0000-0000-0000E30C0000}"/>
    <cellStyle name="20% - Accent2 5 3 2 4 3" xfId="18189" xr:uid="{00000000-0005-0000-0000-0000E40C0000}"/>
    <cellStyle name="20% - Accent2 5 3 2 5" xfId="866" xr:uid="{00000000-0005-0000-0000-0000E50C0000}"/>
    <cellStyle name="20% - Accent2 5 3 2 5 2" xfId="16719" xr:uid="{00000000-0005-0000-0000-0000E60C0000}"/>
    <cellStyle name="20% - Accent2 5 3 2 5 2 2" xfId="30126" xr:uid="{00000000-0005-0000-0000-0000E70C0000}"/>
    <cellStyle name="20% - Accent2 5 3 2 5 3" xfId="18190" xr:uid="{00000000-0005-0000-0000-0000E80C0000}"/>
    <cellStyle name="20% - Accent2 5 3 2 6" xfId="8932" xr:uid="{00000000-0005-0000-0000-0000E90C0000}"/>
    <cellStyle name="20% - Accent2 5 3 2 6 2" xfId="23407" xr:uid="{00000000-0005-0000-0000-0000EA0C0000}"/>
    <cellStyle name="20% - Accent2 5 3 2 7" xfId="18186" xr:uid="{00000000-0005-0000-0000-0000EB0C0000}"/>
    <cellStyle name="20% - Accent2 5 3 3" xfId="867" xr:uid="{00000000-0005-0000-0000-0000EC0C0000}"/>
    <cellStyle name="20% - Accent2 5 3 3 2" xfId="868" xr:uid="{00000000-0005-0000-0000-0000ED0C0000}"/>
    <cellStyle name="20% - Accent2 5 3 3 2 2" xfId="14710" xr:uid="{00000000-0005-0000-0000-0000EE0C0000}"/>
    <cellStyle name="20% - Accent2 5 3 3 2 2 2" xfId="28259" xr:uid="{00000000-0005-0000-0000-0000EF0C0000}"/>
    <cellStyle name="20% - Accent2 5 3 3 2 3" xfId="18192" xr:uid="{00000000-0005-0000-0000-0000F00C0000}"/>
    <cellStyle name="20% - Accent2 5 3 3 3" xfId="10656" xr:uid="{00000000-0005-0000-0000-0000F10C0000}"/>
    <cellStyle name="20% - Accent2 5 3 3 3 2" xfId="24598" xr:uid="{00000000-0005-0000-0000-0000F20C0000}"/>
    <cellStyle name="20% - Accent2 5 3 3 4" xfId="18191" xr:uid="{00000000-0005-0000-0000-0000F30C0000}"/>
    <cellStyle name="20% - Accent2 5 3 4" xfId="869" xr:uid="{00000000-0005-0000-0000-0000F40C0000}"/>
    <cellStyle name="20% - Accent2 5 3 4 2" xfId="12107" xr:uid="{00000000-0005-0000-0000-0000F50C0000}"/>
    <cellStyle name="20% - Accent2 5 3 4 2 2" xfId="25819" xr:uid="{00000000-0005-0000-0000-0000F60C0000}"/>
    <cellStyle name="20% - Accent2 5 3 4 3" xfId="18193" xr:uid="{00000000-0005-0000-0000-0000F70C0000}"/>
    <cellStyle name="20% - Accent2 5 3 5" xfId="870" xr:uid="{00000000-0005-0000-0000-0000F80C0000}"/>
    <cellStyle name="20% - Accent2 5 3 5 2" xfId="11741" xr:uid="{00000000-0005-0000-0000-0000F90C0000}"/>
    <cellStyle name="20% - Accent2 5 3 5 2 2" xfId="25456" xr:uid="{00000000-0005-0000-0000-0000FA0C0000}"/>
    <cellStyle name="20% - Accent2 5 3 5 3" xfId="18194" xr:uid="{00000000-0005-0000-0000-0000FB0C0000}"/>
    <cellStyle name="20% - Accent2 5 3 6" xfId="871" xr:uid="{00000000-0005-0000-0000-0000FC0C0000}"/>
    <cellStyle name="20% - Accent2 5 3 6 2" xfId="13671" xr:uid="{00000000-0005-0000-0000-0000FD0C0000}"/>
    <cellStyle name="20% - Accent2 5 3 6 2 2" xfId="27220" xr:uid="{00000000-0005-0000-0000-0000FE0C0000}"/>
    <cellStyle name="20% - Accent2 5 3 6 3" xfId="18195" xr:uid="{00000000-0005-0000-0000-0000FF0C0000}"/>
    <cellStyle name="20% - Accent2 5 3 7" xfId="872" xr:uid="{00000000-0005-0000-0000-0000000D0000}"/>
    <cellStyle name="20% - Accent2 5 3 7 2" xfId="14252" xr:uid="{00000000-0005-0000-0000-0000010D0000}"/>
    <cellStyle name="20% - Accent2 5 3 7 2 2" xfId="27801" xr:uid="{00000000-0005-0000-0000-0000020D0000}"/>
    <cellStyle name="20% - Accent2 5 3 7 3" xfId="18196" xr:uid="{00000000-0005-0000-0000-0000030D0000}"/>
    <cellStyle name="20% - Accent2 5 3 8" xfId="873" xr:uid="{00000000-0005-0000-0000-0000040D0000}"/>
    <cellStyle name="20% - Accent2 5 3 8 2" xfId="14708" xr:uid="{00000000-0005-0000-0000-0000050D0000}"/>
    <cellStyle name="20% - Accent2 5 3 8 2 2" xfId="28257" xr:uid="{00000000-0005-0000-0000-0000060D0000}"/>
    <cellStyle name="20% - Accent2 5 3 8 3" xfId="18197" xr:uid="{00000000-0005-0000-0000-0000070D0000}"/>
    <cellStyle name="20% - Accent2 5 3 9" xfId="874" xr:uid="{00000000-0005-0000-0000-0000080D0000}"/>
    <cellStyle name="20% - Accent2 5 3 9 2" xfId="16138" xr:uid="{00000000-0005-0000-0000-0000090D0000}"/>
    <cellStyle name="20% - Accent2 5 3 9 2 2" xfId="29545" xr:uid="{00000000-0005-0000-0000-00000A0D0000}"/>
    <cellStyle name="20% - Accent2 5 3 9 3" xfId="18198" xr:uid="{00000000-0005-0000-0000-00000B0D0000}"/>
    <cellStyle name="20% - Accent2 5 4" xfId="875" xr:uid="{00000000-0005-0000-0000-00000C0D0000}"/>
    <cellStyle name="20% - Accent2 5 4 2" xfId="876" xr:uid="{00000000-0005-0000-0000-00000D0D0000}"/>
    <cellStyle name="20% - Accent2 5 4 2 2" xfId="10658" xr:uid="{00000000-0005-0000-0000-00000E0D0000}"/>
    <cellStyle name="20% - Accent2 5 4 2 2 2" xfId="24600" xr:uid="{00000000-0005-0000-0000-00000F0D0000}"/>
    <cellStyle name="20% - Accent2 5 4 2 3" xfId="18200" xr:uid="{00000000-0005-0000-0000-0000100D0000}"/>
    <cellStyle name="20% - Accent2 5 4 3" xfId="877" xr:uid="{00000000-0005-0000-0000-0000110D0000}"/>
    <cellStyle name="20% - Accent2 5 4 3 2" xfId="12556" xr:uid="{00000000-0005-0000-0000-0000120D0000}"/>
    <cellStyle name="20% - Accent2 5 4 3 2 2" xfId="26268" xr:uid="{00000000-0005-0000-0000-0000130D0000}"/>
    <cellStyle name="20% - Accent2 5 4 3 3" xfId="18201" xr:uid="{00000000-0005-0000-0000-0000140D0000}"/>
    <cellStyle name="20% - Accent2 5 4 4" xfId="878" xr:uid="{00000000-0005-0000-0000-0000150D0000}"/>
    <cellStyle name="20% - Accent2 5 4 4 2" xfId="14711" xr:uid="{00000000-0005-0000-0000-0000160D0000}"/>
    <cellStyle name="20% - Accent2 5 4 4 2 2" xfId="28260" xr:uid="{00000000-0005-0000-0000-0000170D0000}"/>
    <cellStyle name="20% - Accent2 5 4 4 3" xfId="18202" xr:uid="{00000000-0005-0000-0000-0000180D0000}"/>
    <cellStyle name="20% - Accent2 5 4 5" xfId="879" xr:uid="{00000000-0005-0000-0000-0000190D0000}"/>
    <cellStyle name="20% - Accent2 5 4 5 2" xfId="16433" xr:uid="{00000000-0005-0000-0000-00001A0D0000}"/>
    <cellStyle name="20% - Accent2 5 4 5 2 2" xfId="29840" xr:uid="{00000000-0005-0000-0000-00001B0D0000}"/>
    <cellStyle name="20% - Accent2 5 4 5 3" xfId="18203" xr:uid="{00000000-0005-0000-0000-00001C0D0000}"/>
    <cellStyle name="20% - Accent2 5 4 6" xfId="8933" xr:uid="{00000000-0005-0000-0000-00001D0D0000}"/>
    <cellStyle name="20% - Accent2 5 4 6 2" xfId="23408" xr:uid="{00000000-0005-0000-0000-00001E0D0000}"/>
    <cellStyle name="20% - Accent2 5 4 7" xfId="18199" xr:uid="{00000000-0005-0000-0000-00001F0D0000}"/>
    <cellStyle name="20% - Accent2 5 5" xfId="880" xr:uid="{00000000-0005-0000-0000-0000200D0000}"/>
    <cellStyle name="20% - Accent2 5 5 2" xfId="881" xr:uid="{00000000-0005-0000-0000-0000210D0000}"/>
    <cellStyle name="20% - Accent2 5 5 2 2" xfId="14712" xr:uid="{00000000-0005-0000-0000-0000220D0000}"/>
    <cellStyle name="20% - Accent2 5 5 2 2 2" xfId="28261" xr:uid="{00000000-0005-0000-0000-0000230D0000}"/>
    <cellStyle name="20% - Accent2 5 5 2 3" xfId="18205" xr:uid="{00000000-0005-0000-0000-0000240D0000}"/>
    <cellStyle name="20% - Accent2 5 5 3" xfId="10651" xr:uid="{00000000-0005-0000-0000-0000250D0000}"/>
    <cellStyle name="20% - Accent2 5 5 3 2" xfId="24593" xr:uid="{00000000-0005-0000-0000-0000260D0000}"/>
    <cellStyle name="20% - Accent2 5 5 4" xfId="18204" xr:uid="{00000000-0005-0000-0000-0000270D0000}"/>
    <cellStyle name="20% - Accent2 5 6" xfId="882" xr:uid="{00000000-0005-0000-0000-0000280D0000}"/>
    <cellStyle name="20% - Accent2 5 6 2" xfId="11784" xr:uid="{00000000-0005-0000-0000-0000290D0000}"/>
    <cellStyle name="20% - Accent2 5 6 2 2" xfId="25499" xr:uid="{00000000-0005-0000-0000-00002A0D0000}"/>
    <cellStyle name="20% - Accent2 5 6 3" xfId="18206" xr:uid="{00000000-0005-0000-0000-00002B0D0000}"/>
    <cellStyle name="20% - Accent2 5 7" xfId="883" xr:uid="{00000000-0005-0000-0000-00002C0D0000}"/>
    <cellStyle name="20% - Accent2 5 7 2" xfId="12401" xr:uid="{00000000-0005-0000-0000-00002D0D0000}"/>
    <cellStyle name="20% - Accent2 5 7 2 2" xfId="26113" xr:uid="{00000000-0005-0000-0000-00002E0D0000}"/>
    <cellStyle name="20% - Accent2 5 7 3" xfId="18207" xr:uid="{00000000-0005-0000-0000-00002F0D0000}"/>
    <cellStyle name="20% - Accent2 5 8" xfId="884" xr:uid="{00000000-0005-0000-0000-0000300D0000}"/>
    <cellStyle name="20% - Accent2 5 8 2" xfId="13385" xr:uid="{00000000-0005-0000-0000-0000310D0000}"/>
    <cellStyle name="20% - Accent2 5 8 2 2" xfId="26934" xr:uid="{00000000-0005-0000-0000-0000320D0000}"/>
    <cellStyle name="20% - Accent2 5 8 3" xfId="18208" xr:uid="{00000000-0005-0000-0000-0000330D0000}"/>
    <cellStyle name="20% - Accent2 5 9" xfId="885" xr:uid="{00000000-0005-0000-0000-0000340D0000}"/>
    <cellStyle name="20% - Accent2 5 9 2" xfId="13966" xr:uid="{00000000-0005-0000-0000-0000350D0000}"/>
    <cellStyle name="20% - Accent2 5 9 2 2" xfId="27515" xr:uid="{00000000-0005-0000-0000-0000360D0000}"/>
    <cellStyle name="20% - Accent2 5 9 3" xfId="18209" xr:uid="{00000000-0005-0000-0000-0000370D0000}"/>
    <cellStyle name="20% - Accent2 6" xfId="886" xr:uid="{00000000-0005-0000-0000-0000380D0000}"/>
    <cellStyle name="20% - Accent2 6 10" xfId="887" xr:uid="{00000000-0005-0000-0000-0000390D0000}"/>
    <cellStyle name="20% - Accent2 6 10 2" xfId="14713" xr:uid="{00000000-0005-0000-0000-00003A0D0000}"/>
    <cellStyle name="20% - Accent2 6 10 2 2" xfId="28262" xr:uid="{00000000-0005-0000-0000-00003B0D0000}"/>
    <cellStyle name="20% - Accent2 6 10 3" xfId="18211" xr:uid="{00000000-0005-0000-0000-00003C0D0000}"/>
    <cellStyle name="20% - Accent2 6 11" xfId="888" xr:uid="{00000000-0005-0000-0000-00003D0D0000}"/>
    <cellStyle name="20% - Accent2 6 11 2" xfId="15958" xr:uid="{00000000-0005-0000-0000-00003E0D0000}"/>
    <cellStyle name="20% - Accent2 6 11 2 2" xfId="29365" xr:uid="{00000000-0005-0000-0000-00003F0D0000}"/>
    <cellStyle name="20% - Accent2 6 11 3" xfId="18212" xr:uid="{00000000-0005-0000-0000-0000400D0000}"/>
    <cellStyle name="20% - Accent2 6 12" xfId="8934" xr:uid="{00000000-0005-0000-0000-0000410D0000}"/>
    <cellStyle name="20% - Accent2 6 12 2" xfId="23409" xr:uid="{00000000-0005-0000-0000-0000420D0000}"/>
    <cellStyle name="20% - Accent2 6 13" xfId="18210" xr:uid="{00000000-0005-0000-0000-0000430D0000}"/>
    <cellStyle name="20% - Accent2 6 2" xfId="889" xr:uid="{00000000-0005-0000-0000-0000440D0000}"/>
    <cellStyle name="20% - Accent2 6 2 10" xfId="890" xr:uid="{00000000-0005-0000-0000-0000450D0000}"/>
    <cellStyle name="20% - Accent2 6 2 10 2" xfId="16101" xr:uid="{00000000-0005-0000-0000-0000460D0000}"/>
    <cellStyle name="20% - Accent2 6 2 10 2 2" xfId="29508" xr:uid="{00000000-0005-0000-0000-0000470D0000}"/>
    <cellStyle name="20% - Accent2 6 2 10 3" xfId="18214" xr:uid="{00000000-0005-0000-0000-0000480D0000}"/>
    <cellStyle name="20% - Accent2 6 2 11" xfId="8935" xr:uid="{00000000-0005-0000-0000-0000490D0000}"/>
    <cellStyle name="20% - Accent2 6 2 11 2" xfId="23410" xr:uid="{00000000-0005-0000-0000-00004A0D0000}"/>
    <cellStyle name="20% - Accent2 6 2 12" xfId="18213" xr:uid="{00000000-0005-0000-0000-00004B0D0000}"/>
    <cellStyle name="20% - Accent2 6 2 2" xfId="891" xr:uid="{00000000-0005-0000-0000-00004C0D0000}"/>
    <cellStyle name="20% - Accent2 6 2 2 10" xfId="8936" xr:uid="{00000000-0005-0000-0000-00004D0D0000}"/>
    <cellStyle name="20% - Accent2 6 2 2 10 2" xfId="23411" xr:uid="{00000000-0005-0000-0000-00004E0D0000}"/>
    <cellStyle name="20% - Accent2 6 2 2 11" xfId="18215" xr:uid="{00000000-0005-0000-0000-00004F0D0000}"/>
    <cellStyle name="20% - Accent2 6 2 2 2" xfId="892" xr:uid="{00000000-0005-0000-0000-0000500D0000}"/>
    <cellStyle name="20% - Accent2 6 2 2 2 2" xfId="893" xr:uid="{00000000-0005-0000-0000-0000510D0000}"/>
    <cellStyle name="20% - Accent2 6 2 2 2 2 2" xfId="10662" xr:uid="{00000000-0005-0000-0000-0000520D0000}"/>
    <cellStyle name="20% - Accent2 6 2 2 2 2 2 2" xfId="24604" xr:uid="{00000000-0005-0000-0000-0000530D0000}"/>
    <cellStyle name="20% - Accent2 6 2 2 2 2 3" xfId="18217" xr:uid="{00000000-0005-0000-0000-0000540D0000}"/>
    <cellStyle name="20% - Accent2 6 2 2 2 3" xfId="894" xr:uid="{00000000-0005-0000-0000-0000550D0000}"/>
    <cellStyle name="20% - Accent2 6 2 2 2 3 2" xfId="12682" xr:uid="{00000000-0005-0000-0000-0000560D0000}"/>
    <cellStyle name="20% - Accent2 6 2 2 2 3 2 2" xfId="26394" xr:uid="{00000000-0005-0000-0000-0000570D0000}"/>
    <cellStyle name="20% - Accent2 6 2 2 2 3 3" xfId="18218" xr:uid="{00000000-0005-0000-0000-0000580D0000}"/>
    <cellStyle name="20% - Accent2 6 2 2 2 4" xfId="895" xr:uid="{00000000-0005-0000-0000-0000590D0000}"/>
    <cellStyle name="20% - Accent2 6 2 2 2 4 2" xfId="14716" xr:uid="{00000000-0005-0000-0000-00005A0D0000}"/>
    <cellStyle name="20% - Accent2 6 2 2 2 4 2 2" xfId="28265" xr:uid="{00000000-0005-0000-0000-00005B0D0000}"/>
    <cellStyle name="20% - Accent2 6 2 2 2 4 3" xfId="18219" xr:uid="{00000000-0005-0000-0000-00005C0D0000}"/>
    <cellStyle name="20% - Accent2 6 2 2 2 5" xfId="896" xr:uid="{00000000-0005-0000-0000-00005D0D0000}"/>
    <cellStyle name="20% - Accent2 6 2 2 2 5 2" xfId="16971" xr:uid="{00000000-0005-0000-0000-00005E0D0000}"/>
    <cellStyle name="20% - Accent2 6 2 2 2 5 2 2" xfId="30378" xr:uid="{00000000-0005-0000-0000-00005F0D0000}"/>
    <cellStyle name="20% - Accent2 6 2 2 2 5 3" xfId="18220" xr:uid="{00000000-0005-0000-0000-0000600D0000}"/>
    <cellStyle name="20% - Accent2 6 2 2 2 6" xfId="8937" xr:uid="{00000000-0005-0000-0000-0000610D0000}"/>
    <cellStyle name="20% - Accent2 6 2 2 2 6 2" xfId="23412" xr:uid="{00000000-0005-0000-0000-0000620D0000}"/>
    <cellStyle name="20% - Accent2 6 2 2 2 7" xfId="18216" xr:uid="{00000000-0005-0000-0000-0000630D0000}"/>
    <cellStyle name="20% - Accent2 6 2 2 3" xfId="897" xr:uid="{00000000-0005-0000-0000-0000640D0000}"/>
    <cellStyle name="20% - Accent2 6 2 2 3 2" xfId="898" xr:uid="{00000000-0005-0000-0000-0000650D0000}"/>
    <cellStyle name="20% - Accent2 6 2 2 3 2 2" xfId="14717" xr:uid="{00000000-0005-0000-0000-0000660D0000}"/>
    <cellStyle name="20% - Accent2 6 2 2 3 2 2 2" xfId="28266" xr:uid="{00000000-0005-0000-0000-0000670D0000}"/>
    <cellStyle name="20% - Accent2 6 2 2 3 2 3" xfId="18222" xr:uid="{00000000-0005-0000-0000-0000680D0000}"/>
    <cellStyle name="20% - Accent2 6 2 2 3 3" xfId="10661" xr:uid="{00000000-0005-0000-0000-0000690D0000}"/>
    <cellStyle name="20% - Accent2 6 2 2 3 3 2" xfId="24603" xr:uid="{00000000-0005-0000-0000-00006A0D0000}"/>
    <cellStyle name="20% - Accent2 6 2 2 3 4" xfId="18221" xr:uid="{00000000-0005-0000-0000-00006B0D0000}"/>
    <cellStyle name="20% - Accent2 6 2 2 4" xfId="899" xr:uid="{00000000-0005-0000-0000-00006C0D0000}"/>
    <cellStyle name="20% - Accent2 6 2 2 4 2" xfId="12359" xr:uid="{00000000-0005-0000-0000-00006D0D0000}"/>
    <cellStyle name="20% - Accent2 6 2 2 4 2 2" xfId="26071" xr:uid="{00000000-0005-0000-0000-00006E0D0000}"/>
    <cellStyle name="20% - Accent2 6 2 2 4 3" xfId="18223" xr:uid="{00000000-0005-0000-0000-00006F0D0000}"/>
    <cellStyle name="20% - Accent2 6 2 2 5" xfId="900" xr:uid="{00000000-0005-0000-0000-0000700D0000}"/>
    <cellStyle name="20% - Accent2 6 2 2 5 2" xfId="12774" xr:uid="{00000000-0005-0000-0000-0000710D0000}"/>
    <cellStyle name="20% - Accent2 6 2 2 5 2 2" xfId="26486" xr:uid="{00000000-0005-0000-0000-0000720D0000}"/>
    <cellStyle name="20% - Accent2 6 2 2 5 3" xfId="18224" xr:uid="{00000000-0005-0000-0000-0000730D0000}"/>
    <cellStyle name="20% - Accent2 6 2 2 6" xfId="901" xr:uid="{00000000-0005-0000-0000-0000740D0000}"/>
    <cellStyle name="20% - Accent2 6 2 2 6 2" xfId="13923" xr:uid="{00000000-0005-0000-0000-0000750D0000}"/>
    <cellStyle name="20% - Accent2 6 2 2 6 2 2" xfId="27472" xr:uid="{00000000-0005-0000-0000-0000760D0000}"/>
    <cellStyle name="20% - Accent2 6 2 2 6 3" xfId="18225" xr:uid="{00000000-0005-0000-0000-0000770D0000}"/>
    <cellStyle name="20% - Accent2 6 2 2 7" xfId="902" xr:uid="{00000000-0005-0000-0000-0000780D0000}"/>
    <cellStyle name="20% - Accent2 6 2 2 7 2" xfId="14504" xr:uid="{00000000-0005-0000-0000-0000790D0000}"/>
    <cellStyle name="20% - Accent2 6 2 2 7 2 2" xfId="28053" xr:uid="{00000000-0005-0000-0000-00007A0D0000}"/>
    <cellStyle name="20% - Accent2 6 2 2 7 3" xfId="18226" xr:uid="{00000000-0005-0000-0000-00007B0D0000}"/>
    <cellStyle name="20% - Accent2 6 2 2 8" xfId="903" xr:uid="{00000000-0005-0000-0000-00007C0D0000}"/>
    <cellStyle name="20% - Accent2 6 2 2 8 2" xfId="14715" xr:uid="{00000000-0005-0000-0000-00007D0D0000}"/>
    <cellStyle name="20% - Accent2 6 2 2 8 2 2" xfId="28264" xr:uid="{00000000-0005-0000-0000-00007E0D0000}"/>
    <cellStyle name="20% - Accent2 6 2 2 8 3" xfId="18227" xr:uid="{00000000-0005-0000-0000-00007F0D0000}"/>
    <cellStyle name="20% - Accent2 6 2 2 9" xfId="904" xr:uid="{00000000-0005-0000-0000-0000800D0000}"/>
    <cellStyle name="20% - Accent2 6 2 2 9 2" xfId="16390" xr:uid="{00000000-0005-0000-0000-0000810D0000}"/>
    <cellStyle name="20% - Accent2 6 2 2 9 2 2" xfId="29797" xr:uid="{00000000-0005-0000-0000-0000820D0000}"/>
    <cellStyle name="20% - Accent2 6 2 2 9 3" xfId="18228" xr:uid="{00000000-0005-0000-0000-0000830D0000}"/>
    <cellStyle name="20% - Accent2 6 2 3" xfId="905" xr:uid="{00000000-0005-0000-0000-0000840D0000}"/>
    <cellStyle name="20% - Accent2 6 2 3 2" xfId="906" xr:uid="{00000000-0005-0000-0000-0000850D0000}"/>
    <cellStyle name="20% - Accent2 6 2 3 2 2" xfId="10663" xr:uid="{00000000-0005-0000-0000-0000860D0000}"/>
    <cellStyle name="20% - Accent2 6 2 3 2 2 2" xfId="24605" xr:uid="{00000000-0005-0000-0000-0000870D0000}"/>
    <cellStyle name="20% - Accent2 6 2 3 2 3" xfId="18230" xr:uid="{00000000-0005-0000-0000-0000880D0000}"/>
    <cellStyle name="20% - Accent2 6 2 3 3" xfId="907" xr:uid="{00000000-0005-0000-0000-0000890D0000}"/>
    <cellStyle name="20% - Accent2 6 2 3 3 2" xfId="11846" xr:uid="{00000000-0005-0000-0000-00008A0D0000}"/>
    <cellStyle name="20% - Accent2 6 2 3 3 2 2" xfId="25561" xr:uid="{00000000-0005-0000-0000-00008B0D0000}"/>
    <cellStyle name="20% - Accent2 6 2 3 3 3" xfId="18231" xr:uid="{00000000-0005-0000-0000-00008C0D0000}"/>
    <cellStyle name="20% - Accent2 6 2 3 4" xfId="908" xr:uid="{00000000-0005-0000-0000-00008D0D0000}"/>
    <cellStyle name="20% - Accent2 6 2 3 4 2" xfId="14718" xr:uid="{00000000-0005-0000-0000-00008E0D0000}"/>
    <cellStyle name="20% - Accent2 6 2 3 4 2 2" xfId="28267" xr:uid="{00000000-0005-0000-0000-00008F0D0000}"/>
    <cellStyle name="20% - Accent2 6 2 3 4 3" xfId="18232" xr:uid="{00000000-0005-0000-0000-0000900D0000}"/>
    <cellStyle name="20% - Accent2 6 2 3 5" xfId="909" xr:uid="{00000000-0005-0000-0000-0000910D0000}"/>
    <cellStyle name="20% - Accent2 6 2 3 5 2" xfId="16682" xr:uid="{00000000-0005-0000-0000-0000920D0000}"/>
    <cellStyle name="20% - Accent2 6 2 3 5 2 2" xfId="30089" xr:uid="{00000000-0005-0000-0000-0000930D0000}"/>
    <cellStyle name="20% - Accent2 6 2 3 5 3" xfId="18233" xr:uid="{00000000-0005-0000-0000-0000940D0000}"/>
    <cellStyle name="20% - Accent2 6 2 3 6" xfId="8938" xr:uid="{00000000-0005-0000-0000-0000950D0000}"/>
    <cellStyle name="20% - Accent2 6 2 3 6 2" xfId="23413" xr:uid="{00000000-0005-0000-0000-0000960D0000}"/>
    <cellStyle name="20% - Accent2 6 2 3 7" xfId="18229" xr:uid="{00000000-0005-0000-0000-0000970D0000}"/>
    <cellStyle name="20% - Accent2 6 2 4" xfId="910" xr:uid="{00000000-0005-0000-0000-0000980D0000}"/>
    <cellStyle name="20% - Accent2 6 2 4 2" xfId="911" xr:uid="{00000000-0005-0000-0000-0000990D0000}"/>
    <cellStyle name="20% - Accent2 6 2 4 2 2" xfId="14719" xr:uid="{00000000-0005-0000-0000-00009A0D0000}"/>
    <cellStyle name="20% - Accent2 6 2 4 2 2 2" xfId="28268" xr:uid="{00000000-0005-0000-0000-00009B0D0000}"/>
    <cellStyle name="20% - Accent2 6 2 4 2 3" xfId="18235" xr:uid="{00000000-0005-0000-0000-00009C0D0000}"/>
    <cellStyle name="20% - Accent2 6 2 4 3" xfId="10660" xr:uid="{00000000-0005-0000-0000-00009D0D0000}"/>
    <cellStyle name="20% - Accent2 6 2 4 3 2" xfId="24602" xr:uid="{00000000-0005-0000-0000-00009E0D0000}"/>
    <cellStyle name="20% - Accent2 6 2 4 4" xfId="18234" xr:uid="{00000000-0005-0000-0000-00009F0D0000}"/>
    <cellStyle name="20% - Accent2 6 2 5" xfId="912" xr:uid="{00000000-0005-0000-0000-0000A00D0000}"/>
    <cellStyle name="20% - Accent2 6 2 5 2" xfId="12059" xr:uid="{00000000-0005-0000-0000-0000A10D0000}"/>
    <cellStyle name="20% - Accent2 6 2 5 2 2" xfId="25774" xr:uid="{00000000-0005-0000-0000-0000A20D0000}"/>
    <cellStyle name="20% - Accent2 6 2 5 3" xfId="18236" xr:uid="{00000000-0005-0000-0000-0000A30D0000}"/>
    <cellStyle name="20% - Accent2 6 2 6" xfId="913" xr:uid="{00000000-0005-0000-0000-0000A40D0000}"/>
    <cellStyle name="20% - Accent2 6 2 6 2" xfId="12773" xr:uid="{00000000-0005-0000-0000-0000A50D0000}"/>
    <cellStyle name="20% - Accent2 6 2 6 2 2" xfId="26485" xr:uid="{00000000-0005-0000-0000-0000A60D0000}"/>
    <cellStyle name="20% - Accent2 6 2 6 3" xfId="18237" xr:uid="{00000000-0005-0000-0000-0000A70D0000}"/>
    <cellStyle name="20% - Accent2 6 2 7" xfId="914" xr:uid="{00000000-0005-0000-0000-0000A80D0000}"/>
    <cellStyle name="20% - Accent2 6 2 7 2" xfId="13634" xr:uid="{00000000-0005-0000-0000-0000A90D0000}"/>
    <cellStyle name="20% - Accent2 6 2 7 2 2" xfId="27183" xr:uid="{00000000-0005-0000-0000-0000AA0D0000}"/>
    <cellStyle name="20% - Accent2 6 2 7 3" xfId="18238" xr:uid="{00000000-0005-0000-0000-0000AB0D0000}"/>
    <cellStyle name="20% - Accent2 6 2 8" xfId="915" xr:uid="{00000000-0005-0000-0000-0000AC0D0000}"/>
    <cellStyle name="20% - Accent2 6 2 8 2" xfId="14215" xr:uid="{00000000-0005-0000-0000-0000AD0D0000}"/>
    <cellStyle name="20% - Accent2 6 2 8 2 2" xfId="27764" xr:uid="{00000000-0005-0000-0000-0000AE0D0000}"/>
    <cellStyle name="20% - Accent2 6 2 8 3" xfId="18239" xr:uid="{00000000-0005-0000-0000-0000AF0D0000}"/>
    <cellStyle name="20% - Accent2 6 2 9" xfId="916" xr:uid="{00000000-0005-0000-0000-0000B00D0000}"/>
    <cellStyle name="20% - Accent2 6 2 9 2" xfId="14714" xr:uid="{00000000-0005-0000-0000-0000B10D0000}"/>
    <cellStyle name="20% - Accent2 6 2 9 2 2" xfId="28263" xr:uid="{00000000-0005-0000-0000-0000B20D0000}"/>
    <cellStyle name="20% - Accent2 6 2 9 3" xfId="18240" xr:uid="{00000000-0005-0000-0000-0000B30D0000}"/>
    <cellStyle name="20% - Accent2 6 3" xfId="917" xr:uid="{00000000-0005-0000-0000-0000B40D0000}"/>
    <cellStyle name="20% - Accent2 6 3 10" xfId="8939" xr:uid="{00000000-0005-0000-0000-0000B50D0000}"/>
    <cellStyle name="20% - Accent2 6 3 10 2" xfId="23414" xr:uid="{00000000-0005-0000-0000-0000B60D0000}"/>
    <cellStyle name="20% - Accent2 6 3 11" xfId="18241" xr:uid="{00000000-0005-0000-0000-0000B70D0000}"/>
    <cellStyle name="20% - Accent2 6 3 2" xfId="918" xr:uid="{00000000-0005-0000-0000-0000B80D0000}"/>
    <cellStyle name="20% - Accent2 6 3 2 2" xfId="919" xr:uid="{00000000-0005-0000-0000-0000B90D0000}"/>
    <cellStyle name="20% - Accent2 6 3 2 2 2" xfId="10665" xr:uid="{00000000-0005-0000-0000-0000BA0D0000}"/>
    <cellStyle name="20% - Accent2 6 3 2 2 2 2" xfId="24607" xr:uid="{00000000-0005-0000-0000-0000BB0D0000}"/>
    <cellStyle name="20% - Accent2 6 3 2 2 3" xfId="18243" xr:uid="{00000000-0005-0000-0000-0000BC0D0000}"/>
    <cellStyle name="20% - Accent2 6 3 2 3" xfId="920" xr:uid="{00000000-0005-0000-0000-0000BD0D0000}"/>
    <cellStyle name="20% - Accent2 6 3 2 3 2" xfId="12715" xr:uid="{00000000-0005-0000-0000-0000BE0D0000}"/>
    <cellStyle name="20% - Accent2 6 3 2 3 2 2" xfId="26427" xr:uid="{00000000-0005-0000-0000-0000BF0D0000}"/>
    <cellStyle name="20% - Accent2 6 3 2 3 3" xfId="18244" xr:uid="{00000000-0005-0000-0000-0000C00D0000}"/>
    <cellStyle name="20% - Accent2 6 3 2 4" xfId="921" xr:uid="{00000000-0005-0000-0000-0000C10D0000}"/>
    <cellStyle name="20% - Accent2 6 3 2 4 2" xfId="14721" xr:uid="{00000000-0005-0000-0000-0000C20D0000}"/>
    <cellStyle name="20% - Accent2 6 3 2 4 2 2" xfId="28270" xr:uid="{00000000-0005-0000-0000-0000C30D0000}"/>
    <cellStyle name="20% - Accent2 6 3 2 4 3" xfId="18245" xr:uid="{00000000-0005-0000-0000-0000C40D0000}"/>
    <cellStyle name="20% - Accent2 6 3 2 5" xfId="922" xr:uid="{00000000-0005-0000-0000-0000C50D0000}"/>
    <cellStyle name="20% - Accent2 6 3 2 5 2" xfId="16828" xr:uid="{00000000-0005-0000-0000-0000C60D0000}"/>
    <cellStyle name="20% - Accent2 6 3 2 5 2 2" xfId="30235" xr:uid="{00000000-0005-0000-0000-0000C70D0000}"/>
    <cellStyle name="20% - Accent2 6 3 2 5 3" xfId="18246" xr:uid="{00000000-0005-0000-0000-0000C80D0000}"/>
    <cellStyle name="20% - Accent2 6 3 2 6" xfId="8940" xr:uid="{00000000-0005-0000-0000-0000C90D0000}"/>
    <cellStyle name="20% - Accent2 6 3 2 6 2" xfId="23415" xr:uid="{00000000-0005-0000-0000-0000CA0D0000}"/>
    <cellStyle name="20% - Accent2 6 3 2 7" xfId="18242" xr:uid="{00000000-0005-0000-0000-0000CB0D0000}"/>
    <cellStyle name="20% - Accent2 6 3 3" xfId="923" xr:uid="{00000000-0005-0000-0000-0000CC0D0000}"/>
    <cellStyle name="20% - Accent2 6 3 3 2" xfId="924" xr:uid="{00000000-0005-0000-0000-0000CD0D0000}"/>
    <cellStyle name="20% - Accent2 6 3 3 2 2" xfId="14722" xr:uid="{00000000-0005-0000-0000-0000CE0D0000}"/>
    <cellStyle name="20% - Accent2 6 3 3 2 2 2" xfId="28271" xr:uid="{00000000-0005-0000-0000-0000CF0D0000}"/>
    <cellStyle name="20% - Accent2 6 3 3 2 3" xfId="18248" xr:uid="{00000000-0005-0000-0000-0000D00D0000}"/>
    <cellStyle name="20% - Accent2 6 3 3 3" xfId="10664" xr:uid="{00000000-0005-0000-0000-0000D10D0000}"/>
    <cellStyle name="20% - Accent2 6 3 3 3 2" xfId="24606" xr:uid="{00000000-0005-0000-0000-0000D20D0000}"/>
    <cellStyle name="20% - Accent2 6 3 3 4" xfId="18247" xr:uid="{00000000-0005-0000-0000-0000D30D0000}"/>
    <cellStyle name="20% - Accent2 6 3 4" xfId="925" xr:uid="{00000000-0005-0000-0000-0000D40D0000}"/>
    <cellStyle name="20% - Accent2 6 3 4 2" xfId="12216" xr:uid="{00000000-0005-0000-0000-0000D50D0000}"/>
    <cellStyle name="20% - Accent2 6 3 4 2 2" xfId="25928" xr:uid="{00000000-0005-0000-0000-0000D60D0000}"/>
    <cellStyle name="20% - Accent2 6 3 4 3" xfId="18249" xr:uid="{00000000-0005-0000-0000-0000D70D0000}"/>
    <cellStyle name="20% - Accent2 6 3 5" xfId="926" xr:uid="{00000000-0005-0000-0000-0000D80D0000}"/>
    <cellStyle name="20% - Accent2 6 3 5 2" xfId="12720" xr:uid="{00000000-0005-0000-0000-0000D90D0000}"/>
    <cellStyle name="20% - Accent2 6 3 5 2 2" xfId="26432" xr:uid="{00000000-0005-0000-0000-0000DA0D0000}"/>
    <cellStyle name="20% - Accent2 6 3 5 3" xfId="18250" xr:uid="{00000000-0005-0000-0000-0000DB0D0000}"/>
    <cellStyle name="20% - Accent2 6 3 6" xfId="927" xr:uid="{00000000-0005-0000-0000-0000DC0D0000}"/>
    <cellStyle name="20% - Accent2 6 3 6 2" xfId="13780" xr:uid="{00000000-0005-0000-0000-0000DD0D0000}"/>
    <cellStyle name="20% - Accent2 6 3 6 2 2" xfId="27329" xr:uid="{00000000-0005-0000-0000-0000DE0D0000}"/>
    <cellStyle name="20% - Accent2 6 3 6 3" xfId="18251" xr:uid="{00000000-0005-0000-0000-0000DF0D0000}"/>
    <cellStyle name="20% - Accent2 6 3 7" xfId="928" xr:uid="{00000000-0005-0000-0000-0000E00D0000}"/>
    <cellStyle name="20% - Accent2 6 3 7 2" xfId="14361" xr:uid="{00000000-0005-0000-0000-0000E10D0000}"/>
    <cellStyle name="20% - Accent2 6 3 7 2 2" xfId="27910" xr:uid="{00000000-0005-0000-0000-0000E20D0000}"/>
    <cellStyle name="20% - Accent2 6 3 7 3" xfId="18252" xr:uid="{00000000-0005-0000-0000-0000E30D0000}"/>
    <cellStyle name="20% - Accent2 6 3 8" xfId="929" xr:uid="{00000000-0005-0000-0000-0000E40D0000}"/>
    <cellStyle name="20% - Accent2 6 3 8 2" xfId="14720" xr:uid="{00000000-0005-0000-0000-0000E50D0000}"/>
    <cellStyle name="20% - Accent2 6 3 8 2 2" xfId="28269" xr:uid="{00000000-0005-0000-0000-0000E60D0000}"/>
    <cellStyle name="20% - Accent2 6 3 8 3" xfId="18253" xr:uid="{00000000-0005-0000-0000-0000E70D0000}"/>
    <cellStyle name="20% - Accent2 6 3 9" xfId="930" xr:uid="{00000000-0005-0000-0000-0000E80D0000}"/>
    <cellStyle name="20% - Accent2 6 3 9 2" xfId="16247" xr:uid="{00000000-0005-0000-0000-0000E90D0000}"/>
    <cellStyle name="20% - Accent2 6 3 9 2 2" xfId="29654" xr:uid="{00000000-0005-0000-0000-0000EA0D0000}"/>
    <cellStyle name="20% - Accent2 6 3 9 3" xfId="18254" xr:uid="{00000000-0005-0000-0000-0000EB0D0000}"/>
    <cellStyle name="20% - Accent2 6 4" xfId="931" xr:uid="{00000000-0005-0000-0000-0000EC0D0000}"/>
    <cellStyle name="20% - Accent2 6 4 2" xfId="932" xr:uid="{00000000-0005-0000-0000-0000ED0D0000}"/>
    <cellStyle name="20% - Accent2 6 4 2 2" xfId="10666" xr:uid="{00000000-0005-0000-0000-0000EE0D0000}"/>
    <cellStyle name="20% - Accent2 6 4 2 2 2" xfId="24608" xr:uid="{00000000-0005-0000-0000-0000EF0D0000}"/>
    <cellStyle name="20% - Accent2 6 4 2 3" xfId="18256" xr:uid="{00000000-0005-0000-0000-0000F00D0000}"/>
    <cellStyle name="20% - Accent2 6 4 3" xfId="933" xr:uid="{00000000-0005-0000-0000-0000F10D0000}"/>
    <cellStyle name="20% - Accent2 6 4 3 2" xfId="12742" xr:uid="{00000000-0005-0000-0000-0000F20D0000}"/>
    <cellStyle name="20% - Accent2 6 4 3 2 2" xfId="26454" xr:uid="{00000000-0005-0000-0000-0000F30D0000}"/>
    <cellStyle name="20% - Accent2 6 4 3 3" xfId="18257" xr:uid="{00000000-0005-0000-0000-0000F40D0000}"/>
    <cellStyle name="20% - Accent2 6 4 4" xfId="934" xr:uid="{00000000-0005-0000-0000-0000F50D0000}"/>
    <cellStyle name="20% - Accent2 6 4 4 2" xfId="14723" xr:uid="{00000000-0005-0000-0000-0000F60D0000}"/>
    <cellStyle name="20% - Accent2 6 4 4 2 2" xfId="28272" xr:uid="{00000000-0005-0000-0000-0000F70D0000}"/>
    <cellStyle name="20% - Accent2 6 4 4 3" xfId="18258" xr:uid="{00000000-0005-0000-0000-0000F80D0000}"/>
    <cellStyle name="20% - Accent2 6 4 5" xfId="935" xr:uid="{00000000-0005-0000-0000-0000F90D0000}"/>
    <cellStyle name="20% - Accent2 6 4 5 2" xfId="16539" xr:uid="{00000000-0005-0000-0000-0000FA0D0000}"/>
    <cellStyle name="20% - Accent2 6 4 5 2 2" xfId="29946" xr:uid="{00000000-0005-0000-0000-0000FB0D0000}"/>
    <cellStyle name="20% - Accent2 6 4 5 3" xfId="18259" xr:uid="{00000000-0005-0000-0000-0000FC0D0000}"/>
    <cellStyle name="20% - Accent2 6 4 6" xfId="8941" xr:uid="{00000000-0005-0000-0000-0000FD0D0000}"/>
    <cellStyle name="20% - Accent2 6 4 6 2" xfId="23416" xr:uid="{00000000-0005-0000-0000-0000FE0D0000}"/>
    <cellStyle name="20% - Accent2 6 4 7" xfId="18255" xr:uid="{00000000-0005-0000-0000-0000FF0D0000}"/>
    <cellStyle name="20% - Accent2 6 5" xfId="936" xr:uid="{00000000-0005-0000-0000-0000000E0000}"/>
    <cellStyle name="20% - Accent2 6 5 2" xfId="937" xr:uid="{00000000-0005-0000-0000-0000010E0000}"/>
    <cellStyle name="20% - Accent2 6 5 2 2" xfId="14724" xr:uid="{00000000-0005-0000-0000-0000020E0000}"/>
    <cellStyle name="20% - Accent2 6 5 2 2 2" xfId="28273" xr:uid="{00000000-0005-0000-0000-0000030E0000}"/>
    <cellStyle name="20% - Accent2 6 5 2 3" xfId="18261" xr:uid="{00000000-0005-0000-0000-0000040E0000}"/>
    <cellStyle name="20% - Accent2 6 5 3" xfId="10659" xr:uid="{00000000-0005-0000-0000-0000050E0000}"/>
    <cellStyle name="20% - Accent2 6 5 3 2" xfId="24601" xr:uid="{00000000-0005-0000-0000-0000060E0000}"/>
    <cellStyle name="20% - Accent2 6 5 4" xfId="18260" xr:uid="{00000000-0005-0000-0000-0000070E0000}"/>
    <cellStyle name="20% - Accent2 6 6" xfId="938" xr:uid="{00000000-0005-0000-0000-0000080E0000}"/>
    <cellStyle name="20% - Accent2 6 6 2" xfId="11914" xr:uid="{00000000-0005-0000-0000-0000090E0000}"/>
    <cellStyle name="20% - Accent2 6 6 2 2" xfId="25629" xr:uid="{00000000-0005-0000-0000-00000A0E0000}"/>
    <cellStyle name="20% - Accent2 6 6 3" xfId="18262" xr:uid="{00000000-0005-0000-0000-00000B0E0000}"/>
    <cellStyle name="20% - Accent2 6 7" xfId="939" xr:uid="{00000000-0005-0000-0000-00000C0E0000}"/>
    <cellStyle name="20% - Accent2 6 7 2" xfId="12416" xr:uid="{00000000-0005-0000-0000-00000D0E0000}"/>
    <cellStyle name="20% - Accent2 6 7 2 2" xfId="26128" xr:uid="{00000000-0005-0000-0000-00000E0E0000}"/>
    <cellStyle name="20% - Accent2 6 7 3" xfId="18263" xr:uid="{00000000-0005-0000-0000-00000F0E0000}"/>
    <cellStyle name="20% - Accent2 6 8" xfId="940" xr:uid="{00000000-0005-0000-0000-0000100E0000}"/>
    <cellStyle name="20% - Accent2 6 8 2" xfId="13491" xr:uid="{00000000-0005-0000-0000-0000110E0000}"/>
    <cellStyle name="20% - Accent2 6 8 2 2" xfId="27040" xr:uid="{00000000-0005-0000-0000-0000120E0000}"/>
    <cellStyle name="20% - Accent2 6 8 3" xfId="18264" xr:uid="{00000000-0005-0000-0000-0000130E0000}"/>
    <cellStyle name="20% - Accent2 6 9" xfId="941" xr:uid="{00000000-0005-0000-0000-0000140E0000}"/>
    <cellStyle name="20% - Accent2 6 9 2" xfId="14072" xr:uid="{00000000-0005-0000-0000-0000150E0000}"/>
    <cellStyle name="20% - Accent2 6 9 2 2" xfId="27621" xr:uid="{00000000-0005-0000-0000-0000160E0000}"/>
    <cellStyle name="20% - Accent2 6 9 3" xfId="18265" xr:uid="{00000000-0005-0000-0000-0000170E0000}"/>
    <cellStyle name="20% - Accent2 7" xfId="942" xr:uid="{00000000-0005-0000-0000-0000180E0000}"/>
    <cellStyle name="20% - Accent2 7 10" xfId="943" xr:uid="{00000000-0005-0000-0000-0000190E0000}"/>
    <cellStyle name="20% - Accent2 7 10 2" xfId="15979" xr:uid="{00000000-0005-0000-0000-00001A0E0000}"/>
    <cellStyle name="20% - Accent2 7 10 2 2" xfId="29386" xr:uid="{00000000-0005-0000-0000-00001B0E0000}"/>
    <cellStyle name="20% - Accent2 7 10 3" xfId="18267" xr:uid="{00000000-0005-0000-0000-00001C0E0000}"/>
    <cellStyle name="20% - Accent2 7 11" xfId="8942" xr:uid="{00000000-0005-0000-0000-00001D0E0000}"/>
    <cellStyle name="20% - Accent2 7 11 2" xfId="23417" xr:uid="{00000000-0005-0000-0000-00001E0E0000}"/>
    <cellStyle name="20% - Accent2 7 12" xfId="18266" xr:uid="{00000000-0005-0000-0000-00001F0E0000}"/>
    <cellStyle name="20% - Accent2 7 2" xfId="944" xr:uid="{00000000-0005-0000-0000-0000200E0000}"/>
    <cellStyle name="20% - Accent2 7 2 10" xfId="8943" xr:uid="{00000000-0005-0000-0000-0000210E0000}"/>
    <cellStyle name="20% - Accent2 7 2 10 2" xfId="23418" xr:uid="{00000000-0005-0000-0000-0000220E0000}"/>
    <cellStyle name="20% - Accent2 7 2 11" xfId="18268" xr:uid="{00000000-0005-0000-0000-0000230E0000}"/>
    <cellStyle name="20% - Accent2 7 2 2" xfId="945" xr:uid="{00000000-0005-0000-0000-0000240E0000}"/>
    <cellStyle name="20% - Accent2 7 2 2 2" xfId="946" xr:uid="{00000000-0005-0000-0000-0000250E0000}"/>
    <cellStyle name="20% - Accent2 7 2 2 2 2" xfId="10669" xr:uid="{00000000-0005-0000-0000-0000260E0000}"/>
    <cellStyle name="20% - Accent2 7 2 2 2 2 2" xfId="24611" xr:uid="{00000000-0005-0000-0000-0000270E0000}"/>
    <cellStyle name="20% - Accent2 7 2 2 2 3" xfId="18270" xr:uid="{00000000-0005-0000-0000-0000280E0000}"/>
    <cellStyle name="20% - Accent2 7 2 2 3" xfId="947" xr:uid="{00000000-0005-0000-0000-0000290E0000}"/>
    <cellStyle name="20% - Accent2 7 2 2 3 2" xfId="12472" xr:uid="{00000000-0005-0000-0000-00002A0E0000}"/>
    <cellStyle name="20% - Accent2 7 2 2 3 2 2" xfId="26184" xr:uid="{00000000-0005-0000-0000-00002B0E0000}"/>
    <cellStyle name="20% - Accent2 7 2 2 3 3" xfId="18271" xr:uid="{00000000-0005-0000-0000-00002C0E0000}"/>
    <cellStyle name="20% - Accent2 7 2 2 4" xfId="948" xr:uid="{00000000-0005-0000-0000-00002D0E0000}"/>
    <cellStyle name="20% - Accent2 7 2 2 4 2" xfId="14727" xr:uid="{00000000-0005-0000-0000-00002E0E0000}"/>
    <cellStyle name="20% - Accent2 7 2 2 4 2 2" xfId="28276" xr:uid="{00000000-0005-0000-0000-00002F0E0000}"/>
    <cellStyle name="20% - Accent2 7 2 2 4 3" xfId="18272" xr:uid="{00000000-0005-0000-0000-0000300E0000}"/>
    <cellStyle name="20% - Accent2 7 2 2 5" xfId="949" xr:uid="{00000000-0005-0000-0000-0000310E0000}"/>
    <cellStyle name="20% - Accent2 7 2 2 5 2" xfId="16849" xr:uid="{00000000-0005-0000-0000-0000320E0000}"/>
    <cellStyle name="20% - Accent2 7 2 2 5 2 2" xfId="30256" xr:uid="{00000000-0005-0000-0000-0000330E0000}"/>
    <cellStyle name="20% - Accent2 7 2 2 5 3" xfId="18273" xr:uid="{00000000-0005-0000-0000-0000340E0000}"/>
    <cellStyle name="20% - Accent2 7 2 2 6" xfId="8944" xr:uid="{00000000-0005-0000-0000-0000350E0000}"/>
    <cellStyle name="20% - Accent2 7 2 2 6 2" xfId="23419" xr:uid="{00000000-0005-0000-0000-0000360E0000}"/>
    <cellStyle name="20% - Accent2 7 2 2 7" xfId="18269" xr:uid="{00000000-0005-0000-0000-0000370E0000}"/>
    <cellStyle name="20% - Accent2 7 2 3" xfId="950" xr:uid="{00000000-0005-0000-0000-0000380E0000}"/>
    <cellStyle name="20% - Accent2 7 2 3 2" xfId="951" xr:uid="{00000000-0005-0000-0000-0000390E0000}"/>
    <cellStyle name="20% - Accent2 7 2 3 2 2" xfId="14728" xr:uid="{00000000-0005-0000-0000-00003A0E0000}"/>
    <cellStyle name="20% - Accent2 7 2 3 2 2 2" xfId="28277" xr:uid="{00000000-0005-0000-0000-00003B0E0000}"/>
    <cellStyle name="20% - Accent2 7 2 3 2 3" xfId="18275" xr:uid="{00000000-0005-0000-0000-00003C0E0000}"/>
    <cellStyle name="20% - Accent2 7 2 3 3" xfId="10668" xr:uid="{00000000-0005-0000-0000-00003D0E0000}"/>
    <cellStyle name="20% - Accent2 7 2 3 3 2" xfId="24610" xr:uid="{00000000-0005-0000-0000-00003E0E0000}"/>
    <cellStyle name="20% - Accent2 7 2 3 4" xfId="18274" xr:uid="{00000000-0005-0000-0000-00003F0E0000}"/>
    <cellStyle name="20% - Accent2 7 2 4" xfId="952" xr:uid="{00000000-0005-0000-0000-0000400E0000}"/>
    <cellStyle name="20% - Accent2 7 2 4 2" xfId="12237" xr:uid="{00000000-0005-0000-0000-0000410E0000}"/>
    <cellStyle name="20% - Accent2 7 2 4 2 2" xfId="25949" xr:uid="{00000000-0005-0000-0000-0000420E0000}"/>
    <cellStyle name="20% - Accent2 7 2 4 3" xfId="18276" xr:uid="{00000000-0005-0000-0000-0000430E0000}"/>
    <cellStyle name="20% - Accent2 7 2 5" xfId="953" xr:uid="{00000000-0005-0000-0000-0000440E0000}"/>
    <cellStyle name="20% - Accent2 7 2 5 2" xfId="11833" xr:uid="{00000000-0005-0000-0000-0000450E0000}"/>
    <cellStyle name="20% - Accent2 7 2 5 2 2" xfId="25548" xr:uid="{00000000-0005-0000-0000-0000460E0000}"/>
    <cellStyle name="20% - Accent2 7 2 5 3" xfId="18277" xr:uid="{00000000-0005-0000-0000-0000470E0000}"/>
    <cellStyle name="20% - Accent2 7 2 6" xfId="954" xr:uid="{00000000-0005-0000-0000-0000480E0000}"/>
    <cellStyle name="20% - Accent2 7 2 6 2" xfId="13801" xr:uid="{00000000-0005-0000-0000-0000490E0000}"/>
    <cellStyle name="20% - Accent2 7 2 6 2 2" xfId="27350" xr:uid="{00000000-0005-0000-0000-00004A0E0000}"/>
    <cellStyle name="20% - Accent2 7 2 6 3" xfId="18278" xr:uid="{00000000-0005-0000-0000-00004B0E0000}"/>
    <cellStyle name="20% - Accent2 7 2 7" xfId="955" xr:uid="{00000000-0005-0000-0000-00004C0E0000}"/>
    <cellStyle name="20% - Accent2 7 2 7 2" xfId="14382" xr:uid="{00000000-0005-0000-0000-00004D0E0000}"/>
    <cellStyle name="20% - Accent2 7 2 7 2 2" xfId="27931" xr:uid="{00000000-0005-0000-0000-00004E0E0000}"/>
    <cellStyle name="20% - Accent2 7 2 7 3" xfId="18279" xr:uid="{00000000-0005-0000-0000-00004F0E0000}"/>
    <cellStyle name="20% - Accent2 7 2 8" xfId="956" xr:uid="{00000000-0005-0000-0000-0000500E0000}"/>
    <cellStyle name="20% - Accent2 7 2 8 2" xfId="14726" xr:uid="{00000000-0005-0000-0000-0000510E0000}"/>
    <cellStyle name="20% - Accent2 7 2 8 2 2" xfId="28275" xr:uid="{00000000-0005-0000-0000-0000520E0000}"/>
    <cellStyle name="20% - Accent2 7 2 8 3" xfId="18280" xr:uid="{00000000-0005-0000-0000-0000530E0000}"/>
    <cellStyle name="20% - Accent2 7 2 9" xfId="957" xr:uid="{00000000-0005-0000-0000-0000540E0000}"/>
    <cellStyle name="20% - Accent2 7 2 9 2" xfId="16268" xr:uid="{00000000-0005-0000-0000-0000550E0000}"/>
    <cellStyle name="20% - Accent2 7 2 9 2 2" xfId="29675" xr:uid="{00000000-0005-0000-0000-0000560E0000}"/>
    <cellStyle name="20% - Accent2 7 2 9 3" xfId="18281" xr:uid="{00000000-0005-0000-0000-0000570E0000}"/>
    <cellStyle name="20% - Accent2 7 3" xfId="958" xr:uid="{00000000-0005-0000-0000-0000580E0000}"/>
    <cellStyle name="20% - Accent2 7 3 2" xfId="959" xr:uid="{00000000-0005-0000-0000-0000590E0000}"/>
    <cellStyle name="20% - Accent2 7 3 2 2" xfId="10670" xr:uid="{00000000-0005-0000-0000-00005A0E0000}"/>
    <cellStyle name="20% - Accent2 7 3 2 2 2" xfId="24612" xr:uid="{00000000-0005-0000-0000-00005B0E0000}"/>
    <cellStyle name="20% - Accent2 7 3 2 3" xfId="18283" xr:uid="{00000000-0005-0000-0000-00005C0E0000}"/>
    <cellStyle name="20% - Accent2 7 3 3" xfId="960" xr:uid="{00000000-0005-0000-0000-00005D0E0000}"/>
    <cellStyle name="20% - Accent2 7 3 3 2" xfId="12593" xr:uid="{00000000-0005-0000-0000-00005E0E0000}"/>
    <cellStyle name="20% - Accent2 7 3 3 2 2" xfId="26305" xr:uid="{00000000-0005-0000-0000-00005F0E0000}"/>
    <cellStyle name="20% - Accent2 7 3 3 3" xfId="18284" xr:uid="{00000000-0005-0000-0000-0000600E0000}"/>
    <cellStyle name="20% - Accent2 7 3 4" xfId="961" xr:uid="{00000000-0005-0000-0000-0000610E0000}"/>
    <cellStyle name="20% - Accent2 7 3 4 2" xfId="14729" xr:uid="{00000000-0005-0000-0000-0000620E0000}"/>
    <cellStyle name="20% - Accent2 7 3 4 2 2" xfId="28278" xr:uid="{00000000-0005-0000-0000-0000630E0000}"/>
    <cellStyle name="20% - Accent2 7 3 4 3" xfId="18285" xr:uid="{00000000-0005-0000-0000-0000640E0000}"/>
    <cellStyle name="20% - Accent2 7 3 5" xfId="962" xr:uid="{00000000-0005-0000-0000-0000650E0000}"/>
    <cellStyle name="20% - Accent2 7 3 5 2" xfId="16560" xr:uid="{00000000-0005-0000-0000-0000660E0000}"/>
    <cellStyle name="20% - Accent2 7 3 5 2 2" xfId="29967" xr:uid="{00000000-0005-0000-0000-0000670E0000}"/>
    <cellStyle name="20% - Accent2 7 3 5 3" xfId="18286" xr:uid="{00000000-0005-0000-0000-0000680E0000}"/>
    <cellStyle name="20% - Accent2 7 3 6" xfId="8945" xr:uid="{00000000-0005-0000-0000-0000690E0000}"/>
    <cellStyle name="20% - Accent2 7 3 6 2" xfId="23420" xr:uid="{00000000-0005-0000-0000-00006A0E0000}"/>
    <cellStyle name="20% - Accent2 7 3 7" xfId="18282" xr:uid="{00000000-0005-0000-0000-00006B0E0000}"/>
    <cellStyle name="20% - Accent2 7 4" xfId="963" xr:uid="{00000000-0005-0000-0000-00006C0E0000}"/>
    <cellStyle name="20% - Accent2 7 4 2" xfId="964" xr:uid="{00000000-0005-0000-0000-00006D0E0000}"/>
    <cellStyle name="20% - Accent2 7 4 2 2" xfId="14730" xr:uid="{00000000-0005-0000-0000-00006E0E0000}"/>
    <cellStyle name="20% - Accent2 7 4 2 2 2" xfId="28279" xr:uid="{00000000-0005-0000-0000-00006F0E0000}"/>
    <cellStyle name="20% - Accent2 7 4 2 3" xfId="18288" xr:uid="{00000000-0005-0000-0000-0000700E0000}"/>
    <cellStyle name="20% - Accent2 7 4 3" xfId="10667" xr:uid="{00000000-0005-0000-0000-0000710E0000}"/>
    <cellStyle name="20% - Accent2 7 4 3 2" xfId="24609" xr:uid="{00000000-0005-0000-0000-0000720E0000}"/>
    <cellStyle name="20% - Accent2 7 4 4" xfId="18287" xr:uid="{00000000-0005-0000-0000-0000730E0000}"/>
    <cellStyle name="20% - Accent2 7 5" xfId="965" xr:uid="{00000000-0005-0000-0000-0000740E0000}"/>
    <cellStyle name="20% - Accent2 7 5 2" xfId="11935" xr:uid="{00000000-0005-0000-0000-0000750E0000}"/>
    <cellStyle name="20% - Accent2 7 5 2 2" xfId="25650" xr:uid="{00000000-0005-0000-0000-0000760E0000}"/>
    <cellStyle name="20% - Accent2 7 5 3" xfId="18289" xr:uid="{00000000-0005-0000-0000-0000770E0000}"/>
    <cellStyle name="20% - Accent2 7 6" xfId="966" xr:uid="{00000000-0005-0000-0000-0000780E0000}"/>
    <cellStyle name="20% - Accent2 7 6 2" xfId="12575" xr:uid="{00000000-0005-0000-0000-0000790E0000}"/>
    <cellStyle name="20% - Accent2 7 6 2 2" xfId="26287" xr:uid="{00000000-0005-0000-0000-00007A0E0000}"/>
    <cellStyle name="20% - Accent2 7 6 3" xfId="18290" xr:uid="{00000000-0005-0000-0000-00007B0E0000}"/>
    <cellStyle name="20% - Accent2 7 7" xfId="967" xr:uid="{00000000-0005-0000-0000-00007C0E0000}"/>
    <cellStyle name="20% - Accent2 7 7 2" xfId="13512" xr:uid="{00000000-0005-0000-0000-00007D0E0000}"/>
    <cellStyle name="20% - Accent2 7 7 2 2" xfId="27061" xr:uid="{00000000-0005-0000-0000-00007E0E0000}"/>
    <cellStyle name="20% - Accent2 7 7 3" xfId="18291" xr:uid="{00000000-0005-0000-0000-00007F0E0000}"/>
    <cellStyle name="20% - Accent2 7 8" xfId="968" xr:uid="{00000000-0005-0000-0000-0000800E0000}"/>
    <cellStyle name="20% - Accent2 7 8 2" xfId="14093" xr:uid="{00000000-0005-0000-0000-0000810E0000}"/>
    <cellStyle name="20% - Accent2 7 8 2 2" xfId="27642" xr:uid="{00000000-0005-0000-0000-0000820E0000}"/>
    <cellStyle name="20% - Accent2 7 8 3" xfId="18292" xr:uid="{00000000-0005-0000-0000-0000830E0000}"/>
    <cellStyle name="20% - Accent2 7 9" xfId="969" xr:uid="{00000000-0005-0000-0000-0000840E0000}"/>
    <cellStyle name="20% - Accent2 7 9 2" xfId="14725" xr:uid="{00000000-0005-0000-0000-0000850E0000}"/>
    <cellStyle name="20% - Accent2 7 9 2 2" xfId="28274" xr:uid="{00000000-0005-0000-0000-0000860E0000}"/>
    <cellStyle name="20% - Accent2 7 9 3" xfId="18293" xr:uid="{00000000-0005-0000-0000-0000870E0000}"/>
    <cellStyle name="20% - Accent2 8" xfId="970" xr:uid="{00000000-0005-0000-0000-0000880E0000}"/>
    <cellStyle name="20% - Accent2 8 10" xfId="8946" xr:uid="{00000000-0005-0000-0000-0000890E0000}"/>
    <cellStyle name="20% - Accent2 8 10 2" xfId="23421" xr:uid="{00000000-0005-0000-0000-00008A0E0000}"/>
    <cellStyle name="20% - Accent2 8 11" xfId="18294" xr:uid="{00000000-0005-0000-0000-00008B0E0000}"/>
    <cellStyle name="20% - Accent2 8 2" xfId="971" xr:uid="{00000000-0005-0000-0000-00008C0E0000}"/>
    <cellStyle name="20% - Accent2 8 2 2" xfId="972" xr:uid="{00000000-0005-0000-0000-00008D0E0000}"/>
    <cellStyle name="20% - Accent2 8 2 2 2" xfId="10672" xr:uid="{00000000-0005-0000-0000-00008E0E0000}"/>
    <cellStyle name="20% - Accent2 8 2 2 2 2" xfId="24614" xr:uid="{00000000-0005-0000-0000-00008F0E0000}"/>
    <cellStyle name="20% - Accent2 8 2 2 3" xfId="18296" xr:uid="{00000000-0005-0000-0000-0000900E0000}"/>
    <cellStyle name="20% - Accent2 8 2 3" xfId="973" xr:uid="{00000000-0005-0000-0000-0000910E0000}"/>
    <cellStyle name="20% - Accent2 8 2 3 2" xfId="12786" xr:uid="{00000000-0005-0000-0000-0000920E0000}"/>
    <cellStyle name="20% - Accent2 8 2 3 2 2" xfId="26498" xr:uid="{00000000-0005-0000-0000-0000930E0000}"/>
    <cellStyle name="20% - Accent2 8 2 3 3" xfId="18297" xr:uid="{00000000-0005-0000-0000-0000940E0000}"/>
    <cellStyle name="20% - Accent2 8 2 4" xfId="974" xr:uid="{00000000-0005-0000-0000-0000950E0000}"/>
    <cellStyle name="20% - Accent2 8 2 4 2" xfId="14732" xr:uid="{00000000-0005-0000-0000-0000960E0000}"/>
    <cellStyle name="20% - Accent2 8 2 4 2 2" xfId="28281" xr:uid="{00000000-0005-0000-0000-0000970E0000}"/>
    <cellStyle name="20% - Accent2 8 2 4 3" xfId="18298" xr:uid="{00000000-0005-0000-0000-0000980E0000}"/>
    <cellStyle name="20% - Accent2 8 2 5" xfId="975" xr:uid="{00000000-0005-0000-0000-0000990E0000}"/>
    <cellStyle name="20% - Accent2 8 2 5 2" xfId="16702" xr:uid="{00000000-0005-0000-0000-00009A0E0000}"/>
    <cellStyle name="20% - Accent2 8 2 5 2 2" xfId="30109" xr:uid="{00000000-0005-0000-0000-00009B0E0000}"/>
    <cellStyle name="20% - Accent2 8 2 5 3" xfId="18299" xr:uid="{00000000-0005-0000-0000-00009C0E0000}"/>
    <cellStyle name="20% - Accent2 8 2 6" xfId="8947" xr:uid="{00000000-0005-0000-0000-00009D0E0000}"/>
    <cellStyle name="20% - Accent2 8 2 6 2" xfId="23422" xr:uid="{00000000-0005-0000-0000-00009E0E0000}"/>
    <cellStyle name="20% - Accent2 8 2 7" xfId="18295" xr:uid="{00000000-0005-0000-0000-00009F0E0000}"/>
    <cellStyle name="20% - Accent2 8 3" xfId="976" xr:uid="{00000000-0005-0000-0000-0000A00E0000}"/>
    <cellStyle name="20% - Accent2 8 3 2" xfId="977" xr:uid="{00000000-0005-0000-0000-0000A10E0000}"/>
    <cellStyle name="20% - Accent2 8 3 2 2" xfId="14733" xr:uid="{00000000-0005-0000-0000-0000A20E0000}"/>
    <cellStyle name="20% - Accent2 8 3 2 2 2" xfId="28282" xr:uid="{00000000-0005-0000-0000-0000A30E0000}"/>
    <cellStyle name="20% - Accent2 8 3 2 3" xfId="18301" xr:uid="{00000000-0005-0000-0000-0000A40E0000}"/>
    <cellStyle name="20% - Accent2 8 3 3" xfId="10671" xr:uid="{00000000-0005-0000-0000-0000A50E0000}"/>
    <cellStyle name="20% - Accent2 8 3 3 2" xfId="24613" xr:uid="{00000000-0005-0000-0000-0000A60E0000}"/>
    <cellStyle name="20% - Accent2 8 3 4" xfId="18300" xr:uid="{00000000-0005-0000-0000-0000A70E0000}"/>
    <cellStyle name="20% - Accent2 8 4" xfId="978" xr:uid="{00000000-0005-0000-0000-0000A80E0000}"/>
    <cellStyle name="20% - Accent2 8 4 2" xfId="12080" xr:uid="{00000000-0005-0000-0000-0000A90E0000}"/>
    <cellStyle name="20% - Accent2 8 4 2 2" xfId="25794" xr:uid="{00000000-0005-0000-0000-0000AA0E0000}"/>
    <cellStyle name="20% - Accent2 8 4 3" xfId="18302" xr:uid="{00000000-0005-0000-0000-0000AB0E0000}"/>
    <cellStyle name="20% - Accent2 8 5" xfId="979" xr:uid="{00000000-0005-0000-0000-0000AC0E0000}"/>
    <cellStyle name="20% - Accent2 8 5 2" xfId="12529" xr:uid="{00000000-0005-0000-0000-0000AD0E0000}"/>
    <cellStyle name="20% - Accent2 8 5 2 2" xfId="26241" xr:uid="{00000000-0005-0000-0000-0000AE0E0000}"/>
    <cellStyle name="20% - Accent2 8 5 3" xfId="18303" xr:uid="{00000000-0005-0000-0000-0000AF0E0000}"/>
    <cellStyle name="20% - Accent2 8 6" xfId="980" xr:uid="{00000000-0005-0000-0000-0000B00E0000}"/>
    <cellStyle name="20% - Accent2 8 6 2" xfId="13654" xr:uid="{00000000-0005-0000-0000-0000B10E0000}"/>
    <cellStyle name="20% - Accent2 8 6 2 2" xfId="27203" xr:uid="{00000000-0005-0000-0000-0000B20E0000}"/>
    <cellStyle name="20% - Accent2 8 6 3" xfId="18304" xr:uid="{00000000-0005-0000-0000-0000B30E0000}"/>
    <cellStyle name="20% - Accent2 8 7" xfId="981" xr:uid="{00000000-0005-0000-0000-0000B40E0000}"/>
    <cellStyle name="20% - Accent2 8 7 2" xfId="14235" xr:uid="{00000000-0005-0000-0000-0000B50E0000}"/>
    <cellStyle name="20% - Accent2 8 7 2 2" xfId="27784" xr:uid="{00000000-0005-0000-0000-0000B60E0000}"/>
    <cellStyle name="20% - Accent2 8 7 3" xfId="18305" xr:uid="{00000000-0005-0000-0000-0000B70E0000}"/>
    <cellStyle name="20% - Accent2 8 8" xfId="982" xr:uid="{00000000-0005-0000-0000-0000B80E0000}"/>
    <cellStyle name="20% - Accent2 8 8 2" xfId="14731" xr:uid="{00000000-0005-0000-0000-0000B90E0000}"/>
    <cellStyle name="20% - Accent2 8 8 2 2" xfId="28280" xr:uid="{00000000-0005-0000-0000-0000BA0E0000}"/>
    <cellStyle name="20% - Accent2 8 8 3" xfId="18306" xr:uid="{00000000-0005-0000-0000-0000BB0E0000}"/>
    <cellStyle name="20% - Accent2 8 9" xfId="983" xr:uid="{00000000-0005-0000-0000-0000BC0E0000}"/>
    <cellStyle name="20% - Accent2 8 9 2" xfId="16121" xr:uid="{00000000-0005-0000-0000-0000BD0E0000}"/>
    <cellStyle name="20% - Accent2 8 9 2 2" xfId="29528" xr:uid="{00000000-0005-0000-0000-0000BE0E0000}"/>
    <cellStyle name="20% - Accent2 8 9 3" xfId="18307" xr:uid="{00000000-0005-0000-0000-0000BF0E0000}"/>
    <cellStyle name="20% - Accent2 9" xfId="984" xr:uid="{00000000-0005-0000-0000-0000C00E0000}"/>
    <cellStyle name="20% - Accent2 9 2" xfId="985" xr:uid="{00000000-0005-0000-0000-0000C10E0000}"/>
    <cellStyle name="20% - Accent2 9 2 2" xfId="10673" xr:uid="{00000000-0005-0000-0000-0000C20E0000}"/>
    <cellStyle name="20% - Accent2 9 2 2 2" xfId="24615" xr:uid="{00000000-0005-0000-0000-0000C30E0000}"/>
    <cellStyle name="20% - Accent2 9 2 3" xfId="18309" xr:uid="{00000000-0005-0000-0000-0000C40E0000}"/>
    <cellStyle name="20% - Accent2 9 3" xfId="986" xr:uid="{00000000-0005-0000-0000-0000C50E0000}"/>
    <cellStyle name="20% - Accent2 9 3 2" xfId="12601" xr:uid="{00000000-0005-0000-0000-0000C60E0000}"/>
    <cellStyle name="20% - Accent2 9 3 2 2" xfId="26313" xr:uid="{00000000-0005-0000-0000-0000C70E0000}"/>
    <cellStyle name="20% - Accent2 9 3 3" xfId="18310" xr:uid="{00000000-0005-0000-0000-0000C80E0000}"/>
    <cellStyle name="20% - Accent2 9 4" xfId="987" xr:uid="{00000000-0005-0000-0000-0000C90E0000}"/>
    <cellStyle name="20% - Accent2 9 4 2" xfId="14734" xr:uid="{00000000-0005-0000-0000-0000CA0E0000}"/>
    <cellStyle name="20% - Accent2 9 4 2 2" xfId="28283" xr:uid="{00000000-0005-0000-0000-0000CB0E0000}"/>
    <cellStyle name="20% - Accent2 9 4 3" xfId="18311" xr:uid="{00000000-0005-0000-0000-0000CC0E0000}"/>
    <cellStyle name="20% - Accent2 9 5" xfId="988" xr:uid="{00000000-0005-0000-0000-0000CD0E0000}"/>
    <cellStyle name="20% - Accent2 9 5 2" xfId="17086" xr:uid="{00000000-0005-0000-0000-0000CE0E0000}"/>
    <cellStyle name="20% - Accent2 9 5 2 2" xfId="30445" xr:uid="{00000000-0005-0000-0000-0000CF0E0000}"/>
    <cellStyle name="20% - Accent2 9 5 3" xfId="18312" xr:uid="{00000000-0005-0000-0000-0000D00E0000}"/>
    <cellStyle name="20% - Accent2 9 6" xfId="8948" xr:uid="{00000000-0005-0000-0000-0000D10E0000}"/>
    <cellStyle name="20% - Accent2 9 6 2" xfId="23423" xr:uid="{00000000-0005-0000-0000-0000D20E0000}"/>
    <cellStyle name="20% - Accent2 9 7" xfId="18308" xr:uid="{00000000-0005-0000-0000-0000D30E0000}"/>
    <cellStyle name="20% - Accent3" xfId="26" builtinId="38" customBuiltin="1"/>
    <cellStyle name="20% - Accent3 10" xfId="989" xr:uid="{00000000-0005-0000-0000-0000D50E0000}"/>
    <cellStyle name="20% - Accent3 10 2" xfId="990" xr:uid="{00000000-0005-0000-0000-0000D60E0000}"/>
    <cellStyle name="20% - Accent3 10 2 2" xfId="991" xr:uid="{00000000-0005-0000-0000-0000D70E0000}"/>
    <cellStyle name="20% - Accent3 10 2 2 2" xfId="12446" xr:uid="{00000000-0005-0000-0000-0000D80E0000}"/>
    <cellStyle name="20% - Accent3 10 2 2 2 2" xfId="26158" xr:uid="{00000000-0005-0000-0000-0000D90E0000}"/>
    <cellStyle name="20% - Accent3 10 2 2 3" xfId="18315" xr:uid="{00000000-0005-0000-0000-0000DA0E0000}"/>
    <cellStyle name="20% - Accent3 10 2 3" xfId="992" xr:uid="{00000000-0005-0000-0000-0000DB0E0000}"/>
    <cellStyle name="20% - Accent3 10 2 3 2" xfId="14737" xr:uid="{00000000-0005-0000-0000-0000DC0E0000}"/>
    <cellStyle name="20% - Accent3 10 2 3 2 2" xfId="28286" xr:uid="{00000000-0005-0000-0000-0000DD0E0000}"/>
    <cellStyle name="20% - Accent3 10 2 3 3" xfId="18316" xr:uid="{00000000-0005-0000-0000-0000DE0E0000}"/>
    <cellStyle name="20% - Accent3 10 2 4" xfId="10675" xr:uid="{00000000-0005-0000-0000-0000DF0E0000}"/>
    <cellStyle name="20% - Accent3 10 2 4 2" xfId="24617" xr:uid="{00000000-0005-0000-0000-0000E00E0000}"/>
    <cellStyle name="20% - Accent3 10 2 5" xfId="18314" xr:uid="{00000000-0005-0000-0000-0000E10E0000}"/>
    <cellStyle name="20% - Accent3 10 3" xfId="993" xr:uid="{00000000-0005-0000-0000-0000E20E0000}"/>
    <cellStyle name="20% - Accent3 10 3 2" xfId="12655" xr:uid="{00000000-0005-0000-0000-0000E30E0000}"/>
    <cellStyle name="20% - Accent3 10 3 2 2" xfId="26367" xr:uid="{00000000-0005-0000-0000-0000E40E0000}"/>
    <cellStyle name="20% - Accent3 10 3 3" xfId="18317" xr:uid="{00000000-0005-0000-0000-0000E50E0000}"/>
    <cellStyle name="20% - Accent3 10 4" xfId="994" xr:uid="{00000000-0005-0000-0000-0000E60E0000}"/>
    <cellStyle name="20% - Accent3 10 4 2" xfId="14736" xr:uid="{00000000-0005-0000-0000-0000E70E0000}"/>
    <cellStyle name="20% - Accent3 10 4 2 2" xfId="28285" xr:uid="{00000000-0005-0000-0000-0000E80E0000}"/>
    <cellStyle name="20% - Accent3 10 4 3" xfId="18318" xr:uid="{00000000-0005-0000-0000-0000E90E0000}"/>
    <cellStyle name="20% - Accent3 10 5" xfId="995" xr:uid="{00000000-0005-0000-0000-0000EA0E0000}"/>
    <cellStyle name="20% - Accent3 10 5 2" xfId="17176" xr:uid="{00000000-0005-0000-0000-0000EB0E0000}"/>
    <cellStyle name="20% - Accent3 10 5 2 2" xfId="30535" xr:uid="{00000000-0005-0000-0000-0000EC0E0000}"/>
    <cellStyle name="20% - Accent3 10 5 3" xfId="18319" xr:uid="{00000000-0005-0000-0000-0000ED0E0000}"/>
    <cellStyle name="20% - Accent3 10 6" xfId="8950" xr:uid="{00000000-0005-0000-0000-0000EE0E0000}"/>
    <cellStyle name="20% - Accent3 10 6 2" xfId="23425" xr:uid="{00000000-0005-0000-0000-0000EF0E0000}"/>
    <cellStyle name="20% - Accent3 10 7" xfId="18313" xr:uid="{00000000-0005-0000-0000-0000F00E0000}"/>
    <cellStyle name="20% - Accent3 11" xfId="996" xr:uid="{00000000-0005-0000-0000-0000F10E0000}"/>
    <cellStyle name="20% - Accent3 11 2" xfId="997" xr:uid="{00000000-0005-0000-0000-0000F20E0000}"/>
    <cellStyle name="20% - Accent3 11 2 2" xfId="10676" xr:uid="{00000000-0005-0000-0000-0000F30E0000}"/>
    <cellStyle name="20% - Accent3 11 2 2 2" xfId="24618" xr:uid="{00000000-0005-0000-0000-0000F40E0000}"/>
    <cellStyle name="20% - Accent3 11 2 3" xfId="18321" xr:uid="{00000000-0005-0000-0000-0000F50E0000}"/>
    <cellStyle name="20% - Accent3 11 3" xfId="998" xr:uid="{00000000-0005-0000-0000-0000F60E0000}"/>
    <cellStyle name="20% - Accent3 11 3 2" xfId="12788" xr:uid="{00000000-0005-0000-0000-0000F70E0000}"/>
    <cellStyle name="20% - Accent3 11 3 2 2" xfId="26500" xr:uid="{00000000-0005-0000-0000-0000F80E0000}"/>
    <cellStyle name="20% - Accent3 11 3 3" xfId="18322" xr:uid="{00000000-0005-0000-0000-0000F90E0000}"/>
    <cellStyle name="20% - Accent3 11 4" xfId="999" xr:uid="{00000000-0005-0000-0000-0000FA0E0000}"/>
    <cellStyle name="20% - Accent3 11 4 2" xfId="14738" xr:uid="{00000000-0005-0000-0000-0000FB0E0000}"/>
    <cellStyle name="20% - Accent3 11 4 2 2" xfId="28287" xr:uid="{00000000-0005-0000-0000-0000FC0E0000}"/>
    <cellStyle name="20% - Accent3 11 4 3" xfId="18323" xr:uid="{00000000-0005-0000-0000-0000FD0E0000}"/>
    <cellStyle name="20% - Accent3 11 5" xfId="1000" xr:uid="{00000000-0005-0000-0000-0000FE0E0000}"/>
    <cellStyle name="20% - Accent3 11 5 2" xfId="17265" xr:uid="{00000000-0005-0000-0000-0000FF0E0000}"/>
    <cellStyle name="20% - Accent3 11 5 2 2" xfId="30624" xr:uid="{00000000-0005-0000-0000-0000000F0000}"/>
    <cellStyle name="20% - Accent3 11 5 3" xfId="18324" xr:uid="{00000000-0005-0000-0000-0000010F0000}"/>
    <cellStyle name="20% - Accent3 11 6" xfId="8951" xr:uid="{00000000-0005-0000-0000-0000020F0000}"/>
    <cellStyle name="20% - Accent3 11 6 2" xfId="23426" xr:uid="{00000000-0005-0000-0000-0000030F0000}"/>
    <cellStyle name="20% - Accent3 11 7" xfId="18320" xr:uid="{00000000-0005-0000-0000-0000040F0000}"/>
    <cellStyle name="20% - Accent3 12" xfId="1001" xr:uid="{00000000-0005-0000-0000-0000050F0000}"/>
    <cellStyle name="20% - Accent3 12 2" xfId="1002" xr:uid="{00000000-0005-0000-0000-0000060F0000}"/>
    <cellStyle name="20% - Accent3 12 2 2" xfId="1003" xr:uid="{00000000-0005-0000-0000-0000070F0000}"/>
    <cellStyle name="20% - Accent3 12 2 2 2" xfId="10678" xr:uid="{00000000-0005-0000-0000-0000080F0000}"/>
    <cellStyle name="20% - Accent3 12 2 2 2 2" xfId="24620" xr:uid="{00000000-0005-0000-0000-0000090F0000}"/>
    <cellStyle name="20% - Accent3 12 2 2 3" xfId="18327" xr:uid="{00000000-0005-0000-0000-00000A0F0000}"/>
    <cellStyle name="20% - Accent3 12 2 3" xfId="1004" xr:uid="{00000000-0005-0000-0000-00000B0F0000}"/>
    <cellStyle name="20% - Accent3 12 2 3 2" xfId="12617" xr:uid="{00000000-0005-0000-0000-00000C0F0000}"/>
    <cellStyle name="20% - Accent3 12 2 3 2 2" xfId="26329" xr:uid="{00000000-0005-0000-0000-00000D0F0000}"/>
    <cellStyle name="20% - Accent3 12 2 3 3" xfId="18328" xr:uid="{00000000-0005-0000-0000-00000E0F0000}"/>
    <cellStyle name="20% - Accent3 12 2 4" xfId="1005" xr:uid="{00000000-0005-0000-0000-00000F0F0000}"/>
    <cellStyle name="20% - Accent3 12 2 4 2" xfId="14740" xr:uid="{00000000-0005-0000-0000-0000100F0000}"/>
    <cellStyle name="20% - Accent3 12 2 4 2 2" xfId="28289" xr:uid="{00000000-0005-0000-0000-0000110F0000}"/>
    <cellStyle name="20% - Accent3 12 2 4 3" xfId="18329" xr:uid="{00000000-0005-0000-0000-0000120F0000}"/>
    <cellStyle name="20% - Accent3 12 2 5" xfId="8953" xr:uid="{00000000-0005-0000-0000-0000130F0000}"/>
    <cellStyle name="20% - Accent3 12 2 5 2" xfId="23428" xr:uid="{00000000-0005-0000-0000-0000140F0000}"/>
    <cellStyle name="20% - Accent3 12 2 6" xfId="18326" xr:uid="{00000000-0005-0000-0000-0000150F0000}"/>
    <cellStyle name="20% - Accent3 12 3" xfId="1006" xr:uid="{00000000-0005-0000-0000-0000160F0000}"/>
    <cellStyle name="20% - Accent3 12 3 2" xfId="10677" xr:uid="{00000000-0005-0000-0000-0000170F0000}"/>
    <cellStyle name="20% - Accent3 12 3 2 2" xfId="24619" xr:uid="{00000000-0005-0000-0000-0000180F0000}"/>
    <cellStyle name="20% - Accent3 12 3 3" xfId="18330" xr:uid="{00000000-0005-0000-0000-0000190F0000}"/>
    <cellStyle name="20% - Accent3 12 4" xfId="1007" xr:uid="{00000000-0005-0000-0000-00001A0F0000}"/>
    <cellStyle name="20% - Accent3 12 4 2" xfId="12743" xr:uid="{00000000-0005-0000-0000-00001B0F0000}"/>
    <cellStyle name="20% - Accent3 12 4 2 2" xfId="26455" xr:uid="{00000000-0005-0000-0000-00001C0F0000}"/>
    <cellStyle name="20% - Accent3 12 4 3" xfId="18331" xr:uid="{00000000-0005-0000-0000-00001D0F0000}"/>
    <cellStyle name="20% - Accent3 12 5" xfId="1008" xr:uid="{00000000-0005-0000-0000-00001E0F0000}"/>
    <cellStyle name="20% - Accent3 12 5 2" xfId="14739" xr:uid="{00000000-0005-0000-0000-00001F0F0000}"/>
    <cellStyle name="20% - Accent3 12 5 2 2" xfId="28288" xr:uid="{00000000-0005-0000-0000-0000200F0000}"/>
    <cellStyle name="20% - Accent3 12 5 3" xfId="18332" xr:uid="{00000000-0005-0000-0000-0000210F0000}"/>
    <cellStyle name="20% - Accent3 12 6" xfId="1009" xr:uid="{00000000-0005-0000-0000-0000220F0000}"/>
    <cellStyle name="20% - Accent3 12 6 2" xfId="16417" xr:uid="{00000000-0005-0000-0000-0000230F0000}"/>
    <cellStyle name="20% - Accent3 12 6 2 2" xfId="29824" xr:uid="{00000000-0005-0000-0000-0000240F0000}"/>
    <cellStyle name="20% - Accent3 12 6 3" xfId="18333" xr:uid="{00000000-0005-0000-0000-0000250F0000}"/>
    <cellStyle name="20% - Accent3 12 7" xfId="8952" xr:uid="{00000000-0005-0000-0000-0000260F0000}"/>
    <cellStyle name="20% - Accent3 12 7 2" xfId="23427" xr:uid="{00000000-0005-0000-0000-0000270F0000}"/>
    <cellStyle name="20% - Accent3 12 8" xfId="18325" xr:uid="{00000000-0005-0000-0000-0000280F0000}"/>
    <cellStyle name="20% - Accent3 13" xfId="1010" xr:uid="{00000000-0005-0000-0000-0000290F0000}"/>
    <cellStyle name="20% - Accent3 13 2" xfId="1011" xr:uid="{00000000-0005-0000-0000-00002A0F0000}"/>
    <cellStyle name="20% - Accent3 13 2 2" xfId="10679" xr:uid="{00000000-0005-0000-0000-00002B0F0000}"/>
    <cellStyle name="20% - Accent3 13 2 2 2" xfId="24621" xr:uid="{00000000-0005-0000-0000-00002C0F0000}"/>
    <cellStyle name="20% - Accent3 13 2 3" xfId="18335" xr:uid="{00000000-0005-0000-0000-00002D0F0000}"/>
    <cellStyle name="20% - Accent3 13 3" xfId="1012" xr:uid="{00000000-0005-0000-0000-00002E0F0000}"/>
    <cellStyle name="20% - Accent3 13 3 2" xfId="12775" xr:uid="{00000000-0005-0000-0000-00002F0F0000}"/>
    <cellStyle name="20% - Accent3 13 3 2 2" xfId="26487" xr:uid="{00000000-0005-0000-0000-0000300F0000}"/>
    <cellStyle name="20% - Accent3 13 3 3" xfId="18336" xr:uid="{00000000-0005-0000-0000-0000310F0000}"/>
    <cellStyle name="20% - Accent3 13 4" xfId="1013" xr:uid="{00000000-0005-0000-0000-0000320F0000}"/>
    <cellStyle name="20% - Accent3 13 4 2" xfId="14741" xr:uid="{00000000-0005-0000-0000-0000330F0000}"/>
    <cellStyle name="20% - Accent3 13 4 2 2" xfId="28290" xr:uid="{00000000-0005-0000-0000-0000340F0000}"/>
    <cellStyle name="20% - Accent3 13 4 3" xfId="18337" xr:uid="{00000000-0005-0000-0000-0000350F0000}"/>
    <cellStyle name="20% - Accent3 13 5" xfId="8954" xr:uid="{00000000-0005-0000-0000-0000360F0000}"/>
    <cellStyle name="20% - Accent3 13 5 2" xfId="23429" xr:uid="{00000000-0005-0000-0000-0000370F0000}"/>
    <cellStyle name="20% - Accent3 13 6" xfId="18334" xr:uid="{00000000-0005-0000-0000-0000380F0000}"/>
    <cellStyle name="20% - Accent3 14" xfId="1014" xr:uid="{00000000-0005-0000-0000-0000390F0000}"/>
    <cellStyle name="20% - Accent3 14 2" xfId="1015" xr:uid="{00000000-0005-0000-0000-00003A0F0000}"/>
    <cellStyle name="20% - Accent3 14 2 2" xfId="10680" xr:uid="{00000000-0005-0000-0000-00003B0F0000}"/>
    <cellStyle name="20% - Accent3 14 2 2 2" xfId="24622" xr:uid="{00000000-0005-0000-0000-00003C0F0000}"/>
    <cellStyle name="20% - Accent3 14 2 3" xfId="18339" xr:uid="{00000000-0005-0000-0000-00003D0F0000}"/>
    <cellStyle name="20% - Accent3 14 3" xfId="1016" xr:uid="{00000000-0005-0000-0000-00003E0F0000}"/>
    <cellStyle name="20% - Accent3 14 3 2" xfId="12441" xr:uid="{00000000-0005-0000-0000-00003F0F0000}"/>
    <cellStyle name="20% - Accent3 14 3 2 2" xfId="26153" xr:uid="{00000000-0005-0000-0000-0000400F0000}"/>
    <cellStyle name="20% - Accent3 14 3 3" xfId="18340" xr:uid="{00000000-0005-0000-0000-0000410F0000}"/>
    <cellStyle name="20% - Accent3 14 4" xfId="1017" xr:uid="{00000000-0005-0000-0000-0000420F0000}"/>
    <cellStyle name="20% - Accent3 14 4 2" xfId="14742" xr:uid="{00000000-0005-0000-0000-0000430F0000}"/>
    <cellStyle name="20% - Accent3 14 4 2 2" xfId="28291" xr:uid="{00000000-0005-0000-0000-0000440F0000}"/>
    <cellStyle name="20% - Accent3 14 4 3" xfId="18341" xr:uid="{00000000-0005-0000-0000-0000450F0000}"/>
    <cellStyle name="20% - Accent3 14 5" xfId="8955" xr:uid="{00000000-0005-0000-0000-0000460F0000}"/>
    <cellStyle name="20% - Accent3 14 5 2" xfId="23430" xr:uid="{00000000-0005-0000-0000-0000470F0000}"/>
    <cellStyle name="20% - Accent3 14 6" xfId="18338" xr:uid="{00000000-0005-0000-0000-0000480F0000}"/>
    <cellStyle name="20% - Accent3 15" xfId="1018" xr:uid="{00000000-0005-0000-0000-0000490F0000}"/>
    <cellStyle name="20% - Accent3 15 2" xfId="1019" xr:uid="{00000000-0005-0000-0000-00004A0F0000}"/>
    <cellStyle name="20% - Accent3 15 2 2" xfId="10681" xr:uid="{00000000-0005-0000-0000-00004B0F0000}"/>
    <cellStyle name="20% - Accent3 15 2 2 2" xfId="24623" xr:uid="{00000000-0005-0000-0000-00004C0F0000}"/>
    <cellStyle name="20% - Accent3 15 2 3" xfId="18343" xr:uid="{00000000-0005-0000-0000-00004D0F0000}"/>
    <cellStyle name="20% - Accent3 15 3" xfId="1020" xr:uid="{00000000-0005-0000-0000-00004E0F0000}"/>
    <cellStyle name="20% - Accent3 15 3 2" xfId="12544" xr:uid="{00000000-0005-0000-0000-00004F0F0000}"/>
    <cellStyle name="20% - Accent3 15 3 2 2" xfId="26256" xr:uid="{00000000-0005-0000-0000-0000500F0000}"/>
    <cellStyle name="20% - Accent3 15 3 3" xfId="18344" xr:uid="{00000000-0005-0000-0000-0000510F0000}"/>
    <cellStyle name="20% - Accent3 15 4" xfId="1021" xr:uid="{00000000-0005-0000-0000-0000520F0000}"/>
    <cellStyle name="20% - Accent3 15 4 2" xfId="14743" xr:uid="{00000000-0005-0000-0000-0000530F0000}"/>
    <cellStyle name="20% - Accent3 15 4 2 2" xfId="28292" xr:uid="{00000000-0005-0000-0000-0000540F0000}"/>
    <cellStyle name="20% - Accent3 15 4 3" xfId="18345" xr:uid="{00000000-0005-0000-0000-0000550F0000}"/>
    <cellStyle name="20% - Accent3 15 5" xfId="8956" xr:uid="{00000000-0005-0000-0000-0000560F0000}"/>
    <cellStyle name="20% - Accent3 15 5 2" xfId="23431" xr:uid="{00000000-0005-0000-0000-0000570F0000}"/>
    <cellStyle name="20% - Accent3 15 6" xfId="18342" xr:uid="{00000000-0005-0000-0000-0000580F0000}"/>
    <cellStyle name="20% - Accent3 16" xfId="1022" xr:uid="{00000000-0005-0000-0000-0000590F0000}"/>
    <cellStyle name="20% - Accent3 16 2" xfId="1023" xr:uid="{00000000-0005-0000-0000-00005A0F0000}"/>
    <cellStyle name="20% - Accent3 16 2 2" xfId="10682" xr:uid="{00000000-0005-0000-0000-00005B0F0000}"/>
    <cellStyle name="20% - Accent3 16 2 2 2" xfId="24624" xr:uid="{00000000-0005-0000-0000-00005C0F0000}"/>
    <cellStyle name="20% - Accent3 16 2 3" xfId="18347" xr:uid="{00000000-0005-0000-0000-00005D0F0000}"/>
    <cellStyle name="20% - Accent3 16 3" xfId="1024" xr:uid="{00000000-0005-0000-0000-00005E0F0000}"/>
    <cellStyle name="20% - Accent3 16 3 2" xfId="11767" xr:uid="{00000000-0005-0000-0000-00005F0F0000}"/>
    <cellStyle name="20% - Accent3 16 3 2 2" xfId="25482" xr:uid="{00000000-0005-0000-0000-0000600F0000}"/>
    <cellStyle name="20% - Accent3 16 3 3" xfId="18348" xr:uid="{00000000-0005-0000-0000-0000610F0000}"/>
    <cellStyle name="20% - Accent3 16 4" xfId="1025" xr:uid="{00000000-0005-0000-0000-0000620F0000}"/>
    <cellStyle name="20% - Accent3 16 4 2" xfId="14744" xr:uid="{00000000-0005-0000-0000-0000630F0000}"/>
    <cellStyle name="20% - Accent3 16 4 2 2" xfId="28293" xr:uid="{00000000-0005-0000-0000-0000640F0000}"/>
    <cellStyle name="20% - Accent3 16 4 3" xfId="18349" xr:uid="{00000000-0005-0000-0000-0000650F0000}"/>
    <cellStyle name="20% - Accent3 16 5" xfId="8957" xr:uid="{00000000-0005-0000-0000-0000660F0000}"/>
    <cellStyle name="20% - Accent3 16 5 2" xfId="23432" xr:uid="{00000000-0005-0000-0000-0000670F0000}"/>
    <cellStyle name="20% - Accent3 16 6" xfId="18346" xr:uid="{00000000-0005-0000-0000-0000680F0000}"/>
    <cellStyle name="20% - Accent3 17" xfId="1026" xr:uid="{00000000-0005-0000-0000-0000690F0000}"/>
    <cellStyle name="20% - Accent3 17 2" xfId="1027" xr:uid="{00000000-0005-0000-0000-00006A0F0000}"/>
    <cellStyle name="20% - Accent3 17 2 2" xfId="10683" xr:uid="{00000000-0005-0000-0000-00006B0F0000}"/>
    <cellStyle name="20% - Accent3 17 2 2 2" xfId="24625" xr:uid="{00000000-0005-0000-0000-00006C0F0000}"/>
    <cellStyle name="20% - Accent3 17 2 3" xfId="18351" xr:uid="{00000000-0005-0000-0000-00006D0F0000}"/>
    <cellStyle name="20% - Accent3 17 3" xfId="1028" xr:uid="{00000000-0005-0000-0000-00006E0F0000}"/>
    <cellStyle name="20% - Accent3 17 3 2" xfId="12761" xr:uid="{00000000-0005-0000-0000-00006F0F0000}"/>
    <cellStyle name="20% - Accent3 17 3 2 2" xfId="26473" xr:uid="{00000000-0005-0000-0000-0000700F0000}"/>
    <cellStyle name="20% - Accent3 17 3 3" xfId="18352" xr:uid="{00000000-0005-0000-0000-0000710F0000}"/>
    <cellStyle name="20% - Accent3 17 4" xfId="1029" xr:uid="{00000000-0005-0000-0000-0000720F0000}"/>
    <cellStyle name="20% - Accent3 17 4 2" xfId="14745" xr:uid="{00000000-0005-0000-0000-0000730F0000}"/>
    <cellStyle name="20% - Accent3 17 4 2 2" xfId="28294" xr:uid="{00000000-0005-0000-0000-0000740F0000}"/>
    <cellStyle name="20% - Accent3 17 4 3" xfId="18353" xr:uid="{00000000-0005-0000-0000-0000750F0000}"/>
    <cellStyle name="20% - Accent3 17 5" xfId="8958" xr:uid="{00000000-0005-0000-0000-0000760F0000}"/>
    <cellStyle name="20% - Accent3 17 5 2" xfId="23433" xr:uid="{00000000-0005-0000-0000-0000770F0000}"/>
    <cellStyle name="20% - Accent3 17 6" xfId="18350" xr:uid="{00000000-0005-0000-0000-0000780F0000}"/>
    <cellStyle name="20% - Accent3 18" xfId="1030" xr:uid="{00000000-0005-0000-0000-0000790F0000}"/>
    <cellStyle name="20% - Accent3 18 2" xfId="1031" xr:uid="{00000000-0005-0000-0000-00007A0F0000}"/>
    <cellStyle name="20% - Accent3 18 2 2" xfId="10684" xr:uid="{00000000-0005-0000-0000-00007B0F0000}"/>
    <cellStyle name="20% - Accent3 18 2 2 2" xfId="24626" xr:uid="{00000000-0005-0000-0000-00007C0F0000}"/>
    <cellStyle name="20% - Accent3 18 2 3" xfId="18355" xr:uid="{00000000-0005-0000-0000-00007D0F0000}"/>
    <cellStyle name="20% - Accent3 18 3" xfId="1032" xr:uid="{00000000-0005-0000-0000-00007E0F0000}"/>
    <cellStyle name="20% - Accent3 18 3 2" xfId="12649" xr:uid="{00000000-0005-0000-0000-00007F0F0000}"/>
    <cellStyle name="20% - Accent3 18 3 2 2" xfId="26361" xr:uid="{00000000-0005-0000-0000-0000800F0000}"/>
    <cellStyle name="20% - Accent3 18 3 3" xfId="18356" xr:uid="{00000000-0005-0000-0000-0000810F0000}"/>
    <cellStyle name="20% - Accent3 18 4" xfId="1033" xr:uid="{00000000-0005-0000-0000-0000820F0000}"/>
    <cellStyle name="20% - Accent3 18 4 2" xfId="14746" xr:uid="{00000000-0005-0000-0000-0000830F0000}"/>
    <cellStyle name="20% - Accent3 18 4 2 2" xfId="28295" xr:uid="{00000000-0005-0000-0000-0000840F0000}"/>
    <cellStyle name="20% - Accent3 18 4 3" xfId="18357" xr:uid="{00000000-0005-0000-0000-0000850F0000}"/>
    <cellStyle name="20% - Accent3 18 5" xfId="8959" xr:uid="{00000000-0005-0000-0000-0000860F0000}"/>
    <cellStyle name="20% - Accent3 18 5 2" xfId="23434" xr:uid="{00000000-0005-0000-0000-0000870F0000}"/>
    <cellStyle name="20% - Accent3 18 6" xfId="18354" xr:uid="{00000000-0005-0000-0000-0000880F0000}"/>
    <cellStyle name="20% - Accent3 19" xfId="1034" xr:uid="{00000000-0005-0000-0000-0000890F0000}"/>
    <cellStyle name="20% - Accent3 19 2" xfId="1035" xr:uid="{00000000-0005-0000-0000-00008A0F0000}"/>
    <cellStyle name="20% - Accent3 19 2 2" xfId="11701" xr:uid="{00000000-0005-0000-0000-00008B0F0000}"/>
    <cellStyle name="20% - Accent3 19 2 2 2" xfId="25421" xr:uid="{00000000-0005-0000-0000-00008C0F0000}"/>
    <cellStyle name="20% - Accent3 19 2 3" xfId="18359" xr:uid="{00000000-0005-0000-0000-00008D0F0000}"/>
    <cellStyle name="20% - Accent3 19 3" xfId="1036" xr:uid="{00000000-0005-0000-0000-00008E0F0000}"/>
    <cellStyle name="20% - Accent3 19 3 2" xfId="12391" xr:uid="{00000000-0005-0000-0000-00008F0F0000}"/>
    <cellStyle name="20% - Accent3 19 3 2 2" xfId="26103" xr:uid="{00000000-0005-0000-0000-0000900F0000}"/>
    <cellStyle name="20% - Accent3 19 3 3" xfId="18360" xr:uid="{00000000-0005-0000-0000-0000910F0000}"/>
    <cellStyle name="20% - Accent3 19 4" xfId="1037" xr:uid="{00000000-0005-0000-0000-0000920F0000}"/>
    <cellStyle name="20% - Accent3 19 4 2" xfId="14747" xr:uid="{00000000-0005-0000-0000-0000930F0000}"/>
    <cellStyle name="20% - Accent3 19 4 2 2" xfId="28296" xr:uid="{00000000-0005-0000-0000-0000940F0000}"/>
    <cellStyle name="20% - Accent3 19 4 3" xfId="18361" xr:uid="{00000000-0005-0000-0000-0000950F0000}"/>
    <cellStyle name="20% - Accent3 19 5" xfId="10453" xr:uid="{00000000-0005-0000-0000-0000960F0000}"/>
    <cellStyle name="20% - Accent3 19 5 2" xfId="24412" xr:uid="{00000000-0005-0000-0000-0000970F0000}"/>
    <cellStyle name="20% - Accent3 19 6" xfId="18358" xr:uid="{00000000-0005-0000-0000-0000980F0000}"/>
    <cellStyle name="20% - Accent3 2" xfId="1038" xr:uid="{00000000-0005-0000-0000-0000990F0000}"/>
    <cellStyle name="20% - Accent3 2 10" xfId="1039" xr:uid="{00000000-0005-0000-0000-00009A0F0000}"/>
    <cellStyle name="20% - Accent3 2 10 2" xfId="1040" xr:uid="{00000000-0005-0000-0000-00009B0F0000}"/>
    <cellStyle name="20% - Accent3 2 10 2 2" xfId="14749" xr:uid="{00000000-0005-0000-0000-00009C0F0000}"/>
    <cellStyle name="20% - Accent3 2 10 2 2 2" xfId="28298" xr:uid="{00000000-0005-0000-0000-00009D0F0000}"/>
    <cellStyle name="20% - Accent3 2 10 2 3" xfId="18364" xr:uid="{00000000-0005-0000-0000-00009E0F0000}"/>
    <cellStyle name="20% - Accent3 2 10 3" xfId="11829" xr:uid="{00000000-0005-0000-0000-00009F0F0000}"/>
    <cellStyle name="20% - Accent3 2 10 3 2" xfId="25544" xr:uid="{00000000-0005-0000-0000-0000A00F0000}"/>
    <cellStyle name="20% - Accent3 2 10 4" xfId="18363" xr:uid="{00000000-0005-0000-0000-0000A10F0000}"/>
    <cellStyle name="20% - Accent3 2 11" xfId="1041" xr:uid="{00000000-0005-0000-0000-0000A20F0000}"/>
    <cellStyle name="20% - Accent3 2 11 2" xfId="12442" xr:uid="{00000000-0005-0000-0000-0000A30F0000}"/>
    <cellStyle name="20% - Accent3 2 11 2 2" xfId="26154" xr:uid="{00000000-0005-0000-0000-0000A40F0000}"/>
    <cellStyle name="20% - Accent3 2 11 3" xfId="18365" xr:uid="{00000000-0005-0000-0000-0000A50F0000}"/>
    <cellStyle name="20% - Accent3 2 12" xfId="1042" xr:uid="{00000000-0005-0000-0000-0000A60F0000}"/>
    <cellStyle name="20% - Accent3 2 12 2" xfId="13428" xr:uid="{00000000-0005-0000-0000-0000A70F0000}"/>
    <cellStyle name="20% - Accent3 2 12 2 2" xfId="26977" xr:uid="{00000000-0005-0000-0000-0000A80F0000}"/>
    <cellStyle name="20% - Accent3 2 12 3" xfId="18366" xr:uid="{00000000-0005-0000-0000-0000A90F0000}"/>
    <cellStyle name="20% - Accent3 2 13" xfId="1043" xr:uid="{00000000-0005-0000-0000-0000AA0F0000}"/>
    <cellStyle name="20% - Accent3 2 13 2" xfId="14009" xr:uid="{00000000-0005-0000-0000-0000AB0F0000}"/>
    <cellStyle name="20% - Accent3 2 13 2 2" xfId="27558" xr:uid="{00000000-0005-0000-0000-0000AC0F0000}"/>
    <cellStyle name="20% - Accent3 2 13 3" xfId="18367" xr:uid="{00000000-0005-0000-0000-0000AD0F0000}"/>
    <cellStyle name="20% - Accent3 2 14" xfId="1044" xr:uid="{00000000-0005-0000-0000-0000AE0F0000}"/>
    <cellStyle name="20% - Accent3 2 14 2" xfId="14748" xr:uid="{00000000-0005-0000-0000-0000AF0F0000}"/>
    <cellStyle name="20% - Accent3 2 14 2 2" xfId="28297" xr:uid="{00000000-0005-0000-0000-0000B00F0000}"/>
    <cellStyle name="20% - Accent3 2 14 3" xfId="18368" xr:uid="{00000000-0005-0000-0000-0000B10F0000}"/>
    <cellStyle name="20% - Accent3 2 15" xfId="1045" xr:uid="{00000000-0005-0000-0000-0000B20F0000}"/>
    <cellStyle name="20% - Accent3 2 15 2" xfId="15895" xr:uid="{00000000-0005-0000-0000-0000B30F0000}"/>
    <cellStyle name="20% - Accent3 2 15 2 2" xfId="29302" xr:uid="{00000000-0005-0000-0000-0000B40F0000}"/>
    <cellStyle name="20% - Accent3 2 15 3" xfId="18369" xr:uid="{00000000-0005-0000-0000-0000B50F0000}"/>
    <cellStyle name="20% - Accent3 2 16" xfId="8960" xr:uid="{00000000-0005-0000-0000-0000B60F0000}"/>
    <cellStyle name="20% - Accent3 2 16 2" xfId="23435" xr:uid="{00000000-0005-0000-0000-0000B70F0000}"/>
    <cellStyle name="20% - Accent3 2 17" xfId="18362" xr:uid="{00000000-0005-0000-0000-0000B80F0000}"/>
    <cellStyle name="20% - Accent3 2 2" xfId="1046" xr:uid="{00000000-0005-0000-0000-0000B90F0000}"/>
    <cellStyle name="20% - Accent3 2 2 10" xfId="1047" xr:uid="{00000000-0005-0000-0000-0000BA0F0000}"/>
    <cellStyle name="20% - Accent3 2 2 10 2" xfId="14750" xr:uid="{00000000-0005-0000-0000-0000BB0F0000}"/>
    <cellStyle name="20% - Accent3 2 2 10 2 2" xfId="28299" xr:uid="{00000000-0005-0000-0000-0000BC0F0000}"/>
    <cellStyle name="20% - Accent3 2 2 10 3" xfId="18371" xr:uid="{00000000-0005-0000-0000-0000BD0F0000}"/>
    <cellStyle name="20% - Accent3 2 2 11" xfId="1048" xr:uid="{00000000-0005-0000-0000-0000BE0F0000}"/>
    <cellStyle name="20% - Accent3 2 2 11 2" xfId="15941" xr:uid="{00000000-0005-0000-0000-0000BF0F0000}"/>
    <cellStyle name="20% - Accent3 2 2 11 2 2" xfId="29348" xr:uid="{00000000-0005-0000-0000-0000C00F0000}"/>
    <cellStyle name="20% - Accent3 2 2 11 3" xfId="18372" xr:uid="{00000000-0005-0000-0000-0000C10F0000}"/>
    <cellStyle name="20% - Accent3 2 2 12" xfId="8961" xr:uid="{00000000-0005-0000-0000-0000C20F0000}"/>
    <cellStyle name="20% - Accent3 2 2 12 2" xfId="23436" xr:uid="{00000000-0005-0000-0000-0000C30F0000}"/>
    <cellStyle name="20% - Accent3 2 2 13" xfId="18370" xr:uid="{00000000-0005-0000-0000-0000C40F0000}"/>
    <cellStyle name="20% - Accent3 2 2 2" xfId="1049" xr:uid="{00000000-0005-0000-0000-0000C50F0000}"/>
    <cellStyle name="20% - Accent3 2 2 2 10" xfId="1050" xr:uid="{00000000-0005-0000-0000-0000C60F0000}"/>
    <cellStyle name="20% - Accent3 2 2 2 10 2" xfId="16084" xr:uid="{00000000-0005-0000-0000-0000C70F0000}"/>
    <cellStyle name="20% - Accent3 2 2 2 10 2 2" xfId="29491" xr:uid="{00000000-0005-0000-0000-0000C80F0000}"/>
    <cellStyle name="20% - Accent3 2 2 2 10 3" xfId="18374" xr:uid="{00000000-0005-0000-0000-0000C90F0000}"/>
    <cellStyle name="20% - Accent3 2 2 2 11" xfId="8962" xr:uid="{00000000-0005-0000-0000-0000CA0F0000}"/>
    <cellStyle name="20% - Accent3 2 2 2 11 2" xfId="23437" xr:uid="{00000000-0005-0000-0000-0000CB0F0000}"/>
    <cellStyle name="20% - Accent3 2 2 2 12" xfId="18373" xr:uid="{00000000-0005-0000-0000-0000CC0F0000}"/>
    <cellStyle name="20% - Accent3 2 2 2 2" xfId="1051" xr:uid="{00000000-0005-0000-0000-0000CD0F0000}"/>
    <cellStyle name="20% - Accent3 2 2 2 2 10" xfId="8963" xr:uid="{00000000-0005-0000-0000-0000CE0F0000}"/>
    <cellStyle name="20% - Accent3 2 2 2 2 10 2" xfId="23438" xr:uid="{00000000-0005-0000-0000-0000CF0F0000}"/>
    <cellStyle name="20% - Accent3 2 2 2 2 11" xfId="18375" xr:uid="{00000000-0005-0000-0000-0000D00F0000}"/>
    <cellStyle name="20% - Accent3 2 2 2 2 2" xfId="1052" xr:uid="{00000000-0005-0000-0000-0000D10F0000}"/>
    <cellStyle name="20% - Accent3 2 2 2 2 2 2" xfId="1053" xr:uid="{00000000-0005-0000-0000-0000D20F0000}"/>
    <cellStyle name="20% - Accent3 2 2 2 2 2 2 2" xfId="10689" xr:uid="{00000000-0005-0000-0000-0000D30F0000}"/>
    <cellStyle name="20% - Accent3 2 2 2 2 2 2 2 2" xfId="24631" xr:uid="{00000000-0005-0000-0000-0000D40F0000}"/>
    <cellStyle name="20% - Accent3 2 2 2 2 2 2 3" xfId="18377" xr:uid="{00000000-0005-0000-0000-0000D50F0000}"/>
    <cellStyle name="20% - Accent3 2 2 2 2 2 3" xfId="1054" xr:uid="{00000000-0005-0000-0000-0000D60F0000}"/>
    <cellStyle name="20% - Accent3 2 2 2 2 2 3 2" xfId="12662" xr:uid="{00000000-0005-0000-0000-0000D70F0000}"/>
    <cellStyle name="20% - Accent3 2 2 2 2 2 3 2 2" xfId="26374" xr:uid="{00000000-0005-0000-0000-0000D80F0000}"/>
    <cellStyle name="20% - Accent3 2 2 2 2 2 3 3" xfId="18378" xr:uid="{00000000-0005-0000-0000-0000D90F0000}"/>
    <cellStyle name="20% - Accent3 2 2 2 2 2 4" xfId="1055" xr:uid="{00000000-0005-0000-0000-0000DA0F0000}"/>
    <cellStyle name="20% - Accent3 2 2 2 2 2 4 2" xfId="14753" xr:uid="{00000000-0005-0000-0000-0000DB0F0000}"/>
    <cellStyle name="20% - Accent3 2 2 2 2 2 4 2 2" xfId="28302" xr:uid="{00000000-0005-0000-0000-0000DC0F0000}"/>
    <cellStyle name="20% - Accent3 2 2 2 2 2 4 3" xfId="18379" xr:uid="{00000000-0005-0000-0000-0000DD0F0000}"/>
    <cellStyle name="20% - Accent3 2 2 2 2 2 5" xfId="1056" xr:uid="{00000000-0005-0000-0000-0000DE0F0000}"/>
    <cellStyle name="20% - Accent3 2 2 2 2 2 5 2" xfId="16954" xr:uid="{00000000-0005-0000-0000-0000DF0F0000}"/>
    <cellStyle name="20% - Accent3 2 2 2 2 2 5 2 2" xfId="30361" xr:uid="{00000000-0005-0000-0000-0000E00F0000}"/>
    <cellStyle name="20% - Accent3 2 2 2 2 2 5 3" xfId="18380" xr:uid="{00000000-0005-0000-0000-0000E10F0000}"/>
    <cellStyle name="20% - Accent3 2 2 2 2 2 6" xfId="8964" xr:uid="{00000000-0005-0000-0000-0000E20F0000}"/>
    <cellStyle name="20% - Accent3 2 2 2 2 2 6 2" xfId="23439" xr:uid="{00000000-0005-0000-0000-0000E30F0000}"/>
    <cellStyle name="20% - Accent3 2 2 2 2 2 7" xfId="18376" xr:uid="{00000000-0005-0000-0000-0000E40F0000}"/>
    <cellStyle name="20% - Accent3 2 2 2 2 3" xfId="1057" xr:uid="{00000000-0005-0000-0000-0000E50F0000}"/>
    <cellStyle name="20% - Accent3 2 2 2 2 3 2" xfId="1058" xr:uid="{00000000-0005-0000-0000-0000E60F0000}"/>
    <cellStyle name="20% - Accent3 2 2 2 2 3 2 2" xfId="14754" xr:uid="{00000000-0005-0000-0000-0000E70F0000}"/>
    <cellStyle name="20% - Accent3 2 2 2 2 3 2 2 2" xfId="28303" xr:uid="{00000000-0005-0000-0000-0000E80F0000}"/>
    <cellStyle name="20% - Accent3 2 2 2 2 3 2 3" xfId="18382" xr:uid="{00000000-0005-0000-0000-0000E90F0000}"/>
    <cellStyle name="20% - Accent3 2 2 2 2 3 3" xfId="10688" xr:uid="{00000000-0005-0000-0000-0000EA0F0000}"/>
    <cellStyle name="20% - Accent3 2 2 2 2 3 3 2" xfId="24630" xr:uid="{00000000-0005-0000-0000-0000EB0F0000}"/>
    <cellStyle name="20% - Accent3 2 2 2 2 3 4" xfId="18381" xr:uid="{00000000-0005-0000-0000-0000EC0F0000}"/>
    <cellStyle name="20% - Accent3 2 2 2 2 4" xfId="1059" xr:uid="{00000000-0005-0000-0000-0000ED0F0000}"/>
    <cellStyle name="20% - Accent3 2 2 2 2 4 2" xfId="12342" xr:uid="{00000000-0005-0000-0000-0000EE0F0000}"/>
    <cellStyle name="20% - Accent3 2 2 2 2 4 2 2" xfId="26054" xr:uid="{00000000-0005-0000-0000-0000EF0F0000}"/>
    <cellStyle name="20% - Accent3 2 2 2 2 4 3" xfId="18383" xr:uid="{00000000-0005-0000-0000-0000F00F0000}"/>
    <cellStyle name="20% - Accent3 2 2 2 2 5" xfId="1060" xr:uid="{00000000-0005-0000-0000-0000F10F0000}"/>
    <cellStyle name="20% - Accent3 2 2 2 2 5 2" xfId="12430" xr:uid="{00000000-0005-0000-0000-0000F20F0000}"/>
    <cellStyle name="20% - Accent3 2 2 2 2 5 2 2" xfId="26142" xr:uid="{00000000-0005-0000-0000-0000F30F0000}"/>
    <cellStyle name="20% - Accent3 2 2 2 2 5 3" xfId="18384" xr:uid="{00000000-0005-0000-0000-0000F40F0000}"/>
    <cellStyle name="20% - Accent3 2 2 2 2 6" xfId="1061" xr:uid="{00000000-0005-0000-0000-0000F50F0000}"/>
    <cellStyle name="20% - Accent3 2 2 2 2 6 2" xfId="13906" xr:uid="{00000000-0005-0000-0000-0000F60F0000}"/>
    <cellStyle name="20% - Accent3 2 2 2 2 6 2 2" xfId="27455" xr:uid="{00000000-0005-0000-0000-0000F70F0000}"/>
    <cellStyle name="20% - Accent3 2 2 2 2 6 3" xfId="18385" xr:uid="{00000000-0005-0000-0000-0000F80F0000}"/>
    <cellStyle name="20% - Accent3 2 2 2 2 7" xfId="1062" xr:uid="{00000000-0005-0000-0000-0000F90F0000}"/>
    <cellStyle name="20% - Accent3 2 2 2 2 7 2" xfId="14487" xr:uid="{00000000-0005-0000-0000-0000FA0F0000}"/>
    <cellStyle name="20% - Accent3 2 2 2 2 7 2 2" xfId="28036" xr:uid="{00000000-0005-0000-0000-0000FB0F0000}"/>
    <cellStyle name="20% - Accent3 2 2 2 2 7 3" xfId="18386" xr:uid="{00000000-0005-0000-0000-0000FC0F0000}"/>
    <cellStyle name="20% - Accent3 2 2 2 2 8" xfId="1063" xr:uid="{00000000-0005-0000-0000-0000FD0F0000}"/>
    <cellStyle name="20% - Accent3 2 2 2 2 8 2" xfId="14752" xr:uid="{00000000-0005-0000-0000-0000FE0F0000}"/>
    <cellStyle name="20% - Accent3 2 2 2 2 8 2 2" xfId="28301" xr:uid="{00000000-0005-0000-0000-0000FF0F0000}"/>
    <cellStyle name="20% - Accent3 2 2 2 2 8 3" xfId="18387" xr:uid="{00000000-0005-0000-0000-000000100000}"/>
    <cellStyle name="20% - Accent3 2 2 2 2 9" xfId="1064" xr:uid="{00000000-0005-0000-0000-000001100000}"/>
    <cellStyle name="20% - Accent3 2 2 2 2 9 2" xfId="16373" xr:uid="{00000000-0005-0000-0000-000002100000}"/>
    <cellStyle name="20% - Accent3 2 2 2 2 9 2 2" xfId="29780" xr:uid="{00000000-0005-0000-0000-000003100000}"/>
    <cellStyle name="20% - Accent3 2 2 2 2 9 3" xfId="18388" xr:uid="{00000000-0005-0000-0000-000004100000}"/>
    <cellStyle name="20% - Accent3 2 2 2 3" xfId="1065" xr:uid="{00000000-0005-0000-0000-000005100000}"/>
    <cellStyle name="20% - Accent3 2 2 2 3 2" xfId="1066" xr:uid="{00000000-0005-0000-0000-000006100000}"/>
    <cellStyle name="20% - Accent3 2 2 2 3 2 2" xfId="10690" xr:uid="{00000000-0005-0000-0000-000007100000}"/>
    <cellStyle name="20% - Accent3 2 2 2 3 2 2 2" xfId="24632" xr:uid="{00000000-0005-0000-0000-000008100000}"/>
    <cellStyle name="20% - Accent3 2 2 2 3 2 3" xfId="18390" xr:uid="{00000000-0005-0000-0000-000009100000}"/>
    <cellStyle name="20% - Accent3 2 2 2 3 3" xfId="1067" xr:uid="{00000000-0005-0000-0000-00000A100000}"/>
    <cellStyle name="20% - Accent3 2 2 2 3 3 2" xfId="12566" xr:uid="{00000000-0005-0000-0000-00000B100000}"/>
    <cellStyle name="20% - Accent3 2 2 2 3 3 2 2" xfId="26278" xr:uid="{00000000-0005-0000-0000-00000C100000}"/>
    <cellStyle name="20% - Accent3 2 2 2 3 3 3" xfId="18391" xr:uid="{00000000-0005-0000-0000-00000D100000}"/>
    <cellStyle name="20% - Accent3 2 2 2 3 4" xfId="1068" xr:uid="{00000000-0005-0000-0000-00000E100000}"/>
    <cellStyle name="20% - Accent3 2 2 2 3 4 2" xfId="14755" xr:uid="{00000000-0005-0000-0000-00000F100000}"/>
    <cellStyle name="20% - Accent3 2 2 2 3 4 2 2" xfId="28304" xr:uid="{00000000-0005-0000-0000-000010100000}"/>
    <cellStyle name="20% - Accent3 2 2 2 3 4 3" xfId="18392" xr:uid="{00000000-0005-0000-0000-000011100000}"/>
    <cellStyle name="20% - Accent3 2 2 2 3 5" xfId="1069" xr:uid="{00000000-0005-0000-0000-000012100000}"/>
    <cellStyle name="20% - Accent3 2 2 2 3 5 2" xfId="16665" xr:uid="{00000000-0005-0000-0000-000013100000}"/>
    <cellStyle name="20% - Accent3 2 2 2 3 5 2 2" xfId="30072" xr:uid="{00000000-0005-0000-0000-000014100000}"/>
    <cellStyle name="20% - Accent3 2 2 2 3 5 3" xfId="18393" xr:uid="{00000000-0005-0000-0000-000015100000}"/>
    <cellStyle name="20% - Accent3 2 2 2 3 6" xfId="8965" xr:uid="{00000000-0005-0000-0000-000016100000}"/>
    <cellStyle name="20% - Accent3 2 2 2 3 6 2" xfId="23440" xr:uid="{00000000-0005-0000-0000-000017100000}"/>
    <cellStyle name="20% - Accent3 2 2 2 3 7" xfId="18389" xr:uid="{00000000-0005-0000-0000-000018100000}"/>
    <cellStyle name="20% - Accent3 2 2 2 4" xfId="1070" xr:uid="{00000000-0005-0000-0000-000019100000}"/>
    <cellStyle name="20% - Accent3 2 2 2 4 2" xfId="1071" xr:uid="{00000000-0005-0000-0000-00001A100000}"/>
    <cellStyle name="20% - Accent3 2 2 2 4 2 2" xfId="14756" xr:uid="{00000000-0005-0000-0000-00001B100000}"/>
    <cellStyle name="20% - Accent3 2 2 2 4 2 2 2" xfId="28305" xr:uid="{00000000-0005-0000-0000-00001C100000}"/>
    <cellStyle name="20% - Accent3 2 2 2 4 2 3" xfId="18395" xr:uid="{00000000-0005-0000-0000-00001D100000}"/>
    <cellStyle name="20% - Accent3 2 2 2 4 3" xfId="10687" xr:uid="{00000000-0005-0000-0000-00001E100000}"/>
    <cellStyle name="20% - Accent3 2 2 2 4 3 2" xfId="24629" xr:uid="{00000000-0005-0000-0000-00001F100000}"/>
    <cellStyle name="20% - Accent3 2 2 2 4 4" xfId="18394" xr:uid="{00000000-0005-0000-0000-000020100000}"/>
    <cellStyle name="20% - Accent3 2 2 2 5" xfId="1072" xr:uid="{00000000-0005-0000-0000-000021100000}"/>
    <cellStyle name="20% - Accent3 2 2 2 5 2" xfId="12042" xr:uid="{00000000-0005-0000-0000-000022100000}"/>
    <cellStyle name="20% - Accent3 2 2 2 5 2 2" xfId="25757" xr:uid="{00000000-0005-0000-0000-000023100000}"/>
    <cellStyle name="20% - Accent3 2 2 2 5 3" xfId="18396" xr:uid="{00000000-0005-0000-0000-000024100000}"/>
    <cellStyle name="20% - Accent3 2 2 2 6" xfId="1073" xr:uid="{00000000-0005-0000-0000-000025100000}"/>
    <cellStyle name="20% - Accent3 2 2 2 6 2" xfId="12409" xr:uid="{00000000-0005-0000-0000-000026100000}"/>
    <cellStyle name="20% - Accent3 2 2 2 6 2 2" xfId="26121" xr:uid="{00000000-0005-0000-0000-000027100000}"/>
    <cellStyle name="20% - Accent3 2 2 2 6 3" xfId="18397" xr:uid="{00000000-0005-0000-0000-000028100000}"/>
    <cellStyle name="20% - Accent3 2 2 2 7" xfId="1074" xr:uid="{00000000-0005-0000-0000-000029100000}"/>
    <cellStyle name="20% - Accent3 2 2 2 7 2" xfId="13617" xr:uid="{00000000-0005-0000-0000-00002A100000}"/>
    <cellStyle name="20% - Accent3 2 2 2 7 2 2" xfId="27166" xr:uid="{00000000-0005-0000-0000-00002B100000}"/>
    <cellStyle name="20% - Accent3 2 2 2 7 3" xfId="18398" xr:uid="{00000000-0005-0000-0000-00002C100000}"/>
    <cellStyle name="20% - Accent3 2 2 2 8" xfId="1075" xr:uid="{00000000-0005-0000-0000-00002D100000}"/>
    <cellStyle name="20% - Accent3 2 2 2 8 2" xfId="14198" xr:uid="{00000000-0005-0000-0000-00002E100000}"/>
    <cellStyle name="20% - Accent3 2 2 2 8 2 2" xfId="27747" xr:uid="{00000000-0005-0000-0000-00002F100000}"/>
    <cellStyle name="20% - Accent3 2 2 2 8 3" xfId="18399" xr:uid="{00000000-0005-0000-0000-000030100000}"/>
    <cellStyle name="20% - Accent3 2 2 2 9" xfId="1076" xr:uid="{00000000-0005-0000-0000-000031100000}"/>
    <cellStyle name="20% - Accent3 2 2 2 9 2" xfId="14751" xr:uid="{00000000-0005-0000-0000-000032100000}"/>
    <cellStyle name="20% - Accent3 2 2 2 9 2 2" xfId="28300" xr:uid="{00000000-0005-0000-0000-000033100000}"/>
    <cellStyle name="20% - Accent3 2 2 2 9 3" xfId="18400" xr:uid="{00000000-0005-0000-0000-000034100000}"/>
    <cellStyle name="20% - Accent3 2 2 3" xfId="1077" xr:uid="{00000000-0005-0000-0000-000035100000}"/>
    <cellStyle name="20% - Accent3 2 2 3 10" xfId="8966" xr:uid="{00000000-0005-0000-0000-000036100000}"/>
    <cellStyle name="20% - Accent3 2 2 3 10 2" xfId="23441" xr:uid="{00000000-0005-0000-0000-000037100000}"/>
    <cellStyle name="20% - Accent3 2 2 3 11" xfId="18401" xr:uid="{00000000-0005-0000-0000-000038100000}"/>
    <cellStyle name="20% - Accent3 2 2 3 2" xfId="1078" xr:uid="{00000000-0005-0000-0000-000039100000}"/>
    <cellStyle name="20% - Accent3 2 2 3 2 2" xfId="1079" xr:uid="{00000000-0005-0000-0000-00003A100000}"/>
    <cellStyle name="20% - Accent3 2 2 3 2 2 2" xfId="10692" xr:uid="{00000000-0005-0000-0000-00003B100000}"/>
    <cellStyle name="20% - Accent3 2 2 3 2 2 2 2" xfId="24634" xr:uid="{00000000-0005-0000-0000-00003C100000}"/>
    <cellStyle name="20% - Accent3 2 2 3 2 2 3" xfId="18403" xr:uid="{00000000-0005-0000-0000-00003D100000}"/>
    <cellStyle name="20% - Accent3 2 2 3 2 3" xfId="1080" xr:uid="{00000000-0005-0000-0000-00003E100000}"/>
    <cellStyle name="20% - Accent3 2 2 3 2 3 2" xfId="12501" xr:uid="{00000000-0005-0000-0000-00003F100000}"/>
    <cellStyle name="20% - Accent3 2 2 3 2 3 2 2" xfId="26213" xr:uid="{00000000-0005-0000-0000-000040100000}"/>
    <cellStyle name="20% - Accent3 2 2 3 2 3 3" xfId="18404" xr:uid="{00000000-0005-0000-0000-000041100000}"/>
    <cellStyle name="20% - Accent3 2 2 3 2 4" xfId="1081" xr:uid="{00000000-0005-0000-0000-000042100000}"/>
    <cellStyle name="20% - Accent3 2 2 3 2 4 2" xfId="14758" xr:uid="{00000000-0005-0000-0000-000043100000}"/>
    <cellStyle name="20% - Accent3 2 2 3 2 4 2 2" xfId="28307" xr:uid="{00000000-0005-0000-0000-000044100000}"/>
    <cellStyle name="20% - Accent3 2 2 3 2 4 3" xfId="18405" xr:uid="{00000000-0005-0000-0000-000045100000}"/>
    <cellStyle name="20% - Accent3 2 2 3 2 5" xfId="1082" xr:uid="{00000000-0005-0000-0000-000046100000}"/>
    <cellStyle name="20% - Accent3 2 2 3 2 5 2" xfId="16811" xr:uid="{00000000-0005-0000-0000-000047100000}"/>
    <cellStyle name="20% - Accent3 2 2 3 2 5 2 2" xfId="30218" xr:uid="{00000000-0005-0000-0000-000048100000}"/>
    <cellStyle name="20% - Accent3 2 2 3 2 5 3" xfId="18406" xr:uid="{00000000-0005-0000-0000-000049100000}"/>
    <cellStyle name="20% - Accent3 2 2 3 2 6" xfId="8967" xr:uid="{00000000-0005-0000-0000-00004A100000}"/>
    <cellStyle name="20% - Accent3 2 2 3 2 6 2" xfId="23442" xr:uid="{00000000-0005-0000-0000-00004B100000}"/>
    <cellStyle name="20% - Accent3 2 2 3 2 7" xfId="18402" xr:uid="{00000000-0005-0000-0000-00004C100000}"/>
    <cellStyle name="20% - Accent3 2 2 3 3" xfId="1083" xr:uid="{00000000-0005-0000-0000-00004D100000}"/>
    <cellStyle name="20% - Accent3 2 2 3 3 2" xfId="1084" xr:uid="{00000000-0005-0000-0000-00004E100000}"/>
    <cellStyle name="20% - Accent3 2 2 3 3 2 2" xfId="14759" xr:uid="{00000000-0005-0000-0000-00004F100000}"/>
    <cellStyle name="20% - Accent3 2 2 3 3 2 2 2" xfId="28308" xr:uid="{00000000-0005-0000-0000-000050100000}"/>
    <cellStyle name="20% - Accent3 2 2 3 3 2 3" xfId="18408" xr:uid="{00000000-0005-0000-0000-000051100000}"/>
    <cellStyle name="20% - Accent3 2 2 3 3 3" xfId="10691" xr:uid="{00000000-0005-0000-0000-000052100000}"/>
    <cellStyle name="20% - Accent3 2 2 3 3 3 2" xfId="24633" xr:uid="{00000000-0005-0000-0000-000053100000}"/>
    <cellStyle name="20% - Accent3 2 2 3 3 4" xfId="18407" xr:uid="{00000000-0005-0000-0000-000054100000}"/>
    <cellStyle name="20% - Accent3 2 2 3 4" xfId="1085" xr:uid="{00000000-0005-0000-0000-000055100000}"/>
    <cellStyle name="20% - Accent3 2 2 3 4 2" xfId="12199" xr:uid="{00000000-0005-0000-0000-000056100000}"/>
    <cellStyle name="20% - Accent3 2 2 3 4 2 2" xfId="25911" xr:uid="{00000000-0005-0000-0000-000057100000}"/>
    <cellStyle name="20% - Accent3 2 2 3 4 3" xfId="18409" xr:uid="{00000000-0005-0000-0000-000058100000}"/>
    <cellStyle name="20% - Accent3 2 2 3 5" xfId="1086" xr:uid="{00000000-0005-0000-0000-000059100000}"/>
    <cellStyle name="20% - Accent3 2 2 3 5 2" xfId="11860" xr:uid="{00000000-0005-0000-0000-00005A100000}"/>
    <cellStyle name="20% - Accent3 2 2 3 5 2 2" xfId="25575" xr:uid="{00000000-0005-0000-0000-00005B100000}"/>
    <cellStyle name="20% - Accent3 2 2 3 5 3" xfId="18410" xr:uid="{00000000-0005-0000-0000-00005C100000}"/>
    <cellStyle name="20% - Accent3 2 2 3 6" xfId="1087" xr:uid="{00000000-0005-0000-0000-00005D100000}"/>
    <cellStyle name="20% - Accent3 2 2 3 6 2" xfId="13763" xr:uid="{00000000-0005-0000-0000-00005E100000}"/>
    <cellStyle name="20% - Accent3 2 2 3 6 2 2" xfId="27312" xr:uid="{00000000-0005-0000-0000-00005F100000}"/>
    <cellStyle name="20% - Accent3 2 2 3 6 3" xfId="18411" xr:uid="{00000000-0005-0000-0000-000060100000}"/>
    <cellStyle name="20% - Accent3 2 2 3 7" xfId="1088" xr:uid="{00000000-0005-0000-0000-000061100000}"/>
    <cellStyle name="20% - Accent3 2 2 3 7 2" xfId="14344" xr:uid="{00000000-0005-0000-0000-000062100000}"/>
    <cellStyle name="20% - Accent3 2 2 3 7 2 2" xfId="27893" xr:uid="{00000000-0005-0000-0000-000063100000}"/>
    <cellStyle name="20% - Accent3 2 2 3 7 3" xfId="18412" xr:uid="{00000000-0005-0000-0000-000064100000}"/>
    <cellStyle name="20% - Accent3 2 2 3 8" xfId="1089" xr:uid="{00000000-0005-0000-0000-000065100000}"/>
    <cellStyle name="20% - Accent3 2 2 3 8 2" xfId="14757" xr:uid="{00000000-0005-0000-0000-000066100000}"/>
    <cellStyle name="20% - Accent3 2 2 3 8 2 2" xfId="28306" xr:uid="{00000000-0005-0000-0000-000067100000}"/>
    <cellStyle name="20% - Accent3 2 2 3 8 3" xfId="18413" xr:uid="{00000000-0005-0000-0000-000068100000}"/>
    <cellStyle name="20% - Accent3 2 2 3 9" xfId="1090" xr:uid="{00000000-0005-0000-0000-000069100000}"/>
    <cellStyle name="20% - Accent3 2 2 3 9 2" xfId="16230" xr:uid="{00000000-0005-0000-0000-00006A100000}"/>
    <cellStyle name="20% - Accent3 2 2 3 9 2 2" xfId="29637" xr:uid="{00000000-0005-0000-0000-00006B100000}"/>
    <cellStyle name="20% - Accent3 2 2 3 9 3" xfId="18414" xr:uid="{00000000-0005-0000-0000-00006C100000}"/>
    <cellStyle name="20% - Accent3 2 2 4" xfId="1091" xr:uid="{00000000-0005-0000-0000-00006D100000}"/>
    <cellStyle name="20% - Accent3 2 2 4 2" xfId="1092" xr:uid="{00000000-0005-0000-0000-00006E100000}"/>
    <cellStyle name="20% - Accent3 2 2 4 2 2" xfId="10693" xr:uid="{00000000-0005-0000-0000-00006F100000}"/>
    <cellStyle name="20% - Accent3 2 2 4 2 2 2" xfId="24635" xr:uid="{00000000-0005-0000-0000-000070100000}"/>
    <cellStyle name="20% - Accent3 2 2 4 2 3" xfId="18416" xr:uid="{00000000-0005-0000-0000-000071100000}"/>
    <cellStyle name="20% - Accent3 2 2 4 3" xfId="1093" xr:uid="{00000000-0005-0000-0000-000072100000}"/>
    <cellStyle name="20% - Accent3 2 2 4 3 2" xfId="12751" xr:uid="{00000000-0005-0000-0000-000073100000}"/>
    <cellStyle name="20% - Accent3 2 2 4 3 2 2" xfId="26463" xr:uid="{00000000-0005-0000-0000-000074100000}"/>
    <cellStyle name="20% - Accent3 2 2 4 3 3" xfId="18417" xr:uid="{00000000-0005-0000-0000-000075100000}"/>
    <cellStyle name="20% - Accent3 2 2 4 4" xfId="1094" xr:uid="{00000000-0005-0000-0000-000076100000}"/>
    <cellStyle name="20% - Accent3 2 2 4 4 2" xfId="14760" xr:uid="{00000000-0005-0000-0000-000077100000}"/>
    <cellStyle name="20% - Accent3 2 2 4 4 2 2" xfId="28309" xr:uid="{00000000-0005-0000-0000-000078100000}"/>
    <cellStyle name="20% - Accent3 2 2 4 4 3" xfId="18418" xr:uid="{00000000-0005-0000-0000-000079100000}"/>
    <cellStyle name="20% - Accent3 2 2 4 5" xfId="1095" xr:uid="{00000000-0005-0000-0000-00007A100000}"/>
    <cellStyle name="20% - Accent3 2 2 4 5 2" xfId="17158" xr:uid="{00000000-0005-0000-0000-00007B100000}"/>
    <cellStyle name="20% - Accent3 2 2 4 5 2 2" xfId="30517" xr:uid="{00000000-0005-0000-0000-00007C100000}"/>
    <cellStyle name="20% - Accent3 2 2 4 5 3" xfId="18419" xr:uid="{00000000-0005-0000-0000-00007D100000}"/>
    <cellStyle name="20% - Accent3 2 2 4 6" xfId="8968" xr:uid="{00000000-0005-0000-0000-00007E100000}"/>
    <cellStyle name="20% - Accent3 2 2 4 6 2" xfId="23443" xr:uid="{00000000-0005-0000-0000-00007F100000}"/>
    <cellStyle name="20% - Accent3 2 2 4 7" xfId="18415" xr:uid="{00000000-0005-0000-0000-000080100000}"/>
    <cellStyle name="20% - Accent3 2 2 5" xfId="1096" xr:uid="{00000000-0005-0000-0000-000081100000}"/>
    <cellStyle name="20% - Accent3 2 2 5 2" xfId="1097" xr:uid="{00000000-0005-0000-0000-000082100000}"/>
    <cellStyle name="20% - Accent3 2 2 5 2 2" xfId="14761" xr:uid="{00000000-0005-0000-0000-000083100000}"/>
    <cellStyle name="20% - Accent3 2 2 5 2 2 2" xfId="28310" xr:uid="{00000000-0005-0000-0000-000084100000}"/>
    <cellStyle name="20% - Accent3 2 2 5 2 3" xfId="18421" xr:uid="{00000000-0005-0000-0000-000085100000}"/>
    <cellStyle name="20% - Accent3 2 2 5 3" xfId="1098" xr:uid="{00000000-0005-0000-0000-000086100000}"/>
    <cellStyle name="20% - Accent3 2 2 5 3 2" xfId="17247" xr:uid="{00000000-0005-0000-0000-000087100000}"/>
    <cellStyle name="20% - Accent3 2 2 5 3 2 2" xfId="30606" xr:uid="{00000000-0005-0000-0000-000088100000}"/>
    <cellStyle name="20% - Accent3 2 2 5 3 3" xfId="18422" xr:uid="{00000000-0005-0000-0000-000089100000}"/>
    <cellStyle name="20% - Accent3 2 2 5 4" xfId="10686" xr:uid="{00000000-0005-0000-0000-00008A100000}"/>
    <cellStyle name="20% - Accent3 2 2 5 4 2" xfId="24628" xr:uid="{00000000-0005-0000-0000-00008B100000}"/>
    <cellStyle name="20% - Accent3 2 2 5 5" xfId="18420" xr:uid="{00000000-0005-0000-0000-00008C100000}"/>
    <cellStyle name="20% - Accent3 2 2 6" xfId="1099" xr:uid="{00000000-0005-0000-0000-00008D100000}"/>
    <cellStyle name="20% - Accent3 2 2 6 2" xfId="1100" xr:uid="{00000000-0005-0000-0000-00008E100000}"/>
    <cellStyle name="20% - Accent3 2 2 6 2 2" xfId="16522" xr:uid="{00000000-0005-0000-0000-00008F100000}"/>
    <cellStyle name="20% - Accent3 2 2 6 2 2 2" xfId="29929" xr:uid="{00000000-0005-0000-0000-000090100000}"/>
    <cellStyle name="20% - Accent3 2 2 6 2 3" xfId="18424" xr:uid="{00000000-0005-0000-0000-000091100000}"/>
    <cellStyle name="20% - Accent3 2 2 6 3" xfId="11897" xr:uid="{00000000-0005-0000-0000-000092100000}"/>
    <cellStyle name="20% - Accent3 2 2 6 3 2" xfId="25612" xr:uid="{00000000-0005-0000-0000-000093100000}"/>
    <cellStyle name="20% - Accent3 2 2 6 4" xfId="18423" xr:uid="{00000000-0005-0000-0000-000094100000}"/>
    <cellStyle name="20% - Accent3 2 2 7" xfId="1101" xr:uid="{00000000-0005-0000-0000-000095100000}"/>
    <cellStyle name="20% - Accent3 2 2 7 2" xfId="12635" xr:uid="{00000000-0005-0000-0000-000096100000}"/>
    <cellStyle name="20% - Accent3 2 2 7 2 2" xfId="26347" xr:uid="{00000000-0005-0000-0000-000097100000}"/>
    <cellStyle name="20% - Accent3 2 2 7 3" xfId="18425" xr:uid="{00000000-0005-0000-0000-000098100000}"/>
    <cellStyle name="20% - Accent3 2 2 8" xfId="1102" xr:uid="{00000000-0005-0000-0000-000099100000}"/>
    <cellStyle name="20% - Accent3 2 2 8 2" xfId="13474" xr:uid="{00000000-0005-0000-0000-00009A100000}"/>
    <cellStyle name="20% - Accent3 2 2 8 2 2" xfId="27023" xr:uid="{00000000-0005-0000-0000-00009B100000}"/>
    <cellStyle name="20% - Accent3 2 2 8 3" xfId="18426" xr:uid="{00000000-0005-0000-0000-00009C100000}"/>
    <cellStyle name="20% - Accent3 2 2 9" xfId="1103" xr:uid="{00000000-0005-0000-0000-00009D100000}"/>
    <cellStyle name="20% - Accent3 2 2 9 2" xfId="14055" xr:uid="{00000000-0005-0000-0000-00009E100000}"/>
    <cellStyle name="20% - Accent3 2 2 9 2 2" xfId="27604" xr:uid="{00000000-0005-0000-0000-00009F100000}"/>
    <cellStyle name="20% - Accent3 2 2 9 3" xfId="18427" xr:uid="{00000000-0005-0000-0000-0000A0100000}"/>
    <cellStyle name="20% - Accent3 2 3" xfId="1104" xr:uid="{00000000-0005-0000-0000-0000A1100000}"/>
    <cellStyle name="20% - Accent3 2 3 10" xfId="1105" xr:uid="{00000000-0005-0000-0000-0000A2100000}"/>
    <cellStyle name="20% - Accent3 2 3 10 2" xfId="16038" xr:uid="{00000000-0005-0000-0000-0000A3100000}"/>
    <cellStyle name="20% - Accent3 2 3 10 2 2" xfId="29445" xr:uid="{00000000-0005-0000-0000-0000A4100000}"/>
    <cellStyle name="20% - Accent3 2 3 10 3" xfId="18429" xr:uid="{00000000-0005-0000-0000-0000A5100000}"/>
    <cellStyle name="20% - Accent3 2 3 11" xfId="8969" xr:uid="{00000000-0005-0000-0000-0000A6100000}"/>
    <cellStyle name="20% - Accent3 2 3 11 2" xfId="23444" xr:uid="{00000000-0005-0000-0000-0000A7100000}"/>
    <cellStyle name="20% - Accent3 2 3 12" xfId="18428" xr:uid="{00000000-0005-0000-0000-0000A8100000}"/>
    <cellStyle name="20% - Accent3 2 3 2" xfId="1106" xr:uid="{00000000-0005-0000-0000-0000A9100000}"/>
    <cellStyle name="20% - Accent3 2 3 2 10" xfId="8970" xr:uid="{00000000-0005-0000-0000-0000AA100000}"/>
    <cellStyle name="20% - Accent3 2 3 2 10 2" xfId="23445" xr:uid="{00000000-0005-0000-0000-0000AB100000}"/>
    <cellStyle name="20% - Accent3 2 3 2 11" xfId="18430" xr:uid="{00000000-0005-0000-0000-0000AC100000}"/>
    <cellStyle name="20% - Accent3 2 3 2 2" xfId="1107" xr:uid="{00000000-0005-0000-0000-0000AD100000}"/>
    <cellStyle name="20% - Accent3 2 3 2 2 2" xfId="1108" xr:uid="{00000000-0005-0000-0000-0000AE100000}"/>
    <cellStyle name="20% - Accent3 2 3 2 2 2 2" xfId="10696" xr:uid="{00000000-0005-0000-0000-0000AF100000}"/>
    <cellStyle name="20% - Accent3 2 3 2 2 2 2 2" xfId="24638" xr:uid="{00000000-0005-0000-0000-0000B0100000}"/>
    <cellStyle name="20% - Accent3 2 3 2 2 2 3" xfId="18432" xr:uid="{00000000-0005-0000-0000-0000B1100000}"/>
    <cellStyle name="20% - Accent3 2 3 2 2 3" xfId="1109" xr:uid="{00000000-0005-0000-0000-0000B2100000}"/>
    <cellStyle name="20% - Accent3 2 3 2 2 3 2" xfId="12660" xr:uid="{00000000-0005-0000-0000-0000B3100000}"/>
    <cellStyle name="20% - Accent3 2 3 2 2 3 2 2" xfId="26372" xr:uid="{00000000-0005-0000-0000-0000B4100000}"/>
    <cellStyle name="20% - Accent3 2 3 2 2 3 3" xfId="18433" xr:uid="{00000000-0005-0000-0000-0000B5100000}"/>
    <cellStyle name="20% - Accent3 2 3 2 2 4" xfId="1110" xr:uid="{00000000-0005-0000-0000-0000B6100000}"/>
    <cellStyle name="20% - Accent3 2 3 2 2 4 2" xfId="14764" xr:uid="{00000000-0005-0000-0000-0000B7100000}"/>
    <cellStyle name="20% - Accent3 2 3 2 2 4 2 2" xfId="28313" xr:uid="{00000000-0005-0000-0000-0000B8100000}"/>
    <cellStyle name="20% - Accent3 2 3 2 2 4 3" xfId="18434" xr:uid="{00000000-0005-0000-0000-0000B9100000}"/>
    <cellStyle name="20% - Accent3 2 3 2 2 5" xfId="1111" xr:uid="{00000000-0005-0000-0000-0000BA100000}"/>
    <cellStyle name="20% - Accent3 2 3 2 2 5 2" xfId="16908" xr:uid="{00000000-0005-0000-0000-0000BB100000}"/>
    <cellStyle name="20% - Accent3 2 3 2 2 5 2 2" xfId="30315" xr:uid="{00000000-0005-0000-0000-0000BC100000}"/>
    <cellStyle name="20% - Accent3 2 3 2 2 5 3" xfId="18435" xr:uid="{00000000-0005-0000-0000-0000BD100000}"/>
    <cellStyle name="20% - Accent3 2 3 2 2 6" xfId="8971" xr:uid="{00000000-0005-0000-0000-0000BE100000}"/>
    <cellStyle name="20% - Accent3 2 3 2 2 6 2" xfId="23446" xr:uid="{00000000-0005-0000-0000-0000BF100000}"/>
    <cellStyle name="20% - Accent3 2 3 2 2 7" xfId="18431" xr:uid="{00000000-0005-0000-0000-0000C0100000}"/>
    <cellStyle name="20% - Accent3 2 3 2 3" xfId="1112" xr:uid="{00000000-0005-0000-0000-0000C1100000}"/>
    <cellStyle name="20% - Accent3 2 3 2 3 2" xfId="1113" xr:uid="{00000000-0005-0000-0000-0000C2100000}"/>
    <cellStyle name="20% - Accent3 2 3 2 3 2 2" xfId="14765" xr:uid="{00000000-0005-0000-0000-0000C3100000}"/>
    <cellStyle name="20% - Accent3 2 3 2 3 2 2 2" xfId="28314" xr:uid="{00000000-0005-0000-0000-0000C4100000}"/>
    <cellStyle name="20% - Accent3 2 3 2 3 2 3" xfId="18437" xr:uid="{00000000-0005-0000-0000-0000C5100000}"/>
    <cellStyle name="20% - Accent3 2 3 2 3 3" xfId="10695" xr:uid="{00000000-0005-0000-0000-0000C6100000}"/>
    <cellStyle name="20% - Accent3 2 3 2 3 3 2" xfId="24637" xr:uid="{00000000-0005-0000-0000-0000C7100000}"/>
    <cellStyle name="20% - Accent3 2 3 2 3 4" xfId="18436" xr:uid="{00000000-0005-0000-0000-0000C8100000}"/>
    <cellStyle name="20% - Accent3 2 3 2 4" xfId="1114" xr:uid="{00000000-0005-0000-0000-0000C9100000}"/>
    <cellStyle name="20% - Accent3 2 3 2 4 2" xfId="12296" xr:uid="{00000000-0005-0000-0000-0000CA100000}"/>
    <cellStyle name="20% - Accent3 2 3 2 4 2 2" xfId="26008" xr:uid="{00000000-0005-0000-0000-0000CB100000}"/>
    <cellStyle name="20% - Accent3 2 3 2 4 3" xfId="18438" xr:uid="{00000000-0005-0000-0000-0000CC100000}"/>
    <cellStyle name="20% - Accent3 2 3 2 5" xfId="1115" xr:uid="{00000000-0005-0000-0000-0000CD100000}"/>
    <cellStyle name="20% - Accent3 2 3 2 5 2" xfId="12438" xr:uid="{00000000-0005-0000-0000-0000CE100000}"/>
    <cellStyle name="20% - Accent3 2 3 2 5 2 2" xfId="26150" xr:uid="{00000000-0005-0000-0000-0000CF100000}"/>
    <cellStyle name="20% - Accent3 2 3 2 5 3" xfId="18439" xr:uid="{00000000-0005-0000-0000-0000D0100000}"/>
    <cellStyle name="20% - Accent3 2 3 2 6" xfId="1116" xr:uid="{00000000-0005-0000-0000-0000D1100000}"/>
    <cellStyle name="20% - Accent3 2 3 2 6 2" xfId="13860" xr:uid="{00000000-0005-0000-0000-0000D2100000}"/>
    <cellStyle name="20% - Accent3 2 3 2 6 2 2" xfId="27409" xr:uid="{00000000-0005-0000-0000-0000D3100000}"/>
    <cellStyle name="20% - Accent3 2 3 2 6 3" xfId="18440" xr:uid="{00000000-0005-0000-0000-0000D4100000}"/>
    <cellStyle name="20% - Accent3 2 3 2 7" xfId="1117" xr:uid="{00000000-0005-0000-0000-0000D5100000}"/>
    <cellStyle name="20% - Accent3 2 3 2 7 2" xfId="14441" xr:uid="{00000000-0005-0000-0000-0000D6100000}"/>
    <cellStyle name="20% - Accent3 2 3 2 7 2 2" xfId="27990" xr:uid="{00000000-0005-0000-0000-0000D7100000}"/>
    <cellStyle name="20% - Accent3 2 3 2 7 3" xfId="18441" xr:uid="{00000000-0005-0000-0000-0000D8100000}"/>
    <cellStyle name="20% - Accent3 2 3 2 8" xfId="1118" xr:uid="{00000000-0005-0000-0000-0000D9100000}"/>
    <cellStyle name="20% - Accent3 2 3 2 8 2" xfId="14763" xr:uid="{00000000-0005-0000-0000-0000DA100000}"/>
    <cellStyle name="20% - Accent3 2 3 2 8 2 2" xfId="28312" xr:uid="{00000000-0005-0000-0000-0000DB100000}"/>
    <cellStyle name="20% - Accent3 2 3 2 8 3" xfId="18442" xr:uid="{00000000-0005-0000-0000-0000DC100000}"/>
    <cellStyle name="20% - Accent3 2 3 2 9" xfId="1119" xr:uid="{00000000-0005-0000-0000-0000DD100000}"/>
    <cellStyle name="20% - Accent3 2 3 2 9 2" xfId="16327" xr:uid="{00000000-0005-0000-0000-0000DE100000}"/>
    <cellStyle name="20% - Accent3 2 3 2 9 2 2" xfId="29734" xr:uid="{00000000-0005-0000-0000-0000DF100000}"/>
    <cellStyle name="20% - Accent3 2 3 2 9 3" xfId="18443" xr:uid="{00000000-0005-0000-0000-0000E0100000}"/>
    <cellStyle name="20% - Accent3 2 3 3" xfId="1120" xr:uid="{00000000-0005-0000-0000-0000E1100000}"/>
    <cellStyle name="20% - Accent3 2 3 3 2" xfId="1121" xr:uid="{00000000-0005-0000-0000-0000E2100000}"/>
    <cellStyle name="20% - Accent3 2 3 3 2 2" xfId="10697" xr:uid="{00000000-0005-0000-0000-0000E3100000}"/>
    <cellStyle name="20% - Accent3 2 3 3 2 2 2" xfId="24639" xr:uid="{00000000-0005-0000-0000-0000E4100000}"/>
    <cellStyle name="20% - Accent3 2 3 3 2 3" xfId="18445" xr:uid="{00000000-0005-0000-0000-0000E5100000}"/>
    <cellStyle name="20% - Accent3 2 3 3 3" xfId="1122" xr:uid="{00000000-0005-0000-0000-0000E6100000}"/>
    <cellStyle name="20% - Accent3 2 3 3 3 2" xfId="12661" xr:uid="{00000000-0005-0000-0000-0000E7100000}"/>
    <cellStyle name="20% - Accent3 2 3 3 3 2 2" xfId="26373" xr:uid="{00000000-0005-0000-0000-0000E8100000}"/>
    <cellStyle name="20% - Accent3 2 3 3 3 3" xfId="18446" xr:uid="{00000000-0005-0000-0000-0000E9100000}"/>
    <cellStyle name="20% - Accent3 2 3 3 4" xfId="1123" xr:uid="{00000000-0005-0000-0000-0000EA100000}"/>
    <cellStyle name="20% - Accent3 2 3 3 4 2" xfId="14766" xr:uid="{00000000-0005-0000-0000-0000EB100000}"/>
    <cellStyle name="20% - Accent3 2 3 3 4 2 2" xfId="28315" xr:uid="{00000000-0005-0000-0000-0000EC100000}"/>
    <cellStyle name="20% - Accent3 2 3 3 4 3" xfId="18447" xr:uid="{00000000-0005-0000-0000-0000ED100000}"/>
    <cellStyle name="20% - Accent3 2 3 3 5" xfId="1124" xr:uid="{00000000-0005-0000-0000-0000EE100000}"/>
    <cellStyle name="20% - Accent3 2 3 3 5 2" xfId="16619" xr:uid="{00000000-0005-0000-0000-0000EF100000}"/>
    <cellStyle name="20% - Accent3 2 3 3 5 2 2" xfId="30026" xr:uid="{00000000-0005-0000-0000-0000F0100000}"/>
    <cellStyle name="20% - Accent3 2 3 3 5 3" xfId="18448" xr:uid="{00000000-0005-0000-0000-0000F1100000}"/>
    <cellStyle name="20% - Accent3 2 3 3 6" xfId="8972" xr:uid="{00000000-0005-0000-0000-0000F2100000}"/>
    <cellStyle name="20% - Accent3 2 3 3 6 2" xfId="23447" xr:uid="{00000000-0005-0000-0000-0000F3100000}"/>
    <cellStyle name="20% - Accent3 2 3 3 7" xfId="18444" xr:uid="{00000000-0005-0000-0000-0000F4100000}"/>
    <cellStyle name="20% - Accent3 2 3 4" xfId="1125" xr:uid="{00000000-0005-0000-0000-0000F5100000}"/>
    <cellStyle name="20% - Accent3 2 3 4 2" xfId="1126" xr:uid="{00000000-0005-0000-0000-0000F6100000}"/>
    <cellStyle name="20% - Accent3 2 3 4 2 2" xfId="14767" xr:uid="{00000000-0005-0000-0000-0000F7100000}"/>
    <cellStyle name="20% - Accent3 2 3 4 2 2 2" xfId="28316" xr:uid="{00000000-0005-0000-0000-0000F8100000}"/>
    <cellStyle name="20% - Accent3 2 3 4 2 3" xfId="18450" xr:uid="{00000000-0005-0000-0000-0000F9100000}"/>
    <cellStyle name="20% - Accent3 2 3 4 3" xfId="10694" xr:uid="{00000000-0005-0000-0000-0000FA100000}"/>
    <cellStyle name="20% - Accent3 2 3 4 3 2" xfId="24636" xr:uid="{00000000-0005-0000-0000-0000FB100000}"/>
    <cellStyle name="20% - Accent3 2 3 4 4" xfId="18449" xr:uid="{00000000-0005-0000-0000-0000FC100000}"/>
    <cellStyle name="20% - Accent3 2 3 5" xfId="1127" xr:uid="{00000000-0005-0000-0000-0000FD100000}"/>
    <cellStyle name="20% - Accent3 2 3 5 2" xfId="11996" xr:uid="{00000000-0005-0000-0000-0000FE100000}"/>
    <cellStyle name="20% - Accent3 2 3 5 2 2" xfId="25711" xr:uid="{00000000-0005-0000-0000-0000FF100000}"/>
    <cellStyle name="20% - Accent3 2 3 5 3" xfId="18451" xr:uid="{00000000-0005-0000-0000-000000110000}"/>
    <cellStyle name="20% - Accent3 2 3 6" xfId="1128" xr:uid="{00000000-0005-0000-0000-000001110000}"/>
    <cellStyle name="20% - Accent3 2 3 6 2" xfId="12776" xr:uid="{00000000-0005-0000-0000-000002110000}"/>
    <cellStyle name="20% - Accent3 2 3 6 2 2" xfId="26488" xr:uid="{00000000-0005-0000-0000-000003110000}"/>
    <cellStyle name="20% - Accent3 2 3 6 3" xfId="18452" xr:uid="{00000000-0005-0000-0000-000004110000}"/>
    <cellStyle name="20% - Accent3 2 3 7" xfId="1129" xr:uid="{00000000-0005-0000-0000-000005110000}"/>
    <cellStyle name="20% - Accent3 2 3 7 2" xfId="13571" xr:uid="{00000000-0005-0000-0000-000006110000}"/>
    <cellStyle name="20% - Accent3 2 3 7 2 2" xfId="27120" xr:uid="{00000000-0005-0000-0000-000007110000}"/>
    <cellStyle name="20% - Accent3 2 3 7 3" xfId="18453" xr:uid="{00000000-0005-0000-0000-000008110000}"/>
    <cellStyle name="20% - Accent3 2 3 8" xfId="1130" xr:uid="{00000000-0005-0000-0000-000009110000}"/>
    <cellStyle name="20% - Accent3 2 3 8 2" xfId="14152" xr:uid="{00000000-0005-0000-0000-00000A110000}"/>
    <cellStyle name="20% - Accent3 2 3 8 2 2" xfId="27701" xr:uid="{00000000-0005-0000-0000-00000B110000}"/>
    <cellStyle name="20% - Accent3 2 3 8 3" xfId="18454" xr:uid="{00000000-0005-0000-0000-00000C110000}"/>
    <cellStyle name="20% - Accent3 2 3 9" xfId="1131" xr:uid="{00000000-0005-0000-0000-00000D110000}"/>
    <cellStyle name="20% - Accent3 2 3 9 2" xfId="14762" xr:uid="{00000000-0005-0000-0000-00000E110000}"/>
    <cellStyle name="20% - Accent3 2 3 9 2 2" xfId="28311" xr:uid="{00000000-0005-0000-0000-00000F110000}"/>
    <cellStyle name="20% - Accent3 2 3 9 3" xfId="18455" xr:uid="{00000000-0005-0000-0000-000010110000}"/>
    <cellStyle name="20% - Accent3 2 4" xfId="1132" xr:uid="{00000000-0005-0000-0000-000011110000}"/>
    <cellStyle name="20% - Accent3 2 4 10" xfId="8973" xr:uid="{00000000-0005-0000-0000-000012110000}"/>
    <cellStyle name="20% - Accent3 2 4 10 2" xfId="23448" xr:uid="{00000000-0005-0000-0000-000013110000}"/>
    <cellStyle name="20% - Accent3 2 4 11" xfId="18456" xr:uid="{00000000-0005-0000-0000-000014110000}"/>
    <cellStyle name="20% - Accent3 2 4 2" xfId="1133" xr:uid="{00000000-0005-0000-0000-000015110000}"/>
    <cellStyle name="20% - Accent3 2 4 2 2" xfId="1134" xr:uid="{00000000-0005-0000-0000-000016110000}"/>
    <cellStyle name="20% - Accent3 2 4 2 2 2" xfId="10699" xr:uid="{00000000-0005-0000-0000-000017110000}"/>
    <cellStyle name="20% - Accent3 2 4 2 2 2 2" xfId="24641" xr:uid="{00000000-0005-0000-0000-000018110000}"/>
    <cellStyle name="20% - Accent3 2 4 2 2 3" xfId="18458" xr:uid="{00000000-0005-0000-0000-000019110000}"/>
    <cellStyle name="20% - Accent3 2 4 2 3" xfId="1135" xr:uid="{00000000-0005-0000-0000-00001A110000}"/>
    <cellStyle name="20% - Accent3 2 4 2 3 2" xfId="12797" xr:uid="{00000000-0005-0000-0000-00001B110000}"/>
    <cellStyle name="20% - Accent3 2 4 2 3 2 2" xfId="26509" xr:uid="{00000000-0005-0000-0000-00001C110000}"/>
    <cellStyle name="20% - Accent3 2 4 2 3 3" xfId="18459" xr:uid="{00000000-0005-0000-0000-00001D110000}"/>
    <cellStyle name="20% - Accent3 2 4 2 4" xfId="1136" xr:uid="{00000000-0005-0000-0000-00001E110000}"/>
    <cellStyle name="20% - Accent3 2 4 2 4 2" xfId="14769" xr:uid="{00000000-0005-0000-0000-00001F110000}"/>
    <cellStyle name="20% - Accent3 2 4 2 4 2 2" xfId="28318" xr:uid="{00000000-0005-0000-0000-000020110000}"/>
    <cellStyle name="20% - Accent3 2 4 2 4 3" xfId="18460" xr:uid="{00000000-0005-0000-0000-000021110000}"/>
    <cellStyle name="20% - Accent3 2 4 2 5" xfId="1137" xr:uid="{00000000-0005-0000-0000-000022110000}"/>
    <cellStyle name="20% - Accent3 2 4 2 5 2" xfId="16765" xr:uid="{00000000-0005-0000-0000-000023110000}"/>
    <cellStyle name="20% - Accent3 2 4 2 5 2 2" xfId="30172" xr:uid="{00000000-0005-0000-0000-000024110000}"/>
    <cellStyle name="20% - Accent3 2 4 2 5 3" xfId="18461" xr:uid="{00000000-0005-0000-0000-000025110000}"/>
    <cellStyle name="20% - Accent3 2 4 2 6" xfId="8974" xr:uid="{00000000-0005-0000-0000-000026110000}"/>
    <cellStyle name="20% - Accent3 2 4 2 6 2" xfId="23449" xr:uid="{00000000-0005-0000-0000-000027110000}"/>
    <cellStyle name="20% - Accent3 2 4 2 7" xfId="18457" xr:uid="{00000000-0005-0000-0000-000028110000}"/>
    <cellStyle name="20% - Accent3 2 4 3" xfId="1138" xr:uid="{00000000-0005-0000-0000-000029110000}"/>
    <cellStyle name="20% - Accent3 2 4 3 2" xfId="1139" xr:uid="{00000000-0005-0000-0000-00002A110000}"/>
    <cellStyle name="20% - Accent3 2 4 3 2 2" xfId="14770" xr:uid="{00000000-0005-0000-0000-00002B110000}"/>
    <cellStyle name="20% - Accent3 2 4 3 2 2 2" xfId="28319" xr:uid="{00000000-0005-0000-0000-00002C110000}"/>
    <cellStyle name="20% - Accent3 2 4 3 2 3" xfId="18463" xr:uid="{00000000-0005-0000-0000-00002D110000}"/>
    <cellStyle name="20% - Accent3 2 4 3 3" xfId="10698" xr:uid="{00000000-0005-0000-0000-00002E110000}"/>
    <cellStyle name="20% - Accent3 2 4 3 3 2" xfId="24640" xr:uid="{00000000-0005-0000-0000-00002F110000}"/>
    <cellStyle name="20% - Accent3 2 4 3 4" xfId="18462" xr:uid="{00000000-0005-0000-0000-000030110000}"/>
    <cellStyle name="20% - Accent3 2 4 4" xfId="1140" xr:uid="{00000000-0005-0000-0000-000031110000}"/>
    <cellStyle name="20% - Accent3 2 4 4 2" xfId="12153" xr:uid="{00000000-0005-0000-0000-000032110000}"/>
    <cellStyle name="20% - Accent3 2 4 4 2 2" xfId="25865" xr:uid="{00000000-0005-0000-0000-000033110000}"/>
    <cellStyle name="20% - Accent3 2 4 4 3" xfId="18464" xr:uid="{00000000-0005-0000-0000-000034110000}"/>
    <cellStyle name="20% - Accent3 2 4 5" xfId="1141" xr:uid="{00000000-0005-0000-0000-000035110000}"/>
    <cellStyle name="20% - Accent3 2 4 5 2" xfId="12482" xr:uid="{00000000-0005-0000-0000-000036110000}"/>
    <cellStyle name="20% - Accent3 2 4 5 2 2" xfId="26194" xr:uid="{00000000-0005-0000-0000-000037110000}"/>
    <cellStyle name="20% - Accent3 2 4 5 3" xfId="18465" xr:uid="{00000000-0005-0000-0000-000038110000}"/>
    <cellStyle name="20% - Accent3 2 4 6" xfId="1142" xr:uid="{00000000-0005-0000-0000-000039110000}"/>
    <cellStyle name="20% - Accent3 2 4 6 2" xfId="13717" xr:uid="{00000000-0005-0000-0000-00003A110000}"/>
    <cellStyle name="20% - Accent3 2 4 6 2 2" xfId="27266" xr:uid="{00000000-0005-0000-0000-00003B110000}"/>
    <cellStyle name="20% - Accent3 2 4 6 3" xfId="18466" xr:uid="{00000000-0005-0000-0000-00003C110000}"/>
    <cellStyle name="20% - Accent3 2 4 7" xfId="1143" xr:uid="{00000000-0005-0000-0000-00003D110000}"/>
    <cellStyle name="20% - Accent3 2 4 7 2" xfId="14298" xr:uid="{00000000-0005-0000-0000-00003E110000}"/>
    <cellStyle name="20% - Accent3 2 4 7 2 2" xfId="27847" xr:uid="{00000000-0005-0000-0000-00003F110000}"/>
    <cellStyle name="20% - Accent3 2 4 7 3" xfId="18467" xr:uid="{00000000-0005-0000-0000-000040110000}"/>
    <cellStyle name="20% - Accent3 2 4 8" xfId="1144" xr:uid="{00000000-0005-0000-0000-000041110000}"/>
    <cellStyle name="20% - Accent3 2 4 8 2" xfId="14768" xr:uid="{00000000-0005-0000-0000-000042110000}"/>
    <cellStyle name="20% - Accent3 2 4 8 2 2" xfId="28317" xr:uid="{00000000-0005-0000-0000-000043110000}"/>
    <cellStyle name="20% - Accent3 2 4 8 3" xfId="18468" xr:uid="{00000000-0005-0000-0000-000044110000}"/>
    <cellStyle name="20% - Accent3 2 4 9" xfId="1145" xr:uid="{00000000-0005-0000-0000-000045110000}"/>
    <cellStyle name="20% - Accent3 2 4 9 2" xfId="16184" xr:uid="{00000000-0005-0000-0000-000046110000}"/>
    <cellStyle name="20% - Accent3 2 4 9 2 2" xfId="29591" xr:uid="{00000000-0005-0000-0000-000047110000}"/>
    <cellStyle name="20% - Accent3 2 4 9 3" xfId="18469" xr:uid="{00000000-0005-0000-0000-000048110000}"/>
    <cellStyle name="20% - Accent3 2 5" xfId="1146" xr:uid="{00000000-0005-0000-0000-000049110000}"/>
    <cellStyle name="20% - Accent3 2 5 2" xfId="1147" xr:uid="{00000000-0005-0000-0000-00004A110000}"/>
    <cellStyle name="20% - Accent3 2 5 2 2" xfId="1148" xr:uid="{00000000-0005-0000-0000-00004B110000}"/>
    <cellStyle name="20% - Accent3 2 5 2 2 2" xfId="10701" xr:uid="{00000000-0005-0000-0000-00004C110000}"/>
    <cellStyle name="20% - Accent3 2 5 2 2 2 2" xfId="24643" xr:uid="{00000000-0005-0000-0000-00004D110000}"/>
    <cellStyle name="20% - Accent3 2 5 2 2 3" xfId="18472" xr:uid="{00000000-0005-0000-0000-00004E110000}"/>
    <cellStyle name="20% - Accent3 2 5 2 3" xfId="1149" xr:uid="{00000000-0005-0000-0000-00004F110000}"/>
    <cellStyle name="20% - Accent3 2 5 2 3 2" xfId="12610" xr:uid="{00000000-0005-0000-0000-000050110000}"/>
    <cellStyle name="20% - Accent3 2 5 2 3 2 2" xfId="26322" xr:uid="{00000000-0005-0000-0000-000051110000}"/>
    <cellStyle name="20% - Accent3 2 5 2 3 3" xfId="18473" xr:uid="{00000000-0005-0000-0000-000052110000}"/>
    <cellStyle name="20% - Accent3 2 5 2 4" xfId="1150" xr:uid="{00000000-0005-0000-0000-000053110000}"/>
    <cellStyle name="20% - Accent3 2 5 2 4 2" xfId="14772" xr:uid="{00000000-0005-0000-0000-000054110000}"/>
    <cellStyle name="20% - Accent3 2 5 2 4 2 2" xfId="28321" xr:uid="{00000000-0005-0000-0000-000055110000}"/>
    <cellStyle name="20% - Accent3 2 5 2 4 3" xfId="18474" xr:uid="{00000000-0005-0000-0000-000056110000}"/>
    <cellStyle name="20% - Accent3 2 5 2 5" xfId="8976" xr:uid="{00000000-0005-0000-0000-000057110000}"/>
    <cellStyle name="20% - Accent3 2 5 2 5 2" xfId="23451" xr:uid="{00000000-0005-0000-0000-000058110000}"/>
    <cellStyle name="20% - Accent3 2 5 2 6" xfId="18471" xr:uid="{00000000-0005-0000-0000-000059110000}"/>
    <cellStyle name="20% - Accent3 2 5 3" xfId="1151" xr:uid="{00000000-0005-0000-0000-00005A110000}"/>
    <cellStyle name="20% - Accent3 2 5 3 2" xfId="10700" xr:uid="{00000000-0005-0000-0000-00005B110000}"/>
    <cellStyle name="20% - Accent3 2 5 3 2 2" xfId="24642" xr:uid="{00000000-0005-0000-0000-00005C110000}"/>
    <cellStyle name="20% - Accent3 2 5 3 3" xfId="18475" xr:uid="{00000000-0005-0000-0000-00005D110000}"/>
    <cellStyle name="20% - Accent3 2 5 4" xfId="1152" xr:uid="{00000000-0005-0000-0000-00005E110000}"/>
    <cellStyle name="20% - Accent3 2 5 4 2" xfId="12613" xr:uid="{00000000-0005-0000-0000-00005F110000}"/>
    <cellStyle name="20% - Accent3 2 5 4 2 2" xfId="26325" xr:uid="{00000000-0005-0000-0000-000060110000}"/>
    <cellStyle name="20% - Accent3 2 5 4 3" xfId="18476" xr:uid="{00000000-0005-0000-0000-000061110000}"/>
    <cellStyle name="20% - Accent3 2 5 5" xfId="1153" xr:uid="{00000000-0005-0000-0000-000062110000}"/>
    <cellStyle name="20% - Accent3 2 5 5 2" xfId="14771" xr:uid="{00000000-0005-0000-0000-000063110000}"/>
    <cellStyle name="20% - Accent3 2 5 5 2 2" xfId="28320" xr:uid="{00000000-0005-0000-0000-000064110000}"/>
    <cellStyle name="20% - Accent3 2 5 5 3" xfId="18477" xr:uid="{00000000-0005-0000-0000-000065110000}"/>
    <cellStyle name="20% - Accent3 2 5 6" xfId="1154" xr:uid="{00000000-0005-0000-0000-000066110000}"/>
    <cellStyle name="20% - Accent3 2 5 6 2" xfId="16998" xr:uid="{00000000-0005-0000-0000-000067110000}"/>
    <cellStyle name="20% - Accent3 2 5 6 2 2" xfId="30405" xr:uid="{00000000-0005-0000-0000-000068110000}"/>
    <cellStyle name="20% - Accent3 2 5 6 3" xfId="18478" xr:uid="{00000000-0005-0000-0000-000069110000}"/>
    <cellStyle name="20% - Accent3 2 5 7" xfId="8975" xr:uid="{00000000-0005-0000-0000-00006A110000}"/>
    <cellStyle name="20% - Accent3 2 5 7 2" xfId="23450" xr:uid="{00000000-0005-0000-0000-00006B110000}"/>
    <cellStyle name="20% - Accent3 2 5 8" xfId="18470" xr:uid="{00000000-0005-0000-0000-00006C110000}"/>
    <cellStyle name="20% - Accent3 2 6" xfId="1155" xr:uid="{00000000-0005-0000-0000-00006D110000}"/>
    <cellStyle name="20% - Accent3 2 6 2" xfId="1156" xr:uid="{00000000-0005-0000-0000-00006E110000}"/>
    <cellStyle name="20% - Accent3 2 6 2 2" xfId="10702" xr:uid="{00000000-0005-0000-0000-00006F110000}"/>
    <cellStyle name="20% - Accent3 2 6 2 2 2" xfId="24644" xr:uid="{00000000-0005-0000-0000-000070110000}"/>
    <cellStyle name="20% - Accent3 2 6 2 3" xfId="18480" xr:uid="{00000000-0005-0000-0000-000071110000}"/>
    <cellStyle name="20% - Accent3 2 6 3" xfId="1157" xr:uid="{00000000-0005-0000-0000-000072110000}"/>
    <cellStyle name="20% - Accent3 2 6 3 2" xfId="12629" xr:uid="{00000000-0005-0000-0000-000073110000}"/>
    <cellStyle name="20% - Accent3 2 6 3 2 2" xfId="26341" xr:uid="{00000000-0005-0000-0000-000074110000}"/>
    <cellStyle name="20% - Accent3 2 6 3 3" xfId="18481" xr:uid="{00000000-0005-0000-0000-000075110000}"/>
    <cellStyle name="20% - Accent3 2 6 4" xfId="1158" xr:uid="{00000000-0005-0000-0000-000076110000}"/>
    <cellStyle name="20% - Accent3 2 6 4 2" xfId="14773" xr:uid="{00000000-0005-0000-0000-000077110000}"/>
    <cellStyle name="20% - Accent3 2 6 4 2 2" xfId="28322" xr:uid="{00000000-0005-0000-0000-000078110000}"/>
    <cellStyle name="20% - Accent3 2 6 4 3" xfId="18482" xr:uid="{00000000-0005-0000-0000-000079110000}"/>
    <cellStyle name="20% - Accent3 2 6 5" xfId="1159" xr:uid="{00000000-0005-0000-0000-00007A110000}"/>
    <cellStyle name="20% - Accent3 2 6 5 2" xfId="17112" xr:uid="{00000000-0005-0000-0000-00007B110000}"/>
    <cellStyle name="20% - Accent3 2 6 5 2 2" xfId="30471" xr:uid="{00000000-0005-0000-0000-00007C110000}"/>
    <cellStyle name="20% - Accent3 2 6 5 3" xfId="18483" xr:uid="{00000000-0005-0000-0000-00007D110000}"/>
    <cellStyle name="20% - Accent3 2 6 6" xfId="8977" xr:uid="{00000000-0005-0000-0000-00007E110000}"/>
    <cellStyle name="20% - Accent3 2 6 6 2" xfId="23452" xr:uid="{00000000-0005-0000-0000-00007F110000}"/>
    <cellStyle name="20% - Accent3 2 6 7" xfId="18479" xr:uid="{00000000-0005-0000-0000-000080110000}"/>
    <cellStyle name="20% - Accent3 2 7" xfId="1160" xr:uid="{00000000-0005-0000-0000-000081110000}"/>
    <cellStyle name="20% - Accent3 2 7 2" xfId="1161" xr:uid="{00000000-0005-0000-0000-000082110000}"/>
    <cellStyle name="20% - Accent3 2 7 2 2" xfId="10703" xr:uid="{00000000-0005-0000-0000-000083110000}"/>
    <cellStyle name="20% - Accent3 2 7 2 2 2" xfId="24645" xr:uid="{00000000-0005-0000-0000-000084110000}"/>
    <cellStyle name="20% - Accent3 2 7 2 3" xfId="18485" xr:uid="{00000000-0005-0000-0000-000085110000}"/>
    <cellStyle name="20% - Accent3 2 7 3" xfId="1162" xr:uid="{00000000-0005-0000-0000-000086110000}"/>
    <cellStyle name="20% - Accent3 2 7 3 2" xfId="12794" xr:uid="{00000000-0005-0000-0000-000087110000}"/>
    <cellStyle name="20% - Accent3 2 7 3 2 2" xfId="26506" xr:uid="{00000000-0005-0000-0000-000088110000}"/>
    <cellStyle name="20% - Accent3 2 7 3 3" xfId="18486" xr:uid="{00000000-0005-0000-0000-000089110000}"/>
    <cellStyle name="20% - Accent3 2 7 4" xfId="1163" xr:uid="{00000000-0005-0000-0000-00008A110000}"/>
    <cellStyle name="20% - Accent3 2 7 4 2" xfId="14774" xr:uid="{00000000-0005-0000-0000-00008B110000}"/>
    <cellStyle name="20% - Accent3 2 7 4 2 2" xfId="28323" xr:uid="{00000000-0005-0000-0000-00008C110000}"/>
    <cellStyle name="20% - Accent3 2 7 4 3" xfId="18487" xr:uid="{00000000-0005-0000-0000-00008D110000}"/>
    <cellStyle name="20% - Accent3 2 7 5" xfId="1164" xr:uid="{00000000-0005-0000-0000-00008E110000}"/>
    <cellStyle name="20% - Accent3 2 7 5 2" xfId="17201" xr:uid="{00000000-0005-0000-0000-00008F110000}"/>
    <cellStyle name="20% - Accent3 2 7 5 2 2" xfId="30560" xr:uid="{00000000-0005-0000-0000-000090110000}"/>
    <cellStyle name="20% - Accent3 2 7 5 3" xfId="18488" xr:uid="{00000000-0005-0000-0000-000091110000}"/>
    <cellStyle name="20% - Accent3 2 7 6" xfId="8978" xr:uid="{00000000-0005-0000-0000-000092110000}"/>
    <cellStyle name="20% - Accent3 2 7 6 2" xfId="23453" xr:uid="{00000000-0005-0000-0000-000093110000}"/>
    <cellStyle name="20% - Accent3 2 7 7" xfId="18484" xr:uid="{00000000-0005-0000-0000-000094110000}"/>
    <cellStyle name="20% - Accent3 2 8" xfId="1165" xr:uid="{00000000-0005-0000-0000-000095110000}"/>
    <cellStyle name="20% - Accent3 2 8 2" xfId="1166" xr:uid="{00000000-0005-0000-0000-000096110000}"/>
    <cellStyle name="20% - Accent3 2 8 2 2" xfId="12394" xr:uid="{00000000-0005-0000-0000-000097110000}"/>
    <cellStyle name="20% - Accent3 2 8 2 2 2" xfId="26106" xr:uid="{00000000-0005-0000-0000-000098110000}"/>
    <cellStyle name="20% - Accent3 2 8 2 3" xfId="18490" xr:uid="{00000000-0005-0000-0000-000099110000}"/>
    <cellStyle name="20% - Accent3 2 8 3" xfId="1167" xr:uid="{00000000-0005-0000-0000-00009A110000}"/>
    <cellStyle name="20% - Accent3 2 8 3 2" xfId="14775" xr:uid="{00000000-0005-0000-0000-00009B110000}"/>
    <cellStyle name="20% - Accent3 2 8 3 2 2" xfId="28324" xr:uid="{00000000-0005-0000-0000-00009C110000}"/>
    <cellStyle name="20% - Accent3 2 8 3 3" xfId="18491" xr:uid="{00000000-0005-0000-0000-00009D110000}"/>
    <cellStyle name="20% - Accent3 2 8 4" xfId="1168" xr:uid="{00000000-0005-0000-0000-00009E110000}"/>
    <cellStyle name="20% - Accent3 2 8 4 2" xfId="16476" xr:uid="{00000000-0005-0000-0000-00009F110000}"/>
    <cellStyle name="20% - Accent3 2 8 4 2 2" xfId="29883" xr:uid="{00000000-0005-0000-0000-0000A0110000}"/>
    <cellStyle name="20% - Accent3 2 8 4 3" xfId="18492" xr:uid="{00000000-0005-0000-0000-0000A1110000}"/>
    <cellStyle name="20% - Accent3 2 8 5" xfId="10519" xr:uid="{00000000-0005-0000-0000-0000A2110000}"/>
    <cellStyle name="20% - Accent3 2 8 5 2" xfId="24461" xr:uid="{00000000-0005-0000-0000-0000A3110000}"/>
    <cellStyle name="20% - Accent3 2 8 6" xfId="18489" xr:uid="{00000000-0005-0000-0000-0000A4110000}"/>
    <cellStyle name="20% - Accent3 2 9" xfId="1169" xr:uid="{00000000-0005-0000-0000-0000A5110000}"/>
    <cellStyle name="20% - Accent3 2 9 2" xfId="1170" xr:uid="{00000000-0005-0000-0000-0000A6110000}"/>
    <cellStyle name="20% - Accent3 2 9 2 2" xfId="12689" xr:uid="{00000000-0005-0000-0000-0000A7110000}"/>
    <cellStyle name="20% - Accent3 2 9 2 2 2" xfId="26401" xr:uid="{00000000-0005-0000-0000-0000A8110000}"/>
    <cellStyle name="20% - Accent3 2 9 2 3" xfId="18494" xr:uid="{00000000-0005-0000-0000-0000A9110000}"/>
    <cellStyle name="20% - Accent3 2 9 3" xfId="1171" xr:uid="{00000000-0005-0000-0000-0000AA110000}"/>
    <cellStyle name="20% - Accent3 2 9 3 2" xfId="14776" xr:uid="{00000000-0005-0000-0000-0000AB110000}"/>
    <cellStyle name="20% - Accent3 2 9 3 2 2" xfId="28325" xr:uid="{00000000-0005-0000-0000-0000AC110000}"/>
    <cellStyle name="20% - Accent3 2 9 3 3" xfId="18495" xr:uid="{00000000-0005-0000-0000-0000AD110000}"/>
    <cellStyle name="20% - Accent3 2 9 4" xfId="10685" xr:uid="{00000000-0005-0000-0000-0000AE110000}"/>
    <cellStyle name="20% - Accent3 2 9 4 2" xfId="24627" xr:uid="{00000000-0005-0000-0000-0000AF110000}"/>
    <cellStyle name="20% - Accent3 2 9 5" xfId="18493" xr:uid="{00000000-0005-0000-0000-0000B0110000}"/>
    <cellStyle name="20% - Accent3 20" xfId="1172" xr:uid="{00000000-0005-0000-0000-0000B1110000}"/>
    <cellStyle name="20% - Accent3 20 2" xfId="1173" xr:uid="{00000000-0005-0000-0000-0000B2110000}"/>
    <cellStyle name="20% - Accent3 20 2 2" xfId="12404" xr:uid="{00000000-0005-0000-0000-0000B3110000}"/>
    <cellStyle name="20% - Accent3 20 2 2 2" xfId="26116" xr:uid="{00000000-0005-0000-0000-0000B4110000}"/>
    <cellStyle name="20% - Accent3 20 2 3" xfId="18497" xr:uid="{00000000-0005-0000-0000-0000B5110000}"/>
    <cellStyle name="20% - Accent3 20 3" xfId="1174" xr:uid="{00000000-0005-0000-0000-0000B6110000}"/>
    <cellStyle name="20% - Accent3 20 3 2" xfId="14777" xr:uid="{00000000-0005-0000-0000-0000B7110000}"/>
    <cellStyle name="20% - Accent3 20 3 2 2" xfId="28326" xr:uid="{00000000-0005-0000-0000-0000B8110000}"/>
    <cellStyle name="20% - Accent3 20 3 3" xfId="18498" xr:uid="{00000000-0005-0000-0000-0000B9110000}"/>
    <cellStyle name="20% - Accent3 20 4" xfId="10494" xr:uid="{00000000-0005-0000-0000-0000BA110000}"/>
    <cellStyle name="20% - Accent3 20 4 2" xfId="24442" xr:uid="{00000000-0005-0000-0000-0000BB110000}"/>
    <cellStyle name="20% - Accent3 20 5" xfId="18496" xr:uid="{00000000-0005-0000-0000-0000BC110000}"/>
    <cellStyle name="20% - Accent3 21" xfId="1175" xr:uid="{00000000-0005-0000-0000-0000BD110000}"/>
    <cellStyle name="20% - Accent3 21 2" xfId="1176" xr:uid="{00000000-0005-0000-0000-0000BE110000}"/>
    <cellStyle name="20% - Accent3 21 2 2" xfId="12632" xr:uid="{00000000-0005-0000-0000-0000BF110000}"/>
    <cellStyle name="20% - Accent3 21 2 2 2" xfId="26344" xr:uid="{00000000-0005-0000-0000-0000C0110000}"/>
    <cellStyle name="20% - Accent3 21 2 3" xfId="18500" xr:uid="{00000000-0005-0000-0000-0000C1110000}"/>
    <cellStyle name="20% - Accent3 21 3" xfId="1177" xr:uid="{00000000-0005-0000-0000-0000C2110000}"/>
    <cellStyle name="20% - Accent3 21 3 2" xfId="14778" xr:uid="{00000000-0005-0000-0000-0000C3110000}"/>
    <cellStyle name="20% - Accent3 21 3 2 2" xfId="28327" xr:uid="{00000000-0005-0000-0000-0000C4110000}"/>
    <cellStyle name="20% - Accent3 21 3 3" xfId="18501" xr:uid="{00000000-0005-0000-0000-0000C5110000}"/>
    <cellStyle name="20% - Accent3 21 4" xfId="10674" xr:uid="{00000000-0005-0000-0000-0000C6110000}"/>
    <cellStyle name="20% - Accent3 21 4 2" xfId="24616" xr:uid="{00000000-0005-0000-0000-0000C7110000}"/>
    <cellStyle name="20% - Accent3 21 5" xfId="18499" xr:uid="{00000000-0005-0000-0000-0000C8110000}"/>
    <cellStyle name="20% - Accent3 22" xfId="1178" xr:uid="{00000000-0005-0000-0000-0000C9110000}"/>
    <cellStyle name="20% - Accent3 22 2" xfId="11730" xr:uid="{00000000-0005-0000-0000-0000CA110000}"/>
    <cellStyle name="20% - Accent3 22 2 2" xfId="25445" xr:uid="{00000000-0005-0000-0000-0000CB110000}"/>
    <cellStyle name="20% - Accent3 22 3" xfId="18502" xr:uid="{00000000-0005-0000-0000-0000CC110000}"/>
    <cellStyle name="20% - Accent3 23" xfId="1179" xr:uid="{00000000-0005-0000-0000-0000CD110000}"/>
    <cellStyle name="20% - Accent3 23 2" xfId="12789" xr:uid="{00000000-0005-0000-0000-0000CE110000}"/>
    <cellStyle name="20% - Accent3 23 2 2" xfId="26501" xr:uid="{00000000-0005-0000-0000-0000CF110000}"/>
    <cellStyle name="20% - Accent3 23 3" xfId="18503" xr:uid="{00000000-0005-0000-0000-0000D0110000}"/>
    <cellStyle name="20% - Accent3 24" xfId="1180" xr:uid="{00000000-0005-0000-0000-0000D1110000}"/>
    <cellStyle name="20% - Accent3 24 2" xfId="13369" xr:uid="{00000000-0005-0000-0000-0000D2110000}"/>
    <cellStyle name="20% - Accent3 24 2 2" xfId="26918" xr:uid="{00000000-0005-0000-0000-0000D3110000}"/>
    <cellStyle name="20% - Accent3 24 3" xfId="18504" xr:uid="{00000000-0005-0000-0000-0000D4110000}"/>
    <cellStyle name="20% - Accent3 25" xfId="1181" xr:uid="{00000000-0005-0000-0000-0000D5110000}"/>
    <cellStyle name="20% - Accent3 25 2" xfId="13950" xr:uid="{00000000-0005-0000-0000-0000D6110000}"/>
    <cellStyle name="20% - Accent3 25 2 2" xfId="27499" xr:uid="{00000000-0005-0000-0000-0000D7110000}"/>
    <cellStyle name="20% - Accent3 25 3" xfId="18505" xr:uid="{00000000-0005-0000-0000-0000D8110000}"/>
    <cellStyle name="20% - Accent3 26" xfId="1182" xr:uid="{00000000-0005-0000-0000-0000D9110000}"/>
    <cellStyle name="20% - Accent3 26 2" xfId="14735" xr:uid="{00000000-0005-0000-0000-0000DA110000}"/>
    <cellStyle name="20% - Accent3 26 2 2" xfId="28284" xr:uid="{00000000-0005-0000-0000-0000DB110000}"/>
    <cellStyle name="20% - Accent3 26 3" xfId="18506" xr:uid="{00000000-0005-0000-0000-0000DC110000}"/>
    <cellStyle name="20% - Accent3 27" xfId="1183" xr:uid="{00000000-0005-0000-0000-0000DD110000}"/>
    <cellStyle name="20% - Accent3 27 2" xfId="15827" xr:uid="{00000000-0005-0000-0000-0000DE110000}"/>
    <cellStyle name="20% - Accent3 27 2 2" xfId="29234" xr:uid="{00000000-0005-0000-0000-0000DF110000}"/>
    <cellStyle name="20% - Accent3 27 3" xfId="18507" xr:uid="{00000000-0005-0000-0000-0000E0110000}"/>
    <cellStyle name="20% - Accent3 28" xfId="1184" xr:uid="{00000000-0005-0000-0000-0000E1110000}"/>
    <cellStyle name="20% - Accent3 28 2" xfId="15836" xr:uid="{00000000-0005-0000-0000-0000E2110000}"/>
    <cellStyle name="20% - Accent3 28 2 2" xfId="29243" xr:uid="{00000000-0005-0000-0000-0000E3110000}"/>
    <cellStyle name="20% - Accent3 28 3" xfId="18508" xr:uid="{00000000-0005-0000-0000-0000E4110000}"/>
    <cellStyle name="20% - Accent3 29" xfId="1185" xr:uid="{00000000-0005-0000-0000-0000E5110000}"/>
    <cellStyle name="20% - Accent3 29 2" xfId="8949" xr:uid="{00000000-0005-0000-0000-0000E6110000}"/>
    <cellStyle name="20% - Accent3 29 2 2" xfId="23424" xr:uid="{00000000-0005-0000-0000-0000E7110000}"/>
    <cellStyle name="20% - Accent3 29 3" xfId="18509" xr:uid="{00000000-0005-0000-0000-0000E8110000}"/>
    <cellStyle name="20% - Accent3 3" xfId="1186" xr:uid="{00000000-0005-0000-0000-0000E9110000}"/>
    <cellStyle name="20% - Accent3 3 10" xfId="1187" xr:uid="{00000000-0005-0000-0000-0000EA110000}"/>
    <cellStyle name="20% - Accent3 3 10 2" xfId="14032" xr:uid="{00000000-0005-0000-0000-0000EB110000}"/>
    <cellStyle name="20% - Accent3 3 10 2 2" xfId="27581" xr:uid="{00000000-0005-0000-0000-0000EC110000}"/>
    <cellStyle name="20% - Accent3 3 10 3" xfId="18511" xr:uid="{00000000-0005-0000-0000-0000ED110000}"/>
    <cellStyle name="20% - Accent3 3 11" xfId="1188" xr:uid="{00000000-0005-0000-0000-0000EE110000}"/>
    <cellStyle name="20% - Accent3 3 11 2" xfId="14779" xr:uid="{00000000-0005-0000-0000-0000EF110000}"/>
    <cellStyle name="20% - Accent3 3 11 2 2" xfId="28328" xr:uid="{00000000-0005-0000-0000-0000F0110000}"/>
    <cellStyle name="20% - Accent3 3 11 3" xfId="18512" xr:uid="{00000000-0005-0000-0000-0000F1110000}"/>
    <cellStyle name="20% - Accent3 3 12" xfId="1189" xr:uid="{00000000-0005-0000-0000-0000F2110000}"/>
    <cellStyle name="20% - Accent3 3 12 2" xfId="15918" xr:uid="{00000000-0005-0000-0000-0000F3110000}"/>
    <cellStyle name="20% - Accent3 3 12 2 2" xfId="29325" xr:uid="{00000000-0005-0000-0000-0000F4110000}"/>
    <cellStyle name="20% - Accent3 3 12 3" xfId="18513" xr:uid="{00000000-0005-0000-0000-0000F5110000}"/>
    <cellStyle name="20% - Accent3 3 13" xfId="8979" xr:uid="{00000000-0005-0000-0000-0000F6110000}"/>
    <cellStyle name="20% - Accent3 3 13 2" xfId="23454" xr:uid="{00000000-0005-0000-0000-0000F7110000}"/>
    <cellStyle name="20% - Accent3 3 14" xfId="18510" xr:uid="{00000000-0005-0000-0000-0000F8110000}"/>
    <cellStyle name="20% - Accent3 3 2" xfId="1190" xr:uid="{00000000-0005-0000-0000-0000F9110000}"/>
    <cellStyle name="20% - Accent3 3 2 10" xfId="1191" xr:uid="{00000000-0005-0000-0000-0000FA110000}"/>
    <cellStyle name="20% - Accent3 3 2 10 2" xfId="16061" xr:uid="{00000000-0005-0000-0000-0000FB110000}"/>
    <cellStyle name="20% - Accent3 3 2 10 2 2" xfId="29468" xr:uid="{00000000-0005-0000-0000-0000FC110000}"/>
    <cellStyle name="20% - Accent3 3 2 10 3" xfId="18515" xr:uid="{00000000-0005-0000-0000-0000FD110000}"/>
    <cellStyle name="20% - Accent3 3 2 11" xfId="8980" xr:uid="{00000000-0005-0000-0000-0000FE110000}"/>
    <cellStyle name="20% - Accent3 3 2 11 2" xfId="23455" xr:uid="{00000000-0005-0000-0000-0000FF110000}"/>
    <cellStyle name="20% - Accent3 3 2 12" xfId="18514" xr:uid="{00000000-0005-0000-0000-000000120000}"/>
    <cellStyle name="20% - Accent3 3 2 2" xfId="1192" xr:uid="{00000000-0005-0000-0000-000001120000}"/>
    <cellStyle name="20% - Accent3 3 2 2 10" xfId="8981" xr:uid="{00000000-0005-0000-0000-000002120000}"/>
    <cellStyle name="20% - Accent3 3 2 2 10 2" xfId="23456" xr:uid="{00000000-0005-0000-0000-000003120000}"/>
    <cellStyle name="20% - Accent3 3 2 2 11" xfId="18516" xr:uid="{00000000-0005-0000-0000-000004120000}"/>
    <cellStyle name="20% - Accent3 3 2 2 2" xfId="1193" xr:uid="{00000000-0005-0000-0000-000005120000}"/>
    <cellStyle name="20% - Accent3 3 2 2 2 2" xfId="1194" xr:uid="{00000000-0005-0000-0000-000006120000}"/>
    <cellStyle name="20% - Accent3 3 2 2 2 2 2" xfId="10707" xr:uid="{00000000-0005-0000-0000-000007120000}"/>
    <cellStyle name="20% - Accent3 3 2 2 2 2 2 2" xfId="24649" xr:uid="{00000000-0005-0000-0000-000008120000}"/>
    <cellStyle name="20% - Accent3 3 2 2 2 2 3" xfId="18518" xr:uid="{00000000-0005-0000-0000-000009120000}"/>
    <cellStyle name="20% - Accent3 3 2 2 2 3" xfId="1195" xr:uid="{00000000-0005-0000-0000-00000A120000}"/>
    <cellStyle name="20% - Accent3 3 2 2 2 3 2" xfId="12516" xr:uid="{00000000-0005-0000-0000-00000B120000}"/>
    <cellStyle name="20% - Accent3 3 2 2 2 3 2 2" xfId="26228" xr:uid="{00000000-0005-0000-0000-00000C120000}"/>
    <cellStyle name="20% - Accent3 3 2 2 2 3 3" xfId="18519" xr:uid="{00000000-0005-0000-0000-00000D120000}"/>
    <cellStyle name="20% - Accent3 3 2 2 2 4" xfId="1196" xr:uid="{00000000-0005-0000-0000-00000E120000}"/>
    <cellStyle name="20% - Accent3 3 2 2 2 4 2" xfId="14782" xr:uid="{00000000-0005-0000-0000-00000F120000}"/>
    <cellStyle name="20% - Accent3 3 2 2 2 4 2 2" xfId="28331" xr:uid="{00000000-0005-0000-0000-000010120000}"/>
    <cellStyle name="20% - Accent3 3 2 2 2 4 3" xfId="18520" xr:uid="{00000000-0005-0000-0000-000011120000}"/>
    <cellStyle name="20% - Accent3 3 2 2 2 5" xfId="1197" xr:uid="{00000000-0005-0000-0000-000012120000}"/>
    <cellStyle name="20% - Accent3 3 2 2 2 5 2" xfId="16931" xr:uid="{00000000-0005-0000-0000-000013120000}"/>
    <cellStyle name="20% - Accent3 3 2 2 2 5 2 2" xfId="30338" xr:uid="{00000000-0005-0000-0000-000014120000}"/>
    <cellStyle name="20% - Accent3 3 2 2 2 5 3" xfId="18521" xr:uid="{00000000-0005-0000-0000-000015120000}"/>
    <cellStyle name="20% - Accent3 3 2 2 2 6" xfId="8982" xr:uid="{00000000-0005-0000-0000-000016120000}"/>
    <cellStyle name="20% - Accent3 3 2 2 2 6 2" xfId="23457" xr:uid="{00000000-0005-0000-0000-000017120000}"/>
    <cellStyle name="20% - Accent3 3 2 2 2 7" xfId="18517" xr:uid="{00000000-0005-0000-0000-000018120000}"/>
    <cellStyle name="20% - Accent3 3 2 2 3" xfId="1198" xr:uid="{00000000-0005-0000-0000-000019120000}"/>
    <cellStyle name="20% - Accent3 3 2 2 3 2" xfId="1199" xr:uid="{00000000-0005-0000-0000-00001A120000}"/>
    <cellStyle name="20% - Accent3 3 2 2 3 2 2" xfId="14783" xr:uid="{00000000-0005-0000-0000-00001B120000}"/>
    <cellStyle name="20% - Accent3 3 2 2 3 2 2 2" xfId="28332" xr:uid="{00000000-0005-0000-0000-00001C120000}"/>
    <cellStyle name="20% - Accent3 3 2 2 3 2 3" xfId="18523" xr:uid="{00000000-0005-0000-0000-00001D120000}"/>
    <cellStyle name="20% - Accent3 3 2 2 3 3" xfId="10706" xr:uid="{00000000-0005-0000-0000-00001E120000}"/>
    <cellStyle name="20% - Accent3 3 2 2 3 3 2" xfId="24648" xr:uid="{00000000-0005-0000-0000-00001F120000}"/>
    <cellStyle name="20% - Accent3 3 2 2 3 4" xfId="18522" xr:uid="{00000000-0005-0000-0000-000020120000}"/>
    <cellStyle name="20% - Accent3 3 2 2 4" xfId="1200" xr:uid="{00000000-0005-0000-0000-000021120000}"/>
    <cellStyle name="20% - Accent3 3 2 2 4 2" xfId="12319" xr:uid="{00000000-0005-0000-0000-000022120000}"/>
    <cellStyle name="20% - Accent3 3 2 2 4 2 2" xfId="26031" xr:uid="{00000000-0005-0000-0000-000023120000}"/>
    <cellStyle name="20% - Accent3 3 2 2 4 3" xfId="18524" xr:uid="{00000000-0005-0000-0000-000024120000}"/>
    <cellStyle name="20% - Accent3 3 2 2 5" xfId="1201" xr:uid="{00000000-0005-0000-0000-000025120000}"/>
    <cellStyle name="20% - Accent3 3 2 2 5 2" xfId="12681" xr:uid="{00000000-0005-0000-0000-000026120000}"/>
    <cellStyle name="20% - Accent3 3 2 2 5 2 2" xfId="26393" xr:uid="{00000000-0005-0000-0000-000027120000}"/>
    <cellStyle name="20% - Accent3 3 2 2 5 3" xfId="18525" xr:uid="{00000000-0005-0000-0000-000028120000}"/>
    <cellStyle name="20% - Accent3 3 2 2 6" xfId="1202" xr:uid="{00000000-0005-0000-0000-000029120000}"/>
    <cellStyle name="20% - Accent3 3 2 2 6 2" xfId="13883" xr:uid="{00000000-0005-0000-0000-00002A120000}"/>
    <cellStyle name="20% - Accent3 3 2 2 6 2 2" xfId="27432" xr:uid="{00000000-0005-0000-0000-00002B120000}"/>
    <cellStyle name="20% - Accent3 3 2 2 6 3" xfId="18526" xr:uid="{00000000-0005-0000-0000-00002C120000}"/>
    <cellStyle name="20% - Accent3 3 2 2 7" xfId="1203" xr:uid="{00000000-0005-0000-0000-00002D120000}"/>
    <cellStyle name="20% - Accent3 3 2 2 7 2" xfId="14464" xr:uid="{00000000-0005-0000-0000-00002E120000}"/>
    <cellStyle name="20% - Accent3 3 2 2 7 2 2" xfId="28013" xr:uid="{00000000-0005-0000-0000-00002F120000}"/>
    <cellStyle name="20% - Accent3 3 2 2 7 3" xfId="18527" xr:uid="{00000000-0005-0000-0000-000030120000}"/>
    <cellStyle name="20% - Accent3 3 2 2 8" xfId="1204" xr:uid="{00000000-0005-0000-0000-000031120000}"/>
    <cellStyle name="20% - Accent3 3 2 2 8 2" xfId="14781" xr:uid="{00000000-0005-0000-0000-000032120000}"/>
    <cellStyle name="20% - Accent3 3 2 2 8 2 2" xfId="28330" xr:uid="{00000000-0005-0000-0000-000033120000}"/>
    <cellStyle name="20% - Accent3 3 2 2 8 3" xfId="18528" xr:uid="{00000000-0005-0000-0000-000034120000}"/>
    <cellStyle name="20% - Accent3 3 2 2 9" xfId="1205" xr:uid="{00000000-0005-0000-0000-000035120000}"/>
    <cellStyle name="20% - Accent3 3 2 2 9 2" xfId="16350" xr:uid="{00000000-0005-0000-0000-000036120000}"/>
    <cellStyle name="20% - Accent3 3 2 2 9 2 2" xfId="29757" xr:uid="{00000000-0005-0000-0000-000037120000}"/>
    <cellStyle name="20% - Accent3 3 2 2 9 3" xfId="18529" xr:uid="{00000000-0005-0000-0000-000038120000}"/>
    <cellStyle name="20% - Accent3 3 2 3" xfId="1206" xr:uid="{00000000-0005-0000-0000-000039120000}"/>
    <cellStyle name="20% - Accent3 3 2 3 2" xfId="1207" xr:uid="{00000000-0005-0000-0000-00003A120000}"/>
    <cellStyle name="20% - Accent3 3 2 3 2 2" xfId="10708" xr:uid="{00000000-0005-0000-0000-00003B120000}"/>
    <cellStyle name="20% - Accent3 3 2 3 2 2 2" xfId="24650" xr:uid="{00000000-0005-0000-0000-00003C120000}"/>
    <cellStyle name="20% - Accent3 3 2 3 2 3" xfId="18531" xr:uid="{00000000-0005-0000-0000-00003D120000}"/>
    <cellStyle name="20% - Accent3 3 2 3 3" xfId="1208" xr:uid="{00000000-0005-0000-0000-00003E120000}"/>
    <cellStyle name="20% - Accent3 3 2 3 3 2" xfId="12550" xr:uid="{00000000-0005-0000-0000-00003F120000}"/>
    <cellStyle name="20% - Accent3 3 2 3 3 2 2" xfId="26262" xr:uid="{00000000-0005-0000-0000-000040120000}"/>
    <cellStyle name="20% - Accent3 3 2 3 3 3" xfId="18532" xr:uid="{00000000-0005-0000-0000-000041120000}"/>
    <cellStyle name="20% - Accent3 3 2 3 4" xfId="1209" xr:uid="{00000000-0005-0000-0000-000042120000}"/>
    <cellStyle name="20% - Accent3 3 2 3 4 2" xfId="14784" xr:uid="{00000000-0005-0000-0000-000043120000}"/>
    <cellStyle name="20% - Accent3 3 2 3 4 2 2" xfId="28333" xr:uid="{00000000-0005-0000-0000-000044120000}"/>
    <cellStyle name="20% - Accent3 3 2 3 4 3" xfId="18533" xr:uid="{00000000-0005-0000-0000-000045120000}"/>
    <cellStyle name="20% - Accent3 3 2 3 5" xfId="1210" xr:uid="{00000000-0005-0000-0000-000046120000}"/>
    <cellStyle name="20% - Accent3 3 2 3 5 2" xfId="16642" xr:uid="{00000000-0005-0000-0000-000047120000}"/>
    <cellStyle name="20% - Accent3 3 2 3 5 2 2" xfId="30049" xr:uid="{00000000-0005-0000-0000-000048120000}"/>
    <cellStyle name="20% - Accent3 3 2 3 5 3" xfId="18534" xr:uid="{00000000-0005-0000-0000-000049120000}"/>
    <cellStyle name="20% - Accent3 3 2 3 6" xfId="8983" xr:uid="{00000000-0005-0000-0000-00004A120000}"/>
    <cellStyle name="20% - Accent3 3 2 3 6 2" xfId="23458" xr:uid="{00000000-0005-0000-0000-00004B120000}"/>
    <cellStyle name="20% - Accent3 3 2 3 7" xfId="18530" xr:uid="{00000000-0005-0000-0000-00004C120000}"/>
    <cellStyle name="20% - Accent3 3 2 4" xfId="1211" xr:uid="{00000000-0005-0000-0000-00004D120000}"/>
    <cellStyle name="20% - Accent3 3 2 4 2" xfId="1212" xr:uid="{00000000-0005-0000-0000-00004E120000}"/>
    <cellStyle name="20% - Accent3 3 2 4 2 2" xfId="14785" xr:uid="{00000000-0005-0000-0000-00004F120000}"/>
    <cellStyle name="20% - Accent3 3 2 4 2 2 2" xfId="28334" xr:uid="{00000000-0005-0000-0000-000050120000}"/>
    <cellStyle name="20% - Accent3 3 2 4 2 3" xfId="18536" xr:uid="{00000000-0005-0000-0000-000051120000}"/>
    <cellStyle name="20% - Accent3 3 2 4 3" xfId="10705" xr:uid="{00000000-0005-0000-0000-000052120000}"/>
    <cellStyle name="20% - Accent3 3 2 4 3 2" xfId="24647" xr:uid="{00000000-0005-0000-0000-000053120000}"/>
    <cellStyle name="20% - Accent3 3 2 4 4" xfId="18535" xr:uid="{00000000-0005-0000-0000-000054120000}"/>
    <cellStyle name="20% - Accent3 3 2 5" xfId="1213" xr:uid="{00000000-0005-0000-0000-000055120000}"/>
    <cellStyle name="20% - Accent3 3 2 5 2" xfId="12019" xr:uid="{00000000-0005-0000-0000-000056120000}"/>
    <cellStyle name="20% - Accent3 3 2 5 2 2" xfId="25734" xr:uid="{00000000-0005-0000-0000-000057120000}"/>
    <cellStyle name="20% - Accent3 3 2 5 3" xfId="18537" xr:uid="{00000000-0005-0000-0000-000058120000}"/>
    <cellStyle name="20% - Accent3 3 2 6" xfId="1214" xr:uid="{00000000-0005-0000-0000-000059120000}"/>
    <cellStyle name="20% - Accent3 3 2 6 2" xfId="12460" xr:uid="{00000000-0005-0000-0000-00005A120000}"/>
    <cellStyle name="20% - Accent3 3 2 6 2 2" xfId="26172" xr:uid="{00000000-0005-0000-0000-00005B120000}"/>
    <cellStyle name="20% - Accent3 3 2 6 3" xfId="18538" xr:uid="{00000000-0005-0000-0000-00005C120000}"/>
    <cellStyle name="20% - Accent3 3 2 7" xfId="1215" xr:uid="{00000000-0005-0000-0000-00005D120000}"/>
    <cellStyle name="20% - Accent3 3 2 7 2" xfId="13594" xr:uid="{00000000-0005-0000-0000-00005E120000}"/>
    <cellStyle name="20% - Accent3 3 2 7 2 2" xfId="27143" xr:uid="{00000000-0005-0000-0000-00005F120000}"/>
    <cellStyle name="20% - Accent3 3 2 7 3" xfId="18539" xr:uid="{00000000-0005-0000-0000-000060120000}"/>
    <cellStyle name="20% - Accent3 3 2 8" xfId="1216" xr:uid="{00000000-0005-0000-0000-000061120000}"/>
    <cellStyle name="20% - Accent3 3 2 8 2" xfId="14175" xr:uid="{00000000-0005-0000-0000-000062120000}"/>
    <cellStyle name="20% - Accent3 3 2 8 2 2" xfId="27724" xr:uid="{00000000-0005-0000-0000-000063120000}"/>
    <cellStyle name="20% - Accent3 3 2 8 3" xfId="18540" xr:uid="{00000000-0005-0000-0000-000064120000}"/>
    <cellStyle name="20% - Accent3 3 2 9" xfId="1217" xr:uid="{00000000-0005-0000-0000-000065120000}"/>
    <cellStyle name="20% - Accent3 3 2 9 2" xfId="14780" xr:uid="{00000000-0005-0000-0000-000066120000}"/>
    <cellStyle name="20% - Accent3 3 2 9 2 2" xfId="28329" xr:uid="{00000000-0005-0000-0000-000067120000}"/>
    <cellStyle name="20% - Accent3 3 2 9 3" xfId="18541" xr:uid="{00000000-0005-0000-0000-000068120000}"/>
    <cellStyle name="20% - Accent3 3 3" xfId="1218" xr:uid="{00000000-0005-0000-0000-000069120000}"/>
    <cellStyle name="20% - Accent3 3 3 10" xfId="8984" xr:uid="{00000000-0005-0000-0000-00006A120000}"/>
    <cellStyle name="20% - Accent3 3 3 10 2" xfId="23459" xr:uid="{00000000-0005-0000-0000-00006B120000}"/>
    <cellStyle name="20% - Accent3 3 3 11" xfId="18542" xr:uid="{00000000-0005-0000-0000-00006C120000}"/>
    <cellStyle name="20% - Accent3 3 3 2" xfId="1219" xr:uid="{00000000-0005-0000-0000-00006D120000}"/>
    <cellStyle name="20% - Accent3 3 3 2 2" xfId="1220" xr:uid="{00000000-0005-0000-0000-00006E120000}"/>
    <cellStyle name="20% - Accent3 3 3 2 2 2" xfId="10710" xr:uid="{00000000-0005-0000-0000-00006F120000}"/>
    <cellStyle name="20% - Accent3 3 3 2 2 2 2" xfId="24652" xr:uid="{00000000-0005-0000-0000-000070120000}"/>
    <cellStyle name="20% - Accent3 3 3 2 2 3" xfId="18544" xr:uid="{00000000-0005-0000-0000-000071120000}"/>
    <cellStyle name="20% - Accent3 3 3 2 3" xfId="1221" xr:uid="{00000000-0005-0000-0000-000072120000}"/>
    <cellStyle name="20% - Accent3 3 3 2 3 2" xfId="12630" xr:uid="{00000000-0005-0000-0000-000073120000}"/>
    <cellStyle name="20% - Accent3 3 3 2 3 2 2" xfId="26342" xr:uid="{00000000-0005-0000-0000-000074120000}"/>
    <cellStyle name="20% - Accent3 3 3 2 3 3" xfId="18545" xr:uid="{00000000-0005-0000-0000-000075120000}"/>
    <cellStyle name="20% - Accent3 3 3 2 4" xfId="1222" xr:uid="{00000000-0005-0000-0000-000076120000}"/>
    <cellStyle name="20% - Accent3 3 3 2 4 2" xfId="14787" xr:uid="{00000000-0005-0000-0000-000077120000}"/>
    <cellStyle name="20% - Accent3 3 3 2 4 2 2" xfId="28336" xr:uid="{00000000-0005-0000-0000-000078120000}"/>
    <cellStyle name="20% - Accent3 3 3 2 4 3" xfId="18546" xr:uid="{00000000-0005-0000-0000-000079120000}"/>
    <cellStyle name="20% - Accent3 3 3 2 5" xfId="1223" xr:uid="{00000000-0005-0000-0000-00007A120000}"/>
    <cellStyle name="20% - Accent3 3 3 2 5 2" xfId="16788" xr:uid="{00000000-0005-0000-0000-00007B120000}"/>
    <cellStyle name="20% - Accent3 3 3 2 5 2 2" xfId="30195" xr:uid="{00000000-0005-0000-0000-00007C120000}"/>
    <cellStyle name="20% - Accent3 3 3 2 5 3" xfId="18547" xr:uid="{00000000-0005-0000-0000-00007D120000}"/>
    <cellStyle name="20% - Accent3 3 3 2 6" xfId="8985" xr:uid="{00000000-0005-0000-0000-00007E120000}"/>
    <cellStyle name="20% - Accent3 3 3 2 6 2" xfId="23460" xr:uid="{00000000-0005-0000-0000-00007F120000}"/>
    <cellStyle name="20% - Accent3 3 3 2 7" xfId="18543" xr:uid="{00000000-0005-0000-0000-000080120000}"/>
    <cellStyle name="20% - Accent3 3 3 3" xfId="1224" xr:uid="{00000000-0005-0000-0000-000081120000}"/>
    <cellStyle name="20% - Accent3 3 3 3 2" xfId="1225" xr:uid="{00000000-0005-0000-0000-000082120000}"/>
    <cellStyle name="20% - Accent3 3 3 3 2 2" xfId="14788" xr:uid="{00000000-0005-0000-0000-000083120000}"/>
    <cellStyle name="20% - Accent3 3 3 3 2 2 2" xfId="28337" xr:uid="{00000000-0005-0000-0000-000084120000}"/>
    <cellStyle name="20% - Accent3 3 3 3 2 3" xfId="18549" xr:uid="{00000000-0005-0000-0000-000085120000}"/>
    <cellStyle name="20% - Accent3 3 3 3 3" xfId="10709" xr:uid="{00000000-0005-0000-0000-000086120000}"/>
    <cellStyle name="20% - Accent3 3 3 3 3 2" xfId="24651" xr:uid="{00000000-0005-0000-0000-000087120000}"/>
    <cellStyle name="20% - Accent3 3 3 3 4" xfId="18548" xr:uid="{00000000-0005-0000-0000-000088120000}"/>
    <cellStyle name="20% - Accent3 3 3 4" xfId="1226" xr:uid="{00000000-0005-0000-0000-000089120000}"/>
    <cellStyle name="20% - Accent3 3 3 4 2" xfId="12176" xr:uid="{00000000-0005-0000-0000-00008A120000}"/>
    <cellStyle name="20% - Accent3 3 3 4 2 2" xfId="25888" xr:uid="{00000000-0005-0000-0000-00008B120000}"/>
    <cellStyle name="20% - Accent3 3 3 4 3" xfId="18550" xr:uid="{00000000-0005-0000-0000-00008C120000}"/>
    <cellStyle name="20% - Accent3 3 3 5" xfId="1227" xr:uid="{00000000-0005-0000-0000-00008D120000}"/>
    <cellStyle name="20% - Accent3 3 3 5 2" xfId="12680" xr:uid="{00000000-0005-0000-0000-00008E120000}"/>
    <cellStyle name="20% - Accent3 3 3 5 2 2" xfId="26392" xr:uid="{00000000-0005-0000-0000-00008F120000}"/>
    <cellStyle name="20% - Accent3 3 3 5 3" xfId="18551" xr:uid="{00000000-0005-0000-0000-000090120000}"/>
    <cellStyle name="20% - Accent3 3 3 6" xfId="1228" xr:uid="{00000000-0005-0000-0000-000091120000}"/>
    <cellStyle name="20% - Accent3 3 3 6 2" xfId="13740" xr:uid="{00000000-0005-0000-0000-000092120000}"/>
    <cellStyle name="20% - Accent3 3 3 6 2 2" xfId="27289" xr:uid="{00000000-0005-0000-0000-000093120000}"/>
    <cellStyle name="20% - Accent3 3 3 6 3" xfId="18552" xr:uid="{00000000-0005-0000-0000-000094120000}"/>
    <cellStyle name="20% - Accent3 3 3 7" xfId="1229" xr:uid="{00000000-0005-0000-0000-000095120000}"/>
    <cellStyle name="20% - Accent3 3 3 7 2" xfId="14321" xr:uid="{00000000-0005-0000-0000-000096120000}"/>
    <cellStyle name="20% - Accent3 3 3 7 2 2" xfId="27870" xr:uid="{00000000-0005-0000-0000-000097120000}"/>
    <cellStyle name="20% - Accent3 3 3 7 3" xfId="18553" xr:uid="{00000000-0005-0000-0000-000098120000}"/>
    <cellStyle name="20% - Accent3 3 3 8" xfId="1230" xr:uid="{00000000-0005-0000-0000-000099120000}"/>
    <cellStyle name="20% - Accent3 3 3 8 2" xfId="14786" xr:uid="{00000000-0005-0000-0000-00009A120000}"/>
    <cellStyle name="20% - Accent3 3 3 8 2 2" xfId="28335" xr:uid="{00000000-0005-0000-0000-00009B120000}"/>
    <cellStyle name="20% - Accent3 3 3 8 3" xfId="18554" xr:uid="{00000000-0005-0000-0000-00009C120000}"/>
    <cellStyle name="20% - Accent3 3 3 9" xfId="1231" xr:uid="{00000000-0005-0000-0000-00009D120000}"/>
    <cellStyle name="20% - Accent3 3 3 9 2" xfId="16207" xr:uid="{00000000-0005-0000-0000-00009E120000}"/>
    <cellStyle name="20% - Accent3 3 3 9 2 2" xfId="29614" xr:uid="{00000000-0005-0000-0000-00009F120000}"/>
    <cellStyle name="20% - Accent3 3 3 9 3" xfId="18555" xr:uid="{00000000-0005-0000-0000-0000A0120000}"/>
    <cellStyle name="20% - Accent3 3 4" xfId="1232" xr:uid="{00000000-0005-0000-0000-0000A1120000}"/>
    <cellStyle name="20% - Accent3 3 4 2" xfId="1233" xr:uid="{00000000-0005-0000-0000-0000A2120000}"/>
    <cellStyle name="20% - Accent3 3 4 2 2" xfId="10711" xr:uid="{00000000-0005-0000-0000-0000A3120000}"/>
    <cellStyle name="20% - Accent3 3 4 2 2 2" xfId="24653" xr:uid="{00000000-0005-0000-0000-0000A4120000}"/>
    <cellStyle name="20% - Accent3 3 4 2 3" xfId="18557" xr:uid="{00000000-0005-0000-0000-0000A5120000}"/>
    <cellStyle name="20% - Accent3 3 4 3" xfId="1234" xr:uid="{00000000-0005-0000-0000-0000A6120000}"/>
    <cellStyle name="20% - Accent3 3 4 3 2" xfId="12421" xr:uid="{00000000-0005-0000-0000-0000A7120000}"/>
    <cellStyle name="20% - Accent3 3 4 3 2 2" xfId="26133" xr:uid="{00000000-0005-0000-0000-0000A8120000}"/>
    <cellStyle name="20% - Accent3 3 4 3 3" xfId="18558" xr:uid="{00000000-0005-0000-0000-0000A9120000}"/>
    <cellStyle name="20% - Accent3 3 4 4" xfId="1235" xr:uid="{00000000-0005-0000-0000-0000AA120000}"/>
    <cellStyle name="20% - Accent3 3 4 4 2" xfId="14789" xr:uid="{00000000-0005-0000-0000-0000AB120000}"/>
    <cellStyle name="20% - Accent3 3 4 4 2 2" xfId="28338" xr:uid="{00000000-0005-0000-0000-0000AC120000}"/>
    <cellStyle name="20% - Accent3 3 4 4 3" xfId="18559" xr:uid="{00000000-0005-0000-0000-0000AD120000}"/>
    <cellStyle name="20% - Accent3 3 4 5" xfId="1236" xr:uid="{00000000-0005-0000-0000-0000AE120000}"/>
    <cellStyle name="20% - Accent3 3 4 5 2" xfId="17135" xr:uid="{00000000-0005-0000-0000-0000AF120000}"/>
    <cellStyle name="20% - Accent3 3 4 5 2 2" xfId="30494" xr:uid="{00000000-0005-0000-0000-0000B0120000}"/>
    <cellStyle name="20% - Accent3 3 4 5 3" xfId="18560" xr:uid="{00000000-0005-0000-0000-0000B1120000}"/>
    <cellStyle name="20% - Accent3 3 4 6" xfId="8986" xr:uid="{00000000-0005-0000-0000-0000B2120000}"/>
    <cellStyle name="20% - Accent3 3 4 6 2" xfId="23461" xr:uid="{00000000-0005-0000-0000-0000B3120000}"/>
    <cellStyle name="20% - Accent3 3 4 7" xfId="18556" xr:uid="{00000000-0005-0000-0000-0000B4120000}"/>
    <cellStyle name="20% - Accent3 3 5" xfId="1237" xr:uid="{00000000-0005-0000-0000-0000B5120000}"/>
    <cellStyle name="20% - Accent3 3 5 2" xfId="1238" xr:uid="{00000000-0005-0000-0000-0000B6120000}"/>
    <cellStyle name="20% - Accent3 3 5 2 2" xfId="10712" xr:uid="{00000000-0005-0000-0000-0000B7120000}"/>
    <cellStyle name="20% - Accent3 3 5 2 2 2" xfId="24654" xr:uid="{00000000-0005-0000-0000-0000B8120000}"/>
    <cellStyle name="20% - Accent3 3 5 2 3" xfId="18562" xr:uid="{00000000-0005-0000-0000-0000B9120000}"/>
    <cellStyle name="20% - Accent3 3 5 3" xfId="1239" xr:uid="{00000000-0005-0000-0000-0000BA120000}"/>
    <cellStyle name="20% - Accent3 3 5 3 2" xfId="12451" xr:uid="{00000000-0005-0000-0000-0000BB120000}"/>
    <cellStyle name="20% - Accent3 3 5 3 2 2" xfId="26163" xr:uid="{00000000-0005-0000-0000-0000BC120000}"/>
    <cellStyle name="20% - Accent3 3 5 3 3" xfId="18563" xr:uid="{00000000-0005-0000-0000-0000BD120000}"/>
    <cellStyle name="20% - Accent3 3 5 4" xfId="1240" xr:uid="{00000000-0005-0000-0000-0000BE120000}"/>
    <cellStyle name="20% - Accent3 3 5 4 2" xfId="14790" xr:uid="{00000000-0005-0000-0000-0000BF120000}"/>
    <cellStyle name="20% - Accent3 3 5 4 2 2" xfId="28339" xr:uid="{00000000-0005-0000-0000-0000C0120000}"/>
    <cellStyle name="20% - Accent3 3 5 4 3" xfId="18564" xr:uid="{00000000-0005-0000-0000-0000C1120000}"/>
    <cellStyle name="20% - Accent3 3 5 5" xfId="1241" xr:uid="{00000000-0005-0000-0000-0000C2120000}"/>
    <cellStyle name="20% - Accent3 3 5 5 2" xfId="17224" xr:uid="{00000000-0005-0000-0000-0000C3120000}"/>
    <cellStyle name="20% - Accent3 3 5 5 2 2" xfId="30583" xr:uid="{00000000-0005-0000-0000-0000C4120000}"/>
    <cellStyle name="20% - Accent3 3 5 5 3" xfId="18565" xr:uid="{00000000-0005-0000-0000-0000C5120000}"/>
    <cellStyle name="20% - Accent3 3 5 6" xfId="8987" xr:uid="{00000000-0005-0000-0000-0000C6120000}"/>
    <cellStyle name="20% - Accent3 3 5 6 2" xfId="23462" xr:uid="{00000000-0005-0000-0000-0000C7120000}"/>
    <cellStyle name="20% - Accent3 3 5 7" xfId="18561" xr:uid="{00000000-0005-0000-0000-0000C8120000}"/>
    <cellStyle name="20% - Accent3 3 6" xfId="1242" xr:uid="{00000000-0005-0000-0000-0000C9120000}"/>
    <cellStyle name="20% - Accent3 3 6 2" xfId="1243" xr:uid="{00000000-0005-0000-0000-0000CA120000}"/>
    <cellStyle name="20% - Accent3 3 6 2 2" xfId="14791" xr:uid="{00000000-0005-0000-0000-0000CB120000}"/>
    <cellStyle name="20% - Accent3 3 6 2 2 2" xfId="28340" xr:uid="{00000000-0005-0000-0000-0000CC120000}"/>
    <cellStyle name="20% - Accent3 3 6 2 3" xfId="18567" xr:uid="{00000000-0005-0000-0000-0000CD120000}"/>
    <cellStyle name="20% - Accent3 3 6 3" xfId="1244" xr:uid="{00000000-0005-0000-0000-0000CE120000}"/>
    <cellStyle name="20% - Accent3 3 6 3 2" xfId="16499" xr:uid="{00000000-0005-0000-0000-0000CF120000}"/>
    <cellStyle name="20% - Accent3 3 6 3 2 2" xfId="29906" xr:uid="{00000000-0005-0000-0000-0000D0120000}"/>
    <cellStyle name="20% - Accent3 3 6 3 3" xfId="18568" xr:uid="{00000000-0005-0000-0000-0000D1120000}"/>
    <cellStyle name="20% - Accent3 3 6 4" xfId="10704" xr:uid="{00000000-0005-0000-0000-0000D2120000}"/>
    <cellStyle name="20% - Accent3 3 6 4 2" xfId="24646" xr:uid="{00000000-0005-0000-0000-0000D3120000}"/>
    <cellStyle name="20% - Accent3 3 6 5" xfId="18566" xr:uid="{00000000-0005-0000-0000-0000D4120000}"/>
    <cellStyle name="20% - Accent3 3 7" xfId="1245" xr:uid="{00000000-0005-0000-0000-0000D5120000}"/>
    <cellStyle name="20% - Accent3 3 7 2" xfId="11871" xr:uid="{00000000-0005-0000-0000-0000D6120000}"/>
    <cellStyle name="20% - Accent3 3 7 2 2" xfId="25586" xr:uid="{00000000-0005-0000-0000-0000D7120000}"/>
    <cellStyle name="20% - Accent3 3 7 3" xfId="18569" xr:uid="{00000000-0005-0000-0000-0000D8120000}"/>
    <cellStyle name="20% - Accent3 3 8" xfId="1246" xr:uid="{00000000-0005-0000-0000-0000D9120000}"/>
    <cellStyle name="20% - Accent3 3 8 2" xfId="12677" xr:uid="{00000000-0005-0000-0000-0000DA120000}"/>
    <cellStyle name="20% - Accent3 3 8 2 2" xfId="26389" xr:uid="{00000000-0005-0000-0000-0000DB120000}"/>
    <cellStyle name="20% - Accent3 3 8 3" xfId="18570" xr:uid="{00000000-0005-0000-0000-0000DC120000}"/>
    <cellStyle name="20% - Accent3 3 9" xfId="1247" xr:uid="{00000000-0005-0000-0000-0000DD120000}"/>
    <cellStyle name="20% - Accent3 3 9 2" xfId="13451" xr:uid="{00000000-0005-0000-0000-0000DE120000}"/>
    <cellStyle name="20% - Accent3 3 9 2 2" xfId="27000" xr:uid="{00000000-0005-0000-0000-0000DF120000}"/>
    <cellStyle name="20% - Accent3 3 9 3" xfId="18571" xr:uid="{00000000-0005-0000-0000-0000E0120000}"/>
    <cellStyle name="20% - Accent3 30" xfId="23242" xr:uid="{00000000-0005-0000-0000-0000E1120000}"/>
    <cellStyle name="20% - Accent3 4" xfId="1248" xr:uid="{00000000-0005-0000-0000-0000E2120000}"/>
    <cellStyle name="20% - Accent3 4 10" xfId="1249" xr:uid="{00000000-0005-0000-0000-0000E3120000}"/>
    <cellStyle name="20% - Accent3 4 10 2" xfId="14792" xr:uid="{00000000-0005-0000-0000-0000E4120000}"/>
    <cellStyle name="20% - Accent3 4 10 2 2" xfId="28341" xr:uid="{00000000-0005-0000-0000-0000E5120000}"/>
    <cellStyle name="20% - Accent3 4 10 3" xfId="18573" xr:uid="{00000000-0005-0000-0000-0000E6120000}"/>
    <cellStyle name="20% - Accent3 4 11" xfId="1250" xr:uid="{00000000-0005-0000-0000-0000E7120000}"/>
    <cellStyle name="20% - Accent3 4 11 2" xfId="15870" xr:uid="{00000000-0005-0000-0000-0000E8120000}"/>
    <cellStyle name="20% - Accent3 4 11 2 2" xfId="29277" xr:uid="{00000000-0005-0000-0000-0000E9120000}"/>
    <cellStyle name="20% - Accent3 4 11 3" xfId="18574" xr:uid="{00000000-0005-0000-0000-0000EA120000}"/>
    <cellStyle name="20% - Accent3 4 12" xfId="8988" xr:uid="{00000000-0005-0000-0000-0000EB120000}"/>
    <cellStyle name="20% - Accent3 4 12 2" xfId="23463" xr:uid="{00000000-0005-0000-0000-0000EC120000}"/>
    <cellStyle name="20% - Accent3 4 13" xfId="18572" xr:uid="{00000000-0005-0000-0000-0000ED120000}"/>
    <cellStyle name="20% - Accent3 4 2" xfId="1251" xr:uid="{00000000-0005-0000-0000-0000EE120000}"/>
    <cellStyle name="20% - Accent3 4 2 10" xfId="1252" xr:uid="{00000000-0005-0000-0000-0000EF120000}"/>
    <cellStyle name="20% - Accent3 4 2 10 2" xfId="16013" xr:uid="{00000000-0005-0000-0000-0000F0120000}"/>
    <cellStyle name="20% - Accent3 4 2 10 2 2" xfId="29420" xr:uid="{00000000-0005-0000-0000-0000F1120000}"/>
    <cellStyle name="20% - Accent3 4 2 10 3" xfId="18576" xr:uid="{00000000-0005-0000-0000-0000F2120000}"/>
    <cellStyle name="20% - Accent3 4 2 11" xfId="8989" xr:uid="{00000000-0005-0000-0000-0000F3120000}"/>
    <cellStyle name="20% - Accent3 4 2 11 2" xfId="23464" xr:uid="{00000000-0005-0000-0000-0000F4120000}"/>
    <cellStyle name="20% - Accent3 4 2 12" xfId="18575" xr:uid="{00000000-0005-0000-0000-0000F5120000}"/>
    <cellStyle name="20% - Accent3 4 2 2" xfId="1253" xr:uid="{00000000-0005-0000-0000-0000F6120000}"/>
    <cellStyle name="20% - Accent3 4 2 2 10" xfId="8990" xr:uid="{00000000-0005-0000-0000-0000F7120000}"/>
    <cellStyle name="20% - Accent3 4 2 2 10 2" xfId="23465" xr:uid="{00000000-0005-0000-0000-0000F8120000}"/>
    <cellStyle name="20% - Accent3 4 2 2 11" xfId="18577" xr:uid="{00000000-0005-0000-0000-0000F9120000}"/>
    <cellStyle name="20% - Accent3 4 2 2 2" xfId="1254" xr:uid="{00000000-0005-0000-0000-0000FA120000}"/>
    <cellStyle name="20% - Accent3 4 2 2 2 2" xfId="1255" xr:uid="{00000000-0005-0000-0000-0000FB120000}"/>
    <cellStyle name="20% - Accent3 4 2 2 2 2 2" xfId="10716" xr:uid="{00000000-0005-0000-0000-0000FC120000}"/>
    <cellStyle name="20% - Accent3 4 2 2 2 2 2 2" xfId="24658" xr:uid="{00000000-0005-0000-0000-0000FD120000}"/>
    <cellStyle name="20% - Accent3 4 2 2 2 2 3" xfId="18579" xr:uid="{00000000-0005-0000-0000-0000FE120000}"/>
    <cellStyle name="20% - Accent3 4 2 2 2 3" xfId="1256" xr:uid="{00000000-0005-0000-0000-0000FF120000}"/>
    <cellStyle name="20% - Accent3 4 2 2 2 3 2" xfId="11744" xr:uid="{00000000-0005-0000-0000-000000130000}"/>
    <cellStyle name="20% - Accent3 4 2 2 2 3 2 2" xfId="25459" xr:uid="{00000000-0005-0000-0000-000001130000}"/>
    <cellStyle name="20% - Accent3 4 2 2 2 3 3" xfId="18580" xr:uid="{00000000-0005-0000-0000-000002130000}"/>
    <cellStyle name="20% - Accent3 4 2 2 2 4" xfId="1257" xr:uid="{00000000-0005-0000-0000-000003130000}"/>
    <cellStyle name="20% - Accent3 4 2 2 2 4 2" xfId="14795" xr:uid="{00000000-0005-0000-0000-000004130000}"/>
    <cellStyle name="20% - Accent3 4 2 2 2 4 2 2" xfId="28344" xr:uid="{00000000-0005-0000-0000-000005130000}"/>
    <cellStyle name="20% - Accent3 4 2 2 2 4 3" xfId="18581" xr:uid="{00000000-0005-0000-0000-000006130000}"/>
    <cellStyle name="20% - Accent3 4 2 2 2 5" xfId="1258" xr:uid="{00000000-0005-0000-0000-000007130000}"/>
    <cellStyle name="20% - Accent3 4 2 2 2 5 2" xfId="16883" xr:uid="{00000000-0005-0000-0000-000008130000}"/>
    <cellStyle name="20% - Accent3 4 2 2 2 5 2 2" xfId="30290" xr:uid="{00000000-0005-0000-0000-000009130000}"/>
    <cellStyle name="20% - Accent3 4 2 2 2 5 3" xfId="18582" xr:uid="{00000000-0005-0000-0000-00000A130000}"/>
    <cellStyle name="20% - Accent3 4 2 2 2 6" xfId="8991" xr:uid="{00000000-0005-0000-0000-00000B130000}"/>
    <cellStyle name="20% - Accent3 4 2 2 2 6 2" xfId="23466" xr:uid="{00000000-0005-0000-0000-00000C130000}"/>
    <cellStyle name="20% - Accent3 4 2 2 2 7" xfId="18578" xr:uid="{00000000-0005-0000-0000-00000D130000}"/>
    <cellStyle name="20% - Accent3 4 2 2 3" xfId="1259" xr:uid="{00000000-0005-0000-0000-00000E130000}"/>
    <cellStyle name="20% - Accent3 4 2 2 3 2" xfId="1260" xr:uid="{00000000-0005-0000-0000-00000F130000}"/>
    <cellStyle name="20% - Accent3 4 2 2 3 2 2" xfId="14796" xr:uid="{00000000-0005-0000-0000-000010130000}"/>
    <cellStyle name="20% - Accent3 4 2 2 3 2 2 2" xfId="28345" xr:uid="{00000000-0005-0000-0000-000011130000}"/>
    <cellStyle name="20% - Accent3 4 2 2 3 2 3" xfId="18584" xr:uid="{00000000-0005-0000-0000-000012130000}"/>
    <cellStyle name="20% - Accent3 4 2 2 3 3" xfId="10715" xr:uid="{00000000-0005-0000-0000-000013130000}"/>
    <cellStyle name="20% - Accent3 4 2 2 3 3 2" xfId="24657" xr:uid="{00000000-0005-0000-0000-000014130000}"/>
    <cellStyle name="20% - Accent3 4 2 2 3 4" xfId="18583" xr:uid="{00000000-0005-0000-0000-000015130000}"/>
    <cellStyle name="20% - Accent3 4 2 2 4" xfId="1261" xr:uid="{00000000-0005-0000-0000-000016130000}"/>
    <cellStyle name="20% - Accent3 4 2 2 4 2" xfId="12271" xr:uid="{00000000-0005-0000-0000-000017130000}"/>
    <cellStyle name="20% - Accent3 4 2 2 4 2 2" xfId="25983" xr:uid="{00000000-0005-0000-0000-000018130000}"/>
    <cellStyle name="20% - Accent3 4 2 2 4 3" xfId="18585" xr:uid="{00000000-0005-0000-0000-000019130000}"/>
    <cellStyle name="20% - Accent3 4 2 2 5" xfId="1262" xr:uid="{00000000-0005-0000-0000-00001A130000}"/>
    <cellStyle name="20% - Accent3 4 2 2 5 2" xfId="12616" xr:uid="{00000000-0005-0000-0000-00001B130000}"/>
    <cellStyle name="20% - Accent3 4 2 2 5 2 2" xfId="26328" xr:uid="{00000000-0005-0000-0000-00001C130000}"/>
    <cellStyle name="20% - Accent3 4 2 2 5 3" xfId="18586" xr:uid="{00000000-0005-0000-0000-00001D130000}"/>
    <cellStyle name="20% - Accent3 4 2 2 6" xfId="1263" xr:uid="{00000000-0005-0000-0000-00001E130000}"/>
    <cellStyle name="20% - Accent3 4 2 2 6 2" xfId="13835" xr:uid="{00000000-0005-0000-0000-00001F130000}"/>
    <cellStyle name="20% - Accent3 4 2 2 6 2 2" xfId="27384" xr:uid="{00000000-0005-0000-0000-000020130000}"/>
    <cellStyle name="20% - Accent3 4 2 2 6 3" xfId="18587" xr:uid="{00000000-0005-0000-0000-000021130000}"/>
    <cellStyle name="20% - Accent3 4 2 2 7" xfId="1264" xr:uid="{00000000-0005-0000-0000-000022130000}"/>
    <cellStyle name="20% - Accent3 4 2 2 7 2" xfId="14416" xr:uid="{00000000-0005-0000-0000-000023130000}"/>
    <cellStyle name="20% - Accent3 4 2 2 7 2 2" xfId="27965" xr:uid="{00000000-0005-0000-0000-000024130000}"/>
    <cellStyle name="20% - Accent3 4 2 2 7 3" xfId="18588" xr:uid="{00000000-0005-0000-0000-000025130000}"/>
    <cellStyle name="20% - Accent3 4 2 2 8" xfId="1265" xr:uid="{00000000-0005-0000-0000-000026130000}"/>
    <cellStyle name="20% - Accent3 4 2 2 8 2" xfId="14794" xr:uid="{00000000-0005-0000-0000-000027130000}"/>
    <cellStyle name="20% - Accent3 4 2 2 8 2 2" xfId="28343" xr:uid="{00000000-0005-0000-0000-000028130000}"/>
    <cellStyle name="20% - Accent3 4 2 2 8 3" xfId="18589" xr:uid="{00000000-0005-0000-0000-000029130000}"/>
    <cellStyle name="20% - Accent3 4 2 2 9" xfId="1266" xr:uid="{00000000-0005-0000-0000-00002A130000}"/>
    <cellStyle name="20% - Accent3 4 2 2 9 2" xfId="16302" xr:uid="{00000000-0005-0000-0000-00002B130000}"/>
    <cellStyle name="20% - Accent3 4 2 2 9 2 2" xfId="29709" xr:uid="{00000000-0005-0000-0000-00002C130000}"/>
    <cellStyle name="20% - Accent3 4 2 2 9 3" xfId="18590" xr:uid="{00000000-0005-0000-0000-00002D130000}"/>
    <cellStyle name="20% - Accent3 4 2 3" xfId="1267" xr:uid="{00000000-0005-0000-0000-00002E130000}"/>
    <cellStyle name="20% - Accent3 4 2 3 2" xfId="1268" xr:uid="{00000000-0005-0000-0000-00002F130000}"/>
    <cellStyle name="20% - Accent3 4 2 3 2 2" xfId="10717" xr:uid="{00000000-0005-0000-0000-000030130000}"/>
    <cellStyle name="20% - Accent3 4 2 3 2 2 2" xfId="24659" xr:uid="{00000000-0005-0000-0000-000031130000}"/>
    <cellStyle name="20% - Accent3 4 2 3 2 3" xfId="18592" xr:uid="{00000000-0005-0000-0000-000032130000}"/>
    <cellStyle name="20% - Accent3 4 2 3 3" xfId="1269" xr:uid="{00000000-0005-0000-0000-000033130000}"/>
    <cellStyle name="20% - Accent3 4 2 3 3 2" xfId="12495" xr:uid="{00000000-0005-0000-0000-000034130000}"/>
    <cellStyle name="20% - Accent3 4 2 3 3 2 2" xfId="26207" xr:uid="{00000000-0005-0000-0000-000035130000}"/>
    <cellStyle name="20% - Accent3 4 2 3 3 3" xfId="18593" xr:uid="{00000000-0005-0000-0000-000036130000}"/>
    <cellStyle name="20% - Accent3 4 2 3 4" xfId="1270" xr:uid="{00000000-0005-0000-0000-000037130000}"/>
    <cellStyle name="20% - Accent3 4 2 3 4 2" xfId="14797" xr:uid="{00000000-0005-0000-0000-000038130000}"/>
    <cellStyle name="20% - Accent3 4 2 3 4 2 2" xfId="28346" xr:uid="{00000000-0005-0000-0000-000039130000}"/>
    <cellStyle name="20% - Accent3 4 2 3 4 3" xfId="18594" xr:uid="{00000000-0005-0000-0000-00003A130000}"/>
    <cellStyle name="20% - Accent3 4 2 3 5" xfId="1271" xr:uid="{00000000-0005-0000-0000-00003B130000}"/>
    <cellStyle name="20% - Accent3 4 2 3 5 2" xfId="16594" xr:uid="{00000000-0005-0000-0000-00003C130000}"/>
    <cellStyle name="20% - Accent3 4 2 3 5 2 2" xfId="30001" xr:uid="{00000000-0005-0000-0000-00003D130000}"/>
    <cellStyle name="20% - Accent3 4 2 3 5 3" xfId="18595" xr:uid="{00000000-0005-0000-0000-00003E130000}"/>
    <cellStyle name="20% - Accent3 4 2 3 6" xfId="8992" xr:uid="{00000000-0005-0000-0000-00003F130000}"/>
    <cellStyle name="20% - Accent3 4 2 3 6 2" xfId="23467" xr:uid="{00000000-0005-0000-0000-000040130000}"/>
    <cellStyle name="20% - Accent3 4 2 3 7" xfId="18591" xr:uid="{00000000-0005-0000-0000-000041130000}"/>
    <cellStyle name="20% - Accent3 4 2 4" xfId="1272" xr:uid="{00000000-0005-0000-0000-000042130000}"/>
    <cellStyle name="20% - Accent3 4 2 4 2" xfId="1273" xr:uid="{00000000-0005-0000-0000-000043130000}"/>
    <cellStyle name="20% - Accent3 4 2 4 2 2" xfId="14798" xr:uid="{00000000-0005-0000-0000-000044130000}"/>
    <cellStyle name="20% - Accent3 4 2 4 2 2 2" xfId="28347" xr:uid="{00000000-0005-0000-0000-000045130000}"/>
    <cellStyle name="20% - Accent3 4 2 4 2 3" xfId="18597" xr:uid="{00000000-0005-0000-0000-000046130000}"/>
    <cellStyle name="20% - Accent3 4 2 4 3" xfId="10714" xr:uid="{00000000-0005-0000-0000-000047130000}"/>
    <cellStyle name="20% - Accent3 4 2 4 3 2" xfId="24656" xr:uid="{00000000-0005-0000-0000-000048130000}"/>
    <cellStyle name="20% - Accent3 4 2 4 4" xfId="18596" xr:uid="{00000000-0005-0000-0000-000049130000}"/>
    <cellStyle name="20% - Accent3 4 2 5" xfId="1274" xr:uid="{00000000-0005-0000-0000-00004A130000}"/>
    <cellStyle name="20% - Accent3 4 2 5 2" xfId="11971" xr:uid="{00000000-0005-0000-0000-00004B130000}"/>
    <cellStyle name="20% - Accent3 4 2 5 2 2" xfId="25686" xr:uid="{00000000-0005-0000-0000-00004C130000}"/>
    <cellStyle name="20% - Accent3 4 2 5 3" xfId="18598" xr:uid="{00000000-0005-0000-0000-00004D130000}"/>
    <cellStyle name="20% - Accent3 4 2 6" xfId="1275" xr:uid="{00000000-0005-0000-0000-00004E130000}"/>
    <cellStyle name="20% - Accent3 4 2 6 2" xfId="12725" xr:uid="{00000000-0005-0000-0000-00004F130000}"/>
    <cellStyle name="20% - Accent3 4 2 6 2 2" xfId="26437" xr:uid="{00000000-0005-0000-0000-000050130000}"/>
    <cellStyle name="20% - Accent3 4 2 6 3" xfId="18599" xr:uid="{00000000-0005-0000-0000-000051130000}"/>
    <cellStyle name="20% - Accent3 4 2 7" xfId="1276" xr:uid="{00000000-0005-0000-0000-000052130000}"/>
    <cellStyle name="20% - Accent3 4 2 7 2" xfId="13546" xr:uid="{00000000-0005-0000-0000-000053130000}"/>
    <cellStyle name="20% - Accent3 4 2 7 2 2" xfId="27095" xr:uid="{00000000-0005-0000-0000-000054130000}"/>
    <cellStyle name="20% - Accent3 4 2 7 3" xfId="18600" xr:uid="{00000000-0005-0000-0000-000055130000}"/>
    <cellStyle name="20% - Accent3 4 2 8" xfId="1277" xr:uid="{00000000-0005-0000-0000-000056130000}"/>
    <cellStyle name="20% - Accent3 4 2 8 2" xfId="14127" xr:uid="{00000000-0005-0000-0000-000057130000}"/>
    <cellStyle name="20% - Accent3 4 2 8 2 2" xfId="27676" xr:uid="{00000000-0005-0000-0000-000058130000}"/>
    <cellStyle name="20% - Accent3 4 2 8 3" xfId="18601" xr:uid="{00000000-0005-0000-0000-000059130000}"/>
    <cellStyle name="20% - Accent3 4 2 9" xfId="1278" xr:uid="{00000000-0005-0000-0000-00005A130000}"/>
    <cellStyle name="20% - Accent3 4 2 9 2" xfId="14793" xr:uid="{00000000-0005-0000-0000-00005B130000}"/>
    <cellStyle name="20% - Accent3 4 2 9 2 2" xfId="28342" xr:uid="{00000000-0005-0000-0000-00005C130000}"/>
    <cellStyle name="20% - Accent3 4 2 9 3" xfId="18602" xr:uid="{00000000-0005-0000-0000-00005D130000}"/>
    <cellStyle name="20% - Accent3 4 3" xfId="1279" xr:uid="{00000000-0005-0000-0000-00005E130000}"/>
    <cellStyle name="20% - Accent3 4 3 10" xfId="8993" xr:uid="{00000000-0005-0000-0000-00005F130000}"/>
    <cellStyle name="20% - Accent3 4 3 10 2" xfId="23468" xr:uid="{00000000-0005-0000-0000-000060130000}"/>
    <cellStyle name="20% - Accent3 4 3 11" xfId="18603" xr:uid="{00000000-0005-0000-0000-000061130000}"/>
    <cellStyle name="20% - Accent3 4 3 2" xfId="1280" xr:uid="{00000000-0005-0000-0000-000062130000}"/>
    <cellStyle name="20% - Accent3 4 3 2 2" xfId="1281" xr:uid="{00000000-0005-0000-0000-000063130000}"/>
    <cellStyle name="20% - Accent3 4 3 2 2 2" xfId="10719" xr:uid="{00000000-0005-0000-0000-000064130000}"/>
    <cellStyle name="20% - Accent3 4 3 2 2 2 2" xfId="24661" xr:uid="{00000000-0005-0000-0000-000065130000}"/>
    <cellStyle name="20% - Accent3 4 3 2 2 3" xfId="18605" xr:uid="{00000000-0005-0000-0000-000066130000}"/>
    <cellStyle name="20% - Accent3 4 3 2 3" xfId="1282" xr:uid="{00000000-0005-0000-0000-000067130000}"/>
    <cellStyle name="20% - Accent3 4 3 2 3 2" xfId="12608" xr:uid="{00000000-0005-0000-0000-000068130000}"/>
    <cellStyle name="20% - Accent3 4 3 2 3 2 2" xfId="26320" xr:uid="{00000000-0005-0000-0000-000069130000}"/>
    <cellStyle name="20% - Accent3 4 3 2 3 3" xfId="18606" xr:uid="{00000000-0005-0000-0000-00006A130000}"/>
    <cellStyle name="20% - Accent3 4 3 2 4" xfId="1283" xr:uid="{00000000-0005-0000-0000-00006B130000}"/>
    <cellStyle name="20% - Accent3 4 3 2 4 2" xfId="14800" xr:uid="{00000000-0005-0000-0000-00006C130000}"/>
    <cellStyle name="20% - Accent3 4 3 2 4 2 2" xfId="28349" xr:uid="{00000000-0005-0000-0000-00006D130000}"/>
    <cellStyle name="20% - Accent3 4 3 2 4 3" xfId="18607" xr:uid="{00000000-0005-0000-0000-00006E130000}"/>
    <cellStyle name="20% - Accent3 4 3 2 5" xfId="1284" xr:uid="{00000000-0005-0000-0000-00006F130000}"/>
    <cellStyle name="20% - Accent3 4 3 2 5 2" xfId="16743" xr:uid="{00000000-0005-0000-0000-000070130000}"/>
    <cellStyle name="20% - Accent3 4 3 2 5 2 2" xfId="30150" xr:uid="{00000000-0005-0000-0000-000071130000}"/>
    <cellStyle name="20% - Accent3 4 3 2 5 3" xfId="18608" xr:uid="{00000000-0005-0000-0000-000072130000}"/>
    <cellStyle name="20% - Accent3 4 3 2 6" xfId="8994" xr:uid="{00000000-0005-0000-0000-000073130000}"/>
    <cellStyle name="20% - Accent3 4 3 2 6 2" xfId="23469" xr:uid="{00000000-0005-0000-0000-000074130000}"/>
    <cellStyle name="20% - Accent3 4 3 2 7" xfId="18604" xr:uid="{00000000-0005-0000-0000-000075130000}"/>
    <cellStyle name="20% - Accent3 4 3 3" xfId="1285" xr:uid="{00000000-0005-0000-0000-000076130000}"/>
    <cellStyle name="20% - Accent3 4 3 3 2" xfId="1286" xr:uid="{00000000-0005-0000-0000-000077130000}"/>
    <cellStyle name="20% - Accent3 4 3 3 2 2" xfId="14801" xr:uid="{00000000-0005-0000-0000-000078130000}"/>
    <cellStyle name="20% - Accent3 4 3 3 2 2 2" xfId="28350" xr:uid="{00000000-0005-0000-0000-000079130000}"/>
    <cellStyle name="20% - Accent3 4 3 3 2 3" xfId="18610" xr:uid="{00000000-0005-0000-0000-00007A130000}"/>
    <cellStyle name="20% - Accent3 4 3 3 3" xfId="10718" xr:uid="{00000000-0005-0000-0000-00007B130000}"/>
    <cellStyle name="20% - Accent3 4 3 3 3 2" xfId="24660" xr:uid="{00000000-0005-0000-0000-00007C130000}"/>
    <cellStyle name="20% - Accent3 4 3 3 4" xfId="18609" xr:uid="{00000000-0005-0000-0000-00007D130000}"/>
    <cellStyle name="20% - Accent3 4 3 4" xfId="1287" xr:uid="{00000000-0005-0000-0000-00007E130000}"/>
    <cellStyle name="20% - Accent3 4 3 4 2" xfId="12131" xr:uid="{00000000-0005-0000-0000-00007F130000}"/>
    <cellStyle name="20% - Accent3 4 3 4 2 2" xfId="25843" xr:uid="{00000000-0005-0000-0000-000080130000}"/>
    <cellStyle name="20% - Accent3 4 3 4 3" xfId="18611" xr:uid="{00000000-0005-0000-0000-000081130000}"/>
    <cellStyle name="20% - Accent3 4 3 5" xfId="1288" xr:uid="{00000000-0005-0000-0000-000082130000}"/>
    <cellStyle name="20% - Accent3 4 3 5 2" xfId="12712" xr:uid="{00000000-0005-0000-0000-000083130000}"/>
    <cellStyle name="20% - Accent3 4 3 5 2 2" xfId="26424" xr:uid="{00000000-0005-0000-0000-000084130000}"/>
    <cellStyle name="20% - Accent3 4 3 5 3" xfId="18612" xr:uid="{00000000-0005-0000-0000-000085130000}"/>
    <cellStyle name="20% - Accent3 4 3 6" xfId="1289" xr:uid="{00000000-0005-0000-0000-000086130000}"/>
    <cellStyle name="20% - Accent3 4 3 6 2" xfId="13695" xr:uid="{00000000-0005-0000-0000-000087130000}"/>
    <cellStyle name="20% - Accent3 4 3 6 2 2" xfId="27244" xr:uid="{00000000-0005-0000-0000-000088130000}"/>
    <cellStyle name="20% - Accent3 4 3 6 3" xfId="18613" xr:uid="{00000000-0005-0000-0000-000089130000}"/>
    <cellStyle name="20% - Accent3 4 3 7" xfId="1290" xr:uid="{00000000-0005-0000-0000-00008A130000}"/>
    <cellStyle name="20% - Accent3 4 3 7 2" xfId="14276" xr:uid="{00000000-0005-0000-0000-00008B130000}"/>
    <cellStyle name="20% - Accent3 4 3 7 2 2" xfId="27825" xr:uid="{00000000-0005-0000-0000-00008C130000}"/>
    <cellStyle name="20% - Accent3 4 3 7 3" xfId="18614" xr:uid="{00000000-0005-0000-0000-00008D130000}"/>
    <cellStyle name="20% - Accent3 4 3 8" xfId="1291" xr:uid="{00000000-0005-0000-0000-00008E130000}"/>
    <cellStyle name="20% - Accent3 4 3 8 2" xfId="14799" xr:uid="{00000000-0005-0000-0000-00008F130000}"/>
    <cellStyle name="20% - Accent3 4 3 8 2 2" xfId="28348" xr:uid="{00000000-0005-0000-0000-000090130000}"/>
    <cellStyle name="20% - Accent3 4 3 8 3" xfId="18615" xr:uid="{00000000-0005-0000-0000-000091130000}"/>
    <cellStyle name="20% - Accent3 4 3 9" xfId="1292" xr:uid="{00000000-0005-0000-0000-000092130000}"/>
    <cellStyle name="20% - Accent3 4 3 9 2" xfId="16162" xr:uid="{00000000-0005-0000-0000-000093130000}"/>
    <cellStyle name="20% - Accent3 4 3 9 2 2" xfId="29569" xr:uid="{00000000-0005-0000-0000-000094130000}"/>
    <cellStyle name="20% - Accent3 4 3 9 3" xfId="18616" xr:uid="{00000000-0005-0000-0000-000095130000}"/>
    <cellStyle name="20% - Accent3 4 4" xfId="1293" xr:uid="{00000000-0005-0000-0000-000096130000}"/>
    <cellStyle name="20% - Accent3 4 4 2" xfId="1294" xr:uid="{00000000-0005-0000-0000-000097130000}"/>
    <cellStyle name="20% - Accent3 4 4 2 2" xfId="10720" xr:uid="{00000000-0005-0000-0000-000098130000}"/>
    <cellStyle name="20% - Accent3 4 4 2 2 2" xfId="24662" xr:uid="{00000000-0005-0000-0000-000099130000}"/>
    <cellStyle name="20% - Accent3 4 4 2 3" xfId="18618" xr:uid="{00000000-0005-0000-0000-00009A130000}"/>
    <cellStyle name="20% - Accent3 4 4 3" xfId="1295" xr:uid="{00000000-0005-0000-0000-00009B130000}"/>
    <cellStyle name="20% - Accent3 4 4 3 2" xfId="12468" xr:uid="{00000000-0005-0000-0000-00009C130000}"/>
    <cellStyle name="20% - Accent3 4 4 3 2 2" xfId="26180" xr:uid="{00000000-0005-0000-0000-00009D130000}"/>
    <cellStyle name="20% - Accent3 4 4 3 3" xfId="18619" xr:uid="{00000000-0005-0000-0000-00009E130000}"/>
    <cellStyle name="20% - Accent3 4 4 4" xfId="1296" xr:uid="{00000000-0005-0000-0000-00009F130000}"/>
    <cellStyle name="20% - Accent3 4 4 4 2" xfId="14802" xr:uid="{00000000-0005-0000-0000-0000A0130000}"/>
    <cellStyle name="20% - Accent3 4 4 4 2 2" xfId="28351" xr:uid="{00000000-0005-0000-0000-0000A1130000}"/>
    <cellStyle name="20% - Accent3 4 4 4 3" xfId="18620" xr:uid="{00000000-0005-0000-0000-0000A2130000}"/>
    <cellStyle name="20% - Accent3 4 4 5" xfId="1297" xr:uid="{00000000-0005-0000-0000-0000A3130000}"/>
    <cellStyle name="20% - Accent3 4 4 5 2" xfId="16451" xr:uid="{00000000-0005-0000-0000-0000A4130000}"/>
    <cellStyle name="20% - Accent3 4 4 5 2 2" xfId="29858" xr:uid="{00000000-0005-0000-0000-0000A5130000}"/>
    <cellStyle name="20% - Accent3 4 4 5 3" xfId="18621" xr:uid="{00000000-0005-0000-0000-0000A6130000}"/>
    <cellStyle name="20% - Accent3 4 4 6" xfId="8995" xr:uid="{00000000-0005-0000-0000-0000A7130000}"/>
    <cellStyle name="20% - Accent3 4 4 6 2" xfId="23470" xr:uid="{00000000-0005-0000-0000-0000A8130000}"/>
    <cellStyle name="20% - Accent3 4 4 7" xfId="18617" xr:uid="{00000000-0005-0000-0000-0000A9130000}"/>
    <cellStyle name="20% - Accent3 4 5" xfId="1298" xr:uid="{00000000-0005-0000-0000-0000AA130000}"/>
    <cellStyle name="20% - Accent3 4 5 2" xfId="1299" xr:uid="{00000000-0005-0000-0000-0000AB130000}"/>
    <cellStyle name="20% - Accent3 4 5 2 2" xfId="14803" xr:uid="{00000000-0005-0000-0000-0000AC130000}"/>
    <cellStyle name="20% - Accent3 4 5 2 2 2" xfId="28352" xr:uid="{00000000-0005-0000-0000-0000AD130000}"/>
    <cellStyle name="20% - Accent3 4 5 2 3" xfId="18623" xr:uid="{00000000-0005-0000-0000-0000AE130000}"/>
    <cellStyle name="20% - Accent3 4 5 3" xfId="10713" xr:uid="{00000000-0005-0000-0000-0000AF130000}"/>
    <cellStyle name="20% - Accent3 4 5 3 2" xfId="24655" xr:uid="{00000000-0005-0000-0000-0000B0130000}"/>
    <cellStyle name="20% - Accent3 4 5 4" xfId="18622" xr:uid="{00000000-0005-0000-0000-0000B1130000}"/>
    <cellStyle name="20% - Accent3 4 6" xfId="1300" xr:uid="{00000000-0005-0000-0000-0000B2130000}"/>
    <cellStyle name="20% - Accent3 4 6 2" xfId="11802" xr:uid="{00000000-0005-0000-0000-0000B3130000}"/>
    <cellStyle name="20% - Accent3 4 6 2 2" xfId="25517" xr:uid="{00000000-0005-0000-0000-0000B4130000}"/>
    <cellStyle name="20% - Accent3 4 6 3" xfId="18624" xr:uid="{00000000-0005-0000-0000-0000B5130000}"/>
    <cellStyle name="20% - Accent3 4 7" xfId="1301" xr:uid="{00000000-0005-0000-0000-0000B6130000}"/>
    <cellStyle name="20% - Accent3 4 7 2" xfId="12509" xr:uid="{00000000-0005-0000-0000-0000B7130000}"/>
    <cellStyle name="20% - Accent3 4 7 2 2" xfId="26221" xr:uid="{00000000-0005-0000-0000-0000B8130000}"/>
    <cellStyle name="20% - Accent3 4 7 3" xfId="18625" xr:uid="{00000000-0005-0000-0000-0000B9130000}"/>
    <cellStyle name="20% - Accent3 4 8" xfId="1302" xr:uid="{00000000-0005-0000-0000-0000BA130000}"/>
    <cellStyle name="20% - Accent3 4 8 2" xfId="13403" xr:uid="{00000000-0005-0000-0000-0000BB130000}"/>
    <cellStyle name="20% - Accent3 4 8 2 2" xfId="26952" xr:uid="{00000000-0005-0000-0000-0000BC130000}"/>
    <cellStyle name="20% - Accent3 4 8 3" xfId="18626" xr:uid="{00000000-0005-0000-0000-0000BD130000}"/>
    <cellStyle name="20% - Accent3 4 9" xfId="1303" xr:uid="{00000000-0005-0000-0000-0000BE130000}"/>
    <cellStyle name="20% - Accent3 4 9 2" xfId="13984" xr:uid="{00000000-0005-0000-0000-0000BF130000}"/>
    <cellStyle name="20% - Accent3 4 9 2 2" xfId="27533" xr:uid="{00000000-0005-0000-0000-0000C0130000}"/>
    <cellStyle name="20% - Accent3 4 9 3" xfId="18627" xr:uid="{00000000-0005-0000-0000-0000C1130000}"/>
    <cellStyle name="20% - Accent3 5" xfId="1304" xr:uid="{00000000-0005-0000-0000-0000C2130000}"/>
    <cellStyle name="20% - Accent3 5 10" xfId="1305" xr:uid="{00000000-0005-0000-0000-0000C3130000}"/>
    <cellStyle name="20% - Accent3 5 10 2" xfId="14804" xr:uid="{00000000-0005-0000-0000-0000C4130000}"/>
    <cellStyle name="20% - Accent3 5 10 2 2" xfId="28353" xr:uid="{00000000-0005-0000-0000-0000C5130000}"/>
    <cellStyle name="20% - Accent3 5 10 3" xfId="18629" xr:uid="{00000000-0005-0000-0000-0000C6130000}"/>
    <cellStyle name="20% - Accent3 5 11" xfId="1306" xr:uid="{00000000-0005-0000-0000-0000C7130000}"/>
    <cellStyle name="20% - Accent3 5 11 2" xfId="15853" xr:uid="{00000000-0005-0000-0000-0000C8130000}"/>
    <cellStyle name="20% - Accent3 5 11 2 2" xfId="29260" xr:uid="{00000000-0005-0000-0000-0000C9130000}"/>
    <cellStyle name="20% - Accent3 5 11 3" xfId="18630" xr:uid="{00000000-0005-0000-0000-0000CA130000}"/>
    <cellStyle name="20% - Accent3 5 12" xfId="8996" xr:uid="{00000000-0005-0000-0000-0000CB130000}"/>
    <cellStyle name="20% - Accent3 5 12 2" xfId="23471" xr:uid="{00000000-0005-0000-0000-0000CC130000}"/>
    <cellStyle name="20% - Accent3 5 13" xfId="18628" xr:uid="{00000000-0005-0000-0000-0000CD130000}"/>
    <cellStyle name="20% - Accent3 5 2" xfId="1307" xr:uid="{00000000-0005-0000-0000-0000CE130000}"/>
    <cellStyle name="20% - Accent3 5 2 10" xfId="1308" xr:uid="{00000000-0005-0000-0000-0000CF130000}"/>
    <cellStyle name="20% - Accent3 5 2 10 2" xfId="15996" xr:uid="{00000000-0005-0000-0000-0000D0130000}"/>
    <cellStyle name="20% - Accent3 5 2 10 2 2" xfId="29403" xr:uid="{00000000-0005-0000-0000-0000D1130000}"/>
    <cellStyle name="20% - Accent3 5 2 10 3" xfId="18632" xr:uid="{00000000-0005-0000-0000-0000D2130000}"/>
    <cellStyle name="20% - Accent3 5 2 11" xfId="8997" xr:uid="{00000000-0005-0000-0000-0000D3130000}"/>
    <cellStyle name="20% - Accent3 5 2 11 2" xfId="23472" xr:uid="{00000000-0005-0000-0000-0000D4130000}"/>
    <cellStyle name="20% - Accent3 5 2 12" xfId="18631" xr:uid="{00000000-0005-0000-0000-0000D5130000}"/>
    <cellStyle name="20% - Accent3 5 2 2" xfId="1309" xr:uid="{00000000-0005-0000-0000-0000D6130000}"/>
    <cellStyle name="20% - Accent3 5 2 2 10" xfId="8998" xr:uid="{00000000-0005-0000-0000-0000D7130000}"/>
    <cellStyle name="20% - Accent3 5 2 2 10 2" xfId="23473" xr:uid="{00000000-0005-0000-0000-0000D8130000}"/>
    <cellStyle name="20% - Accent3 5 2 2 11" xfId="18633" xr:uid="{00000000-0005-0000-0000-0000D9130000}"/>
    <cellStyle name="20% - Accent3 5 2 2 2" xfId="1310" xr:uid="{00000000-0005-0000-0000-0000DA130000}"/>
    <cellStyle name="20% - Accent3 5 2 2 2 2" xfId="1311" xr:uid="{00000000-0005-0000-0000-0000DB130000}"/>
    <cellStyle name="20% - Accent3 5 2 2 2 2 2" xfId="10724" xr:uid="{00000000-0005-0000-0000-0000DC130000}"/>
    <cellStyle name="20% - Accent3 5 2 2 2 2 2 2" xfId="24666" xr:uid="{00000000-0005-0000-0000-0000DD130000}"/>
    <cellStyle name="20% - Accent3 5 2 2 2 2 3" xfId="18635" xr:uid="{00000000-0005-0000-0000-0000DE130000}"/>
    <cellStyle name="20% - Accent3 5 2 2 2 3" xfId="1312" xr:uid="{00000000-0005-0000-0000-0000DF130000}"/>
    <cellStyle name="20% - Accent3 5 2 2 2 3 2" xfId="12485" xr:uid="{00000000-0005-0000-0000-0000E0130000}"/>
    <cellStyle name="20% - Accent3 5 2 2 2 3 2 2" xfId="26197" xr:uid="{00000000-0005-0000-0000-0000E1130000}"/>
    <cellStyle name="20% - Accent3 5 2 2 2 3 3" xfId="18636" xr:uid="{00000000-0005-0000-0000-0000E2130000}"/>
    <cellStyle name="20% - Accent3 5 2 2 2 4" xfId="1313" xr:uid="{00000000-0005-0000-0000-0000E3130000}"/>
    <cellStyle name="20% - Accent3 5 2 2 2 4 2" xfId="14807" xr:uid="{00000000-0005-0000-0000-0000E4130000}"/>
    <cellStyle name="20% - Accent3 5 2 2 2 4 2 2" xfId="28356" xr:uid="{00000000-0005-0000-0000-0000E5130000}"/>
    <cellStyle name="20% - Accent3 5 2 2 2 4 3" xfId="18637" xr:uid="{00000000-0005-0000-0000-0000E6130000}"/>
    <cellStyle name="20% - Accent3 5 2 2 2 5" xfId="1314" xr:uid="{00000000-0005-0000-0000-0000E7130000}"/>
    <cellStyle name="20% - Accent3 5 2 2 2 5 2" xfId="16866" xr:uid="{00000000-0005-0000-0000-0000E8130000}"/>
    <cellStyle name="20% - Accent3 5 2 2 2 5 2 2" xfId="30273" xr:uid="{00000000-0005-0000-0000-0000E9130000}"/>
    <cellStyle name="20% - Accent3 5 2 2 2 5 3" xfId="18638" xr:uid="{00000000-0005-0000-0000-0000EA130000}"/>
    <cellStyle name="20% - Accent3 5 2 2 2 6" xfId="8999" xr:uid="{00000000-0005-0000-0000-0000EB130000}"/>
    <cellStyle name="20% - Accent3 5 2 2 2 6 2" xfId="23474" xr:uid="{00000000-0005-0000-0000-0000EC130000}"/>
    <cellStyle name="20% - Accent3 5 2 2 2 7" xfId="18634" xr:uid="{00000000-0005-0000-0000-0000ED130000}"/>
    <cellStyle name="20% - Accent3 5 2 2 3" xfId="1315" xr:uid="{00000000-0005-0000-0000-0000EE130000}"/>
    <cellStyle name="20% - Accent3 5 2 2 3 2" xfId="1316" xr:uid="{00000000-0005-0000-0000-0000EF130000}"/>
    <cellStyle name="20% - Accent3 5 2 2 3 2 2" xfId="14808" xr:uid="{00000000-0005-0000-0000-0000F0130000}"/>
    <cellStyle name="20% - Accent3 5 2 2 3 2 2 2" xfId="28357" xr:uid="{00000000-0005-0000-0000-0000F1130000}"/>
    <cellStyle name="20% - Accent3 5 2 2 3 2 3" xfId="18640" xr:uid="{00000000-0005-0000-0000-0000F2130000}"/>
    <cellStyle name="20% - Accent3 5 2 2 3 3" xfId="10723" xr:uid="{00000000-0005-0000-0000-0000F3130000}"/>
    <cellStyle name="20% - Accent3 5 2 2 3 3 2" xfId="24665" xr:uid="{00000000-0005-0000-0000-0000F4130000}"/>
    <cellStyle name="20% - Accent3 5 2 2 3 4" xfId="18639" xr:uid="{00000000-0005-0000-0000-0000F5130000}"/>
    <cellStyle name="20% - Accent3 5 2 2 4" xfId="1317" xr:uid="{00000000-0005-0000-0000-0000F6130000}"/>
    <cellStyle name="20% - Accent3 5 2 2 4 2" xfId="12254" xr:uid="{00000000-0005-0000-0000-0000F7130000}"/>
    <cellStyle name="20% - Accent3 5 2 2 4 2 2" xfId="25966" xr:uid="{00000000-0005-0000-0000-0000F8130000}"/>
    <cellStyle name="20% - Accent3 5 2 2 4 3" xfId="18641" xr:uid="{00000000-0005-0000-0000-0000F9130000}"/>
    <cellStyle name="20% - Accent3 5 2 2 5" xfId="1318" xr:uid="{00000000-0005-0000-0000-0000FA130000}"/>
    <cellStyle name="20% - Accent3 5 2 2 5 2" xfId="12684" xr:uid="{00000000-0005-0000-0000-0000FB130000}"/>
    <cellStyle name="20% - Accent3 5 2 2 5 2 2" xfId="26396" xr:uid="{00000000-0005-0000-0000-0000FC130000}"/>
    <cellStyle name="20% - Accent3 5 2 2 5 3" xfId="18642" xr:uid="{00000000-0005-0000-0000-0000FD130000}"/>
    <cellStyle name="20% - Accent3 5 2 2 6" xfId="1319" xr:uid="{00000000-0005-0000-0000-0000FE130000}"/>
    <cellStyle name="20% - Accent3 5 2 2 6 2" xfId="13818" xr:uid="{00000000-0005-0000-0000-0000FF130000}"/>
    <cellStyle name="20% - Accent3 5 2 2 6 2 2" xfId="27367" xr:uid="{00000000-0005-0000-0000-000000140000}"/>
    <cellStyle name="20% - Accent3 5 2 2 6 3" xfId="18643" xr:uid="{00000000-0005-0000-0000-000001140000}"/>
    <cellStyle name="20% - Accent3 5 2 2 7" xfId="1320" xr:uid="{00000000-0005-0000-0000-000002140000}"/>
    <cellStyle name="20% - Accent3 5 2 2 7 2" xfId="14399" xr:uid="{00000000-0005-0000-0000-000003140000}"/>
    <cellStyle name="20% - Accent3 5 2 2 7 2 2" xfId="27948" xr:uid="{00000000-0005-0000-0000-000004140000}"/>
    <cellStyle name="20% - Accent3 5 2 2 7 3" xfId="18644" xr:uid="{00000000-0005-0000-0000-000005140000}"/>
    <cellStyle name="20% - Accent3 5 2 2 8" xfId="1321" xr:uid="{00000000-0005-0000-0000-000006140000}"/>
    <cellStyle name="20% - Accent3 5 2 2 8 2" xfId="14806" xr:uid="{00000000-0005-0000-0000-000007140000}"/>
    <cellStyle name="20% - Accent3 5 2 2 8 2 2" xfId="28355" xr:uid="{00000000-0005-0000-0000-000008140000}"/>
    <cellStyle name="20% - Accent3 5 2 2 8 3" xfId="18645" xr:uid="{00000000-0005-0000-0000-000009140000}"/>
    <cellStyle name="20% - Accent3 5 2 2 9" xfId="1322" xr:uid="{00000000-0005-0000-0000-00000A140000}"/>
    <cellStyle name="20% - Accent3 5 2 2 9 2" xfId="16285" xr:uid="{00000000-0005-0000-0000-00000B140000}"/>
    <cellStyle name="20% - Accent3 5 2 2 9 2 2" xfId="29692" xr:uid="{00000000-0005-0000-0000-00000C140000}"/>
    <cellStyle name="20% - Accent3 5 2 2 9 3" xfId="18646" xr:uid="{00000000-0005-0000-0000-00000D140000}"/>
    <cellStyle name="20% - Accent3 5 2 3" xfId="1323" xr:uid="{00000000-0005-0000-0000-00000E140000}"/>
    <cellStyle name="20% - Accent3 5 2 3 2" xfId="1324" xr:uid="{00000000-0005-0000-0000-00000F140000}"/>
    <cellStyle name="20% - Accent3 5 2 3 2 2" xfId="10725" xr:uid="{00000000-0005-0000-0000-000010140000}"/>
    <cellStyle name="20% - Accent3 5 2 3 2 2 2" xfId="24667" xr:uid="{00000000-0005-0000-0000-000011140000}"/>
    <cellStyle name="20% - Accent3 5 2 3 2 3" xfId="18648" xr:uid="{00000000-0005-0000-0000-000012140000}"/>
    <cellStyle name="20% - Accent3 5 2 3 3" xfId="1325" xr:uid="{00000000-0005-0000-0000-000013140000}"/>
    <cellStyle name="20% - Accent3 5 2 3 3 2" xfId="12700" xr:uid="{00000000-0005-0000-0000-000014140000}"/>
    <cellStyle name="20% - Accent3 5 2 3 3 2 2" xfId="26412" xr:uid="{00000000-0005-0000-0000-000015140000}"/>
    <cellStyle name="20% - Accent3 5 2 3 3 3" xfId="18649" xr:uid="{00000000-0005-0000-0000-000016140000}"/>
    <cellStyle name="20% - Accent3 5 2 3 4" xfId="1326" xr:uid="{00000000-0005-0000-0000-000017140000}"/>
    <cellStyle name="20% - Accent3 5 2 3 4 2" xfId="14809" xr:uid="{00000000-0005-0000-0000-000018140000}"/>
    <cellStyle name="20% - Accent3 5 2 3 4 2 2" xfId="28358" xr:uid="{00000000-0005-0000-0000-000019140000}"/>
    <cellStyle name="20% - Accent3 5 2 3 4 3" xfId="18650" xr:uid="{00000000-0005-0000-0000-00001A140000}"/>
    <cellStyle name="20% - Accent3 5 2 3 5" xfId="1327" xr:uid="{00000000-0005-0000-0000-00001B140000}"/>
    <cellStyle name="20% - Accent3 5 2 3 5 2" xfId="16577" xr:uid="{00000000-0005-0000-0000-00001C140000}"/>
    <cellStyle name="20% - Accent3 5 2 3 5 2 2" xfId="29984" xr:uid="{00000000-0005-0000-0000-00001D140000}"/>
    <cellStyle name="20% - Accent3 5 2 3 5 3" xfId="18651" xr:uid="{00000000-0005-0000-0000-00001E140000}"/>
    <cellStyle name="20% - Accent3 5 2 3 6" xfId="9000" xr:uid="{00000000-0005-0000-0000-00001F140000}"/>
    <cellStyle name="20% - Accent3 5 2 3 6 2" xfId="23475" xr:uid="{00000000-0005-0000-0000-000020140000}"/>
    <cellStyle name="20% - Accent3 5 2 3 7" xfId="18647" xr:uid="{00000000-0005-0000-0000-000021140000}"/>
    <cellStyle name="20% - Accent3 5 2 4" xfId="1328" xr:uid="{00000000-0005-0000-0000-000022140000}"/>
    <cellStyle name="20% - Accent3 5 2 4 2" xfId="1329" xr:uid="{00000000-0005-0000-0000-000023140000}"/>
    <cellStyle name="20% - Accent3 5 2 4 2 2" xfId="14810" xr:uid="{00000000-0005-0000-0000-000024140000}"/>
    <cellStyle name="20% - Accent3 5 2 4 2 2 2" xfId="28359" xr:uid="{00000000-0005-0000-0000-000025140000}"/>
    <cellStyle name="20% - Accent3 5 2 4 2 3" xfId="18653" xr:uid="{00000000-0005-0000-0000-000026140000}"/>
    <cellStyle name="20% - Accent3 5 2 4 3" xfId="10722" xr:uid="{00000000-0005-0000-0000-000027140000}"/>
    <cellStyle name="20% - Accent3 5 2 4 3 2" xfId="24664" xr:uid="{00000000-0005-0000-0000-000028140000}"/>
    <cellStyle name="20% - Accent3 5 2 4 4" xfId="18652" xr:uid="{00000000-0005-0000-0000-000029140000}"/>
    <cellStyle name="20% - Accent3 5 2 5" xfId="1330" xr:uid="{00000000-0005-0000-0000-00002A140000}"/>
    <cellStyle name="20% - Accent3 5 2 5 2" xfId="11954" xr:uid="{00000000-0005-0000-0000-00002B140000}"/>
    <cellStyle name="20% - Accent3 5 2 5 2 2" xfId="25669" xr:uid="{00000000-0005-0000-0000-00002C140000}"/>
    <cellStyle name="20% - Accent3 5 2 5 3" xfId="18654" xr:uid="{00000000-0005-0000-0000-00002D140000}"/>
    <cellStyle name="20% - Accent3 5 2 6" xfId="1331" xr:uid="{00000000-0005-0000-0000-00002E140000}"/>
    <cellStyle name="20% - Accent3 5 2 6 2" xfId="12792" xr:uid="{00000000-0005-0000-0000-00002F140000}"/>
    <cellStyle name="20% - Accent3 5 2 6 2 2" xfId="26504" xr:uid="{00000000-0005-0000-0000-000030140000}"/>
    <cellStyle name="20% - Accent3 5 2 6 3" xfId="18655" xr:uid="{00000000-0005-0000-0000-000031140000}"/>
    <cellStyle name="20% - Accent3 5 2 7" xfId="1332" xr:uid="{00000000-0005-0000-0000-000032140000}"/>
    <cellStyle name="20% - Accent3 5 2 7 2" xfId="13529" xr:uid="{00000000-0005-0000-0000-000033140000}"/>
    <cellStyle name="20% - Accent3 5 2 7 2 2" xfId="27078" xr:uid="{00000000-0005-0000-0000-000034140000}"/>
    <cellStyle name="20% - Accent3 5 2 7 3" xfId="18656" xr:uid="{00000000-0005-0000-0000-000035140000}"/>
    <cellStyle name="20% - Accent3 5 2 8" xfId="1333" xr:uid="{00000000-0005-0000-0000-000036140000}"/>
    <cellStyle name="20% - Accent3 5 2 8 2" xfId="14110" xr:uid="{00000000-0005-0000-0000-000037140000}"/>
    <cellStyle name="20% - Accent3 5 2 8 2 2" xfId="27659" xr:uid="{00000000-0005-0000-0000-000038140000}"/>
    <cellStyle name="20% - Accent3 5 2 8 3" xfId="18657" xr:uid="{00000000-0005-0000-0000-000039140000}"/>
    <cellStyle name="20% - Accent3 5 2 9" xfId="1334" xr:uid="{00000000-0005-0000-0000-00003A140000}"/>
    <cellStyle name="20% - Accent3 5 2 9 2" xfId="14805" xr:uid="{00000000-0005-0000-0000-00003B140000}"/>
    <cellStyle name="20% - Accent3 5 2 9 2 2" xfId="28354" xr:uid="{00000000-0005-0000-0000-00003C140000}"/>
    <cellStyle name="20% - Accent3 5 2 9 3" xfId="18658" xr:uid="{00000000-0005-0000-0000-00003D140000}"/>
    <cellStyle name="20% - Accent3 5 3" xfId="1335" xr:uid="{00000000-0005-0000-0000-00003E140000}"/>
    <cellStyle name="20% - Accent3 5 3 10" xfId="9001" xr:uid="{00000000-0005-0000-0000-00003F140000}"/>
    <cellStyle name="20% - Accent3 5 3 10 2" xfId="23476" xr:uid="{00000000-0005-0000-0000-000040140000}"/>
    <cellStyle name="20% - Accent3 5 3 11" xfId="18659" xr:uid="{00000000-0005-0000-0000-000041140000}"/>
    <cellStyle name="20% - Accent3 5 3 2" xfId="1336" xr:uid="{00000000-0005-0000-0000-000042140000}"/>
    <cellStyle name="20% - Accent3 5 3 2 2" xfId="1337" xr:uid="{00000000-0005-0000-0000-000043140000}"/>
    <cellStyle name="20% - Accent3 5 3 2 2 2" xfId="10727" xr:uid="{00000000-0005-0000-0000-000044140000}"/>
    <cellStyle name="20% - Accent3 5 3 2 2 2 2" xfId="24669" xr:uid="{00000000-0005-0000-0000-000045140000}"/>
    <cellStyle name="20% - Accent3 5 3 2 2 3" xfId="18661" xr:uid="{00000000-0005-0000-0000-000046140000}"/>
    <cellStyle name="20% - Accent3 5 3 2 3" xfId="1338" xr:uid="{00000000-0005-0000-0000-000047140000}"/>
    <cellStyle name="20% - Accent3 5 3 2 3 2" xfId="12600" xr:uid="{00000000-0005-0000-0000-000048140000}"/>
    <cellStyle name="20% - Accent3 5 3 2 3 2 2" xfId="26312" xr:uid="{00000000-0005-0000-0000-000049140000}"/>
    <cellStyle name="20% - Accent3 5 3 2 3 3" xfId="18662" xr:uid="{00000000-0005-0000-0000-00004A140000}"/>
    <cellStyle name="20% - Accent3 5 3 2 4" xfId="1339" xr:uid="{00000000-0005-0000-0000-00004B140000}"/>
    <cellStyle name="20% - Accent3 5 3 2 4 2" xfId="14812" xr:uid="{00000000-0005-0000-0000-00004C140000}"/>
    <cellStyle name="20% - Accent3 5 3 2 4 2 2" xfId="28361" xr:uid="{00000000-0005-0000-0000-00004D140000}"/>
    <cellStyle name="20% - Accent3 5 3 2 4 3" xfId="18663" xr:uid="{00000000-0005-0000-0000-00004E140000}"/>
    <cellStyle name="20% - Accent3 5 3 2 5" xfId="1340" xr:uid="{00000000-0005-0000-0000-00004F140000}"/>
    <cellStyle name="20% - Accent3 5 3 2 5 2" xfId="16726" xr:uid="{00000000-0005-0000-0000-000050140000}"/>
    <cellStyle name="20% - Accent3 5 3 2 5 2 2" xfId="30133" xr:uid="{00000000-0005-0000-0000-000051140000}"/>
    <cellStyle name="20% - Accent3 5 3 2 5 3" xfId="18664" xr:uid="{00000000-0005-0000-0000-000052140000}"/>
    <cellStyle name="20% - Accent3 5 3 2 6" xfId="9002" xr:uid="{00000000-0005-0000-0000-000053140000}"/>
    <cellStyle name="20% - Accent3 5 3 2 6 2" xfId="23477" xr:uid="{00000000-0005-0000-0000-000054140000}"/>
    <cellStyle name="20% - Accent3 5 3 2 7" xfId="18660" xr:uid="{00000000-0005-0000-0000-000055140000}"/>
    <cellStyle name="20% - Accent3 5 3 3" xfId="1341" xr:uid="{00000000-0005-0000-0000-000056140000}"/>
    <cellStyle name="20% - Accent3 5 3 3 2" xfId="1342" xr:uid="{00000000-0005-0000-0000-000057140000}"/>
    <cellStyle name="20% - Accent3 5 3 3 2 2" xfId="14813" xr:uid="{00000000-0005-0000-0000-000058140000}"/>
    <cellStyle name="20% - Accent3 5 3 3 2 2 2" xfId="28362" xr:uid="{00000000-0005-0000-0000-000059140000}"/>
    <cellStyle name="20% - Accent3 5 3 3 2 3" xfId="18666" xr:uid="{00000000-0005-0000-0000-00005A140000}"/>
    <cellStyle name="20% - Accent3 5 3 3 3" xfId="10726" xr:uid="{00000000-0005-0000-0000-00005B140000}"/>
    <cellStyle name="20% - Accent3 5 3 3 3 2" xfId="24668" xr:uid="{00000000-0005-0000-0000-00005C140000}"/>
    <cellStyle name="20% - Accent3 5 3 3 4" xfId="18665" xr:uid="{00000000-0005-0000-0000-00005D140000}"/>
    <cellStyle name="20% - Accent3 5 3 4" xfId="1343" xr:uid="{00000000-0005-0000-0000-00005E140000}"/>
    <cellStyle name="20% - Accent3 5 3 4 2" xfId="12114" xr:uid="{00000000-0005-0000-0000-00005F140000}"/>
    <cellStyle name="20% - Accent3 5 3 4 2 2" xfId="25826" xr:uid="{00000000-0005-0000-0000-000060140000}"/>
    <cellStyle name="20% - Accent3 5 3 4 3" xfId="18667" xr:uid="{00000000-0005-0000-0000-000061140000}"/>
    <cellStyle name="20% - Accent3 5 3 5" xfId="1344" xr:uid="{00000000-0005-0000-0000-000062140000}"/>
    <cellStyle name="20% - Accent3 5 3 5 2" xfId="12596" xr:uid="{00000000-0005-0000-0000-000063140000}"/>
    <cellStyle name="20% - Accent3 5 3 5 2 2" xfId="26308" xr:uid="{00000000-0005-0000-0000-000064140000}"/>
    <cellStyle name="20% - Accent3 5 3 5 3" xfId="18668" xr:uid="{00000000-0005-0000-0000-000065140000}"/>
    <cellStyle name="20% - Accent3 5 3 6" xfId="1345" xr:uid="{00000000-0005-0000-0000-000066140000}"/>
    <cellStyle name="20% - Accent3 5 3 6 2" xfId="13678" xr:uid="{00000000-0005-0000-0000-000067140000}"/>
    <cellStyle name="20% - Accent3 5 3 6 2 2" xfId="27227" xr:uid="{00000000-0005-0000-0000-000068140000}"/>
    <cellStyle name="20% - Accent3 5 3 6 3" xfId="18669" xr:uid="{00000000-0005-0000-0000-000069140000}"/>
    <cellStyle name="20% - Accent3 5 3 7" xfId="1346" xr:uid="{00000000-0005-0000-0000-00006A140000}"/>
    <cellStyle name="20% - Accent3 5 3 7 2" xfId="14259" xr:uid="{00000000-0005-0000-0000-00006B140000}"/>
    <cellStyle name="20% - Accent3 5 3 7 2 2" xfId="27808" xr:uid="{00000000-0005-0000-0000-00006C140000}"/>
    <cellStyle name="20% - Accent3 5 3 7 3" xfId="18670" xr:uid="{00000000-0005-0000-0000-00006D140000}"/>
    <cellStyle name="20% - Accent3 5 3 8" xfId="1347" xr:uid="{00000000-0005-0000-0000-00006E140000}"/>
    <cellStyle name="20% - Accent3 5 3 8 2" xfId="14811" xr:uid="{00000000-0005-0000-0000-00006F140000}"/>
    <cellStyle name="20% - Accent3 5 3 8 2 2" xfId="28360" xr:uid="{00000000-0005-0000-0000-000070140000}"/>
    <cellStyle name="20% - Accent3 5 3 8 3" xfId="18671" xr:uid="{00000000-0005-0000-0000-000071140000}"/>
    <cellStyle name="20% - Accent3 5 3 9" xfId="1348" xr:uid="{00000000-0005-0000-0000-000072140000}"/>
    <cellStyle name="20% - Accent3 5 3 9 2" xfId="16145" xr:uid="{00000000-0005-0000-0000-000073140000}"/>
    <cellStyle name="20% - Accent3 5 3 9 2 2" xfId="29552" xr:uid="{00000000-0005-0000-0000-000074140000}"/>
    <cellStyle name="20% - Accent3 5 3 9 3" xfId="18672" xr:uid="{00000000-0005-0000-0000-000075140000}"/>
    <cellStyle name="20% - Accent3 5 4" xfId="1349" xr:uid="{00000000-0005-0000-0000-000076140000}"/>
    <cellStyle name="20% - Accent3 5 4 2" xfId="1350" xr:uid="{00000000-0005-0000-0000-000077140000}"/>
    <cellStyle name="20% - Accent3 5 4 2 2" xfId="10728" xr:uid="{00000000-0005-0000-0000-000078140000}"/>
    <cellStyle name="20% - Accent3 5 4 2 2 2" xfId="24670" xr:uid="{00000000-0005-0000-0000-000079140000}"/>
    <cellStyle name="20% - Accent3 5 4 2 3" xfId="18674" xr:uid="{00000000-0005-0000-0000-00007A140000}"/>
    <cellStyle name="20% - Accent3 5 4 3" xfId="1351" xr:uid="{00000000-0005-0000-0000-00007B140000}"/>
    <cellStyle name="20% - Accent3 5 4 3 2" xfId="12411" xr:uid="{00000000-0005-0000-0000-00007C140000}"/>
    <cellStyle name="20% - Accent3 5 4 3 2 2" xfId="26123" xr:uid="{00000000-0005-0000-0000-00007D140000}"/>
    <cellStyle name="20% - Accent3 5 4 3 3" xfId="18675" xr:uid="{00000000-0005-0000-0000-00007E140000}"/>
    <cellStyle name="20% - Accent3 5 4 4" xfId="1352" xr:uid="{00000000-0005-0000-0000-00007F140000}"/>
    <cellStyle name="20% - Accent3 5 4 4 2" xfId="14814" xr:uid="{00000000-0005-0000-0000-000080140000}"/>
    <cellStyle name="20% - Accent3 5 4 4 2 2" xfId="28363" xr:uid="{00000000-0005-0000-0000-000081140000}"/>
    <cellStyle name="20% - Accent3 5 4 4 3" xfId="18676" xr:uid="{00000000-0005-0000-0000-000082140000}"/>
    <cellStyle name="20% - Accent3 5 4 5" xfId="1353" xr:uid="{00000000-0005-0000-0000-000083140000}"/>
    <cellStyle name="20% - Accent3 5 4 5 2" xfId="16434" xr:uid="{00000000-0005-0000-0000-000084140000}"/>
    <cellStyle name="20% - Accent3 5 4 5 2 2" xfId="29841" xr:uid="{00000000-0005-0000-0000-000085140000}"/>
    <cellStyle name="20% - Accent3 5 4 5 3" xfId="18677" xr:uid="{00000000-0005-0000-0000-000086140000}"/>
    <cellStyle name="20% - Accent3 5 4 6" xfId="9003" xr:uid="{00000000-0005-0000-0000-000087140000}"/>
    <cellStyle name="20% - Accent3 5 4 6 2" xfId="23478" xr:uid="{00000000-0005-0000-0000-000088140000}"/>
    <cellStyle name="20% - Accent3 5 4 7" xfId="18673" xr:uid="{00000000-0005-0000-0000-000089140000}"/>
    <cellStyle name="20% - Accent3 5 5" xfId="1354" xr:uid="{00000000-0005-0000-0000-00008A140000}"/>
    <cellStyle name="20% - Accent3 5 5 2" xfId="1355" xr:uid="{00000000-0005-0000-0000-00008B140000}"/>
    <cellStyle name="20% - Accent3 5 5 2 2" xfId="14815" xr:uid="{00000000-0005-0000-0000-00008C140000}"/>
    <cellStyle name="20% - Accent3 5 5 2 2 2" xfId="28364" xr:uid="{00000000-0005-0000-0000-00008D140000}"/>
    <cellStyle name="20% - Accent3 5 5 2 3" xfId="18679" xr:uid="{00000000-0005-0000-0000-00008E140000}"/>
    <cellStyle name="20% - Accent3 5 5 3" xfId="10721" xr:uid="{00000000-0005-0000-0000-00008F140000}"/>
    <cellStyle name="20% - Accent3 5 5 3 2" xfId="24663" xr:uid="{00000000-0005-0000-0000-000090140000}"/>
    <cellStyle name="20% - Accent3 5 5 4" xfId="18678" xr:uid="{00000000-0005-0000-0000-000091140000}"/>
    <cellStyle name="20% - Accent3 5 6" xfId="1356" xr:uid="{00000000-0005-0000-0000-000092140000}"/>
    <cellStyle name="20% - Accent3 5 6 2" xfId="11785" xr:uid="{00000000-0005-0000-0000-000093140000}"/>
    <cellStyle name="20% - Accent3 5 6 2 2" xfId="25500" xr:uid="{00000000-0005-0000-0000-000094140000}"/>
    <cellStyle name="20% - Accent3 5 6 3" xfId="18680" xr:uid="{00000000-0005-0000-0000-000095140000}"/>
    <cellStyle name="20% - Accent3 5 7" xfId="1357" xr:uid="{00000000-0005-0000-0000-000096140000}"/>
    <cellStyle name="20% - Accent3 5 7 2" xfId="12574" xr:uid="{00000000-0005-0000-0000-000097140000}"/>
    <cellStyle name="20% - Accent3 5 7 2 2" xfId="26286" xr:uid="{00000000-0005-0000-0000-000098140000}"/>
    <cellStyle name="20% - Accent3 5 7 3" xfId="18681" xr:uid="{00000000-0005-0000-0000-000099140000}"/>
    <cellStyle name="20% - Accent3 5 8" xfId="1358" xr:uid="{00000000-0005-0000-0000-00009A140000}"/>
    <cellStyle name="20% - Accent3 5 8 2" xfId="13386" xr:uid="{00000000-0005-0000-0000-00009B140000}"/>
    <cellStyle name="20% - Accent3 5 8 2 2" xfId="26935" xr:uid="{00000000-0005-0000-0000-00009C140000}"/>
    <cellStyle name="20% - Accent3 5 8 3" xfId="18682" xr:uid="{00000000-0005-0000-0000-00009D140000}"/>
    <cellStyle name="20% - Accent3 5 9" xfId="1359" xr:uid="{00000000-0005-0000-0000-00009E140000}"/>
    <cellStyle name="20% - Accent3 5 9 2" xfId="13967" xr:uid="{00000000-0005-0000-0000-00009F140000}"/>
    <cellStyle name="20% - Accent3 5 9 2 2" xfId="27516" xr:uid="{00000000-0005-0000-0000-0000A0140000}"/>
    <cellStyle name="20% - Accent3 5 9 3" xfId="18683" xr:uid="{00000000-0005-0000-0000-0000A1140000}"/>
    <cellStyle name="20% - Accent3 6" xfId="1360" xr:uid="{00000000-0005-0000-0000-0000A2140000}"/>
    <cellStyle name="20% - Accent3 6 10" xfId="1361" xr:uid="{00000000-0005-0000-0000-0000A3140000}"/>
    <cellStyle name="20% - Accent3 6 10 2" xfId="14816" xr:uid="{00000000-0005-0000-0000-0000A4140000}"/>
    <cellStyle name="20% - Accent3 6 10 2 2" xfId="28365" xr:uid="{00000000-0005-0000-0000-0000A5140000}"/>
    <cellStyle name="20% - Accent3 6 10 3" xfId="18685" xr:uid="{00000000-0005-0000-0000-0000A6140000}"/>
    <cellStyle name="20% - Accent3 6 11" xfId="1362" xr:uid="{00000000-0005-0000-0000-0000A7140000}"/>
    <cellStyle name="20% - Accent3 6 11 2" xfId="15959" xr:uid="{00000000-0005-0000-0000-0000A8140000}"/>
    <cellStyle name="20% - Accent3 6 11 2 2" xfId="29366" xr:uid="{00000000-0005-0000-0000-0000A9140000}"/>
    <cellStyle name="20% - Accent3 6 11 3" xfId="18686" xr:uid="{00000000-0005-0000-0000-0000AA140000}"/>
    <cellStyle name="20% - Accent3 6 12" xfId="9004" xr:uid="{00000000-0005-0000-0000-0000AB140000}"/>
    <cellStyle name="20% - Accent3 6 12 2" xfId="23479" xr:uid="{00000000-0005-0000-0000-0000AC140000}"/>
    <cellStyle name="20% - Accent3 6 13" xfId="18684" xr:uid="{00000000-0005-0000-0000-0000AD140000}"/>
    <cellStyle name="20% - Accent3 6 2" xfId="1363" xr:uid="{00000000-0005-0000-0000-0000AE140000}"/>
    <cellStyle name="20% - Accent3 6 2 10" xfId="1364" xr:uid="{00000000-0005-0000-0000-0000AF140000}"/>
    <cellStyle name="20% - Accent3 6 2 10 2" xfId="16102" xr:uid="{00000000-0005-0000-0000-0000B0140000}"/>
    <cellStyle name="20% - Accent3 6 2 10 2 2" xfId="29509" xr:uid="{00000000-0005-0000-0000-0000B1140000}"/>
    <cellStyle name="20% - Accent3 6 2 10 3" xfId="18688" xr:uid="{00000000-0005-0000-0000-0000B2140000}"/>
    <cellStyle name="20% - Accent3 6 2 11" xfId="9005" xr:uid="{00000000-0005-0000-0000-0000B3140000}"/>
    <cellStyle name="20% - Accent3 6 2 11 2" xfId="23480" xr:uid="{00000000-0005-0000-0000-0000B4140000}"/>
    <cellStyle name="20% - Accent3 6 2 12" xfId="18687" xr:uid="{00000000-0005-0000-0000-0000B5140000}"/>
    <cellStyle name="20% - Accent3 6 2 2" xfId="1365" xr:uid="{00000000-0005-0000-0000-0000B6140000}"/>
    <cellStyle name="20% - Accent3 6 2 2 10" xfId="9006" xr:uid="{00000000-0005-0000-0000-0000B7140000}"/>
    <cellStyle name="20% - Accent3 6 2 2 10 2" xfId="23481" xr:uid="{00000000-0005-0000-0000-0000B8140000}"/>
    <cellStyle name="20% - Accent3 6 2 2 11" xfId="18689" xr:uid="{00000000-0005-0000-0000-0000B9140000}"/>
    <cellStyle name="20% - Accent3 6 2 2 2" xfId="1366" xr:uid="{00000000-0005-0000-0000-0000BA140000}"/>
    <cellStyle name="20% - Accent3 6 2 2 2 2" xfId="1367" xr:uid="{00000000-0005-0000-0000-0000BB140000}"/>
    <cellStyle name="20% - Accent3 6 2 2 2 2 2" xfId="10732" xr:uid="{00000000-0005-0000-0000-0000BC140000}"/>
    <cellStyle name="20% - Accent3 6 2 2 2 2 2 2" xfId="24674" xr:uid="{00000000-0005-0000-0000-0000BD140000}"/>
    <cellStyle name="20% - Accent3 6 2 2 2 2 3" xfId="18691" xr:uid="{00000000-0005-0000-0000-0000BE140000}"/>
    <cellStyle name="20% - Accent3 6 2 2 2 3" xfId="1368" xr:uid="{00000000-0005-0000-0000-0000BF140000}"/>
    <cellStyle name="20% - Accent3 6 2 2 2 3 2" xfId="12784" xr:uid="{00000000-0005-0000-0000-0000C0140000}"/>
    <cellStyle name="20% - Accent3 6 2 2 2 3 2 2" xfId="26496" xr:uid="{00000000-0005-0000-0000-0000C1140000}"/>
    <cellStyle name="20% - Accent3 6 2 2 2 3 3" xfId="18692" xr:uid="{00000000-0005-0000-0000-0000C2140000}"/>
    <cellStyle name="20% - Accent3 6 2 2 2 4" xfId="1369" xr:uid="{00000000-0005-0000-0000-0000C3140000}"/>
    <cellStyle name="20% - Accent3 6 2 2 2 4 2" xfId="14819" xr:uid="{00000000-0005-0000-0000-0000C4140000}"/>
    <cellStyle name="20% - Accent3 6 2 2 2 4 2 2" xfId="28368" xr:uid="{00000000-0005-0000-0000-0000C5140000}"/>
    <cellStyle name="20% - Accent3 6 2 2 2 4 3" xfId="18693" xr:uid="{00000000-0005-0000-0000-0000C6140000}"/>
    <cellStyle name="20% - Accent3 6 2 2 2 5" xfId="1370" xr:uid="{00000000-0005-0000-0000-0000C7140000}"/>
    <cellStyle name="20% - Accent3 6 2 2 2 5 2" xfId="16972" xr:uid="{00000000-0005-0000-0000-0000C8140000}"/>
    <cellStyle name="20% - Accent3 6 2 2 2 5 2 2" xfId="30379" xr:uid="{00000000-0005-0000-0000-0000C9140000}"/>
    <cellStyle name="20% - Accent3 6 2 2 2 5 3" xfId="18694" xr:uid="{00000000-0005-0000-0000-0000CA140000}"/>
    <cellStyle name="20% - Accent3 6 2 2 2 6" xfId="9007" xr:uid="{00000000-0005-0000-0000-0000CB140000}"/>
    <cellStyle name="20% - Accent3 6 2 2 2 6 2" xfId="23482" xr:uid="{00000000-0005-0000-0000-0000CC140000}"/>
    <cellStyle name="20% - Accent3 6 2 2 2 7" xfId="18690" xr:uid="{00000000-0005-0000-0000-0000CD140000}"/>
    <cellStyle name="20% - Accent3 6 2 2 3" xfId="1371" xr:uid="{00000000-0005-0000-0000-0000CE140000}"/>
    <cellStyle name="20% - Accent3 6 2 2 3 2" xfId="1372" xr:uid="{00000000-0005-0000-0000-0000CF140000}"/>
    <cellStyle name="20% - Accent3 6 2 2 3 2 2" xfId="14820" xr:uid="{00000000-0005-0000-0000-0000D0140000}"/>
    <cellStyle name="20% - Accent3 6 2 2 3 2 2 2" xfId="28369" xr:uid="{00000000-0005-0000-0000-0000D1140000}"/>
    <cellStyle name="20% - Accent3 6 2 2 3 2 3" xfId="18696" xr:uid="{00000000-0005-0000-0000-0000D2140000}"/>
    <cellStyle name="20% - Accent3 6 2 2 3 3" xfId="10731" xr:uid="{00000000-0005-0000-0000-0000D3140000}"/>
    <cellStyle name="20% - Accent3 6 2 2 3 3 2" xfId="24673" xr:uid="{00000000-0005-0000-0000-0000D4140000}"/>
    <cellStyle name="20% - Accent3 6 2 2 3 4" xfId="18695" xr:uid="{00000000-0005-0000-0000-0000D5140000}"/>
    <cellStyle name="20% - Accent3 6 2 2 4" xfId="1373" xr:uid="{00000000-0005-0000-0000-0000D6140000}"/>
    <cellStyle name="20% - Accent3 6 2 2 4 2" xfId="12360" xr:uid="{00000000-0005-0000-0000-0000D7140000}"/>
    <cellStyle name="20% - Accent3 6 2 2 4 2 2" xfId="26072" xr:uid="{00000000-0005-0000-0000-0000D8140000}"/>
    <cellStyle name="20% - Accent3 6 2 2 4 3" xfId="18697" xr:uid="{00000000-0005-0000-0000-0000D9140000}"/>
    <cellStyle name="20% - Accent3 6 2 2 5" xfId="1374" xr:uid="{00000000-0005-0000-0000-0000DA140000}"/>
    <cellStyle name="20% - Accent3 6 2 2 5 2" xfId="12644" xr:uid="{00000000-0005-0000-0000-0000DB140000}"/>
    <cellStyle name="20% - Accent3 6 2 2 5 2 2" xfId="26356" xr:uid="{00000000-0005-0000-0000-0000DC140000}"/>
    <cellStyle name="20% - Accent3 6 2 2 5 3" xfId="18698" xr:uid="{00000000-0005-0000-0000-0000DD140000}"/>
    <cellStyle name="20% - Accent3 6 2 2 6" xfId="1375" xr:uid="{00000000-0005-0000-0000-0000DE140000}"/>
    <cellStyle name="20% - Accent3 6 2 2 6 2" xfId="13924" xr:uid="{00000000-0005-0000-0000-0000DF140000}"/>
    <cellStyle name="20% - Accent3 6 2 2 6 2 2" xfId="27473" xr:uid="{00000000-0005-0000-0000-0000E0140000}"/>
    <cellStyle name="20% - Accent3 6 2 2 6 3" xfId="18699" xr:uid="{00000000-0005-0000-0000-0000E1140000}"/>
    <cellStyle name="20% - Accent3 6 2 2 7" xfId="1376" xr:uid="{00000000-0005-0000-0000-0000E2140000}"/>
    <cellStyle name="20% - Accent3 6 2 2 7 2" xfId="14505" xr:uid="{00000000-0005-0000-0000-0000E3140000}"/>
    <cellStyle name="20% - Accent3 6 2 2 7 2 2" xfId="28054" xr:uid="{00000000-0005-0000-0000-0000E4140000}"/>
    <cellStyle name="20% - Accent3 6 2 2 7 3" xfId="18700" xr:uid="{00000000-0005-0000-0000-0000E5140000}"/>
    <cellStyle name="20% - Accent3 6 2 2 8" xfId="1377" xr:uid="{00000000-0005-0000-0000-0000E6140000}"/>
    <cellStyle name="20% - Accent3 6 2 2 8 2" xfId="14818" xr:uid="{00000000-0005-0000-0000-0000E7140000}"/>
    <cellStyle name="20% - Accent3 6 2 2 8 2 2" xfId="28367" xr:uid="{00000000-0005-0000-0000-0000E8140000}"/>
    <cellStyle name="20% - Accent3 6 2 2 8 3" xfId="18701" xr:uid="{00000000-0005-0000-0000-0000E9140000}"/>
    <cellStyle name="20% - Accent3 6 2 2 9" xfId="1378" xr:uid="{00000000-0005-0000-0000-0000EA140000}"/>
    <cellStyle name="20% - Accent3 6 2 2 9 2" xfId="16391" xr:uid="{00000000-0005-0000-0000-0000EB140000}"/>
    <cellStyle name="20% - Accent3 6 2 2 9 2 2" xfId="29798" xr:uid="{00000000-0005-0000-0000-0000EC140000}"/>
    <cellStyle name="20% - Accent3 6 2 2 9 3" xfId="18702" xr:uid="{00000000-0005-0000-0000-0000ED140000}"/>
    <cellStyle name="20% - Accent3 6 2 3" xfId="1379" xr:uid="{00000000-0005-0000-0000-0000EE140000}"/>
    <cellStyle name="20% - Accent3 6 2 3 2" xfId="1380" xr:uid="{00000000-0005-0000-0000-0000EF140000}"/>
    <cellStyle name="20% - Accent3 6 2 3 2 2" xfId="10733" xr:uid="{00000000-0005-0000-0000-0000F0140000}"/>
    <cellStyle name="20% - Accent3 6 2 3 2 2 2" xfId="24675" xr:uid="{00000000-0005-0000-0000-0000F1140000}"/>
    <cellStyle name="20% - Accent3 6 2 3 2 3" xfId="18704" xr:uid="{00000000-0005-0000-0000-0000F2140000}"/>
    <cellStyle name="20% - Accent3 6 2 3 3" xfId="1381" xr:uid="{00000000-0005-0000-0000-0000F3140000}"/>
    <cellStyle name="20% - Accent3 6 2 3 3 2" xfId="11849" xr:uid="{00000000-0005-0000-0000-0000F4140000}"/>
    <cellStyle name="20% - Accent3 6 2 3 3 2 2" xfId="25564" xr:uid="{00000000-0005-0000-0000-0000F5140000}"/>
    <cellStyle name="20% - Accent3 6 2 3 3 3" xfId="18705" xr:uid="{00000000-0005-0000-0000-0000F6140000}"/>
    <cellStyle name="20% - Accent3 6 2 3 4" xfId="1382" xr:uid="{00000000-0005-0000-0000-0000F7140000}"/>
    <cellStyle name="20% - Accent3 6 2 3 4 2" xfId="14821" xr:uid="{00000000-0005-0000-0000-0000F8140000}"/>
    <cellStyle name="20% - Accent3 6 2 3 4 2 2" xfId="28370" xr:uid="{00000000-0005-0000-0000-0000F9140000}"/>
    <cellStyle name="20% - Accent3 6 2 3 4 3" xfId="18706" xr:uid="{00000000-0005-0000-0000-0000FA140000}"/>
    <cellStyle name="20% - Accent3 6 2 3 5" xfId="1383" xr:uid="{00000000-0005-0000-0000-0000FB140000}"/>
    <cellStyle name="20% - Accent3 6 2 3 5 2" xfId="16683" xr:uid="{00000000-0005-0000-0000-0000FC140000}"/>
    <cellStyle name="20% - Accent3 6 2 3 5 2 2" xfId="30090" xr:uid="{00000000-0005-0000-0000-0000FD140000}"/>
    <cellStyle name="20% - Accent3 6 2 3 5 3" xfId="18707" xr:uid="{00000000-0005-0000-0000-0000FE140000}"/>
    <cellStyle name="20% - Accent3 6 2 3 6" xfId="9008" xr:uid="{00000000-0005-0000-0000-0000FF140000}"/>
    <cellStyle name="20% - Accent3 6 2 3 6 2" xfId="23483" xr:uid="{00000000-0005-0000-0000-000000150000}"/>
    <cellStyle name="20% - Accent3 6 2 3 7" xfId="18703" xr:uid="{00000000-0005-0000-0000-000001150000}"/>
    <cellStyle name="20% - Accent3 6 2 4" xfId="1384" xr:uid="{00000000-0005-0000-0000-000002150000}"/>
    <cellStyle name="20% - Accent3 6 2 4 2" xfId="1385" xr:uid="{00000000-0005-0000-0000-000003150000}"/>
    <cellStyle name="20% - Accent3 6 2 4 2 2" xfId="14822" xr:uid="{00000000-0005-0000-0000-000004150000}"/>
    <cellStyle name="20% - Accent3 6 2 4 2 2 2" xfId="28371" xr:uid="{00000000-0005-0000-0000-000005150000}"/>
    <cellStyle name="20% - Accent3 6 2 4 2 3" xfId="18709" xr:uid="{00000000-0005-0000-0000-000006150000}"/>
    <cellStyle name="20% - Accent3 6 2 4 3" xfId="10730" xr:uid="{00000000-0005-0000-0000-000007150000}"/>
    <cellStyle name="20% - Accent3 6 2 4 3 2" xfId="24672" xr:uid="{00000000-0005-0000-0000-000008150000}"/>
    <cellStyle name="20% - Accent3 6 2 4 4" xfId="18708" xr:uid="{00000000-0005-0000-0000-000009150000}"/>
    <cellStyle name="20% - Accent3 6 2 5" xfId="1386" xr:uid="{00000000-0005-0000-0000-00000A150000}"/>
    <cellStyle name="20% - Accent3 6 2 5 2" xfId="12060" xr:uid="{00000000-0005-0000-0000-00000B150000}"/>
    <cellStyle name="20% - Accent3 6 2 5 2 2" xfId="25775" xr:uid="{00000000-0005-0000-0000-00000C150000}"/>
    <cellStyle name="20% - Accent3 6 2 5 3" xfId="18710" xr:uid="{00000000-0005-0000-0000-00000D150000}"/>
    <cellStyle name="20% - Accent3 6 2 6" xfId="1387" xr:uid="{00000000-0005-0000-0000-00000E150000}"/>
    <cellStyle name="20% - Accent3 6 2 6 2" xfId="12398" xr:uid="{00000000-0005-0000-0000-00000F150000}"/>
    <cellStyle name="20% - Accent3 6 2 6 2 2" xfId="26110" xr:uid="{00000000-0005-0000-0000-000010150000}"/>
    <cellStyle name="20% - Accent3 6 2 6 3" xfId="18711" xr:uid="{00000000-0005-0000-0000-000011150000}"/>
    <cellStyle name="20% - Accent3 6 2 7" xfId="1388" xr:uid="{00000000-0005-0000-0000-000012150000}"/>
    <cellStyle name="20% - Accent3 6 2 7 2" xfId="13635" xr:uid="{00000000-0005-0000-0000-000013150000}"/>
    <cellStyle name="20% - Accent3 6 2 7 2 2" xfId="27184" xr:uid="{00000000-0005-0000-0000-000014150000}"/>
    <cellStyle name="20% - Accent3 6 2 7 3" xfId="18712" xr:uid="{00000000-0005-0000-0000-000015150000}"/>
    <cellStyle name="20% - Accent3 6 2 8" xfId="1389" xr:uid="{00000000-0005-0000-0000-000016150000}"/>
    <cellStyle name="20% - Accent3 6 2 8 2" xfId="14216" xr:uid="{00000000-0005-0000-0000-000017150000}"/>
    <cellStyle name="20% - Accent3 6 2 8 2 2" xfId="27765" xr:uid="{00000000-0005-0000-0000-000018150000}"/>
    <cellStyle name="20% - Accent3 6 2 8 3" xfId="18713" xr:uid="{00000000-0005-0000-0000-000019150000}"/>
    <cellStyle name="20% - Accent3 6 2 9" xfId="1390" xr:uid="{00000000-0005-0000-0000-00001A150000}"/>
    <cellStyle name="20% - Accent3 6 2 9 2" xfId="14817" xr:uid="{00000000-0005-0000-0000-00001B150000}"/>
    <cellStyle name="20% - Accent3 6 2 9 2 2" xfId="28366" xr:uid="{00000000-0005-0000-0000-00001C150000}"/>
    <cellStyle name="20% - Accent3 6 2 9 3" xfId="18714" xr:uid="{00000000-0005-0000-0000-00001D150000}"/>
    <cellStyle name="20% - Accent3 6 3" xfId="1391" xr:uid="{00000000-0005-0000-0000-00001E150000}"/>
    <cellStyle name="20% - Accent3 6 3 10" xfId="9009" xr:uid="{00000000-0005-0000-0000-00001F150000}"/>
    <cellStyle name="20% - Accent3 6 3 10 2" xfId="23484" xr:uid="{00000000-0005-0000-0000-000020150000}"/>
    <cellStyle name="20% - Accent3 6 3 11" xfId="18715" xr:uid="{00000000-0005-0000-0000-000021150000}"/>
    <cellStyle name="20% - Accent3 6 3 2" xfId="1392" xr:uid="{00000000-0005-0000-0000-000022150000}"/>
    <cellStyle name="20% - Accent3 6 3 2 2" xfId="1393" xr:uid="{00000000-0005-0000-0000-000023150000}"/>
    <cellStyle name="20% - Accent3 6 3 2 2 2" xfId="10735" xr:uid="{00000000-0005-0000-0000-000024150000}"/>
    <cellStyle name="20% - Accent3 6 3 2 2 2 2" xfId="24677" xr:uid="{00000000-0005-0000-0000-000025150000}"/>
    <cellStyle name="20% - Accent3 6 3 2 2 3" xfId="18717" xr:uid="{00000000-0005-0000-0000-000026150000}"/>
    <cellStyle name="20% - Accent3 6 3 2 3" xfId="1394" xr:uid="{00000000-0005-0000-0000-000027150000}"/>
    <cellStyle name="20% - Accent3 6 3 2 3 2" xfId="12637" xr:uid="{00000000-0005-0000-0000-000028150000}"/>
    <cellStyle name="20% - Accent3 6 3 2 3 2 2" xfId="26349" xr:uid="{00000000-0005-0000-0000-000029150000}"/>
    <cellStyle name="20% - Accent3 6 3 2 3 3" xfId="18718" xr:uid="{00000000-0005-0000-0000-00002A150000}"/>
    <cellStyle name="20% - Accent3 6 3 2 4" xfId="1395" xr:uid="{00000000-0005-0000-0000-00002B150000}"/>
    <cellStyle name="20% - Accent3 6 3 2 4 2" xfId="14824" xr:uid="{00000000-0005-0000-0000-00002C150000}"/>
    <cellStyle name="20% - Accent3 6 3 2 4 2 2" xfId="28373" xr:uid="{00000000-0005-0000-0000-00002D150000}"/>
    <cellStyle name="20% - Accent3 6 3 2 4 3" xfId="18719" xr:uid="{00000000-0005-0000-0000-00002E150000}"/>
    <cellStyle name="20% - Accent3 6 3 2 5" xfId="1396" xr:uid="{00000000-0005-0000-0000-00002F150000}"/>
    <cellStyle name="20% - Accent3 6 3 2 5 2" xfId="16829" xr:uid="{00000000-0005-0000-0000-000030150000}"/>
    <cellStyle name="20% - Accent3 6 3 2 5 2 2" xfId="30236" xr:uid="{00000000-0005-0000-0000-000031150000}"/>
    <cellStyle name="20% - Accent3 6 3 2 5 3" xfId="18720" xr:uid="{00000000-0005-0000-0000-000032150000}"/>
    <cellStyle name="20% - Accent3 6 3 2 6" xfId="9010" xr:uid="{00000000-0005-0000-0000-000033150000}"/>
    <cellStyle name="20% - Accent3 6 3 2 6 2" xfId="23485" xr:uid="{00000000-0005-0000-0000-000034150000}"/>
    <cellStyle name="20% - Accent3 6 3 2 7" xfId="18716" xr:uid="{00000000-0005-0000-0000-000035150000}"/>
    <cellStyle name="20% - Accent3 6 3 3" xfId="1397" xr:uid="{00000000-0005-0000-0000-000036150000}"/>
    <cellStyle name="20% - Accent3 6 3 3 2" xfId="1398" xr:uid="{00000000-0005-0000-0000-000037150000}"/>
    <cellStyle name="20% - Accent3 6 3 3 2 2" xfId="14825" xr:uid="{00000000-0005-0000-0000-000038150000}"/>
    <cellStyle name="20% - Accent3 6 3 3 2 2 2" xfId="28374" xr:uid="{00000000-0005-0000-0000-000039150000}"/>
    <cellStyle name="20% - Accent3 6 3 3 2 3" xfId="18722" xr:uid="{00000000-0005-0000-0000-00003A150000}"/>
    <cellStyle name="20% - Accent3 6 3 3 3" xfId="10734" xr:uid="{00000000-0005-0000-0000-00003B150000}"/>
    <cellStyle name="20% - Accent3 6 3 3 3 2" xfId="24676" xr:uid="{00000000-0005-0000-0000-00003C150000}"/>
    <cellStyle name="20% - Accent3 6 3 3 4" xfId="18721" xr:uid="{00000000-0005-0000-0000-00003D150000}"/>
    <cellStyle name="20% - Accent3 6 3 4" xfId="1399" xr:uid="{00000000-0005-0000-0000-00003E150000}"/>
    <cellStyle name="20% - Accent3 6 3 4 2" xfId="12217" xr:uid="{00000000-0005-0000-0000-00003F150000}"/>
    <cellStyle name="20% - Accent3 6 3 4 2 2" xfId="25929" xr:uid="{00000000-0005-0000-0000-000040150000}"/>
    <cellStyle name="20% - Accent3 6 3 4 3" xfId="18723" xr:uid="{00000000-0005-0000-0000-000041150000}"/>
    <cellStyle name="20% - Accent3 6 3 5" xfId="1400" xr:uid="{00000000-0005-0000-0000-000042150000}"/>
    <cellStyle name="20% - Accent3 6 3 5 2" xfId="12717" xr:uid="{00000000-0005-0000-0000-000043150000}"/>
    <cellStyle name="20% - Accent3 6 3 5 2 2" xfId="26429" xr:uid="{00000000-0005-0000-0000-000044150000}"/>
    <cellStyle name="20% - Accent3 6 3 5 3" xfId="18724" xr:uid="{00000000-0005-0000-0000-000045150000}"/>
    <cellStyle name="20% - Accent3 6 3 6" xfId="1401" xr:uid="{00000000-0005-0000-0000-000046150000}"/>
    <cellStyle name="20% - Accent3 6 3 6 2" xfId="13781" xr:uid="{00000000-0005-0000-0000-000047150000}"/>
    <cellStyle name="20% - Accent3 6 3 6 2 2" xfId="27330" xr:uid="{00000000-0005-0000-0000-000048150000}"/>
    <cellStyle name="20% - Accent3 6 3 6 3" xfId="18725" xr:uid="{00000000-0005-0000-0000-000049150000}"/>
    <cellStyle name="20% - Accent3 6 3 7" xfId="1402" xr:uid="{00000000-0005-0000-0000-00004A150000}"/>
    <cellStyle name="20% - Accent3 6 3 7 2" xfId="14362" xr:uid="{00000000-0005-0000-0000-00004B150000}"/>
    <cellStyle name="20% - Accent3 6 3 7 2 2" xfId="27911" xr:uid="{00000000-0005-0000-0000-00004C150000}"/>
    <cellStyle name="20% - Accent3 6 3 7 3" xfId="18726" xr:uid="{00000000-0005-0000-0000-00004D150000}"/>
    <cellStyle name="20% - Accent3 6 3 8" xfId="1403" xr:uid="{00000000-0005-0000-0000-00004E150000}"/>
    <cellStyle name="20% - Accent3 6 3 8 2" xfId="14823" xr:uid="{00000000-0005-0000-0000-00004F150000}"/>
    <cellStyle name="20% - Accent3 6 3 8 2 2" xfId="28372" xr:uid="{00000000-0005-0000-0000-000050150000}"/>
    <cellStyle name="20% - Accent3 6 3 8 3" xfId="18727" xr:uid="{00000000-0005-0000-0000-000051150000}"/>
    <cellStyle name="20% - Accent3 6 3 9" xfId="1404" xr:uid="{00000000-0005-0000-0000-000052150000}"/>
    <cellStyle name="20% - Accent3 6 3 9 2" xfId="16248" xr:uid="{00000000-0005-0000-0000-000053150000}"/>
    <cellStyle name="20% - Accent3 6 3 9 2 2" xfId="29655" xr:uid="{00000000-0005-0000-0000-000054150000}"/>
    <cellStyle name="20% - Accent3 6 3 9 3" xfId="18728" xr:uid="{00000000-0005-0000-0000-000055150000}"/>
    <cellStyle name="20% - Accent3 6 4" xfId="1405" xr:uid="{00000000-0005-0000-0000-000056150000}"/>
    <cellStyle name="20% - Accent3 6 4 2" xfId="1406" xr:uid="{00000000-0005-0000-0000-000057150000}"/>
    <cellStyle name="20% - Accent3 6 4 2 2" xfId="10736" xr:uid="{00000000-0005-0000-0000-000058150000}"/>
    <cellStyle name="20% - Accent3 6 4 2 2 2" xfId="24678" xr:uid="{00000000-0005-0000-0000-000059150000}"/>
    <cellStyle name="20% - Accent3 6 4 2 3" xfId="18730" xr:uid="{00000000-0005-0000-0000-00005A150000}"/>
    <cellStyle name="20% - Accent3 6 4 3" xfId="1407" xr:uid="{00000000-0005-0000-0000-00005B150000}"/>
    <cellStyle name="20% - Accent3 6 4 3 2" xfId="12664" xr:uid="{00000000-0005-0000-0000-00005C150000}"/>
    <cellStyle name="20% - Accent3 6 4 3 2 2" xfId="26376" xr:uid="{00000000-0005-0000-0000-00005D150000}"/>
    <cellStyle name="20% - Accent3 6 4 3 3" xfId="18731" xr:uid="{00000000-0005-0000-0000-00005E150000}"/>
    <cellStyle name="20% - Accent3 6 4 4" xfId="1408" xr:uid="{00000000-0005-0000-0000-00005F150000}"/>
    <cellStyle name="20% - Accent3 6 4 4 2" xfId="14826" xr:uid="{00000000-0005-0000-0000-000060150000}"/>
    <cellStyle name="20% - Accent3 6 4 4 2 2" xfId="28375" xr:uid="{00000000-0005-0000-0000-000061150000}"/>
    <cellStyle name="20% - Accent3 6 4 4 3" xfId="18732" xr:uid="{00000000-0005-0000-0000-000062150000}"/>
    <cellStyle name="20% - Accent3 6 4 5" xfId="1409" xr:uid="{00000000-0005-0000-0000-000063150000}"/>
    <cellStyle name="20% - Accent3 6 4 5 2" xfId="16540" xr:uid="{00000000-0005-0000-0000-000064150000}"/>
    <cellStyle name="20% - Accent3 6 4 5 2 2" xfId="29947" xr:uid="{00000000-0005-0000-0000-000065150000}"/>
    <cellStyle name="20% - Accent3 6 4 5 3" xfId="18733" xr:uid="{00000000-0005-0000-0000-000066150000}"/>
    <cellStyle name="20% - Accent3 6 4 6" xfId="9011" xr:uid="{00000000-0005-0000-0000-000067150000}"/>
    <cellStyle name="20% - Accent3 6 4 6 2" xfId="23486" xr:uid="{00000000-0005-0000-0000-000068150000}"/>
    <cellStyle name="20% - Accent3 6 4 7" xfId="18729" xr:uid="{00000000-0005-0000-0000-000069150000}"/>
    <cellStyle name="20% - Accent3 6 5" xfId="1410" xr:uid="{00000000-0005-0000-0000-00006A150000}"/>
    <cellStyle name="20% - Accent3 6 5 2" xfId="1411" xr:uid="{00000000-0005-0000-0000-00006B150000}"/>
    <cellStyle name="20% - Accent3 6 5 2 2" xfId="14827" xr:uid="{00000000-0005-0000-0000-00006C150000}"/>
    <cellStyle name="20% - Accent3 6 5 2 2 2" xfId="28376" xr:uid="{00000000-0005-0000-0000-00006D150000}"/>
    <cellStyle name="20% - Accent3 6 5 2 3" xfId="18735" xr:uid="{00000000-0005-0000-0000-00006E150000}"/>
    <cellStyle name="20% - Accent3 6 5 3" xfId="10729" xr:uid="{00000000-0005-0000-0000-00006F150000}"/>
    <cellStyle name="20% - Accent3 6 5 3 2" xfId="24671" xr:uid="{00000000-0005-0000-0000-000070150000}"/>
    <cellStyle name="20% - Accent3 6 5 4" xfId="18734" xr:uid="{00000000-0005-0000-0000-000071150000}"/>
    <cellStyle name="20% - Accent3 6 6" xfId="1412" xr:uid="{00000000-0005-0000-0000-000072150000}"/>
    <cellStyle name="20% - Accent3 6 6 2" xfId="11915" xr:uid="{00000000-0005-0000-0000-000073150000}"/>
    <cellStyle name="20% - Accent3 6 6 2 2" xfId="25630" xr:uid="{00000000-0005-0000-0000-000074150000}"/>
    <cellStyle name="20% - Accent3 6 6 3" xfId="18736" xr:uid="{00000000-0005-0000-0000-000075150000}"/>
    <cellStyle name="20% - Accent3 6 7" xfId="1413" xr:uid="{00000000-0005-0000-0000-000076150000}"/>
    <cellStyle name="20% - Accent3 6 7 2" xfId="12418" xr:uid="{00000000-0005-0000-0000-000077150000}"/>
    <cellStyle name="20% - Accent3 6 7 2 2" xfId="26130" xr:uid="{00000000-0005-0000-0000-000078150000}"/>
    <cellStyle name="20% - Accent3 6 7 3" xfId="18737" xr:uid="{00000000-0005-0000-0000-000079150000}"/>
    <cellStyle name="20% - Accent3 6 8" xfId="1414" xr:uid="{00000000-0005-0000-0000-00007A150000}"/>
    <cellStyle name="20% - Accent3 6 8 2" xfId="13492" xr:uid="{00000000-0005-0000-0000-00007B150000}"/>
    <cellStyle name="20% - Accent3 6 8 2 2" xfId="27041" xr:uid="{00000000-0005-0000-0000-00007C150000}"/>
    <cellStyle name="20% - Accent3 6 8 3" xfId="18738" xr:uid="{00000000-0005-0000-0000-00007D150000}"/>
    <cellStyle name="20% - Accent3 6 9" xfId="1415" xr:uid="{00000000-0005-0000-0000-00007E150000}"/>
    <cellStyle name="20% - Accent3 6 9 2" xfId="14073" xr:uid="{00000000-0005-0000-0000-00007F150000}"/>
    <cellStyle name="20% - Accent3 6 9 2 2" xfId="27622" xr:uid="{00000000-0005-0000-0000-000080150000}"/>
    <cellStyle name="20% - Accent3 6 9 3" xfId="18739" xr:uid="{00000000-0005-0000-0000-000081150000}"/>
    <cellStyle name="20% - Accent3 7" xfId="1416" xr:uid="{00000000-0005-0000-0000-000082150000}"/>
    <cellStyle name="20% - Accent3 7 10" xfId="1417" xr:uid="{00000000-0005-0000-0000-000083150000}"/>
    <cellStyle name="20% - Accent3 7 10 2" xfId="15981" xr:uid="{00000000-0005-0000-0000-000084150000}"/>
    <cellStyle name="20% - Accent3 7 10 2 2" xfId="29388" xr:uid="{00000000-0005-0000-0000-000085150000}"/>
    <cellStyle name="20% - Accent3 7 10 3" xfId="18741" xr:uid="{00000000-0005-0000-0000-000086150000}"/>
    <cellStyle name="20% - Accent3 7 11" xfId="9012" xr:uid="{00000000-0005-0000-0000-000087150000}"/>
    <cellStyle name="20% - Accent3 7 11 2" xfId="23487" xr:uid="{00000000-0005-0000-0000-000088150000}"/>
    <cellStyle name="20% - Accent3 7 12" xfId="18740" xr:uid="{00000000-0005-0000-0000-000089150000}"/>
    <cellStyle name="20% - Accent3 7 2" xfId="1418" xr:uid="{00000000-0005-0000-0000-00008A150000}"/>
    <cellStyle name="20% - Accent3 7 2 10" xfId="9013" xr:uid="{00000000-0005-0000-0000-00008B150000}"/>
    <cellStyle name="20% - Accent3 7 2 10 2" xfId="23488" xr:uid="{00000000-0005-0000-0000-00008C150000}"/>
    <cellStyle name="20% - Accent3 7 2 11" xfId="18742" xr:uid="{00000000-0005-0000-0000-00008D150000}"/>
    <cellStyle name="20% - Accent3 7 2 2" xfId="1419" xr:uid="{00000000-0005-0000-0000-00008E150000}"/>
    <cellStyle name="20% - Accent3 7 2 2 2" xfId="1420" xr:uid="{00000000-0005-0000-0000-00008F150000}"/>
    <cellStyle name="20% - Accent3 7 2 2 2 2" xfId="10739" xr:uid="{00000000-0005-0000-0000-000090150000}"/>
    <cellStyle name="20% - Accent3 7 2 2 2 2 2" xfId="24681" xr:uid="{00000000-0005-0000-0000-000091150000}"/>
    <cellStyle name="20% - Accent3 7 2 2 2 3" xfId="18744" xr:uid="{00000000-0005-0000-0000-000092150000}"/>
    <cellStyle name="20% - Accent3 7 2 2 3" xfId="1421" xr:uid="{00000000-0005-0000-0000-000093150000}"/>
    <cellStyle name="20% - Accent3 7 2 2 3 2" xfId="12521" xr:uid="{00000000-0005-0000-0000-000094150000}"/>
    <cellStyle name="20% - Accent3 7 2 2 3 2 2" xfId="26233" xr:uid="{00000000-0005-0000-0000-000095150000}"/>
    <cellStyle name="20% - Accent3 7 2 2 3 3" xfId="18745" xr:uid="{00000000-0005-0000-0000-000096150000}"/>
    <cellStyle name="20% - Accent3 7 2 2 4" xfId="1422" xr:uid="{00000000-0005-0000-0000-000097150000}"/>
    <cellStyle name="20% - Accent3 7 2 2 4 2" xfId="14830" xr:uid="{00000000-0005-0000-0000-000098150000}"/>
    <cellStyle name="20% - Accent3 7 2 2 4 2 2" xfId="28379" xr:uid="{00000000-0005-0000-0000-000099150000}"/>
    <cellStyle name="20% - Accent3 7 2 2 4 3" xfId="18746" xr:uid="{00000000-0005-0000-0000-00009A150000}"/>
    <cellStyle name="20% - Accent3 7 2 2 5" xfId="1423" xr:uid="{00000000-0005-0000-0000-00009B150000}"/>
    <cellStyle name="20% - Accent3 7 2 2 5 2" xfId="16851" xr:uid="{00000000-0005-0000-0000-00009C150000}"/>
    <cellStyle name="20% - Accent3 7 2 2 5 2 2" xfId="30258" xr:uid="{00000000-0005-0000-0000-00009D150000}"/>
    <cellStyle name="20% - Accent3 7 2 2 5 3" xfId="18747" xr:uid="{00000000-0005-0000-0000-00009E150000}"/>
    <cellStyle name="20% - Accent3 7 2 2 6" xfId="9014" xr:uid="{00000000-0005-0000-0000-00009F150000}"/>
    <cellStyle name="20% - Accent3 7 2 2 6 2" xfId="23489" xr:uid="{00000000-0005-0000-0000-0000A0150000}"/>
    <cellStyle name="20% - Accent3 7 2 2 7" xfId="18743" xr:uid="{00000000-0005-0000-0000-0000A1150000}"/>
    <cellStyle name="20% - Accent3 7 2 3" xfId="1424" xr:uid="{00000000-0005-0000-0000-0000A2150000}"/>
    <cellStyle name="20% - Accent3 7 2 3 2" xfId="1425" xr:uid="{00000000-0005-0000-0000-0000A3150000}"/>
    <cellStyle name="20% - Accent3 7 2 3 2 2" xfId="14831" xr:uid="{00000000-0005-0000-0000-0000A4150000}"/>
    <cellStyle name="20% - Accent3 7 2 3 2 2 2" xfId="28380" xr:uid="{00000000-0005-0000-0000-0000A5150000}"/>
    <cellStyle name="20% - Accent3 7 2 3 2 3" xfId="18749" xr:uid="{00000000-0005-0000-0000-0000A6150000}"/>
    <cellStyle name="20% - Accent3 7 2 3 3" xfId="10738" xr:uid="{00000000-0005-0000-0000-0000A7150000}"/>
    <cellStyle name="20% - Accent3 7 2 3 3 2" xfId="24680" xr:uid="{00000000-0005-0000-0000-0000A8150000}"/>
    <cellStyle name="20% - Accent3 7 2 3 4" xfId="18748" xr:uid="{00000000-0005-0000-0000-0000A9150000}"/>
    <cellStyle name="20% - Accent3 7 2 4" xfId="1426" xr:uid="{00000000-0005-0000-0000-0000AA150000}"/>
    <cellStyle name="20% - Accent3 7 2 4 2" xfId="12239" xr:uid="{00000000-0005-0000-0000-0000AB150000}"/>
    <cellStyle name="20% - Accent3 7 2 4 2 2" xfId="25951" xr:uid="{00000000-0005-0000-0000-0000AC150000}"/>
    <cellStyle name="20% - Accent3 7 2 4 3" xfId="18750" xr:uid="{00000000-0005-0000-0000-0000AD150000}"/>
    <cellStyle name="20% - Accent3 7 2 5" xfId="1427" xr:uid="{00000000-0005-0000-0000-0000AE150000}"/>
    <cellStyle name="20% - Accent3 7 2 5 2" xfId="12520" xr:uid="{00000000-0005-0000-0000-0000AF150000}"/>
    <cellStyle name="20% - Accent3 7 2 5 2 2" xfId="26232" xr:uid="{00000000-0005-0000-0000-0000B0150000}"/>
    <cellStyle name="20% - Accent3 7 2 5 3" xfId="18751" xr:uid="{00000000-0005-0000-0000-0000B1150000}"/>
    <cellStyle name="20% - Accent3 7 2 6" xfId="1428" xr:uid="{00000000-0005-0000-0000-0000B2150000}"/>
    <cellStyle name="20% - Accent3 7 2 6 2" xfId="13803" xr:uid="{00000000-0005-0000-0000-0000B3150000}"/>
    <cellStyle name="20% - Accent3 7 2 6 2 2" xfId="27352" xr:uid="{00000000-0005-0000-0000-0000B4150000}"/>
    <cellStyle name="20% - Accent3 7 2 6 3" xfId="18752" xr:uid="{00000000-0005-0000-0000-0000B5150000}"/>
    <cellStyle name="20% - Accent3 7 2 7" xfId="1429" xr:uid="{00000000-0005-0000-0000-0000B6150000}"/>
    <cellStyle name="20% - Accent3 7 2 7 2" xfId="14384" xr:uid="{00000000-0005-0000-0000-0000B7150000}"/>
    <cellStyle name="20% - Accent3 7 2 7 2 2" xfId="27933" xr:uid="{00000000-0005-0000-0000-0000B8150000}"/>
    <cellStyle name="20% - Accent3 7 2 7 3" xfId="18753" xr:uid="{00000000-0005-0000-0000-0000B9150000}"/>
    <cellStyle name="20% - Accent3 7 2 8" xfId="1430" xr:uid="{00000000-0005-0000-0000-0000BA150000}"/>
    <cellStyle name="20% - Accent3 7 2 8 2" xfId="14829" xr:uid="{00000000-0005-0000-0000-0000BB150000}"/>
    <cellStyle name="20% - Accent3 7 2 8 2 2" xfId="28378" xr:uid="{00000000-0005-0000-0000-0000BC150000}"/>
    <cellStyle name="20% - Accent3 7 2 8 3" xfId="18754" xr:uid="{00000000-0005-0000-0000-0000BD150000}"/>
    <cellStyle name="20% - Accent3 7 2 9" xfId="1431" xr:uid="{00000000-0005-0000-0000-0000BE150000}"/>
    <cellStyle name="20% - Accent3 7 2 9 2" xfId="16270" xr:uid="{00000000-0005-0000-0000-0000BF150000}"/>
    <cellStyle name="20% - Accent3 7 2 9 2 2" xfId="29677" xr:uid="{00000000-0005-0000-0000-0000C0150000}"/>
    <cellStyle name="20% - Accent3 7 2 9 3" xfId="18755" xr:uid="{00000000-0005-0000-0000-0000C1150000}"/>
    <cellStyle name="20% - Accent3 7 3" xfId="1432" xr:uid="{00000000-0005-0000-0000-0000C2150000}"/>
    <cellStyle name="20% - Accent3 7 3 2" xfId="1433" xr:uid="{00000000-0005-0000-0000-0000C3150000}"/>
    <cellStyle name="20% - Accent3 7 3 2 2" xfId="10740" xr:uid="{00000000-0005-0000-0000-0000C4150000}"/>
    <cellStyle name="20% - Accent3 7 3 2 2 2" xfId="24682" xr:uid="{00000000-0005-0000-0000-0000C5150000}"/>
    <cellStyle name="20% - Accent3 7 3 2 3" xfId="18757" xr:uid="{00000000-0005-0000-0000-0000C6150000}"/>
    <cellStyle name="20% - Accent3 7 3 3" xfId="1434" xr:uid="{00000000-0005-0000-0000-0000C7150000}"/>
    <cellStyle name="20% - Accent3 7 3 3 2" xfId="12698" xr:uid="{00000000-0005-0000-0000-0000C8150000}"/>
    <cellStyle name="20% - Accent3 7 3 3 2 2" xfId="26410" xr:uid="{00000000-0005-0000-0000-0000C9150000}"/>
    <cellStyle name="20% - Accent3 7 3 3 3" xfId="18758" xr:uid="{00000000-0005-0000-0000-0000CA150000}"/>
    <cellStyle name="20% - Accent3 7 3 4" xfId="1435" xr:uid="{00000000-0005-0000-0000-0000CB150000}"/>
    <cellStyle name="20% - Accent3 7 3 4 2" xfId="14832" xr:uid="{00000000-0005-0000-0000-0000CC150000}"/>
    <cellStyle name="20% - Accent3 7 3 4 2 2" xfId="28381" xr:uid="{00000000-0005-0000-0000-0000CD150000}"/>
    <cellStyle name="20% - Accent3 7 3 4 3" xfId="18759" xr:uid="{00000000-0005-0000-0000-0000CE150000}"/>
    <cellStyle name="20% - Accent3 7 3 5" xfId="1436" xr:uid="{00000000-0005-0000-0000-0000CF150000}"/>
    <cellStyle name="20% - Accent3 7 3 5 2" xfId="16562" xr:uid="{00000000-0005-0000-0000-0000D0150000}"/>
    <cellStyle name="20% - Accent3 7 3 5 2 2" xfId="29969" xr:uid="{00000000-0005-0000-0000-0000D1150000}"/>
    <cellStyle name="20% - Accent3 7 3 5 3" xfId="18760" xr:uid="{00000000-0005-0000-0000-0000D2150000}"/>
    <cellStyle name="20% - Accent3 7 3 6" xfId="9015" xr:uid="{00000000-0005-0000-0000-0000D3150000}"/>
    <cellStyle name="20% - Accent3 7 3 6 2" xfId="23490" xr:uid="{00000000-0005-0000-0000-0000D4150000}"/>
    <cellStyle name="20% - Accent3 7 3 7" xfId="18756" xr:uid="{00000000-0005-0000-0000-0000D5150000}"/>
    <cellStyle name="20% - Accent3 7 4" xfId="1437" xr:uid="{00000000-0005-0000-0000-0000D6150000}"/>
    <cellStyle name="20% - Accent3 7 4 2" xfId="1438" xr:uid="{00000000-0005-0000-0000-0000D7150000}"/>
    <cellStyle name="20% - Accent3 7 4 2 2" xfId="14833" xr:uid="{00000000-0005-0000-0000-0000D8150000}"/>
    <cellStyle name="20% - Accent3 7 4 2 2 2" xfId="28382" xr:uid="{00000000-0005-0000-0000-0000D9150000}"/>
    <cellStyle name="20% - Accent3 7 4 2 3" xfId="18762" xr:uid="{00000000-0005-0000-0000-0000DA150000}"/>
    <cellStyle name="20% - Accent3 7 4 3" xfId="10737" xr:uid="{00000000-0005-0000-0000-0000DB150000}"/>
    <cellStyle name="20% - Accent3 7 4 3 2" xfId="24679" xr:uid="{00000000-0005-0000-0000-0000DC150000}"/>
    <cellStyle name="20% - Accent3 7 4 4" xfId="18761" xr:uid="{00000000-0005-0000-0000-0000DD150000}"/>
    <cellStyle name="20% - Accent3 7 5" xfId="1439" xr:uid="{00000000-0005-0000-0000-0000DE150000}"/>
    <cellStyle name="20% - Accent3 7 5 2" xfId="11937" xr:uid="{00000000-0005-0000-0000-0000DF150000}"/>
    <cellStyle name="20% - Accent3 7 5 2 2" xfId="25652" xr:uid="{00000000-0005-0000-0000-0000E0150000}"/>
    <cellStyle name="20% - Accent3 7 5 3" xfId="18763" xr:uid="{00000000-0005-0000-0000-0000E1150000}"/>
    <cellStyle name="20% - Accent3 7 6" xfId="1440" xr:uid="{00000000-0005-0000-0000-0000E2150000}"/>
    <cellStyle name="20% - Accent3 7 6 2" xfId="12484" xr:uid="{00000000-0005-0000-0000-0000E3150000}"/>
    <cellStyle name="20% - Accent3 7 6 2 2" xfId="26196" xr:uid="{00000000-0005-0000-0000-0000E4150000}"/>
    <cellStyle name="20% - Accent3 7 6 3" xfId="18764" xr:uid="{00000000-0005-0000-0000-0000E5150000}"/>
    <cellStyle name="20% - Accent3 7 7" xfId="1441" xr:uid="{00000000-0005-0000-0000-0000E6150000}"/>
    <cellStyle name="20% - Accent3 7 7 2" xfId="13514" xr:uid="{00000000-0005-0000-0000-0000E7150000}"/>
    <cellStyle name="20% - Accent3 7 7 2 2" xfId="27063" xr:uid="{00000000-0005-0000-0000-0000E8150000}"/>
    <cellStyle name="20% - Accent3 7 7 3" xfId="18765" xr:uid="{00000000-0005-0000-0000-0000E9150000}"/>
    <cellStyle name="20% - Accent3 7 8" xfId="1442" xr:uid="{00000000-0005-0000-0000-0000EA150000}"/>
    <cellStyle name="20% - Accent3 7 8 2" xfId="14095" xr:uid="{00000000-0005-0000-0000-0000EB150000}"/>
    <cellStyle name="20% - Accent3 7 8 2 2" xfId="27644" xr:uid="{00000000-0005-0000-0000-0000EC150000}"/>
    <cellStyle name="20% - Accent3 7 8 3" xfId="18766" xr:uid="{00000000-0005-0000-0000-0000ED150000}"/>
    <cellStyle name="20% - Accent3 7 9" xfId="1443" xr:uid="{00000000-0005-0000-0000-0000EE150000}"/>
    <cellStyle name="20% - Accent3 7 9 2" xfId="14828" xr:uid="{00000000-0005-0000-0000-0000EF150000}"/>
    <cellStyle name="20% - Accent3 7 9 2 2" xfId="28377" xr:uid="{00000000-0005-0000-0000-0000F0150000}"/>
    <cellStyle name="20% - Accent3 7 9 3" xfId="18767" xr:uid="{00000000-0005-0000-0000-0000F1150000}"/>
    <cellStyle name="20% - Accent3 8" xfId="1444" xr:uid="{00000000-0005-0000-0000-0000F2150000}"/>
    <cellStyle name="20% - Accent3 8 10" xfId="9016" xr:uid="{00000000-0005-0000-0000-0000F3150000}"/>
    <cellStyle name="20% - Accent3 8 10 2" xfId="23491" xr:uid="{00000000-0005-0000-0000-0000F4150000}"/>
    <cellStyle name="20% - Accent3 8 11" xfId="18768" xr:uid="{00000000-0005-0000-0000-0000F5150000}"/>
    <cellStyle name="20% - Accent3 8 2" xfId="1445" xr:uid="{00000000-0005-0000-0000-0000F6150000}"/>
    <cellStyle name="20% - Accent3 8 2 2" xfId="1446" xr:uid="{00000000-0005-0000-0000-0000F7150000}"/>
    <cellStyle name="20% - Accent3 8 2 2 2" xfId="10742" xr:uid="{00000000-0005-0000-0000-0000F8150000}"/>
    <cellStyle name="20% - Accent3 8 2 2 2 2" xfId="24684" xr:uid="{00000000-0005-0000-0000-0000F9150000}"/>
    <cellStyle name="20% - Accent3 8 2 2 3" xfId="18770" xr:uid="{00000000-0005-0000-0000-0000FA150000}"/>
    <cellStyle name="20% - Accent3 8 2 3" xfId="1447" xr:uid="{00000000-0005-0000-0000-0000FB150000}"/>
    <cellStyle name="20% - Accent3 8 2 3 2" xfId="12100" xr:uid="{00000000-0005-0000-0000-0000FC150000}"/>
    <cellStyle name="20% - Accent3 8 2 3 2 2" xfId="25812" xr:uid="{00000000-0005-0000-0000-0000FD150000}"/>
    <cellStyle name="20% - Accent3 8 2 3 3" xfId="18771" xr:uid="{00000000-0005-0000-0000-0000FE150000}"/>
    <cellStyle name="20% - Accent3 8 2 4" xfId="1448" xr:uid="{00000000-0005-0000-0000-0000FF150000}"/>
    <cellStyle name="20% - Accent3 8 2 4 2" xfId="14835" xr:uid="{00000000-0005-0000-0000-000000160000}"/>
    <cellStyle name="20% - Accent3 8 2 4 2 2" xfId="28384" xr:uid="{00000000-0005-0000-0000-000001160000}"/>
    <cellStyle name="20% - Accent3 8 2 4 3" xfId="18772" xr:uid="{00000000-0005-0000-0000-000002160000}"/>
    <cellStyle name="20% - Accent3 8 2 5" xfId="1449" xr:uid="{00000000-0005-0000-0000-000003160000}"/>
    <cellStyle name="20% - Accent3 8 2 5 2" xfId="16703" xr:uid="{00000000-0005-0000-0000-000004160000}"/>
    <cellStyle name="20% - Accent3 8 2 5 2 2" xfId="30110" xr:uid="{00000000-0005-0000-0000-000005160000}"/>
    <cellStyle name="20% - Accent3 8 2 5 3" xfId="18773" xr:uid="{00000000-0005-0000-0000-000006160000}"/>
    <cellStyle name="20% - Accent3 8 2 6" xfId="9017" xr:uid="{00000000-0005-0000-0000-000007160000}"/>
    <cellStyle name="20% - Accent3 8 2 6 2" xfId="23492" xr:uid="{00000000-0005-0000-0000-000008160000}"/>
    <cellStyle name="20% - Accent3 8 2 7" xfId="18769" xr:uid="{00000000-0005-0000-0000-000009160000}"/>
    <cellStyle name="20% - Accent3 8 3" xfId="1450" xr:uid="{00000000-0005-0000-0000-00000A160000}"/>
    <cellStyle name="20% - Accent3 8 3 2" xfId="1451" xr:uid="{00000000-0005-0000-0000-00000B160000}"/>
    <cellStyle name="20% - Accent3 8 3 2 2" xfId="14836" xr:uid="{00000000-0005-0000-0000-00000C160000}"/>
    <cellStyle name="20% - Accent3 8 3 2 2 2" xfId="28385" xr:uid="{00000000-0005-0000-0000-00000D160000}"/>
    <cellStyle name="20% - Accent3 8 3 2 3" xfId="18775" xr:uid="{00000000-0005-0000-0000-00000E160000}"/>
    <cellStyle name="20% - Accent3 8 3 3" xfId="10741" xr:uid="{00000000-0005-0000-0000-00000F160000}"/>
    <cellStyle name="20% - Accent3 8 3 3 2" xfId="24683" xr:uid="{00000000-0005-0000-0000-000010160000}"/>
    <cellStyle name="20% - Accent3 8 3 4" xfId="18774" xr:uid="{00000000-0005-0000-0000-000011160000}"/>
    <cellStyle name="20% - Accent3 8 4" xfId="1452" xr:uid="{00000000-0005-0000-0000-000012160000}"/>
    <cellStyle name="20% - Accent3 8 4 2" xfId="12081" xr:uid="{00000000-0005-0000-0000-000013160000}"/>
    <cellStyle name="20% - Accent3 8 4 2 2" xfId="25795" xr:uid="{00000000-0005-0000-0000-000014160000}"/>
    <cellStyle name="20% - Accent3 8 4 3" xfId="18776" xr:uid="{00000000-0005-0000-0000-000015160000}"/>
    <cellStyle name="20% - Accent3 8 5" xfId="1453" xr:uid="{00000000-0005-0000-0000-000016160000}"/>
    <cellStyle name="20% - Accent3 8 5 2" xfId="12096" xr:uid="{00000000-0005-0000-0000-000017160000}"/>
    <cellStyle name="20% - Accent3 8 5 2 2" xfId="25808" xr:uid="{00000000-0005-0000-0000-000018160000}"/>
    <cellStyle name="20% - Accent3 8 5 3" xfId="18777" xr:uid="{00000000-0005-0000-0000-000019160000}"/>
    <cellStyle name="20% - Accent3 8 6" xfId="1454" xr:uid="{00000000-0005-0000-0000-00001A160000}"/>
    <cellStyle name="20% - Accent3 8 6 2" xfId="13655" xr:uid="{00000000-0005-0000-0000-00001B160000}"/>
    <cellStyle name="20% - Accent3 8 6 2 2" xfId="27204" xr:uid="{00000000-0005-0000-0000-00001C160000}"/>
    <cellStyle name="20% - Accent3 8 6 3" xfId="18778" xr:uid="{00000000-0005-0000-0000-00001D160000}"/>
    <cellStyle name="20% - Accent3 8 7" xfId="1455" xr:uid="{00000000-0005-0000-0000-00001E160000}"/>
    <cellStyle name="20% - Accent3 8 7 2" xfId="14236" xr:uid="{00000000-0005-0000-0000-00001F160000}"/>
    <cellStyle name="20% - Accent3 8 7 2 2" xfId="27785" xr:uid="{00000000-0005-0000-0000-000020160000}"/>
    <cellStyle name="20% - Accent3 8 7 3" xfId="18779" xr:uid="{00000000-0005-0000-0000-000021160000}"/>
    <cellStyle name="20% - Accent3 8 8" xfId="1456" xr:uid="{00000000-0005-0000-0000-000022160000}"/>
    <cellStyle name="20% - Accent3 8 8 2" xfId="14834" xr:uid="{00000000-0005-0000-0000-000023160000}"/>
    <cellStyle name="20% - Accent3 8 8 2 2" xfId="28383" xr:uid="{00000000-0005-0000-0000-000024160000}"/>
    <cellStyle name="20% - Accent3 8 8 3" xfId="18780" xr:uid="{00000000-0005-0000-0000-000025160000}"/>
    <cellStyle name="20% - Accent3 8 9" xfId="1457" xr:uid="{00000000-0005-0000-0000-000026160000}"/>
    <cellStyle name="20% - Accent3 8 9 2" xfId="16122" xr:uid="{00000000-0005-0000-0000-000027160000}"/>
    <cellStyle name="20% - Accent3 8 9 2 2" xfId="29529" xr:uid="{00000000-0005-0000-0000-000028160000}"/>
    <cellStyle name="20% - Accent3 8 9 3" xfId="18781" xr:uid="{00000000-0005-0000-0000-000029160000}"/>
    <cellStyle name="20% - Accent3 9" xfId="1458" xr:uid="{00000000-0005-0000-0000-00002A160000}"/>
    <cellStyle name="20% - Accent3 9 2" xfId="1459" xr:uid="{00000000-0005-0000-0000-00002B160000}"/>
    <cellStyle name="20% - Accent3 9 2 2" xfId="10743" xr:uid="{00000000-0005-0000-0000-00002C160000}"/>
    <cellStyle name="20% - Accent3 9 2 2 2" xfId="24685" xr:uid="{00000000-0005-0000-0000-00002D160000}"/>
    <cellStyle name="20% - Accent3 9 2 3" xfId="18783" xr:uid="{00000000-0005-0000-0000-00002E160000}"/>
    <cellStyle name="20% - Accent3 9 3" xfId="1460" xr:uid="{00000000-0005-0000-0000-00002F160000}"/>
    <cellStyle name="20% - Accent3 9 3 2" xfId="11750" xr:uid="{00000000-0005-0000-0000-000030160000}"/>
    <cellStyle name="20% - Accent3 9 3 2 2" xfId="25465" xr:uid="{00000000-0005-0000-0000-000031160000}"/>
    <cellStyle name="20% - Accent3 9 3 3" xfId="18784" xr:uid="{00000000-0005-0000-0000-000032160000}"/>
    <cellStyle name="20% - Accent3 9 4" xfId="1461" xr:uid="{00000000-0005-0000-0000-000033160000}"/>
    <cellStyle name="20% - Accent3 9 4 2" xfId="14837" xr:uid="{00000000-0005-0000-0000-000034160000}"/>
    <cellStyle name="20% - Accent3 9 4 2 2" xfId="28386" xr:uid="{00000000-0005-0000-0000-000035160000}"/>
    <cellStyle name="20% - Accent3 9 4 3" xfId="18785" xr:uid="{00000000-0005-0000-0000-000036160000}"/>
    <cellStyle name="20% - Accent3 9 5" xfId="1462" xr:uid="{00000000-0005-0000-0000-000037160000}"/>
    <cellStyle name="20% - Accent3 9 5 2" xfId="17087" xr:uid="{00000000-0005-0000-0000-000038160000}"/>
    <cellStyle name="20% - Accent3 9 5 2 2" xfId="30446" xr:uid="{00000000-0005-0000-0000-000039160000}"/>
    <cellStyle name="20% - Accent3 9 5 3" xfId="18786" xr:uid="{00000000-0005-0000-0000-00003A160000}"/>
    <cellStyle name="20% - Accent3 9 6" xfId="9018" xr:uid="{00000000-0005-0000-0000-00003B160000}"/>
    <cellStyle name="20% - Accent3 9 6 2" xfId="23493" xr:uid="{00000000-0005-0000-0000-00003C160000}"/>
    <cellStyle name="20% - Accent3 9 7" xfId="18782" xr:uid="{00000000-0005-0000-0000-00003D160000}"/>
    <cellStyle name="20% - Accent4" xfId="30" builtinId="42" customBuiltin="1"/>
    <cellStyle name="20% - Accent4 10" xfId="1463" xr:uid="{00000000-0005-0000-0000-00003F160000}"/>
    <cellStyle name="20% - Accent4 10 2" xfId="1464" xr:uid="{00000000-0005-0000-0000-000040160000}"/>
    <cellStyle name="20% - Accent4 10 2 2" xfId="1465" xr:uid="{00000000-0005-0000-0000-000041160000}"/>
    <cellStyle name="20% - Accent4 10 2 2 2" xfId="12447" xr:uid="{00000000-0005-0000-0000-000042160000}"/>
    <cellStyle name="20% - Accent4 10 2 2 2 2" xfId="26159" xr:uid="{00000000-0005-0000-0000-000043160000}"/>
    <cellStyle name="20% - Accent4 10 2 2 3" xfId="18789" xr:uid="{00000000-0005-0000-0000-000044160000}"/>
    <cellStyle name="20% - Accent4 10 2 3" xfId="1466" xr:uid="{00000000-0005-0000-0000-000045160000}"/>
    <cellStyle name="20% - Accent4 10 2 3 2" xfId="14840" xr:uid="{00000000-0005-0000-0000-000046160000}"/>
    <cellStyle name="20% - Accent4 10 2 3 2 2" xfId="28389" xr:uid="{00000000-0005-0000-0000-000047160000}"/>
    <cellStyle name="20% - Accent4 10 2 3 3" xfId="18790" xr:uid="{00000000-0005-0000-0000-000048160000}"/>
    <cellStyle name="20% - Accent4 10 2 4" xfId="10745" xr:uid="{00000000-0005-0000-0000-000049160000}"/>
    <cellStyle name="20% - Accent4 10 2 4 2" xfId="24687" xr:uid="{00000000-0005-0000-0000-00004A160000}"/>
    <cellStyle name="20% - Accent4 10 2 5" xfId="18788" xr:uid="{00000000-0005-0000-0000-00004B160000}"/>
    <cellStyle name="20% - Accent4 10 3" xfId="1467" xr:uid="{00000000-0005-0000-0000-00004C160000}"/>
    <cellStyle name="20% - Accent4 10 3 2" xfId="12686" xr:uid="{00000000-0005-0000-0000-00004D160000}"/>
    <cellStyle name="20% - Accent4 10 3 2 2" xfId="26398" xr:uid="{00000000-0005-0000-0000-00004E160000}"/>
    <cellStyle name="20% - Accent4 10 3 3" xfId="18791" xr:uid="{00000000-0005-0000-0000-00004F160000}"/>
    <cellStyle name="20% - Accent4 10 4" xfId="1468" xr:uid="{00000000-0005-0000-0000-000050160000}"/>
    <cellStyle name="20% - Accent4 10 4 2" xfId="14839" xr:uid="{00000000-0005-0000-0000-000051160000}"/>
    <cellStyle name="20% - Accent4 10 4 2 2" xfId="28388" xr:uid="{00000000-0005-0000-0000-000052160000}"/>
    <cellStyle name="20% - Accent4 10 4 3" xfId="18792" xr:uid="{00000000-0005-0000-0000-000053160000}"/>
    <cellStyle name="20% - Accent4 10 5" xfId="1469" xr:uid="{00000000-0005-0000-0000-000054160000}"/>
    <cellStyle name="20% - Accent4 10 5 2" xfId="17177" xr:uid="{00000000-0005-0000-0000-000055160000}"/>
    <cellStyle name="20% - Accent4 10 5 2 2" xfId="30536" xr:uid="{00000000-0005-0000-0000-000056160000}"/>
    <cellStyle name="20% - Accent4 10 5 3" xfId="18793" xr:uid="{00000000-0005-0000-0000-000057160000}"/>
    <cellStyle name="20% - Accent4 10 6" xfId="9020" xr:uid="{00000000-0005-0000-0000-000058160000}"/>
    <cellStyle name="20% - Accent4 10 6 2" xfId="23495" xr:uid="{00000000-0005-0000-0000-000059160000}"/>
    <cellStyle name="20% - Accent4 10 7" xfId="18787" xr:uid="{00000000-0005-0000-0000-00005A160000}"/>
    <cellStyle name="20% - Accent4 11" xfId="1470" xr:uid="{00000000-0005-0000-0000-00005B160000}"/>
    <cellStyle name="20% - Accent4 11 2" xfId="1471" xr:uid="{00000000-0005-0000-0000-00005C160000}"/>
    <cellStyle name="20% - Accent4 11 2 2" xfId="10746" xr:uid="{00000000-0005-0000-0000-00005D160000}"/>
    <cellStyle name="20% - Accent4 11 2 2 2" xfId="24688" xr:uid="{00000000-0005-0000-0000-00005E160000}"/>
    <cellStyle name="20% - Accent4 11 2 3" xfId="18795" xr:uid="{00000000-0005-0000-0000-00005F160000}"/>
    <cellStyle name="20% - Accent4 11 3" xfId="1472" xr:uid="{00000000-0005-0000-0000-000060160000}"/>
    <cellStyle name="20% - Accent4 11 3 2" xfId="12577" xr:uid="{00000000-0005-0000-0000-000061160000}"/>
    <cellStyle name="20% - Accent4 11 3 2 2" xfId="26289" xr:uid="{00000000-0005-0000-0000-000062160000}"/>
    <cellStyle name="20% - Accent4 11 3 3" xfId="18796" xr:uid="{00000000-0005-0000-0000-000063160000}"/>
    <cellStyle name="20% - Accent4 11 4" xfId="1473" xr:uid="{00000000-0005-0000-0000-000064160000}"/>
    <cellStyle name="20% - Accent4 11 4 2" xfId="14841" xr:uid="{00000000-0005-0000-0000-000065160000}"/>
    <cellStyle name="20% - Accent4 11 4 2 2" xfId="28390" xr:uid="{00000000-0005-0000-0000-000066160000}"/>
    <cellStyle name="20% - Accent4 11 4 3" xfId="18797" xr:uid="{00000000-0005-0000-0000-000067160000}"/>
    <cellStyle name="20% - Accent4 11 5" xfId="1474" xr:uid="{00000000-0005-0000-0000-000068160000}"/>
    <cellStyle name="20% - Accent4 11 5 2" xfId="17266" xr:uid="{00000000-0005-0000-0000-000069160000}"/>
    <cellStyle name="20% - Accent4 11 5 2 2" xfId="30625" xr:uid="{00000000-0005-0000-0000-00006A160000}"/>
    <cellStyle name="20% - Accent4 11 5 3" xfId="18798" xr:uid="{00000000-0005-0000-0000-00006B160000}"/>
    <cellStyle name="20% - Accent4 11 6" xfId="9021" xr:uid="{00000000-0005-0000-0000-00006C160000}"/>
    <cellStyle name="20% - Accent4 11 6 2" xfId="23496" xr:uid="{00000000-0005-0000-0000-00006D160000}"/>
    <cellStyle name="20% - Accent4 11 7" xfId="18794" xr:uid="{00000000-0005-0000-0000-00006E160000}"/>
    <cellStyle name="20% - Accent4 12" xfId="1475" xr:uid="{00000000-0005-0000-0000-00006F160000}"/>
    <cellStyle name="20% - Accent4 12 2" xfId="1476" xr:uid="{00000000-0005-0000-0000-000070160000}"/>
    <cellStyle name="20% - Accent4 12 2 2" xfId="1477" xr:uid="{00000000-0005-0000-0000-000071160000}"/>
    <cellStyle name="20% - Accent4 12 2 2 2" xfId="10748" xr:uid="{00000000-0005-0000-0000-000072160000}"/>
    <cellStyle name="20% - Accent4 12 2 2 2 2" xfId="24690" xr:uid="{00000000-0005-0000-0000-000073160000}"/>
    <cellStyle name="20% - Accent4 12 2 2 3" xfId="18801" xr:uid="{00000000-0005-0000-0000-000074160000}"/>
    <cellStyle name="20% - Accent4 12 2 3" xfId="1478" xr:uid="{00000000-0005-0000-0000-000075160000}"/>
    <cellStyle name="20% - Accent4 12 2 3 2" xfId="12762" xr:uid="{00000000-0005-0000-0000-000076160000}"/>
    <cellStyle name="20% - Accent4 12 2 3 2 2" xfId="26474" xr:uid="{00000000-0005-0000-0000-000077160000}"/>
    <cellStyle name="20% - Accent4 12 2 3 3" xfId="18802" xr:uid="{00000000-0005-0000-0000-000078160000}"/>
    <cellStyle name="20% - Accent4 12 2 4" xfId="1479" xr:uid="{00000000-0005-0000-0000-000079160000}"/>
    <cellStyle name="20% - Accent4 12 2 4 2" xfId="14843" xr:uid="{00000000-0005-0000-0000-00007A160000}"/>
    <cellStyle name="20% - Accent4 12 2 4 2 2" xfId="28392" xr:uid="{00000000-0005-0000-0000-00007B160000}"/>
    <cellStyle name="20% - Accent4 12 2 4 3" xfId="18803" xr:uid="{00000000-0005-0000-0000-00007C160000}"/>
    <cellStyle name="20% - Accent4 12 2 5" xfId="9023" xr:uid="{00000000-0005-0000-0000-00007D160000}"/>
    <cellStyle name="20% - Accent4 12 2 5 2" xfId="23498" xr:uid="{00000000-0005-0000-0000-00007E160000}"/>
    <cellStyle name="20% - Accent4 12 2 6" xfId="18800" xr:uid="{00000000-0005-0000-0000-00007F160000}"/>
    <cellStyle name="20% - Accent4 12 3" xfId="1480" xr:uid="{00000000-0005-0000-0000-000080160000}"/>
    <cellStyle name="20% - Accent4 12 3 2" xfId="10747" xr:uid="{00000000-0005-0000-0000-000081160000}"/>
    <cellStyle name="20% - Accent4 12 3 2 2" xfId="24689" xr:uid="{00000000-0005-0000-0000-000082160000}"/>
    <cellStyle name="20% - Accent4 12 3 3" xfId="18804" xr:uid="{00000000-0005-0000-0000-000083160000}"/>
    <cellStyle name="20% - Accent4 12 4" xfId="1481" xr:uid="{00000000-0005-0000-0000-000084160000}"/>
    <cellStyle name="20% - Accent4 12 4 2" xfId="12454" xr:uid="{00000000-0005-0000-0000-000085160000}"/>
    <cellStyle name="20% - Accent4 12 4 2 2" xfId="26166" xr:uid="{00000000-0005-0000-0000-000086160000}"/>
    <cellStyle name="20% - Accent4 12 4 3" xfId="18805" xr:uid="{00000000-0005-0000-0000-000087160000}"/>
    <cellStyle name="20% - Accent4 12 5" xfId="1482" xr:uid="{00000000-0005-0000-0000-000088160000}"/>
    <cellStyle name="20% - Accent4 12 5 2" xfId="14842" xr:uid="{00000000-0005-0000-0000-000089160000}"/>
    <cellStyle name="20% - Accent4 12 5 2 2" xfId="28391" xr:uid="{00000000-0005-0000-0000-00008A160000}"/>
    <cellStyle name="20% - Accent4 12 5 3" xfId="18806" xr:uid="{00000000-0005-0000-0000-00008B160000}"/>
    <cellStyle name="20% - Accent4 12 6" xfId="1483" xr:uid="{00000000-0005-0000-0000-00008C160000}"/>
    <cellStyle name="20% - Accent4 12 6 2" xfId="16418" xr:uid="{00000000-0005-0000-0000-00008D160000}"/>
    <cellStyle name="20% - Accent4 12 6 2 2" xfId="29825" xr:uid="{00000000-0005-0000-0000-00008E160000}"/>
    <cellStyle name="20% - Accent4 12 6 3" xfId="18807" xr:uid="{00000000-0005-0000-0000-00008F160000}"/>
    <cellStyle name="20% - Accent4 12 7" xfId="9022" xr:uid="{00000000-0005-0000-0000-000090160000}"/>
    <cellStyle name="20% - Accent4 12 7 2" xfId="23497" xr:uid="{00000000-0005-0000-0000-000091160000}"/>
    <cellStyle name="20% - Accent4 12 8" xfId="18799" xr:uid="{00000000-0005-0000-0000-000092160000}"/>
    <cellStyle name="20% - Accent4 13" xfId="1484" xr:uid="{00000000-0005-0000-0000-000093160000}"/>
    <cellStyle name="20% - Accent4 13 2" xfId="1485" xr:uid="{00000000-0005-0000-0000-000094160000}"/>
    <cellStyle name="20% - Accent4 13 2 2" xfId="10749" xr:uid="{00000000-0005-0000-0000-000095160000}"/>
    <cellStyle name="20% - Accent4 13 2 2 2" xfId="24691" xr:uid="{00000000-0005-0000-0000-000096160000}"/>
    <cellStyle name="20% - Accent4 13 2 3" xfId="18809" xr:uid="{00000000-0005-0000-0000-000097160000}"/>
    <cellStyle name="20% - Accent4 13 3" xfId="1486" xr:uid="{00000000-0005-0000-0000-000098160000}"/>
    <cellStyle name="20% - Accent4 13 3 2" xfId="12473" xr:uid="{00000000-0005-0000-0000-000099160000}"/>
    <cellStyle name="20% - Accent4 13 3 2 2" xfId="26185" xr:uid="{00000000-0005-0000-0000-00009A160000}"/>
    <cellStyle name="20% - Accent4 13 3 3" xfId="18810" xr:uid="{00000000-0005-0000-0000-00009B160000}"/>
    <cellStyle name="20% - Accent4 13 4" xfId="1487" xr:uid="{00000000-0005-0000-0000-00009C160000}"/>
    <cellStyle name="20% - Accent4 13 4 2" xfId="14844" xr:uid="{00000000-0005-0000-0000-00009D160000}"/>
    <cellStyle name="20% - Accent4 13 4 2 2" xfId="28393" xr:uid="{00000000-0005-0000-0000-00009E160000}"/>
    <cellStyle name="20% - Accent4 13 4 3" xfId="18811" xr:uid="{00000000-0005-0000-0000-00009F160000}"/>
    <cellStyle name="20% - Accent4 13 5" xfId="9024" xr:uid="{00000000-0005-0000-0000-0000A0160000}"/>
    <cellStyle name="20% - Accent4 13 5 2" xfId="23499" xr:uid="{00000000-0005-0000-0000-0000A1160000}"/>
    <cellStyle name="20% - Accent4 13 6" xfId="18808" xr:uid="{00000000-0005-0000-0000-0000A2160000}"/>
    <cellStyle name="20% - Accent4 14" xfId="1488" xr:uid="{00000000-0005-0000-0000-0000A3160000}"/>
    <cellStyle name="20% - Accent4 14 2" xfId="1489" xr:uid="{00000000-0005-0000-0000-0000A4160000}"/>
    <cellStyle name="20% - Accent4 14 2 2" xfId="10750" xr:uid="{00000000-0005-0000-0000-0000A5160000}"/>
    <cellStyle name="20% - Accent4 14 2 2 2" xfId="24692" xr:uid="{00000000-0005-0000-0000-0000A6160000}"/>
    <cellStyle name="20% - Accent4 14 2 3" xfId="18813" xr:uid="{00000000-0005-0000-0000-0000A7160000}"/>
    <cellStyle name="20% - Accent4 14 3" xfId="1490" xr:uid="{00000000-0005-0000-0000-0000A8160000}"/>
    <cellStyle name="20% - Accent4 14 3 2" xfId="12564" xr:uid="{00000000-0005-0000-0000-0000A9160000}"/>
    <cellStyle name="20% - Accent4 14 3 2 2" xfId="26276" xr:uid="{00000000-0005-0000-0000-0000AA160000}"/>
    <cellStyle name="20% - Accent4 14 3 3" xfId="18814" xr:uid="{00000000-0005-0000-0000-0000AB160000}"/>
    <cellStyle name="20% - Accent4 14 4" xfId="1491" xr:uid="{00000000-0005-0000-0000-0000AC160000}"/>
    <cellStyle name="20% - Accent4 14 4 2" xfId="14845" xr:uid="{00000000-0005-0000-0000-0000AD160000}"/>
    <cellStyle name="20% - Accent4 14 4 2 2" xfId="28394" xr:uid="{00000000-0005-0000-0000-0000AE160000}"/>
    <cellStyle name="20% - Accent4 14 4 3" xfId="18815" xr:uid="{00000000-0005-0000-0000-0000AF160000}"/>
    <cellStyle name="20% - Accent4 14 5" xfId="9025" xr:uid="{00000000-0005-0000-0000-0000B0160000}"/>
    <cellStyle name="20% - Accent4 14 5 2" xfId="23500" xr:uid="{00000000-0005-0000-0000-0000B1160000}"/>
    <cellStyle name="20% - Accent4 14 6" xfId="18812" xr:uid="{00000000-0005-0000-0000-0000B2160000}"/>
    <cellStyle name="20% - Accent4 15" xfId="1492" xr:uid="{00000000-0005-0000-0000-0000B3160000}"/>
    <cellStyle name="20% - Accent4 15 2" xfId="1493" xr:uid="{00000000-0005-0000-0000-0000B4160000}"/>
    <cellStyle name="20% - Accent4 15 2 2" xfId="10751" xr:uid="{00000000-0005-0000-0000-0000B5160000}"/>
    <cellStyle name="20% - Accent4 15 2 2 2" xfId="24693" xr:uid="{00000000-0005-0000-0000-0000B6160000}"/>
    <cellStyle name="20% - Accent4 15 2 3" xfId="18817" xr:uid="{00000000-0005-0000-0000-0000B7160000}"/>
    <cellStyle name="20% - Accent4 15 3" xfId="1494" xr:uid="{00000000-0005-0000-0000-0000B8160000}"/>
    <cellStyle name="20% - Accent4 15 3 2" xfId="12480" xr:uid="{00000000-0005-0000-0000-0000B9160000}"/>
    <cellStyle name="20% - Accent4 15 3 2 2" xfId="26192" xr:uid="{00000000-0005-0000-0000-0000BA160000}"/>
    <cellStyle name="20% - Accent4 15 3 3" xfId="18818" xr:uid="{00000000-0005-0000-0000-0000BB160000}"/>
    <cellStyle name="20% - Accent4 15 4" xfId="1495" xr:uid="{00000000-0005-0000-0000-0000BC160000}"/>
    <cellStyle name="20% - Accent4 15 4 2" xfId="14846" xr:uid="{00000000-0005-0000-0000-0000BD160000}"/>
    <cellStyle name="20% - Accent4 15 4 2 2" xfId="28395" xr:uid="{00000000-0005-0000-0000-0000BE160000}"/>
    <cellStyle name="20% - Accent4 15 4 3" xfId="18819" xr:uid="{00000000-0005-0000-0000-0000BF160000}"/>
    <cellStyle name="20% - Accent4 15 5" xfId="9026" xr:uid="{00000000-0005-0000-0000-0000C0160000}"/>
    <cellStyle name="20% - Accent4 15 5 2" xfId="23501" xr:uid="{00000000-0005-0000-0000-0000C1160000}"/>
    <cellStyle name="20% - Accent4 15 6" xfId="18816" xr:uid="{00000000-0005-0000-0000-0000C2160000}"/>
    <cellStyle name="20% - Accent4 16" xfId="1496" xr:uid="{00000000-0005-0000-0000-0000C3160000}"/>
    <cellStyle name="20% - Accent4 16 2" xfId="1497" xr:uid="{00000000-0005-0000-0000-0000C4160000}"/>
    <cellStyle name="20% - Accent4 16 2 2" xfId="10752" xr:uid="{00000000-0005-0000-0000-0000C5160000}"/>
    <cellStyle name="20% - Accent4 16 2 2 2" xfId="24694" xr:uid="{00000000-0005-0000-0000-0000C6160000}"/>
    <cellStyle name="20% - Accent4 16 2 3" xfId="18821" xr:uid="{00000000-0005-0000-0000-0000C7160000}"/>
    <cellStyle name="20% - Accent4 16 3" xfId="1498" xr:uid="{00000000-0005-0000-0000-0000C8160000}"/>
    <cellStyle name="20% - Accent4 16 3 2" xfId="12730" xr:uid="{00000000-0005-0000-0000-0000C9160000}"/>
    <cellStyle name="20% - Accent4 16 3 2 2" xfId="26442" xr:uid="{00000000-0005-0000-0000-0000CA160000}"/>
    <cellStyle name="20% - Accent4 16 3 3" xfId="18822" xr:uid="{00000000-0005-0000-0000-0000CB160000}"/>
    <cellStyle name="20% - Accent4 16 4" xfId="1499" xr:uid="{00000000-0005-0000-0000-0000CC160000}"/>
    <cellStyle name="20% - Accent4 16 4 2" xfId="14847" xr:uid="{00000000-0005-0000-0000-0000CD160000}"/>
    <cellStyle name="20% - Accent4 16 4 2 2" xfId="28396" xr:uid="{00000000-0005-0000-0000-0000CE160000}"/>
    <cellStyle name="20% - Accent4 16 4 3" xfId="18823" xr:uid="{00000000-0005-0000-0000-0000CF160000}"/>
    <cellStyle name="20% - Accent4 16 5" xfId="9027" xr:uid="{00000000-0005-0000-0000-0000D0160000}"/>
    <cellStyle name="20% - Accent4 16 5 2" xfId="23502" xr:uid="{00000000-0005-0000-0000-0000D1160000}"/>
    <cellStyle name="20% - Accent4 16 6" xfId="18820" xr:uid="{00000000-0005-0000-0000-0000D2160000}"/>
    <cellStyle name="20% - Accent4 17" xfId="1500" xr:uid="{00000000-0005-0000-0000-0000D3160000}"/>
    <cellStyle name="20% - Accent4 17 2" xfId="1501" xr:uid="{00000000-0005-0000-0000-0000D4160000}"/>
    <cellStyle name="20% - Accent4 17 2 2" xfId="10753" xr:uid="{00000000-0005-0000-0000-0000D5160000}"/>
    <cellStyle name="20% - Accent4 17 2 2 2" xfId="24695" xr:uid="{00000000-0005-0000-0000-0000D6160000}"/>
    <cellStyle name="20% - Accent4 17 2 3" xfId="18825" xr:uid="{00000000-0005-0000-0000-0000D7160000}"/>
    <cellStyle name="20% - Accent4 17 3" xfId="1502" xr:uid="{00000000-0005-0000-0000-0000D8160000}"/>
    <cellStyle name="20% - Accent4 17 3 2" xfId="12768" xr:uid="{00000000-0005-0000-0000-0000D9160000}"/>
    <cellStyle name="20% - Accent4 17 3 2 2" xfId="26480" xr:uid="{00000000-0005-0000-0000-0000DA160000}"/>
    <cellStyle name="20% - Accent4 17 3 3" xfId="18826" xr:uid="{00000000-0005-0000-0000-0000DB160000}"/>
    <cellStyle name="20% - Accent4 17 4" xfId="1503" xr:uid="{00000000-0005-0000-0000-0000DC160000}"/>
    <cellStyle name="20% - Accent4 17 4 2" xfId="14848" xr:uid="{00000000-0005-0000-0000-0000DD160000}"/>
    <cellStyle name="20% - Accent4 17 4 2 2" xfId="28397" xr:uid="{00000000-0005-0000-0000-0000DE160000}"/>
    <cellStyle name="20% - Accent4 17 4 3" xfId="18827" xr:uid="{00000000-0005-0000-0000-0000DF160000}"/>
    <cellStyle name="20% - Accent4 17 5" xfId="9028" xr:uid="{00000000-0005-0000-0000-0000E0160000}"/>
    <cellStyle name="20% - Accent4 17 5 2" xfId="23503" xr:uid="{00000000-0005-0000-0000-0000E1160000}"/>
    <cellStyle name="20% - Accent4 17 6" xfId="18824" xr:uid="{00000000-0005-0000-0000-0000E2160000}"/>
    <cellStyle name="20% - Accent4 18" xfId="1504" xr:uid="{00000000-0005-0000-0000-0000E3160000}"/>
    <cellStyle name="20% - Accent4 18 2" xfId="1505" xr:uid="{00000000-0005-0000-0000-0000E4160000}"/>
    <cellStyle name="20% - Accent4 18 2 2" xfId="10754" xr:uid="{00000000-0005-0000-0000-0000E5160000}"/>
    <cellStyle name="20% - Accent4 18 2 2 2" xfId="24696" xr:uid="{00000000-0005-0000-0000-0000E6160000}"/>
    <cellStyle name="20% - Accent4 18 2 3" xfId="18829" xr:uid="{00000000-0005-0000-0000-0000E7160000}"/>
    <cellStyle name="20% - Accent4 18 3" xfId="1506" xr:uid="{00000000-0005-0000-0000-0000E8160000}"/>
    <cellStyle name="20% - Accent4 18 3 2" xfId="12479" xr:uid="{00000000-0005-0000-0000-0000E9160000}"/>
    <cellStyle name="20% - Accent4 18 3 2 2" xfId="26191" xr:uid="{00000000-0005-0000-0000-0000EA160000}"/>
    <cellStyle name="20% - Accent4 18 3 3" xfId="18830" xr:uid="{00000000-0005-0000-0000-0000EB160000}"/>
    <cellStyle name="20% - Accent4 18 4" xfId="1507" xr:uid="{00000000-0005-0000-0000-0000EC160000}"/>
    <cellStyle name="20% - Accent4 18 4 2" xfId="14849" xr:uid="{00000000-0005-0000-0000-0000ED160000}"/>
    <cellStyle name="20% - Accent4 18 4 2 2" xfId="28398" xr:uid="{00000000-0005-0000-0000-0000EE160000}"/>
    <cellStyle name="20% - Accent4 18 4 3" xfId="18831" xr:uid="{00000000-0005-0000-0000-0000EF160000}"/>
    <cellStyle name="20% - Accent4 18 5" xfId="9029" xr:uid="{00000000-0005-0000-0000-0000F0160000}"/>
    <cellStyle name="20% - Accent4 18 5 2" xfId="23504" xr:uid="{00000000-0005-0000-0000-0000F1160000}"/>
    <cellStyle name="20% - Accent4 18 6" xfId="18828" xr:uid="{00000000-0005-0000-0000-0000F2160000}"/>
    <cellStyle name="20% - Accent4 19" xfId="1508" xr:uid="{00000000-0005-0000-0000-0000F3160000}"/>
    <cellStyle name="20% - Accent4 19 2" xfId="1509" xr:uid="{00000000-0005-0000-0000-0000F4160000}"/>
    <cellStyle name="20% - Accent4 19 2 2" xfId="11702" xr:uid="{00000000-0005-0000-0000-0000F5160000}"/>
    <cellStyle name="20% - Accent4 19 2 2 2" xfId="25422" xr:uid="{00000000-0005-0000-0000-0000F6160000}"/>
    <cellStyle name="20% - Accent4 19 2 3" xfId="18833" xr:uid="{00000000-0005-0000-0000-0000F7160000}"/>
    <cellStyle name="20% - Accent4 19 3" xfId="1510" xr:uid="{00000000-0005-0000-0000-0000F8160000}"/>
    <cellStyle name="20% - Accent4 19 3 2" xfId="12439" xr:uid="{00000000-0005-0000-0000-0000F9160000}"/>
    <cellStyle name="20% - Accent4 19 3 2 2" xfId="26151" xr:uid="{00000000-0005-0000-0000-0000FA160000}"/>
    <cellStyle name="20% - Accent4 19 3 3" xfId="18834" xr:uid="{00000000-0005-0000-0000-0000FB160000}"/>
    <cellStyle name="20% - Accent4 19 4" xfId="1511" xr:uid="{00000000-0005-0000-0000-0000FC160000}"/>
    <cellStyle name="20% - Accent4 19 4 2" xfId="14850" xr:uid="{00000000-0005-0000-0000-0000FD160000}"/>
    <cellStyle name="20% - Accent4 19 4 2 2" xfId="28399" xr:uid="{00000000-0005-0000-0000-0000FE160000}"/>
    <cellStyle name="20% - Accent4 19 4 3" xfId="18835" xr:uid="{00000000-0005-0000-0000-0000FF160000}"/>
    <cellStyle name="20% - Accent4 19 5" xfId="10454" xr:uid="{00000000-0005-0000-0000-000000170000}"/>
    <cellStyle name="20% - Accent4 19 5 2" xfId="24413" xr:uid="{00000000-0005-0000-0000-000001170000}"/>
    <cellStyle name="20% - Accent4 19 6" xfId="18832" xr:uid="{00000000-0005-0000-0000-000002170000}"/>
    <cellStyle name="20% - Accent4 2" xfId="1512" xr:uid="{00000000-0005-0000-0000-000003170000}"/>
    <cellStyle name="20% - Accent4 2 10" xfId="1513" xr:uid="{00000000-0005-0000-0000-000004170000}"/>
    <cellStyle name="20% - Accent4 2 10 2" xfId="1514" xr:uid="{00000000-0005-0000-0000-000005170000}"/>
    <cellStyle name="20% - Accent4 2 10 2 2" xfId="14852" xr:uid="{00000000-0005-0000-0000-000006170000}"/>
    <cellStyle name="20% - Accent4 2 10 2 2 2" xfId="28401" xr:uid="{00000000-0005-0000-0000-000007170000}"/>
    <cellStyle name="20% - Accent4 2 10 2 3" xfId="18838" xr:uid="{00000000-0005-0000-0000-000008170000}"/>
    <cellStyle name="20% - Accent4 2 10 3" xfId="11831" xr:uid="{00000000-0005-0000-0000-000009170000}"/>
    <cellStyle name="20% - Accent4 2 10 3 2" xfId="25546" xr:uid="{00000000-0005-0000-0000-00000A170000}"/>
    <cellStyle name="20% - Accent4 2 10 4" xfId="18837" xr:uid="{00000000-0005-0000-0000-00000B170000}"/>
    <cellStyle name="20% - Accent4 2 11" xfId="1515" xr:uid="{00000000-0005-0000-0000-00000C170000}"/>
    <cellStyle name="20% - Accent4 2 11 2" xfId="12532" xr:uid="{00000000-0005-0000-0000-00000D170000}"/>
    <cellStyle name="20% - Accent4 2 11 2 2" xfId="26244" xr:uid="{00000000-0005-0000-0000-00000E170000}"/>
    <cellStyle name="20% - Accent4 2 11 3" xfId="18839" xr:uid="{00000000-0005-0000-0000-00000F170000}"/>
    <cellStyle name="20% - Accent4 2 12" xfId="1516" xr:uid="{00000000-0005-0000-0000-000010170000}"/>
    <cellStyle name="20% - Accent4 2 12 2" xfId="13430" xr:uid="{00000000-0005-0000-0000-000011170000}"/>
    <cellStyle name="20% - Accent4 2 12 2 2" xfId="26979" xr:uid="{00000000-0005-0000-0000-000012170000}"/>
    <cellStyle name="20% - Accent4 2 12 3" xfId="18840" xr:uid="{00000000-0005-0000-0000-000013170000}"/>
    <cellStyle name="20% - Accent4 2 13" xfId="1517" xr:uid="{00000000-0005-0000-0000-000014170000}"/>
    <cellStyle name="20% - Accent4 2 13 2" xfId="14011" xr:uid="{00000000-0005-0000-0000-000015170000}"/>
    <cellStyle name="20% - Accent4 2 13 2 2" xfId="27560" xr:uid="{00000000-0005-0000-0000-000016170000}"/>
    <cellStyle name="20% - Accent4 2 13 3" xfId="18841" xr:uid="{00000000-0005-0000-0000-000017170000}"/>
    <cellStyle name="20% - Accent4 2 14" xfId="1518" xr:uid="{00000000-0005-0000-0000-000018170000}"/>
    <cellStyle name="20% - Accent4 2 14 2" xfId="14851" xr:uid="{00000000-0005-0000-0000-000019170000}"/>
    <cellStyle name="20% - Accent4 2 14 2 2" xfId="28400" xr:uid="{00000000-0005-0000-0000-00001A170000}"/>
    <cellStyle name="20% - Accent4 2 14 3" xfId="18842" xr:uid="{00000000-0005-0000-0000-00001B170000}"/>
    <cellStyle name="20% - Accent4 2 15" xfId="1519" xr:uid="{00000000-0005-0000-0000-00001C170000}"/>
    <cellStyle name="20% - Accent4 2 15 2" xfId="15897" xr:uid="{00000000-0005-0000-0000-00001D170000}"/>
    <cellStyle name="20% - Accent4 2 15 2 2" xfId="29304" xr:uid="{00000000-0005-0000-0000-00001E170000}"/>
    <cellStyle name="20% - Accent4 2 15 3" xfId="18843" xr:uid="{00000000-0005-0000-0000-00001F170000}"/>
    <cellStyle name="20% - Accent4 2 16" xfId="9030" xr:uid="{00000000-0005-0000-0000-000020170000}"/>
    <cellStyle name="20% - Accent4 2 16 2" xfId="23505" xr:uid="{00000000-0005-0000-0000-000021170000}"/>
    <cellStyle name="20% - Accent4 2 17" xfId="18836" xr:uid="{00000000-0005-0000-0000-000022170000}"/>
    <cellStyle name="20% - Accent4 2 2" xfId="1520" xr:uid="{00000000-0005-0000-0000-000023170000}"/>
    <cellStyle name="20% - Accent4 2 2 10" xfId="1521" xr:uid="{00000000-0005-0000-0000-000024170000}"/>
    <cellStyle name="20% - Accent4 2 2 10 2" xfId="14853" xr:uid="{00000000-0005-0000-0000-000025170000}"/>
    <cellStyle name="20% - Accent4 2 2 10 2 2" xfId="28402" xr:uid="{00000000-0005-0000-0000-000026170000}"/>
    <cellStyle name="20% - Accent4 2 2 10 3" xfId="18845" xr:uid="{00000000-0005-0000-0000-000027170000}"/>
    <cellStyle name="20% - Accent4 2 2 11" xfId="1522" xr:uid="{00000000-0005-0000-0000-000028170000}"/>
    <cellStyle name="20% - Accent4 2 2 11 2" xfId="15943" xr:uid="{00000000-0005-0000-0000-000029170000}"/>
    <cellStyle name="20% - Accent4 2 2 11 2 2" xfId="29350" xr:uid="{00000000-0005-0000-0000-00002A170000}"/>
    <cellStyle name="20% - Accent4 2 2 11 3" xfId="18846" xr:uid="{00000000-0005-0000-0000-00002B170000}"/>
    <cellStyle name="20% - Accent4 2 2 12" xfId="9031" xr:uid="{00000000-0005-0000-0000-00002C170000}"/>
    <cellStyle name="20% - Accent4 2 2 12 2" xfId="23506" xr:uid="{00000000-0005-0000-0000-00002D170000}"/>
    <cellStyle name="20% - Accent4 2 2 13" xfId="18844" xr:uid="{00000000-0005-0000-0000-00002E170000}"/>
    <cellStyle name="20% - Accent4 2 2 2" xfId="1523" xr:uid="{00000000-0005-0000-0000-00002F170000}"/>
    <cellStyle name="20% - Accent4 2 2 2 10" xfId="1524" xr:uid="{00000000-0005-0000-0000-000030170000}"/>
    <cellStyle name="20% - Accent4 2 2 2 10 2" xfId="16086" xr:uid="{00000000-0005-0000-0000-000031170000}"/>
    <cellStyle name="20% - Accent4 2 2 2 10 2 2" xfId="29493" xr:uid="{00000000-0005-0000-0000-000032170000}"/>
    <cellStyle name="20% - Accent4 2 2 2 10 3" xfId="18848" xr:uid="{00000000-0005-0000-0000-000033170000}"/>
    <cellStyle name="20% - Accent4 2 2 2 11" xfId="9032" xr:uid="{00000000-0005-0000-0000-000034170000}"/>
    <cellStyle name="20% - Accent4 2 2 2 11 2" xfId="23507" xr:uid="{00000000-0005-0000-0000-000035170000}"/>
    <cellStyle name="20% - Accent4 2 2 2 12" xfId="18847" xr:uid="{00000000-0005-0000-0000-000036170000}"/>
    <cellStyle name="20% - Accent4 2 2 2 2" xfId="1525" xr:uid="{00000000-0005-0000-0000-000037170000}"/>
    <cellStyle name="20% - Accent4 2 2 2 2 10" xfId="9033" xr:uid="{00000000-0005-0000-0000-000038170000}"/>
    <cellStyle name="20% - Accent4 2 2 2 2 10 2" xfId="23508" xr:uid="{00000000-0005-0000-0000-000039170000}"/>
    <cellStyle name="20% - Accent4 2 2 2 2 11" xfId="18849" xr:uid="{00000000-0005-0000-0000-00003A170000}"/>
    <cellStyle name="20% - Accent4 2 2 2 2 2" xfId="1526" xr:uid="{00000000-0005-0000-0000-00003B170000}"/>
    <cellStyle name="20% - Accent4 2 2 2 2 2 2" xfId="1527" xr:uid="{00000000-0005-0000-0000-00003C170000}"/>
    <cellStyle name="20% - Accent4 2 2 2 2 2 2 2" xfId="10759" xr:uid="{00000000-0005-0000-0000-00003D170000}"/>
    <cellStyle name="20% - Accent4 2 2 2 2 2 2 2 2" xfId="24701" xr:uid="{00000000-0005-0000-0000-00003E170000}"/>
    <cellStyle name="20% - Accent4 2 2 2 2 2 2 3" xfId="18851" xr:uid="{00000000-0005-0000-0000-00003F170000}"/>
    <cellStyle name="20% - Accent4 2 2 2 2 2 3" xfId="1528" xr:uid="{00000000-0005-0000-0000-000040170000}"/>
    <cellStyle name="20% - Accent4 2 2 2 2 2 3 2" xfId="12612" xr:uid="{00000000-0005-0000-0000-000041170000}"/>
    <cellStyle name="20% - Accent4 2 2 2 2 2 3 2 2" xfId="26324" xr:uid="{00000000-0005-0000-0000-000042170000}"/>
    <cellStyle name="20% - Accent4 2 2 2 2 2 3 3" xfId="18852" xr:uid="{00000000-0005-0000-0000-000043170000}"/>
    <cellStyle name="20% - Accent4 2 2 2 2 2 4" xfId="1529" xr:uid="{00000000-0005-0000-0000-000044170000}"/>
    <cellStyle name="20% - Accent4 2 2 2 2 2 4 2" xfId="14856" xr:uid="{00000000-0005-0000-0000-000045170000}"/>
    <cellStyle name="20% - Accent4 2 2 2 2 2 4 2 2" xfId="28405" xr:uid="{00000000-0005-0000-0000-000046170000}"/>
    <cellStyle name="20% - Accent4 2 2 2 2 2 4 3" xfId="18853" xr:uid="{00000000-0005-0000-0000-000047170000}"/>
    <cellStyle name="20% - Accent4 2 2 2 2 2 5" xfId="1530" xr:uid="{00000000-0005-0000-0000-000048170000}"/>
    <cellStyle name="20% - Accent4 2 2 2 2 2 5 2" xfId="16956" xr:uid="{00000000-0005-0000-0000-000049170000}"/>
    <cellStyle name="20% - Accent4 2 2 2 2 2 5 2 2" xfId="30363" xr:uid="{00000000-0005-0000-0000-00004A170000}"/>
    <cellStyle name="20% - Accent4 2 2 2 2 2 5 3" xfId="18854" xr:uid="{00000000-0005-0000-0000-00004B170000}"/>
    <cellStyle name="20% - Accent4 2 2 2 2 2 6" xfId="9034" xr:uid="{00000000-0005-0000-0000-00004C170000}"/>
    <cellStyle name="20% - Accent4 2 2 2 2 2 6 2" xfId="23509" xr:uid="{00000000-0005-0000-0000-00004D170000}"/>
    <cellStyle name="20% - Accent4 2 2 2 2 2 7" xfId="18850" xr:uid="{00000000-0005-0000-0000-00004E170000}"/>
    <cellStyle name="20% - Accent4 2 2 2 2 3" xfId="1531" xr:uid="{00000000-0005-0000-0000-00004F170000}"/>
    <cellStyle name="20% - Accent4 2 2 2 2 3 2" xfId="1532" xr:uid="{00000000-0005-0000-0000-000050170000}"/>
    <cellStyle name="20% - Accent4 2 2 2 2 3 2 2" xfId="14857" xr:uid="{00000000-0005-0000-0000-000051170000}"/>
    <cellStyle name="20% - Accent4 2 2 2 2 3 2 2 2" xfId="28406" xr:uid="{00000000-0005-0000-0000-000052170000}"/>
    <cellStyle name="20% - Accent4 2 2 2 2 3 2 3" xfId="18856" xr:uid="{00000000-0005-0000-0000-000053170000}"/>
    <cellStyle name="20% - Accent4 2 2 2 2 3 3" xfId="10758" xr:uid="{00000000-0005-0000-0000-000054170000}"/>
    <cellStyle name="20% - Accent4 2 2 2 2 3 3 2" xfId="24700" xr:uid="{00000000-0005-0000-0000-000055170000}"/>
    <cellStyle name="20% - Accent4 2 2 2 2 3 4" xfId="18855" xr:uid="{00000000-0005-0000-0000-000056170000}"/>
    <cellStyle name="20% - Accent4 2 2 2 2 4" xfId="1533" xr:uid="{00000000-0005-0000-0000-000057170000}"/>
    <cellStyle name="20% - Accent4 2 2 2 2 4 2" xfId="12344" xr:uid="{00000000-0005-0000-0000-000058170000}"/>
    <cellStyle name="20% - Accent4 2 2 2 2 4 2 2" xfId="26056" xr:uid="{00000000-0005-0000-0000-000059170000}"/>
    <cellStyle name="20% - Accent4 2 2 2 2 4 3" xfId="18857" xr:uid="{00000000-0005-0000-0000-00005A170000}"/>
    <cellStyle name="20% - Accent4 2 2 2 2 5" xfId="1534" xr:uid="{00000000-0005-0000-0000-00005B170000}"/>
    <cellStyle name="20% - Accent4 2 2 2 2 5 2" xfId="11839" xr:uid="{00000000-0005-0000-0000-00005C170000}"/>
    <cellStyle name="20% - Accent4 2 2 2 2 5 2 2" xfId="25554" xr:uid="{00000000-0005-0000-0000-00005D170000}"/>
    <cellStyle name="20% - Accent4 2 2 2 2 5 3" xfId="18858" xr:uid="{00000000-0005-0000-0000-00005E170000}"/>
    <cellStyle name="20% - Accent4 2 2 2 2 6" xfId="1535" xr:uid="{00000000-0005-0000-0000-00005F170000}"/>
    <cellStyle name="20% - Accent4 2 2 2 2 6 2" xfId="13908" xr:uid="{00000000-0005-0000-0000-000060170000}"/>
    <cellStyle name="20% - Accent4 2 2 2 2 6 2 2" xfId="27457" xr:uid="{00000000-0005-0000-0000-000061170000}"/>
    <cellStyle name="20% - Accent4 2 2 2 2 6 3" xfId="18859" xr:uid="{00000000-0005-0000-0000-000062170000}"/>
    <cellStyle name="20% - Accent4 2 2 2 2 7" xfId="1536" xr:uid="{00000000-0005-0000-0000-000063170000}"/>
    <cellStyle name="20% - Accent4 2 2 2 2 7 2" xfId="14489" xr:uid="{00000000-0005-0000-0000-000064170000}"/>
    <cellStyle name="20% - Accent4 2 2 2 2 7 2 2" xfId="28038" xr:uid="{00000000-0005-0000-0000-000065170000}"/>
    <cellStyle name="20% - Accent4 2 2 2 2 7 3" xfId="18860" xr:uid="{00000000-0005-0000-0000-000066170000}"/>
    <cellStyle name="20% - Accent4 2 2 2 2 8" xfId="1537" xr:uid="{00000000-0005-0000-0000-000067170000}"/>
    <cellStyle name="20% - Accent4 2 2 2 2 8 2" xfId="14855" xr:uid="{00000000-0005-0000-0000-000068170000}"/>
    <cellStyle name="20% - Accent4 2 2 2 2 8 2 2" xfId="28404" xr:uid="{00000000-0005-0000-0000-000069170000}"/>
    <cellStyle name="20% - Accent4 2 2 2 2 8 3" xfId="18861" xr:uid="{00000000-0005-0000-0000-00006A170000}"/>
    <cellStyle name="20% - Accent4 2 2 2 2 9" xfId="1538" xr:uid="{00000000-0005-0000-0000-00006B170000}"/>
    <cellStyle name="20% - Accent4 2 2 2 2 9 2" xfId="16375" xr:uid="{00000000-0005-0000-0000-00006C170000}"/>
    <cellStyle name="20% - Accent4 2 2 2 2 9 2 2" xfId="29782" xr:uid="{00000000-0005-0000-0000-00006D170000}"/>
    <cellStyle name="20% - Accent4 2 2 2 2 9 3" xfId="18862" xr:uid="{00000000-0005-0000-0000-00006E170000}"/>
    <cellStyle name="20% - Accent4 2 2 2 3" xfId="1539" xr:uid="{00000000-0005-0000-0000-00006F170000}"/>
    <cellStyle name="20% - Accent4 2 2 2 3 2" xfId="1540" xr:uid="{00000000-0005-0000-0000-000070170000}"/>
    <cellStyle name="20% - Accent4 2 2 2 3 2 2" xfId="10760" xr:uid="{00000000-0005-0000-0000-000071170000}"/>
    <cellStyle name="20% - Accent4 2 2 2 3 2 2 2" xfId="24702" xr:uid="{00000000-0005-0000-0000-000072170000}"/>
    <cellStyle name="20% - Accent4 2 2 2 3 2 3" xfId="18864" xr:uid="{00000000-0005-0000-0000-000073170000}"/>
    <cellStyle name="20% - Accent4 2 2 2 3 3" xfId="1541" xr:uid="{00000000-0005-0000-0000-000074170000}"/>
    <cellStyle name="20% - Accent4 2 2 2 3 3 2" xfId="11743" xr:uid="{00000000-0005-0000-0000-000075170000}"/>
    <cellStyle name="20% - Accent4 2 2 2 3 3 2 2" xfId="25458" xr:uid="{00000000-0005-0000-0000-000076170000}"/>
    <cellStyle name="20% - Accent4 2 2 2 3 3 3" xfId="18865" xr:uid="{00000000-0005-0000-0000-000077170000}"/>
    <cellStyle name="20% - Accent4 2 2 2 3 4" xfId="1542" xr:uid="{00000000-0005-0000-0000-000078170000}"/>
    <cellStyle name="20% - Accent4 2 2 2 3 4 2" xfId="14858" xr:uid="{00000000-0005-0000-0000-000079170000}"/>
    <cellStyle name="20% - Accent4 2 2 2 3 4 2 2" xfId="28407" xr:uid="{00000000-0005-0000-0000-00007A170000}"/>
    <cellStyle name="20% - Accent4 2 2 2 3 4 3" xfId="18866" xr:uid="{00000000-0005-0000-0000-00007B170000}"/>
    <cellStyle name="20% - Accent4 2 2 2 3 5" xfId="1543" xr:uid="{00000000-0005-0000-0000-00007C170000}"/>
    <cellStyle name="20% - Accent4 2 2 2 3 5 2" xfId="16667" xr:uid="{00000000-0005-0000-0000-00007D170000}"/>
    <cellStyle name="20% - Accent4 2 2 2 3 5 2 2" xfId="30074" xr:uid="{00000000-0005-0000-0000-00007E170000}"/>
    <cellStyle name="20% - Accent4 2 2 2 3 5 3" xfId="18867" xr:uid="{00000000-0005-0000-0000-00007F170000}"/>
    <cellStyle name="20% - Accent4 2 2 2 3 6" xfId="9035" xr:uid="{00000000-0005-0000-0000-000080170000}"/>
    <cellStyle name="20% - Accent4 2 2 2 3 6 2" xfId="23510" xr:uid="{00000000-0005-0000-0000-000081170000}"/>
    <cellStyle name="20% - Accent4 2 2 2 3 7" xfId="18863" xr:uid="{00000000-0005-0000-0000-000082170000}"/>
    <cellStyle name="20% - Accent4 2 2 2 4" xfId="1544" xr:uid="{00000000-0005-0000-0000-000083170000}"/>
    <cellStyle name="20% - Accent4 2 2 2 4 2" xfId="1545" xr:uid="{00000000-0005-0000-0000-000084170000}"/>
    <cellStyle name="20% - Accent4 2 2 2 4 2 2" xfId="14859" xr:uid="{00000000-0005-0000-0000-000085170000}"/>
    <cellStyle name="20% - Accent4 2 2 2 4 2 2 2" xfId="28408" xr:uid="{00000000-0005-0000-0000-000086170000}"/>
    <cellStyle name="20% - Accent4 2 2 2 4 2 3" xfId="18869" xr:uid="{00000000-0005-0000-0000-000087170000}"/>
    <cellStyle name="20% - Accent4 2 2 2 4 3" xfId="10757" xr:uid="{00000000-0005-0000-0000-000088170000}"/>
    <cellStyle name="20% - Accent4 2 2 2 4 3 2" xfId="24699" xr:uid="{00000000-0005-0000-0000-000089170000}"/>
    <cellStyle name="20% - Accent4 2 2 2 4 4" xfId="18868" xr:uid="{00000000-0005-0000-0000-00008A170000}"/>
    <cellStyle name="20% - Accent4 2 2 2 5" xfId="1546" xr:uid="{00000000-0005-0000-0000-00008B170000}"/>
    <cellStyle name="20% - Accent4 2 2 2 5 2" xfId="12044" xr:uid="{00000000-0005-0000-0000-00008C170000}"/>
    <cellStyle name="20% - Accent4 2 2 2 5 2 2" xfId="25759" xr:uid="{00000000-0005-0000-0000-00008D170000}"/>
    <cellStyle name="20% - Accent4 2 2 2 5 3" xfId="18870" xr:uid="{00000000-0005-0000-0000-00008E170000}"/>
    <cellStyle name="20% - Accent4 2 2 2 6" xfId="1547" xr:uid="{00000000-0005-0000-0000-00008F170000}"/>
    <cellStyle name="20% - Accent4 2 2 2 6 2" xfId="12477" xr:uid="{00000000-0005-0000-0000-000090170000}"/>
    <cellStyle name="20% - Accent4 2 2 2 6 2 2" xfId="26189" xr:uid="{00000000-0005-0000-0000-000091170000}"/>
    <cellStyle name="20% - Accent4 2 2 2 6 3" xfId="18871" xr:uid="{00000000-0005-0000-0000-000092170000}"/>
    <cellStyle name="20% - Accent4 2 2 2 7" xfId="1548" xr:uid="{00000000-0005-0000-0000-000093170000}"/>
    <cellStyle name="20% - Accent4 2 2 2 7 2" xfId="13619" xr:uid="{00000000-0005-0000-0000-000094170000}"/>
    <cellStyle name="20% - Accent4 2 2 2 7 2 2" xfId="27168" xr:uid="{00000000-0005-0000-0000-000095170000}"/>
    <cellStyle name="20% - Accent4 2 2 2 7 3" xfId="18872" xr:uid="{00000000-0005-0000-0000-000096170000}"/>
    <cellStyle name="20% - Accent4 2 2 2 8" xfId="1549" xr:uid="{00000000-0005-0000-0000-000097170000}"/>
    <cellStyle name="20% - Accent4 2 2 2 8 2" xfId="14200" xr:uid="{00000000-0005-0000-0000-000098170000}"/>
    <cellStyle name="20% - Accent4 2 2 2 8 2 2" xfId="27749" xr:uid="{00000000-0005-0000-0000-000099170000}"/>
    <cellStyle name="20% - Accent4 2 2 2 8 3" xfId="18873" xr:uid="{00000000-0005-0000-0000-00009A170000}"/>
    <cellStyle name="20% - Accent4 2 2 2 9" xfId="1550" xr:uid="{00000000-0005-0000-0000-00009B170000}"/>
    <cellStyle name="20% - Accent4 2 2 2 9 2" xfId="14854" xr:uid="{00000000-0005-0000-0000-00009C170000}"/>
    <cellStyle name="20% - Accent4 2 2 2 9 2 2" xfId="28403" xr:uid="{00000000-0005-0000-0000-00009D170000}"/>
    <cellStyle name="20% - Accent4 2 2 2 9 3" xfId="18874" xr:uid="{00000000-0005-0000-0000-00009E170000}"/>
    <cellStyle name="20% - Accent4 2 2 3" xfId="1551" xr:uid="{00000000-0005-0000-0000-00009F170000}"/>
    <cellStyle name="20% - Accent4 2 2 3 10" xfId="9036" xr:uid="{00000000-0005-0000-0000-0000A0170000}"/>
    <cellStyle name="20% - Accent4 2 2 3 10 2" xfId="23511" xr:uid="{00000000-0005-0000-0000-0000A1170000}"/>
    <cellStyle name="20% - Accent4 2 2 3 11" xfId="18875" xr:uid="{00000000-0005-0000-0000-0000A2170000}"/>
    <cellStyle name="20% - Accent4 2 2 3 2" xfId="1552" xr:uid="{00000000-0005-0000-0000-0000A3170000}"/>
    <cellStyle name="20% - Accent4 2 2 3 2 2" xfId="1553" xr:uid="{00000000-0005-0000-0000-0000A4170000}"/>
    <cellStyle name="20% - Accent4 2 2 3 2 2 2" xfId="10762" xr:uid="{00000000-0005-0000-0000-0000A5170000}"/>
    <cellStyle name="20% - Accent4 2 2 3 2 2 2 2" xfId="24704" xr:uid="{00000000-0005-0000-0000-0000A6170000}"/>
    <cellStyle name="20% - Accent4 2 2 3 2 2 3" xfId="18877" xr:uid="{00000000-0005-0000-0000-0000A7170000}"/>
    <cellStyle name="20% - Accent4 2 2 3 2 3" xfId="1554" xr:uid="{00000000-0005-0000-0000-0000A8170000}"/>
    <cellStyle name="20% - Accent4 2 2 3 2 3 2" xfId="11764" xr:uid="{00000000-0005-0000-0000-0000A9170000}"/>
    <cellStyle name="20% - Accent4 2 2 3 2 3 2 2" xfId="25479" xr:uid="{00000000-0005-0000-0000-0000AA170000}"/>
    <cellStyle name="20% - Accent4 2 2 3 2 3 3" xfId="18878" xr:uid="{00000000-0005-0000-0000-0000AB170000}"/>
    <cellStyle name="20% - Accent4 2 2 3 2 4" xfId="1555" xr:uid="{00000000-0005-0000-0000-0000AC170000}"/>
    <cellStyle name="20% - Accent4 2 2 3 2 4 2" xfId="14861" xr:uid="{00000000-0005-0000-0000-0000AD170000}"/>
    <cellStyle name="20% - Accent4 2 2 3 2 4 2 2" xfId="28410" xr:uid="{00000000-0005-0000-0000-0000AE170000}"/>
    <cellStyle name="20% - Accent4 2 2 3 2 4 3" xfId="18879" xr:uid="{00000000-0005-0000-0000-0000AF170000}"/>
    <cellStyle name="20% - Accent4 2 2 3 2 5" xfId="1556" xr:uid="{00000000-0005-0000-0000-0000B0170000}"/>
    <cellStyle name="20% - Accent4 2 2 3 2 5 2" xfId="16813" xr:uid="{00000000-0005-0000-0000-0000B1170000}"/>
    <cellStyle name="20% - Accent4 2 2 3 2 5 2 2" xfId="30220" xr:uid="{00000000-0005-0000-0000-0000B2170000}"/>
    <cellStyle name="20% - Accent4 2 2 3 2 5 3" xfId="18880" xr:uid="{00000000-0005-0000-0000-0000B3170000}"/>
    <cellStyle name="20% - Accent4 2 2 3 2 6" xfId="9037" xr:uid="{00000000-0005-0000-0000-0000B4170000}"/>
    <cellStyle name="20% - Accent4 2 2 3 2 6 2" xfId="23512" xr:uid="{00000000-0005-0000-0000-0000B5170000}"/>
    <cellStyle name="20% - Accent4 2 2 3 2 7" xfId="18876" xr:uid="{00000000-0005-0000-0000-0000B6170000}"/>
    <cellStyle name="20% - Accent4 2 2 3 3" xfId="1557" xr:uid="{00000000-0005-0000-0000-0000B7170000}"/>
    <cellStyle name="20% - Accent4 2 2 3 3 2" xfId="1558" xr:uid="{00000000-0005-0000-0000-0000B8170000}"/>
    <cellStyle name="20% - Accent4 2 2 3 3 2 2" xfId="14862" xr:uid="{00000000-0005-0000-0000-0000B9170000}"/>
    <cellStyle name="20% - Accent4 2 2 3 3 2 2 2" xfId="28411" xr:uid="{00000000-0005-0000-0000-0000BA170000}"/>
    <cellStyle name="20% - Accent4 2 2 3 3 2 3" xfId="18882" xr:uid="{00000000-0005-0000-0000-0000BB170000}"/>
    <cellStyle name="20% - Accent4 2 2 3 3 3" xfId="10761" xr:uid="{00000000-0005-0000-0000-0000BC170000}"/>
    <cellStyle name="20% - Accent4 2 2 3 3 3 2" xfId="24703" xr:uid="{00000000-0005-0000-0000-0000BD170000}"/>
    <cellStyle name="20% - Accent4 2 2 3 3 4" xfId="18881" xr:uid="{00000000-0005-0000-0000-0000BE170000}"/>
    <cellStyle name="20% - Accent4 2 2 3 4" xfId="1559" xr:uid="{00000000-0005-0000-0000-0000BF170000}"/>
    <cellStyle name="20% - Accent4 2 2 3 4 2" xfId="12201" xr:uid="{00000000-0005-0000-0000-0000C0170000}"/>
    <cellStyle name="20% - Accent4 2 2 3 4 2 2" xfId="25913" xr:uid="{00000000-0005-0000-0000-0000C1170000}"/>
    <cellStyle name="20% - Accent4 2 2 3 4 3" xfId="18883" xr:uid="{00000000-0005-0000-0000-0000C2170000}"/>
    <cellStyle name="20% - Accent4 2 2 3 5" xfId="1560" xr:uid="{00000000-0005-0000-0000-0000C3170000}"/>
    <cellStyle name="20% - Accent4 2 2 3 5 2" xfId="12524" xr:uid="{00000000-0005-0000-0000-0000C4170000}"/>
    <cellStyle name="20% - Accent4 2 2 3 5 2 2" xfId="26236" xr:uid="{00000000-0005-0000-0000-0000C5170000}"/>
    <cellStyle name="20% - Accent4 2 2 3 5 3" xfId="18884" xr:uid="{00000000-0005-0000-0000-0000C6170000}"/>
    <cellStyle name="20% - Accent4 2 2 3 6" xfId="1561" xr:uid="{00000000-0005-0000-0000-0000C7170000}"/>
    <cellStyle name="20% - Accent4 2 2 3 6 2" xfId="13765" xr:uid="{00000000-0005-0000-0000-0000C8170000}"/>
    <cellStyle name="20% - Accent4 2 2 3 6 2 2" xfId="27314" xr:uid="{00000000-0005-0000-0000-0000C9170000}"/>
    <cellStyle name="20% - Accent4 2 2 3 6 3" xfId="18885" xr:uid="{00000000-0005-0000-0000-0000CA170000}"/>
    <cellStyle name="20% - Accent4 2 2 3 7" xfId="1562" xr:uid="{00000000-0005-0000-0000-0000CB170000}"/>
    <cellStyle name="20% - Accent4 2 2 3 7 2" xfId="14346" xr:uid="{00000000-0005-0000-0000-0000CC170000}"/>
    <cellStyle name="20% - Accent4 2 2 3 7 2 2" xfId="27895" xr:uid="{00000000-0005-0000-0000-0000CD170000}"/>
    <cellStyle name="20% - Accent4 2 2 3 7 3" xfId="18886" xr:uid="{00000000-0005-0000-0000-0000CE170000}"/>
    <cellStyle name="20% - Accent4 2 2 3 8" xfId="1563" xr:uid="{00000000-0005-0000-0000-0000CF170000}"/>
    <cellStyle name="20% - Accent4 2 2 3 8 2" xfId="14860" xr:uid="{00000000-0005-0000-0000-0000D0170000}"/>
    <cellStyle name="20% - Accent4 2 2 3 8 2 2" xfId="28409" xr:uid="{00000000-0005-0000-0000-0000D1170000}"/>
    <cellStyle name="20% - Accent4 2 2 3 8 3" xfId="18887" xr:uid="{00000000-0005-0000-0000-0000D2170000}"/>
    <cellStyle name="20% - Accent4 2 2 3 9" xfId="1564" xr:uid="{00000000-0005-0000-0000-0000D3170000}"/>
    <cellStyle name="20% - Accent4 2 2 3 9 2" xfId="16232" xr:uid="{00000000-0005-0000-0000-0000D4170000}"/>
    <cellStyle name="20% - Accent4 2 2 3 9 2 2" xfId="29639" xr:uid="{00000000-0005-0000-0000-0000D5170000}"/>
    <cellStyle name="20% - Accent4 2 2 3 9 3" xfId="18888" xr:uid="{00000000-0005-0000-0000-0000D6170000}"/>
    <cellStyle name="20% - Accent4 2 2 4" xfId="1565" xr:uid="{00000000-0005-0000-0000-0000D7170000}"/>
    <cellStyle name="20% - Accent4 2 2 4 2" xfId="1566" xr:uid="{00000000-0005-0000-0000-0000D8170000}"/>
    <cellStyle name="20% - Accent4 2 2 4 2 2" xfId="10763" xr:uid="{00000000-0005-0000-0000-0000D9170000}"/>
    <cellStyle name="20% - Accent4 2 2 4 2 2 2" xfId="24705" xr:uid="{00000000-0005-0000-0000-0000DA170000}"/>
    <cellStyle name="20% - Accent4 2 2 4 2 3" xfId="18890" xr:uid="{00000000-0005-0000-0000-0000DB170000}"/>
    <cellStyle name="20% - Accent4 2 2 4 3" xfId="1567" xr:uid="{00000000-0005-0000-0000-0000DC170000}"/>
    <cellStyle name="20% - Accent4 2 2 4 3 2" xfId="12736" xr:uid="{00000000-0005-0000-0000-0000DD170000}"/>
    <cellStyle name="20% - Accent4 2 2 4 3 2 2" xfId="26448" xr:uid="{00000000-0005-0000-0000-0000DE170000}"/>
    <cellStyle name="20% - Accent4 2 2 4 3 3" xfId="18891" xr:uid="{00000000-0005-0000-0000-0000DF170000}"/>
    <cellStyle name="20% - Accent4 2 2 4 4" xfId="1568" xr:uid="{00000000-0005-0000-0000-0000E0170000}"/>
    <cellStyle name="20% - Accent4 2 2 4 4 2" xfId="14863" xr:uid="{00000000-0005-0000-0000-0000E1170000}"/>
    <cellStyle name="20% - Accent4 2 2 4 4 2 2" xfId="28412" xr:uid="{00000000-0005-0000-0000-0000E2170000}"/>
    <cellStyle name="20% - Accent4 2 2 4 4 3" xfId="18892" xr:uid="{00000000-0005-0000-0000-0000E3170000}"/>
    <cellStyle name="20% - Accent4 2 2 4 5" xfId="1569" xr:uid="{00000000-0005-0000-0000-0000E4170000}"/>
    <cellStyle name="20% - Accent4 2 2 4 5 2" xfId="17160" xr:uid="{00000000-0005-0000-0000-0000E5170000}"/>
    <cellStyle name="20% - Accent4 2 2 4 5 2 2" xfId="30519" xr:uid="{00000000-0005-0000-0000-0000E6170000}"/>
    <cellStyle name="20% - Accent4 2 2 4 5 3" xfId="18893" xr:uid="{00000000-0005-0000-0000-0000E7170000}"/>
    <cellStyle name="20% - Accent4 2 2 4 6" xfId="9038" xr:uid="{00000000-0005-0000-0000-0000E8170000}"/>
    <cellStyle name="20% - Accent4 2 2 4 6 2" xfId="23513" xr:uid="{00000000-0005-0000-0000-0000E9170000}"/>
    <cellStyle name="20% - Accent4 2 2 4 7" xfId="18889" xr:uid="{00000000-0005-0000-0000-0000EA170000}"/>
    <cellStyle name="20% - Accent4 2 2 5" xfId="1570" xr:uid="{00000000-0005-0000-0000-0000EB170000}"/>
    <cellStyle name="20% - Accent4 2 2 5 2" xfId="1571" xr:uid="{00000000-0005-0000-0000-0000EC170000}"/>
    <cellStyle name="20% - Accent4 2 2 5 2 2" xfId="14864" xr:uid="{00000000-0005-0000-0000-0000ED170000}"/>
    <cellStyle name="20% - Accent4 2 2 5 2 2 2" xfId="28413" xr:uid="{00000000-0005-0000-0000-0000EE170000}"/>
    <cellStyle name="20% - Accent4 2 2 5 2 3" xfId="18895" xr:uid="{00000000-0005-0000-0000-0000EF170000}"/>
    <cellStyle name="20% - Accent4 2 2 5 3" xfId="1572" xr:uid="{00000000-0005-0000-0000-0000F0170000}"/>
    <cellStyle name="20% - Accent4 2 2 5 3 2" xfId="17249" xr:uid="{00000000-0005-0000-0000-0000F1170000}"/>
    <cellStyle name="20% - Accent4 2 2 5 3 2 2" xfId="30608" xr:uid="{00000000-0005-0000-0000-0000F2170000}"/>
    <cellStyle name="20% - Accent4 2 2 5 3 3" xfId="18896" xr:uid="{00000000-0005-0000-0000-0000F3170000}"/>
    <cellStyle name="20% - Accent4 2 2 5 4" xfId="10756" xr:uid="{00000000-0005-0000-0000-0000F4170000}"/>
    <cellStyle name="20% - Accent4 2 2 5 4 2" xfId="24698" xr:uid="{00000000-0005-0000-0000-0000F5170000}"/>
    <cellStyle name="20% - Accent4 2 2 5 5" xfId="18894" xr:uid="{00000000-0005-0000-0000-0000F6170000}"/>
    <cellStyle name="20% - Accent4 2 2 6" xfId="1573" xr:uid="{00000000-0005-0000-0000-0000F7170000}"/>
    <cellStyle name="20% - Accent4 2 2 6 2" xfId="1574" xr:uid="{00000000-0005-0000-0000-0000F8170000}"/>
    <cellStyle name="20% - Accent4 2 2 6 2 2" xfId="16524" xr:uid="{00000000-0005-0000-0000-0000F9170000}"/>
    <cellStyle name="20% - Accent4 2 2 6 2 2 2" xfId="29931" xr:uid="{00000000-0005-0000-0000-0000FA170000}"/>
    <cellStyle name="20% - Accent4 2 2 6 2 3" xfId="18898" xr:uid="{00000000-0005-0000-0000-0000FB170000}"/>
    <cellStyle name="20% - Accent4 2 2 6 3" xfId="11899" xr:uid="{00000000-0005-0000-0000-0000FC170000}"/>
    <cellStyle name="20% - Accent4 2 2 6 3 2" xfId="25614" xr:uid="{00000000-0005-0000-0000-0000FD170000}"/>
    <cellStyle name="20% - Accent4 2 2 6 4" xfId="18897" xr:uid="{00000000-0005-0000-0000-0000FE170000}"/>
    <cellStyle name="20% - Accent4 2 2 7" xfId="1575" xr:uid="{00000000-0005-0000-0000-0000FF170000}"/>
    <cellStyle name="20% - Accent4 2 2 7 2" xfId="12386" xr:uid="{00000000-0005-0000-0000-000000180000}"/>
    <cellStyle name="20% - Accent4 2 2 7 2 2" xfId="26098" xr:uid="{00000000-0005-0000-0000-000001180000}"/>
    <cellStyle name="20% - Accent4 2 2 7 3" xfId="18899" xr:uid="{00000000-0005-0000-0000-000002180000}"/>
    <cellStyle name="20% - Accent4 2 2 8" xfId="1576" xr:uid="{00000000-0005-0000-0000-000003180000}"/>
    <cellStyle name="20% - Accent4 2 2 8 2" xfId="13476" xr:uid="{00000000-0005-0000-0000-000004180000}"/>
    <cellStyle name="20% - Accent4 2 2 8 2 2" xfId="27025" xr:uid="{00000000-0005-0000-0000-000005180000}"/>
    <cellStyle name="20% - Accent4 2 2 8 3" xfId="18900" xr:uid="{00000000-0005-0000-0000-000006180000}"/>
    <cellStyle name="20% - Accent4 2 2 9" xfId="1577" xr:uid="{00000000-0005-0000-0000-000007180000}"/>
    <cellStyle name="20% - Accent4 2 2 9 2" xfId="14057" xr:uid="{00000000-0005-0000-0000-000008180000}"/>
    <cellStyle name="20% - Accent4 2 2 9 2 2" xfId="27606" xr:uid="{00000000-0005-0000-0000-000009180000}"/>
    <cellStyle name="20% - Accent4 2 2 9 3" xfId="18901" xr:uid="{00000000-0005-0000-0000-00000A180000}"/>
    <cellStyle name="20% - Accent4 2 3" xfId="1578" xr:uid="{00000000-0005-0000-0000-00000B180000}"/>
    <cellStyle name="20% - Accent4 2 3 10" xfId="1579" xr:uid="{00000000-0005-0000-0000-00000C180000}"/>
    <cellStyle name="20% - Accent4 2 3 10 2" xfId="16040" xr:uid="{00000000-0005-0000-0000-00000D180000}"/>
    <cellStyle name="20% - Accent4 2 3 10 2 2" xfId="29447" xr:uid="{00000000-0005-0000-0000-00000E180000}"/>
    <cellStyle name="20% - Accent4 2 3 10 3" xfId="18903" xr:uid="{00000000-0005-0000-0000-00000F180000}"/>
    <cellStyle name="20% - Accent4 2 3 11" xfId="9039" xr:uid="{00000000-0005-0000-0000-000010180000}"/>
    <cellStyle name="20% - Accent4 2 3 11 2" xfId="23514" xr:uid="{00000000-0005-0000-0000-000011180000}"/>
    <cellStyle name="20% - Accent4 2 3 12" xfId="18902" xr:uid="{00000000-0005-0000-0000-000012180000}"/>
    <cellStyle name="20% - Accent4 2 3 2" xfId="1580" xr:uid="{00000000-0005-0000-0000-000013180000}"/>
    <cellStyle name="20% - Accent4 2 3 2 10" xfId="9040" xr:uid="{00000000-0005-0000-0000-000014180000}"/>
    <cellStyle name="20% - Accent4 2 3 2 10 2" xfId="23515" xr:uid="{00000000-0005-0000-0000-000015180000}"/>
    <cellStyle name="20% - Accent4 2 3 2 11" xfId="18904" xr:uid="{00000000-0005-0000-0000-000016180000}"/>
    <cellStyle name="20% - Accent4 2 3 2 2" xfId="1581" xr:uid="{00000000-0005-0000-0000-000017180000}"/>
    <cellStyle name="20% - Accent4 2 3 2 2 2" xfId="1582" xr:uid="{00000000-0005-0000-0000-000018180000}"/>
    <cellStyle name="20% - Accent4 2 3 2 2 2 2" xfId="10766" xr:uid="{00000000-0005-0000-0000-000019180000}"/>
    <cellStyle name="20% - Accent4 2 3 2 2 2 2 2" xfId="24708" xr:uid="{00000000-0005-0000-0000-00001A180000}"/>
    <cellStyle name="20% - Accent4 2 3 2 2 2 3" xfId="18906" xr:uid="{00000000-0005-0000-0000-00001B180000}"/>
    <cellStyle name="20% - Accent4 2 3 2 2 3" xfId="1583" xr:uid="{00000000-0005-0000-0000-00001C180000}"/>
    <cellStyle name="20% - Accent4 2 3 2 2 3 2" xfId="11758" xr:uid="{00000000-0005-0000-0000-00001D180000}"/>
    <cellStyle name="20% - Accent4 2 3 2 2 3 2 2" xfId="25473" xr:uid="{00000000-0005-0000-0000-00001E180000}"/>
    <cellStyle name="20% - Accent4 2 3 2 2 3 3" xfId="18907" xr:uid="{00000000-0005-0000-0000-00001F180000}"/>
    <cellStyle name="20% - Accent4 2 3 2 2 4" xfId="1584" xr:uid="{00000000-0005-0000-0000-000020180000}"/>
    <cellStyle name="20% - Accent4 2 3 2 2 4 2" xfId="14867" xr:uid="{00000000-0005-0000-0000-000021180000}"/>
    <cellStyle name="20% - Accent4 2 3 2 2 4 2 2" xfId="28416" xr:uid="{00000000-0005-0000-0000-000022180000}"/>
    <cellStyle name="20% - Accent4 2 3 2 2 4 3" xfId="18908" xr:uid="{00000000-0005-0000-0000-000023180000}"/>
    <cellStyle name="20% - Accent4 2 3 2 2 5" xfId="1585" xr:uid="{00000000-0005-0000-0000-000024180000}"/>
    <cellStyle name="20% - Accent4 2 3 2 2 5 2" xfId="16910" xr:uid="{00000000-0005-0000-0000-000025180000}"/>
    <cellStyle name="20% - Accent4 2 3 2 2 5 2 2" xfId="30317" xr:uid="{00000000-0005-0000-0000-000026180000}"/>
    <cellStyle name="20% - Accent4 2 3 2 2 5 3" xfId="18909" xr:uid="{00000000-0005-0000-0000-000027180000}"/>
    <cellStyle name="20% - Accent4 2 3 2 2 6" xfId="9041" xr:uid="{00000000-0005-0000-0000-000028180000}"/>
    <cellStyle name="20% - Accent4 2 3 2 2 6 2" xfId="23516" xr:uid="{00000000-0005-0000-0000-000029180000}"/>
    <cellStyle name="20% - Accent4 2 3 2 2 7" xfId="18905" xr:uid="{00000000-0005-0000-0000-00002A180000}"/>
    <cellStyle name="20% - Accent4 2 3 2 3" xfId="1586" xr:uid="{00000000-0005-0000-0000-00002B180000}"/>
    <cellStyle name="20% - Accent4 2 3 2 3 2" xfId="1587" xr:uid="{00000000-0005-0000-0000-00002C180000}"/>
    <cellStyle name="20% - Accent4 2 3 2 3 2 2" xfId="14868" xr:uid="{00000000-0005-0000-0000-00002D180000}"/>
    <cellStyle name="20% - Accent4 2 3 2 3 2 2 2" xfId="28417" xr:uid="{00000000-0005-0000-0000-00002E180000}"/>
    <cellStyle name="20% - Accent4 2 3 2 3 2 3" xfId="18911" xr:uid="{00000000-0005-0000-0000-00002F180000}"/>
    <cellStyle name="20% - Accent4 2 3 2 3 3" xfId="10765" xr:uid="{00000000-0005-0000-0000-000030180000}"/>
    <cellStyle name="20% - Accent4 2 3 2 3 3 2" xfId="24707" xr:uid="{00000000-0005-0000-0000-000031180000}"/>
    <cellStyle name="20% - Accent4 2 3 2 3 4" xfId="18910" xr:uid="{00000000-0005-0000-0000-000032180000}"/>
    <cellStyle name="20% - Accent4 2 3 2 4" xfId="1588" xr:uid="{00000000-0005-0000-0000-000033180000}"/>
    <cellStyle name="20% - Accent4 2 3 2 4 2" xfId="12298" xr:uid="{00000000-0005-0000-0000-000034180000}"/>
    <cellStyle name="20% - Accent4 2 3 2 4 2 2" xfId="26010" xr:uid="{00000000-0005-0000-0000-000035180000}"/>
    <cellStyle name="20% - Accent4 2 3 2 4 3" xfId="18912" xr:uid="{00000000-0005-0000-0000-000036180000}"/>
    <cellStyle name="20% - Accent4 2 3 2 5" xfId="1589" xr:uid="{00000000-0005-0000-0000-000037180000}"/>
    <cellStyle name="20% - Accent4 2 3 2 5 2" xfId="12592" xr:uid="{00000000-0005-0000-0000-000038180000}"/>
    <cellStyle name="20% - Accent4 2 3 2 5 2 2" xfId="26304" xr:uid="{00000000-0005-0000-0000-000039180000}"/>
    <cellStyle name="20% - Accent4 2 3 2 5 3" xfId="18913" xr:uid="{00000000-0005-0000-0000-00003A180000}"/>
    <cellStyle name="20% - Accent4 2 3 2 6" xfId="1590" xr:uid="{00000000-0005-0000-0000-00003B180000}"/>
    <cellStyle name="20% - Accent4 2 3 2 6 2" xfId="13862" xr:uid="{00000000-0005-0000-0000-00003C180000}"/>
    <cellStyle name="20% - Accent4 2 3 2 6 2 2" xfId="27411" xr:uid="{00000000-0005-0000-0000-00003D180000}"/>
    <cellStyle name="20% - Accent4 2 3 2 6 3" xfId="18914" xr:uid="{00000000-0005-0000-0000-00003E180000}"/>
    <cellStyle name="20% - Accent4 2 3 2 7" xfId="1591" xr:uid="{00000000-0005-0000-0000-00003F180000}"/>
    <cellStyle name="20% - Accent4 2 3 2 7 2" xfId="14443" xr:uid="{00000000-0005-0000-0000-000040180000}"/>
    <cellStyle name="20% - Accent4 2 3 2 7 2 2" xfId="27992" xr:uid="{00000000-0005-0000-0000-000041180000}"/>
    <cellStyle name="20% - Accent4 2 3 2 7 3" xfId="18915" xr:uid="{00000000-0005-0000-0000-000042180000}"/>
    <cellStyle name="20% - Accent4 2 3 2 8" xfId="1592" xr:uid="{00000000-0005-0000-0000-000043180000}"/>
    <cellStyle name="20% - Accent4 2 3 2 8 2" xfId="14866" xr:uid="{00000000-0005-0000-0000-000044180000}"/>
    <cellStyle name="20% - Accent4 2 3 2 8 2 2" xfId="28415" xr:uid="{00000000-0005-0000-0000-000045180000}"/>
    <cellStyle name="20% - Accent4 2 3 2 8 3" xfId="18916" xr:uid="{00000000-0005-0000-0000-000046180000}"/>
    <cellStyle name="20% - Accent4 2 3 2 9" xfId="1593" xr:uid="{00000000-0005-0000-0000-000047180000}"/>
    <cellStyle name="20% - Accent4 2 3 2 9 2" xfId="16329" xr:uid="{00000000-0005-0000-0000-000048180000}"/>
    <cellStyle name="20% - Accent4 2 3 2 9 2 2" xfId="29736" xr:uid="{00000000-0005-0000-0000-000049180000}"/>
    <cellStyle name="20% - Accent4 2 3 2 9 3" xfId="18917" xr:uid="{00000000-0005-0000-0000-00004A180000}"/>
    <cellStyle name="20% - Accent4 2 3 3" xfId="1594" xr:uid="{00000000-0005-0000-0000-00004B180000}"/>
    <cellStyle name="20% - Accent4 2 3 3 2" xfId="1595" xr:uid="{00000000-0005-0000-0000-00004C180000}"/>
    <cellStyle name="20% - Accent4 2 3 3 2 2" xfId="10767" xr:uid="{00000000-0005-0000-0000-00004D180000}"/>
    <cellStyle name="20% - Accent4 2 3 3 2 2 2" xfId="24709" xr:uid="{00000000-0005-0000-0000-00004E180000}"/>
    <cellStyle name="20% - Accent4 2 3 3 2 3" xfId="18919" xr:uid="{00000000-0005-0000-0000-00004F180000}"/>
    <cellStyle name="20% - Accent4 2 3 3 3" xfId="1596" xr:uid="{00000000-0005-0000-0000-000050180000}"/>
    <cellStyle name="20% - Accent4 2 3 3 3 2" xfId="12491" xr:uid="{00000000-0005-0000-0000-000051180000}"/>
    <cellStyle name="20% - Accent4 2 3 3 3 2 2" xfId="26203" xr:uid="{00000000-0005-0000-0000-000052180000}"/>
    <cellStyle name="20% - Accent4 2 3 3 3 3" xfId="18920" xr:uid="{00000000-0005-0000-0000-000053180000}"/>
    <cellStyle name="20% - Accent4 2 3 3 4" xfId="1597" xr:uid="{00000000-0005-0000-0000-000054180000}"/>
    <cellStyle name="20% - Accent4 2 3 3 4 2" xfId="14869" xr:uid="{00000000-0005-0000-0000-000055180000}"/>
    <cellStyle name="20% - Accent4 2 3 3 4 2 2" xfId="28418" xr:uid="{00000000-0005-0000-0000-000056180000}"/>
    <cellStyle name="20% - Accent4 2 3 3 4 3" xfId="18921" xr:uid="{00000000-0005-0000-0000-000057180000}"/>
    <cellStyle name="20% - Accent4 2 3 3 5" xfId="1598" xr:uid="{00000000-0005-0000-0000-000058180000}"/>
    <cellStyle name="20% - Accent4 2 3 3 5 2" xfId="16621" xr:uid="{00000000-0005-0000-0000-000059180000}"/>
    <cellStyle name="20% - Accent4 2 3 3 5 2 2" xfId="30028" xr:uid="{00000000-0005-0000-0000-00005A180000}"/>
    <cellStyle name="20% - Accent4 2 3 3 5 3" xfId="18922" xr:uid="{00000000-0005-0000-0000-00005B180000}"/>
    <cellStyle name="20% - Accent4 2 3 3 6" xfId="9042" xr:uid="{00000000-0005-0000-0000-00005C180000}"/>
    <cellStyle name="20% - Accent4 2 3 3 6 2" xfId="23517" xr:uid="{00000000-0005-0000-0000-00005D180000}"/>
    <cellStyle name="20% - Accent4 2 3 3 7" xfId="18918" xr:uid="{00000000-0005-0000-0000-00005E180000}"/>
    <cellStyle name="20% - Accent4 2 3 4" xfId="1599" xr:uid="{00000000-0005-0000-0000-00005F180000}"/>
    <cellStyle name="20% - Accent4 2 3 4 2" xfId="1600" xr:uid="{00000000-0005-0000-0000-000060180000}"/>
    <cellStyle name="20% - Accent4 2 3 4 2 2" xfId="14870" xr:uid="{00000000-0005-0000-0000-000061180000}"/>
    <cellStyle name="20% - Accent4 2 3 4 2 2 2" xfId="28419" xr:uid="{00000000-0005-0000-0000-000062180000}"/>
    <cellStyle name="20% - Accent4 2 3 4 2 3" xfId="18924" xr:uid="{00000000-0005-0000-0000-000063180000}"/>
    <cellStyle name="20% - Accent4 2 3 4 3" xfId="10764" xr:uid="{00000000-0005-0000-0000-000064180000}"/>
    <cellStyle name="20% - Accent4 2 3 4 3 2" xfId="24706" xr:uid="{00000000-0005-0000-0000-000065180000}"/>
    <cellStyle name="20% - Accent4 2 3 4 4" xfId="18923" xr:uid="{00000000-0005-0000-0000-000066180000}"/>
    <cellStyle name="20% - Accent4 2 3 5" xfId="1601" xr:uid="{00000000-0005-0000-0000-000067180000}"/>
    <cellStyle name="20% - Accent4 2 3 5 2" xfId="11998" xr:uid="{00000000-0005-0000-0000-000068180000}"/>
    <cellStyle name="20% - Accent4 2 3 5 2 2" xfId="25713" xr:uid="{00000000-0005-0000-0000-000069180000}"/>
    <cellStyle name="20% - Accent4 2 3 5 3" xfId="18925" xr:uid="{00000000-0005-0000-0000-00006A180000}"/>
    <cellStyle name="20% - Accent4 2 3 6" xfId="1602" xr:uid="{00000000-0005-0000-0000-00006B180000}"/>
    <cellStyle name="20% - Accent4 2 3 6 2" xfId="12737" xr:uid="{00000000-0005-0000-0000-00006C180000}"/>
    <cellStyle name="20% - Accent4 2 3 6 2 2" xfId="26449" xr:uid="{00000000-0005-0000-0000-00006D180000}"/>
    <cellStyle name="20% - Accent4 2 3 6 3" xfId="18926" xr:uid="{00000000-0005-0000-0000-00006E180000}"/>
    <cellStyle name="20% - Accent4 2 3 7" xfId="1603" xr:uid="{00000000-0005-0000-0000-00006F180000}"/>
    <cellStyle name="20% - Accent4 2 3 7 2" xfId="13573" xr:uid="{00000000-0005-0000-0000-000070180000}"/>
    <cellStyle name="20% - Accent4 2 3 7 2 2" xfId="27122" xr:uid="{00000000-0005-0000-0000-000071180000}"/>
    <cellStyle name="20% - Accent4 2 3 7 3" xfId="18927" xr:uid="{00000000-0005-0000-0000-000072180000}"/>
    <cellStyle name="20% - Accent4 2 3 8" xfId="1604" xr:uid="{00000000-0005-0000-0000-000073180000}"/>
    <cellStyle name="20% - Accent4 2 3 8 2" xfId="14154" xr:uid="{00000000-0005-0000-0000-000074180000}"/>
    <cellStyle name="20% - Accent4 2 3 8 2 2" xfId="27703" xr:uid="{00000000-0005-0000-0000-000075180000}"/>
    <cellStyle name="20% - Accent4 2 3 8 3" xfId="18928" xr:uid="{00000000-0005-0000-0000-000076180000}"/>
    <cellStyle name="20% - Accent4 2 3 9" xfId="1605" xr:uid="{00000000-0005-0000-0000-000077180000}"/>
    <cellStyle name="20% - Accent4 2 3 9 2" xfId="14865" xr:uid="{00000000-0005-0000-0000-000078180000}"/>
    <cellStyle name="20% - Accent4 2 3 9 2 2" xfId="28414" xr:uid="{00000000-0005-0000-0000-000079180000}"/>
    <cellStyle name="20% - Accent4 2 3 9 3" xfId="18929" xr:uid="{00000000-0005-0000-0000-00007A180000}"/>
    <cellStyle name="20% - Accent4 2 4" xfId="1606" xr:uid="{00000000-0005-0000-0000-00007B180000}"/>
    <cellStyle name="20% - Accent4 2 4 10" xfId="9043" xr:uid="{00000000-0005-0000-0000-00007C180000}"/>
    <cellStyle name="20% - Accent4 2 4 10 2" xfId="23518" xr:uid="{00000000-0005-0000-0000-00007D180000}"/>
    <cellStyle name="20% - Accent4 2 4 11" xfId="18930" xr:uid="{00000000-0005-0000-0000-00007E180000}"/>
    <cellStyle name="20% - Accent4 2 4 2" xfId="1607" xr:uid="{00000000-0005-0000-0000-00007F180000}"/>
    <cellStyle name="20% - Accent4 2 4 2 2" xfId="1608" xr:uid="{00000000-0005-0000-0000-000080180000}"/>
    <cellStyle name="20% - Accent4 2 4 2 2 2" xfId="10769" xr:uid="{00000000-0005-0000-0000-000081180000}"/>
    <cellStyle name="20% - Accent4 2 4 2 2 2 2" xfId="24711" xr:uid="{00000000-0005-0000-0000-000082180000}"/>
    <cellStyle name="20% - Accent4 2 4 2 2 3" xfId="18932" xr:uid="{00000000-0005-0000-0000-000083180000}"/>
    <cellStyle name="20% - Accent4 2 4 2 3" xfId="1609" xr:uid="{00000000-0005-0000-0000-000084180000}"/>
    <cellStyle name="20% - Accent4 2 4 2 3 2" xfId="12542" xr:uid="{00000000-0005-0000-0000-000085180000}"/>
    <cellStyle name="20% - Accent4 2 4 2 3 2 2" xfId="26254" xr:uid="{00000000-0005-0000-0000-000086180000}"/>
    <cellStyle name="20% - Accent4 2 4 2 3 3" xfId="18933" xr:uid="{00000000-0005-0000-0000-000087180000}"/>
    <cellStyle name="20% - Accent4 2 4 2 4" xfId="1610" xr:uid="{00000000-0005-0000-0000-000088180000}"/>
    <cellStyle name="20% - Accent4 2 4 2 4 2" xfId="14872" xr:uid="{00000000-0005-0000-0000-000089180000}"/>
    <cellStyle name="20% - Accent4 2 4 2 4 2 2" xfId="28421" xr:uid="{00000000-0005-0000-0000-00008A180000}"/>
    <cellStyle name="20% - Accent4 2 4 2 4 3" xfId="18934" xr:uid="{00000000-0005-0000-0000-00008B180000}"/>
    <cellStyle name="20% - Accent4 2 4 2 5" xfId="1611" xr:uid="{00000000-0005-0000-0000-00008C180000}"/>
    <cellStyle name="20% - Accent4 2 4 2 5 2" xfId="16767" xr:uid="{00000000-0005-0000-0000-00008D180000}"/>
    <cellStyle name="20% - Accent4 2 4 2 5 2 2" xfId="30174" xr:uid="{00000000-0005-0000-0000-00008E180000}"/>
    <cellStyle name="20% - Accent4 2 4 2 5 3" xfId="18935" xr:uid="{00000000-0005-0000-0000-00008F180000}"/>
    <cellStyle name="20% - Accent4 2 4 2 6" xfId="9044" xr:uid="{00000000-0005-0000-0000-000090180000}"/>
    <cellStyle name="20% - Accent4 2 4 2 6 2" xfId="23519" xr:uid="{00000000-0005-0000-0000-000091180000}"/>
    <cellStyle name="20% - Accent4 2 4 2 7" xfId="18931" xr:uid="{00000000-0005-0000-0000-000092180000}"/>
    <cellStyle name="20% - Accent4 2 4 3" xfId="1612" xr:uid="{00000000-0005-0000-0000-000093180000}"/>
    <cellStyle name="20% - Accent4 2 4 3 2" xfId="1613" xr:uid="{00000000-0005-0000-0000-000094180000}"/>
    <cellStyle name="20% - Accent4 2 4 3 2 2" xfId="14873" xr:uid="{00000000-0005-0000-0000-000095180000}"/>
    <cellStyle name="20% - Accent4 2 4 3 2 2 2" xfId="28422" xr:uid="{00000000-0005-0000-0000-000096180000}"/>
    <cellStyle name="20% - Accent4 2 4 3 2 3" xfId="18937" xr:uid="{00000000-0005-0000-0000-000097180000}"/>
    <cellStyle name="20% - Accent4 2 4 3 3" xfId="10768" xr:uid="{00000000-0005-0000-0000-000098180000}"/>
    <cellStyle name="20% - Accent4 2 4 3 3 2" xfId="24710" xr:uid="{00000000-0005-0000-0000-000099180000}"/>
    <cellStyle name="20% - Accent4 2 4 3 4" xfId="18936" xr:uid="{00000000-0005-0000-0000-00009A180000}"/>
    <cellStyle name="20% - Accent4 2 4 4" xfId="1614" xr:uid="{00000000-0005-0000-0000-00009B180000}"/>
    <cellStyle name="20% - Accent4 2 4 4 2" xfId="12155" xr:uid="{00000000-0005-0000-0000-00009C180000}"/>
    <cellStyle name="20% - Accent4 2 4 4 2 2" xfId="25867" xr:uid="{00000000-0005-0000-0000-00009D180000}"/>
    <cellStyle name="20% - Accent4 2 4 4 3" xfId="18938" xr:uid="{00000000-0005-0000-0000-00009E180000}"/>
    <cellStyle name="20% - Accent4 2 4 5" xfId="1615" xr:uid="{00000000-0005-0000-0000-00009F180000}"/>
    <cellStyle name="20% - Accent4 2 4 5 2" xfId="12488" xr:uid="{00000000-0005-0000-0000-0000A0180000}"/>
    <cellStyle name="20% - Accent4 2 4 5 2 2" xfId="26200" xr:uid="{00000000-0005-0000-0000-0000A1180000}"/>
    <cellStyle name="20% - Accent4 2 4 5 3" xfId="18939" xr:uid="{00000000-0005-0000-0000-0000A2180000}"/>
    <cellStyle name="20% - Accent4 2 4 6" xfId="1616" xr:uid="{00000000-0005-0000-0000-0000A3180000}"/>
    <cellStyle name="20% - Accent4 2 4 6 2" xfId="13719" xr:uid="{00000000-0005-0000-0000-0000A4180000}"/>
    <cellStyle name="20% - Accent4 2 4 6 2 2" xfId="27268" xr:uid="{00000000-0005-0000-0000-0000A5180000}"/>
    <cellStyle name="20% - Accent4 2 4 6 3" xfId="18940" xr:uid="{00000000-0005-0000-0000-0000A6180000}"/>
    <cellStyle name="20% - Accent4 2 4 7" xfId="1617" xr:uid="{00000000-0005-0000-0000-0000A7180000}"/>
    <cellStyle name="20% - Accent4 2 4 7 2" xfId="14300" xr:uid="{00000000-0005-0000-0000-0000A8180000}"/>
    <cellStyle name="20% - Accent4 2 4 7 2 2" xfId="27849" xr:uid="{00000000-0005-0000-0000-0000A9180000}"/>
    <cellStyle name="20% - Accent4 2 4 7 3" xfId="18941" xr:uid="{00000000-0005-0000-0000-0000AA180000}"/>
    <cellStyle name="20% - Accent4 2 4 8" xfId="1618" xr:uid="{00000000-0005-0000-0000-0000AB180000}"/>
    <cellStyle name="20% - Accent4 2 4 8 2" xfId="14871" xr:uid="{00000000-0005-0000-0000-0000AC180000}"/>
    <cellStyle name="20% - Accent4 2 4 8 2 2" xfId="28420" xr:uid="{00000000-0005-0000-0000-0000AD180000}"/>
    <cellStyle name="20% - Accent4 2 4 8 3" xfId="18942" xr:uid="{00000000-0005-0000-0000-0000AE180000}"/>
    <cellStyle name="20% - Accent4 2 4 9" xfId="1619" xr:uid="{00000000-0005-0000-0000-0000AF180000}"/>
    <cellStyle name="20% - Accent4 2 4 9 2" xfId="16186" xr:uid="{00000000-0005-0000-0000-0000B0180000}"/>
    <cellStyle name="20% - Accent4 2 4 9 2 2" xfId="29593" xr:uid="{00000000-0005-0000-0000-0000B1180000}"/>
    <cellStyle name="20% - Accent4 2 4 9 3" xfId="18943" xr:uid="{00000000-0005-0000-0000-0000B2180000}"/>
    <cellStyle name="20% - Accent4 2 5" xfId="1620" xr:uid="{00000000-0005-0000-0000-0000B3180000}"/>
    <cellStyle name="20% - Accent4 2 5 2" xfId="1621" xr:uid="{00000000-0005-0000-0000-0000B4180000}"/>
    <cellStyle name="20% - Accent4 2 5 2 2" xfId="1622" xr:uid="{00000000-0005-0000-0000-0000B5180000}"/>
    <cellStyle name="20% - Accent4 2 5 2 2 2" xfId="10771" xr:uid="{00000000-0005-0000-0000-0000B6180000}"/>
    <cellStyle name="20% - Accent4 2 5 2 2 2 2" xfId="24713" xr:uid="{00000000-0005-0000-0000-0000B7180000}"/>
    <cellStyle name="20% - Accent4 2 5 2 2 3" xfId="18946" xr:uid="{00000000-0005-0000-0000-0000B8180000}"/>
    <cellStyle name="20% - Accent4 2 5 2 3" xfId="1623" xr:uid="{00000000-0005-0000-0000-0000B9180000}"/>
    <cellStyle name="20% - Accent4 2 5 2 3 2" xfId="12769" xr:uid="{00000000-0005-0000-0000-0000BA180000}"/>
    <cellStyle name="20% - Accent4 2 5 2 3 2 2" xfId="26481" xr:uid="{00000000-0005-0000-0000-0000BB180000}"/>
    <cellStyle name="20% - Accent4 2 5 2 3 3" xfId="18947" xr:uid="{00000000-0005-0000-0000-0000BC180000}"/>
    <cellStyle name="20% - Accent4 2 5 2 4" xfId="1624" xr:uid="{00000000-0005-0000-0000-0000BD180000}"/>
    <cellStyle name="20% - Accent4 2 5 2 4 2" xfId="14875" xr:uid="{00000000-0005-0000-0000-0000BE180000}"/>
    <cellStyle name="20% - Accent4 2 5 2 4 2 2" xfId="28424" xr:uid="{00000000-0005-0000-0000-0000BF180000}"/>
    <cellStyle name="20% - Accent4 2 5 2 4 3" xfId="18948" xr:uid="{00000000-0005-0000-0000-0000C0180000}"/>
    <cellStyle name="20% - Accent4 2 5 2 5" xfId="9046" xr:uid="{00000000-0005-0000-0000-0000C1180000}"/>
    <cellStyle name="20% - Accent4 2 5 2 5 2" xfId="23521" xr:uid="{00000000-0005-0000-0000-0000C2180000}"/>
    <cellStyle name="20% - Accent4 2 5 2 6" xfId="18945" xr:uid="{00000000-0005-0000-0000-0000C3180000}"/>
    <cellStyle name="20% - Accent4 2 5 3" xfId="1625" xr:uid="{00000000-0005-0000-0000-0000C4180000}"/>
    <cellStyle name="20% - Accent4 2 5 3 2" xfId="10770" xr:uid="{00000000-0005-0000-0000-0000C5180000}"/>
    <cellStyle name="20% - Accent4 2 5 3 2 2" xfId="24712" xr:uid="{00000000-0005-0000-0000-0000C6180000}"/>
    <cellStyle name="20% - Accent4 2 5 3 3" xfId="18949" xr:uid="{00000000-0005-0000-0000-0000C7180000}"/>
    <cellStyle name="20% - Accent4 2 5 4" xfId="1626" xr:uid="{00000000-0005-0000-0000-0000C8180000}"/>
    <cellStyle name="20% - Accent4 2 5 4 2" xfId="12511" xr:uid="{00000000-0005-0000-0000-0000C9180000}"/>
    <cellStyle name="20% - Accent4 2 5 4 2 2" xfId="26223" xr:uid="{00000000-0005-0000-0000-0000CA180000}"/>
    <cellStyle name="20% - Accent4 2 5 4 3" xfId="18950" xr:uid="{00000000-0005-0000-0000-0000CB180000}"/>
    <cellStyle name="20% - Accent4 2 5 5" xfId="1627" xr:uid="{00000000-0005-0000-0000-0000CC180000}"/>
    <cellStyle name="20% - Accent4 2 5 5 2" xfId="14874" xr:uid="{00000000-0005-0000-0000-0000CD180000}"/>
    <cellStyle name="20% - Accent4 2 5 5 2 2" xfId="28423" xr:uid="{00000000-0005-0000-0000-0000CE180000}"/>
    <cellStyle name="20% - Accent4 2 5 5 3" xfId="18951" xr:uid="{00000000-0005-0000-0000-0000CF180000}"/>
    <cellStyle name="20% - Accent4 2 5 6" xfId="1628" xr:uid="{00000000-0005-0000-0000-0000D0180000}"/>
    <cellStyle name="20% - Accent4 2 5 6 2" xfId="16999" xr:uid="{00000000-0005-0000-0000-0000D1180000}"/>
    <cellStyle name="20% - Accent4 2 5 6 2 2" xfId="30406" xr:uid="{00000000-0005-0000-0000-0000D2180000}"/>
    <cellStyle name="20% - Accent4 2 5 6 3" xfId="18952" xr:uid="{00000000-0005-0000-0000-0000D3180000}"/>
    <cellStyle name="20% - Accent4 2 5 7" xfId="9045" xr:uid="{00000000-0005-0000-0000-0000D4180000}"/>
    <cellStyle name="20% - Accent4 2 5 7 2" xfId="23520" xr:uid="{00000000-0005-0000-0000-0000D5180000}"/>
    <cellStyle name="20% - Accent4 2 5 8" xfId="18944" xr:uid="{00000000-0005-0000-0000-0000D6180000}"/>
    <cellStyle name="20% - Accent4 2 6" xfId="1629" xr:uid="{00000000-0005-0000-0000-0000D7180000}"/>
    <cellStyle name="20% - Accent4 2 6 2" xfId="1630" xr:uid="{00000000-0005-0000-0000-0000D8180000}"/>
    <cellStyle name="20% - Accent4 2 6 2 2" xfId="10772" xr:uid="{00000000-0005-0000-0000-0000D9180000}"/>
    <cellStyle name="20% - Accent4 2 6 2 2 2" xfId="24714" xr:uid="{00000000-0005-0000-0000-0000DA180000}"/>
    <cellStyle name="20% - Accent4 2 6 2 3" xfId="18954" xr:uid="{00000000-0005-0000-0000-0000DB180000}"/>
    <cellStyle name="20% - Accent4 2 6 3" xfId="1631" xr:uid="{00000000-0005-0000-0000-0000DC180000}"/>
    <cellStyle name="20% - Accent4 2 6 3 2" xfId="12395" xr:uid="{00000000-0005-0000-0000-0000DD180000}"/>
    <cellStyle name="20% - Accent4 2 6 3 2 2" xfId="26107" xr:uid="{00000000-0005-0000-0000-0000DE180000}"/>
    <cellStyle name="20% - Accent4 2 6 3 3" xfId="18955" xr:uid="{00000000-0005-0000-0000-0000DF180000}"/>
    <cellStyle name="20% - Accent4 2 6 4" xfId="1632" xr:uid="{00000000-0005-0000-0000-0000E0180000}"/>
    <cellStyle name="20% - Accent4 2 6 4 2" xfId="14876" xr:uid="{00000000-0005-0000-0000-0000E1180000}"/>
    <cellStyle name="20% - Accent4 2 6 4 2 2" xfId="28425" xr:uid="{00000000-0005-0000-0000-0000E2180000}"/>
    <cellStyle name="20% - Accent4 2 6 4 3" xfId="18956" xr:uid="{00000000-0005-0000-0000-0000E3180000}"/>
    <cellStyle name="20% - Accent4 2 6 5" xfId="1633" xr:uid="{00000000-0005-0000-0000-0000E4180000}"/>
    <cellStyle name="20% - Accent4 2 6 5 2" xfId="17114" xr:uid="{00000000-0005-0000-0000-0000E5180000}"/>
    <cellStyle name="20% - Accent4 2 6 5 2 2" xfId="30473" xr:uid="{00000000-0005-0000-0000-0000E6180000}"/>
    <cellStyle name="20% - Accent4 2 6 5 3" xfId="18957" xr:uid="{00000000-0005-0000-0000-0000E7180000}"/>
    <cellStyle name="20% - Accent4 2 6 6" xfId="9047" xr:uid="{00000000-0005-0000-0000-0000E8180000}"/>
    <cellStyle name="20% - Accent4 2 6 6 2" xfId="23522" xr:uid="{00000000-0005-0000-0000-0000E9180000}"/>
    <cellStyle name="20% - Accent4 2 6 7" xfId="18953" xr:uid="{00000000-0005-0000-0000-0000EA180000}"/>
    <cellStyle name="20% - Accent4 2 7" xfId="1634" xr:uid="{00000000-0005-0000-0000-0000EB180000}"/>
    <cellStyle name="20% - Accent4 2 7 2" xfId="1635" xr:uid="{00000000-0005-0000-0000-0000EC180000}"/>
    <cellStyle name="20% - Accent4 2 7 2 2" xfId="10773" xr:uid="{00000000-0005-0000-0000-0000ED180000}"/>
    <cellStyle name="20% - Accent4 2 7 2 2 2" xfId="24715" xr:uid="{00000000-0005-0000-0000-0000EE180000}"/>
    <cellStyle name="20% - Accent4 2 7 2 3" xfId="18959" xr:uid="{00000000-0005-0000-0000-0000EF180000}"/>
    <cellStyle name="20% - Accent4 2 7 3" xfId="1636" xr:uid="{00000000-0005-0000-0000-0000F0180000}"/>
    <cellStyle name="20% - Accent4 2 7 3 2" xfId="12777" xr:uid="{00000000-0005-0000-0000-0000F1180000}"/>
    <cellStyle name="20% - Accent4 2 7 3 2 2" xfId="26489" xr:uid="{00000000-0005-0000-0000-0000F2180000}"/>
    <cellStyle name="20% - Accent4 2 7 3 3" xfId="18960" xr:uid="{00000000-0005-0000-0000-0000F3180000}"/>
    <cellStyle name="20% - Accent4 2 7 4" xfId="1637" xr:uid="{00000000-0005-0000-0000-0000F4180000}"/>
    <cellStyle name="20% - Accent4 2 7 4 2" xfId="14877" xr:uid="{00000000-0005-0000-0000-0000F5180000}"/>
    <cellStyle name="20% - Accent4 2 7 4 2 2" xfId="28426" xr:uid="{00000000-0005-0000-0000-0000F6180000}"/>
    <cellStyle name="20% - Accent4 2 7 4 3" xfId="18961" xr:uid="{00000000-0005-0000-0000-0000F7180000}"/>
    <cellStyle name="20% - Accent4 2 7 5" xfId="1638" xr:uid="{00000000-0005-0000-0000-0000F8180000}"/>
    <cellStyle name="20% - Accent4 2 7 5 2" xfId="17203" xr:uid="{00000000-0005-0000-0000-0000F9180000}"/>
    <cellStyle name="20% - Accent4 2 7 5 2 2" xfId="30562" xr:uid="{00000000-0005-0000-0000-0000FA180000}"/>
    <cellStyle name="20% - Accent4 2 7 5 3" xfId="18962" xr:uid="{00000000-0005-0000-0000-0000FB180000}"/>
    <cellStyle name="20% - Accent4 2 7 6" xfId="9048" xr:uid="{00000000-0005-0000-0000-0000FC180000}"/>
    <cellStyle name="20% - Accent4 2 7 6 2" xfId="23523" xr:uid="{00000000-0005-0000-0000-0000FD180000}"/>
    <cellStyle name="20% - Accent4 2 7 7" xfId="18958" xr:uid="{00000000-0005-0000-0000-0000FE180000}"/>
    <cellStyle name="20% - Accent4 2 8" xfId="1639" xr:uid="{00000000-0005-0000-0000-0000FF180000}"/>
    <cellStyle name="20% - Accent4 2 8 2" xfId="1640" xr:uid="{00000000-0005-0000-0000-000000190000}"/>
    <cellStyle name="20% - Accent4 2 8 2 2" xfId="12469" xr:uid="{00000000-0005-0000-0000-000001190000}"/>
    <cellStyle name="20% - Accent4 2 8 2 2 2" xfId="26181" xr:uid="{00000000-0005-0000-0000-000002190000}"/>
    <cellStyle name="20% - Accent4 2 8 2 3" xfId="18964" xr:uid="{00000000-0005-0000-0000-000003190000}"/>
    <cellStyle name="20% - Accent4 2 8 3" xfId="1641" xr:uid="{00000000-0005-0000-0000-000004190000}"/>
    <cellStyle name="20% - Accent4 2 8 3 2" xfId="14878" xr:uid="{00000000-0005-0000-0000-000005190000}"/>
    <cellStyle name="20% - Accent4 2 8 3 2 2" xfId="28427" xr:uid="{00000000-0005-0000-0000-000006190000}"/>
    <cellStyle name="20% - Accent4 2 8 3 3" xfId="18965" xr:uid="{00000000-0005-0000-0000-000007190000}"/>
    <cellStyle name="20% - Accent4 2 8 4" xfId="1642" xr:uid="{00000000-0005-0000-0000-000008190000}"/>
    <cellStyle name="20% - Accent4 2 8 4 2" xfId="16478" xr:uid="{00000000-0005-0000-0000-000009190000}"/>
    <cellStyle name="20% - Accent4 2 8 4 2 2" xfId="29885" xr:uid="{00000000-0005-0000-0000-00000A190000}"/>
    <cellStyle name="20% - Accent4 2 8 4 3" xfId="18966" xr:uid="{00000000-0005-0000-0000-00000B190000}"/>
    <cellStyle name="20% - Accent4 2 8 5" xfId="10520" xr:uid="{00000000-0005-0000-0000-00000C190000}"/>
    <cellStyle name="20% - Accent4 2 8 5 2" xfId="24462" xr:uid="{00000000-0005-0000-0000-00000D190000}"/>
    <cellStyle name="20% - Accent4 2 8 6" xfId="18963" xr:uid="{00000000-0005-0000-0000-00000E190000}"/>
    <cellStyle name="20% - Accent4 2 9" xfId="1643" xr:uid="{00000000-0005-0000-0000-00000F190000}"/>
    <cellStyle name="20% - Accent4 2 9 2" xfId="1644" xr:uid="{00000000-0005-0000-0000-000010190000}"/>
    <cellStyle name="20% - Accent4 2 9 2 2" xfId="12582" xr:uid="{00000000-0005-0000-0000-000011190000}"/>
    <cellStyle name="20% - Accent4 2 9 2 2 2" xfId="26294" xr:uid="{00000000-0005-0000-0000-000012190000}"/>
    <cellStyle name="20% - Accent4 2 9 2 3" xfId="18968" xr:uid="{00000000-0005-0000-0000-000013190000}"/>
    <cellStyle name="20% - Accent4 2 9 3" xfId="1645" xr:uid="{00000000-0005-0000-0000-000014190000}"/>
    <cellStyle name="20% - Accent4 2 9 3 2" xfId="14879" xr:uid="{00000000-0005-0000-0000-000015190000}"/>
    <cellStyle name="20% - Accent4 2 9 3 2 2" xfId="28428" xr:uid="{00000000-0005-0000-0000-000016190000}"/>
    <cellStyle name="20% - Accent4 2 9 3 3" xfId="18969" xr:uid="{00000000-0005-0000-0000-000017190000}"/>
    <cellStyle name="20% - Accent4 2 9 4" xfId="10755" xr:uid="{00000000-0005-0000-0000-000018190000}"/>
    <cellStyle name="20% - Accent4 2 9 4 2" xfId="24697" xr:uid="{00000000-0005-0000-0000-000019190000}"/>
    <cellStyle name="20% - Accent4 2 9 5" xfId="18967" xr:uid="{00000000-0005-0000-0000-00001A190000}"/>
    <cellStyle name="20% - Accent4 20" xfId="1646" xr:uid="{00000000-0005-0000-0000-00001B190000}"/>
    <cellStyle name="20% - Accent4 20 2" xfId="1647" xr:uid="{00000000-0005-0000-0000-00001C190000}"/>
    <cellStyle name="20% - Accent4 20 2 2" xfId="12672" xr:uid="{00000000-0005-0000-0000-00001D190000}"/>
    <cellStyle name="20% - Accent4 20 2 2 2" xfId="26384" xr:uid="{00000000-0005-0000-0000-00001E190000}"/>
    <cellStyle name="20% - Accent4 20 2 3" xfId="18971" xr:uid="{00000000-0005-0000-0000-00001F190000}"/>
    <cellStyle name="20% - Accent4 20 3" xfId="1648" xr:uid="{00000000-0005-0000-0000-000020190000}"/>
    <cellStyle name="20% - Accent4 20 3 2" xfId="14880" xr:uid="{00000000-0005-0000-0000-000021190000}"/>
    <cellStyle name="20% - Accent4 20 3 2 2" xfId="28429" xr:uid="{00000000-0005-0000-0000-000022190000}"/>
    <cellStyle name="20% - Accent4 20 3 3" xfId="18972" xr:uid="{00000000-0005-0000-0000-000023190000}"/>
    <cellStyle name="20% - Accent4 20 4" xfId="10495" xr:uid="{00000000-0005-0000-0000-000024190000}"/>
    <cellStyle name="20% - Accent4 20 4 2" xfId="24443" xr:uid="{00000000-0005-0000-0000-000025190000}"/>
    <cellStyle name="20% - Accent4 20 5" xfId="18970" xr:uid="{00000000-0005-0000-0000-000026190000}"/>
    <cellStyle name="20% - Accent4 21" xfId="1649" xr:uid="{00000000-0005-0000-0000-000027190000}"/>
    <cellStyle name="20% - Accent4 21 2" xfId="1650" xr:uid="{00000000-0005-0000-0000-000028190000}"/>
    <cellStyle name="20% - Accent4 21 2 2" xfId="12590" xr:uid="{00000000-0005-0000-0000-000029190000}"/>
    <cellStyle name="20% - Accent4 21 2 2 2" xfId="26302" xr:uid="{00000000-0005-0000-0000-00002A190000}"/>
    <cellStyle name="20% - Accent4 21 2 3" xfId="18974" xr:uid="{00000000-0005-0000-0000-00002B190000}"/>
    <cellStyle name="20% - Accent4 21 3" xfId="1651" xr:uid="{00000000-0005-0000-0000-00002C190000}"/>
    <cellStyle name="20% - Accent4 21 3 2" xfId="14881" xr:uid="{00000000-0005-0000-0000-00002D190000}"/>
    <cellStyle name="20% - Accent4 21 3 2 2" xfId="28430" xr:uid="{00000000-0005-0000-0000-00002E190000}"/>
    <cellStyle name="20% - Accent4 21 3 3" xfId="18975" xr:uid="{00000000-0005-0000-0000-00002F190000}"/>
    <cellStyle name="20% - Accent4 21 4" xfId="10744" xr:uid="{00000000-0005-0000-0000-000030190000}"/>
    <cellStyle name="20% - Accent4 21 4 2" xfId="24686" xr:uid="{00000000-0005-0000-0000-000031190000}"/>
    <cellStyle name="20% - Accent4 21 5" xfId="18973" xr:uid="{00000000-0005-0000-0000-000032190000}"/>
    <cellStyle name="20% - Accent4 22" xfId="1652" xr:uid="{00000000-0005-0000-0000-000033190000}"/>
    <cellStyle name="20% - Accent4 22 2" xfId="11731" xr:uid="{00000000-0005-0000-0000-000034190000}"/>
    <cellStyle name="20% - Accent4 22 2 2" xfId="25446" xr:uid="{00000000-0005-0000-0000-000035190000}"/>
    <cellStyle name="20% - Accent4 22 3" xfId="18976" xr:uid="{00000000-0005-0000-0000-000036190000}"/>
    <cellStyle name="20% - Accent4 23" xfId="1653" xr:uid="{00000000-0005-0000-0000-000037190000}"/>
    <cellStyle name="20% - Accent4 23 2" xfId="12436" xr:uid="{00000000-0005-0000-0000-000038190000}"/>
    <cellStyle name="20% - Accent4 23 2 2" xfId="26148" xr:uid="{00000000-0005-0000-0000-000039190000}"/>
    <cellStyle name="20% - Accent4 23 3" xfId="18977" xr:uid="{00000000-0005-0000-0000-00003A190000}"/>
    <cellStyle name="20% - Accent4 24" xfId="1654" xr:uid="{00000000-0005-0000-0000-00003B190000}"/>
    <cellStyle name="20% - Accent4 24 2" xfId="13370" xr:uid="{00000000-0005-0000-0000-00003C190000}"/>
    <cellStyle name="20% - Accent4 24 2 2" xfId="26919" xr:uid="{00000000-0005-0000-0000-00003D190000}"/>
    <cellStyle name="20% - Accent4 24 3" xfId="18978" xr:uid="{00000000-0005-0000-0000-00003E190000}"/>
    <cellStyle name="20% - Accent4 25" xfId="1655" xr:uid="{00000000-0005-0000-0000-00003F190000}"/>
    <cellStyle name="20% - Accent4 25 2" xfId="13951" xr:uid="{00000000-0005-0000-0000-000040190000}"/>
    <cellStyle name="20% - Accent4 25 2 2" xfId="27500" xr:uid="{00000000-0005-0000-0000-000041190000}"/>
    <cellStyle name="20% - Accent4 25 3" xfId="18979" xr:uid="{00000000-0005-0000-0000-000042190000}"/>
    <cellStyle name="20% - Accent4 26" xfId="1656" xr:uid="{00000000-0005-0000-0000-000043190000}"/>
    <cellStyle name="20% - Accent4 26 2" xfId="14838" xr:uid="{00000000-0005-0000-0000-000044190000}"/>
    <cellStyle name="20% - Accent4 26 2 2" xfId="28387" xr:uid="{00000000-0005-0000-0000-000045190000}"/>
    <cellStyle name="20% - Accent4 26 3" xfId="18980" xr:uid="{00000000-0005-0000-0000-000046190000}"/>
    <cellStyle name="20% - Accent4 27" xfId="1657" xr:uid="{00000000-0005-0000-0000-000047190000}"/>
    <cellStyle name="20% - Accent4 27 2" xfId="15826" xr:uid="{00000000-0005-0000-0000-000048190000}"/>
    <cellStyle name="20% - Accent4 27 2 2" xfId="29233" xr:uid="{00000000-0005-0000-0000-000049190000}"/>
    <cellStyle name="20% - Accent4 27 3" xfId="18981" xr:uid="{00000000-0005-0000-0000-00004A190000}"/>
    <cellStyle name="20% - Accent4 28" xfId="1658" xr:uid="{00000000-0005-0000-0000-00004B190000}"/>
    <cellStyle name="20% - Accent4 28 2" xfId="15837" xr:uid="{00000000-0005-0000-0000-00004C190000}"/>
    <cellStyle name="20% - Accent4 28 2 2" xfId="29244" xr:uid="{00000000-0005-0000-0000-00004D190000}"/>
    <cellStyle name="20% - Accent4 28 3" xfId="18982" xr:uid="{00000000-0005-0000-0000-00004E190000}"/>
    <cellStyle name="20% - Accent4 29" xfId="1659" xr:uid="{00000000-0005-0000-0000-00004F190000}"/>
    <cellStyle name="20% - Accent4 29 2" xfId="9019" xr:uid="{00000000-0005-0000-0000-000050190000}"/>
    <cellStyle name="20% - Accent4 29 2 2" xfId="23494" xr:uid="{00000000-0005-0000-0000-000051190000}"/>
    <cellStyle name="20% - Accent4 29 3" xfId="18983" xr:uid="{00000000-0005-0000-0000-000052190000}"/>
    <cellStyle name="20% - Accent4 3" xfId="1660" xr:uid="{00000000-0005-0000-0000-000053190000}"/>
    <cellStyle name="20% - Accent4 3 10" xfId="1661" xr:uid="{00000000-0005-0000-0000-000054190000}"/>
    <cellStyle name="20% - Accent4 3 10 2" xfId="14034" xr:uid="{00000000-0005-0000-0000-000055190000}"/>
    <cellStyle name="20% - Accent4 3 10 2 2" xfId="27583" xr:uid="{00000000-0005-0000-0000-000056190000}"/>
    <cellStyle name="20% - Accent4 3 10 3" xfId="18985" xr:uid="{00000000-0005-0000-0000-000057190000}"/>
    <cellStyle name="20% - Accent4 3 11" xfId="1662" xr:uid="{00000000-0005-0000-0000-000058190000}"/>
    <cellStyle name="20% - Accent4 3 11 2" xfId="14882" xr:uid="{00000000-0005-0000-0000-000059190000}"/>
    <cellStyle name="20% - Accent4 3 11 2 2" xfId="28431" xr:uid="{00000000-0005-0000-0000-00005A190000}"/>
    <cellStyle name="20% - Accent4 3 11 3" xfId="18986" xr:uid="{00000000-0005-0000-0000-00005B190000}"/>
    <cellStyle name="20% - Accent4 3 12" xfId="1663" xr:uid="{00000000-0005-0000-0000-00005C190000}"/>
    <cellStyle name="20% - Accent4 3 12 2" xfId="15920" xr:uid="{00000000-0005-0000-0000-00005D190000}"/>
    <cellStyle name="20% - Accent4 3 12 2 2" xfId="29327" xr:uid="{00000000-0005-0000-0000-00005E190000}"/>
    <cellStyle name="20% - Accent4 3 12 3" xfId="18987" xr:uid="{00000000-0005-0000-0000-00005F190000}"/>
    <cellStyle name="20% - Accent4 3 13" xfId="9049" xr:uid="{00000000-0005-0000-0000-000060190000}"/>
    <cellStyle name="20% - Accent4 3 13 2" xfId="23524" xr:uid="{00000000-0005-0000-0000-000061190000}"/>
    <cellStyle name="20% - Accent4 3 14" xfId="18984" xr:uid="{00000000-0005-0000-0000-000062190000}"/>
    <cellStyle name="20% - Accent4 3 2" xfId="1664" xr:uid="{00000000-0005-0000-0000-000063190000}"/>
    <cellStyle name="20% - Accent4 3 2 10" xfId="1665" xr:uid="{00000000-0005-0000-0000-000064190000}"/>
    <cellStyle name="20% - Accent4 3 2 10 2" xfId="16063" xr:uid="{00000000-0005-0000-0000-000065190000}"/>
    <cellStyle name="20% - Accent4 3 2 10 2 2" xfId="29470" xr:uid="{00000000-0005-0000-0000-000066190000}"/>
    <cellStyle name="20% - Accent4 3 2 10 3" xfId="18989" xr:uid="{00000000-0005-0000-0000-000067190000}"/>
    <cellStyle name="20% - Accent4 3 2 11" xfId="9050" xr:uid="{00000000-0005-0000-0000-000068190000}"/>
    <cellStyle name="20% - Accent4 3 2 11 2" xfId="23525" xr:uid="{00000000-0005-0000-0000-000069190000}"/>
    <cellStyle name="20% - Accent4 3 2 12" xfId="18988" xr:uid="{00000000-0005-0000-0000-00006A190000}"/>
    <cellStyle name="20% - Accent4 3 2 2" xfId="1666" xr:uid="{00000000-0005-0000-0000-00006B190000}"/>
    <cellStyle name="20% - Accent4 3 2 2 10" xfId="9051" xr:uid="{00000000-0005-0000-0000-00006C190000}"/>
    <cellStyle name="20% - Accent4 3 2 2 10 2" xfId="23526" xr:uid="{00000000-0005-0000-0000-00006D190000}"/>
    <cellStyle name="20% - Accent4 3 2 2 11" xfId="18990" xr:uid="{00000000-0005-0000-0000-00006E190000}"/>
    <cellStyle name="20% - Accent4 3 2 2 2" xfId="1667" xr:uid="{00000000-0005-0000-0000-00006F190000}"/>
    <cellStyle name="20% - Accent4 3 2 2 2 2" xfId="1668" xr:uid="{00000000-0005-0000-0000-000070190000}"/>
    <cellStyle name="20% - Accent4 3 2 2 2 2 2" xfId="10777" xr:uid="{00000000-0005-0000-0000-000071190000}"/>
    <cellStyle name="20% - Accent4 3 2 2 2 2 2 2" xfId="24719" xr:uid="{00000000-0005-0000-0000-000072190000}"/>
    <cellStyle name="20% - Accent4 3 2 2 2 2 3" xfId="18992" xr:uid="{00000000-0005-0000-0000-000073190000}"/>
    <cellStyle name="20% - Accent4 3 2 2 2 3" xfId="1669" xr:uid="{00000000-0005-0000-0000-000074190000}"/>
    <cellStyle name="20% - Accent4 3 2 2 2 3 2" xfId="12760" xr:uid="{00000000-0005-0000-0000-000075190000}"/>
    <cellStyle name="20% - Accent4 3 2 2 2 3 2 2" xfId="26472" xr:uid="{00000000-0005-0000-0000-000076190000}"/>
    <cellStyle name="20% - Accent4 3 2 2 2 3 3" xfId="18993" xr:uid="{00000000-0005-0000-0000-000077190000}"/>
    <cellStyle name="20% - Accent4 3 2 2 2 4" xfId="1670" xr:uid="{00000000-0005-0000-0000-000078190000}"/>
    <cellStyle name="20% - Accent4 3 2 2 2 4 2" xfId="14885" xr:uid="{00000000-0005-0000-0000-000079190000}"/>
    <cellStyle name="20% - Accent4 3 2 2 2 4 2 2" xfId="28434" xr:uid="{00000000-0005-0000-0000-00007A190000}"/>
    <cellStyle name="20% - Accent4 3 2 2 2 4 3" xfId="18994" xr:uid="{00000000-0005-0000-0000-00007B190000}"/>
    <cellStyle name="20% - Accent4 3 2 2 2 5" xfId="1671" xr:uid="{00000000-0005-0000-0000-00007C190000}"/>
    <cellStyle name="20% - Accent4 3 2 2 2 5 2" xfId="16933" xr:uid="{00000000-0005-0000-0000-00007D190000}"/>
    <cellStyle name="20% - Accent4 3 2 2 2 5 2 2" xfId="30340" xr:uid="{00000000-0005-0000-0000-00007E190000}"/>
    <cellStyle name="20% - Accent4 3 2 2 2 5 3" xfId="18995" xr:uid="{00000000-0005-0000-0000-00007F190000}"/>
    <cellStyle name="20% - Accent4 3 2 2 2 6" xfId="9052" xr:uid="{00000000-0005-0000-0000-000080190000}"/>
    <cellStyle name="20% - Accent4 3 2 2 2 6 2" xfId="23527" xr:uid="{00000000-0005-0000-0000-000081190000}"/>
    <cellStyle name="20% - Accent4 3 2 2 2 7" xfId="18991" xr:uid="{00000000-0005-0000-0000-000082190000}"/>
    <cellStyle name="20% - Accent4 3 2 2 3" xfId="1672" xr:uid="{00000000-0005-0000-0000-000083190000}"/>
    <cellStyle name="20% - Accent4 3 2 2 3 2" xfId="1673" xr:uid="{00000000-0005-0000-0000-000084190000}"/>
    <cellStyle name="20% - Accent4 3 2 2 3 2 2" xfId="14886" xr:uid="{00000000-0005-0000-0000-000085190000}"/>
    <cellStyle name="20% - Accent4 3 2 2 3 2 2 2" xfId="28435" xr:uid="{00000000-0005-0000-0000-000086190000}"/>
    <cellStyle name="20% - Accent4 3 2 2 3 2 3" xfId="18997" xr:uid="{00000000-0005-0000-0000-000087190000}"/>
    <cellStyle name="20% - Accent4 3 2 2 3 3" xfId="10776" xr:uid="{00000000-0005-0000-0000-000088190000}"/>
    <cellStyle name="20% - Accent4 3 2 2 3 3 2" xfId="24718" xr:uid="{00000000-0005-0000-0000-000089190000}"/>
    <cellStyle name="20% - Accent4 3 2 2 3 4" xfId="18996" xr:uid="{00000000-0005-0000-0000-00008A190000}"/>
    <cellStyle name="20% - Accent4 3 2 2 4" xfId="1674" xr:uid="{00000000-0005-0000-0000-00008B190000}"/>
    <cellStyle name="20% - Accent4 3 2 2 4 2" xfId="12321" xr:uid="{00000000-0005-0000-0000-00008C190000}"/>
    <cellStyle name="20% - Accent4 3 2 2 4 2 2" xfId="26033" xr:uid="{00000000-0005-0000-0000-00008D190000}"/>
    <cellStyle name="20% - Accent4 3 2 2 4 3" xfId="18998" xr:uid="{00000000-0005-0000-0000-00008E190000}"/>
    <cellStyle name="20% - Accent4 3 2 2 5" xfId="1675" xr:uid="{00000000-0005-0000-0000-00008F190000}"/>
    <cellStyle name="20% - Accent4 3 2 2 5 2" xfId="12584" xr:uid="{00000000-0005-0000-0000-000090190000}"/>
    <cellStyle name="20% - Accent4 3 2 2 5 2 2" xfId="26296" xr:uid="{00000000-0005-0000-0000-000091190000}"/>
    <cellStyle name="20% - Accent4 3 2 2 5 3" xfId="18999" xr:uid="{00000000-0005-0000-0000-000092190000}"/>
    <cellStyle name="20% - Accent4 3 2 2 6" xfId="1676" xr:uid="{00000000-0005-0000-0000-000093190000}"/>
    <cellStyle name="20% - Accent4 3 2 2 6 2" xfId="13885" xr:uid="{00000000-0005-0000-0000-000094190000}"/>
    <cellStyle name="20% - Accent4 3 2 2 6 2 2" xfId="27434" xr:uid="{00000000-0005-0000-0000-000095190000}"/>
    <cellStyle name="20% - Accent4 3 2 2 6 3" xfId="19000" xr:uid="{00000000-0005-0000-0000-000096190000}"/>
    <cellStyle name="20% - Accent4 3 2 2 7" xfId="1677" xr:uid="{00000000-0005-0000-0000-000097190000}"/>
    <cellStyle name="20% - Accent4 3 2 2 7 2" xfId="14466" xr:uid="{00000000-0005-0000-0000-000098190000}"/>
    <cellStyle name="20% - Accent4 3 2 2 7 2 2" xfId="28015" xr:uid="{00000000-0005-0000-0000-000099190000}"/>
    <cellStyle name="20% - Accent4 3 2 2 7 3" xfId="19001" xr:uid="{00000000-0005-0000-0000-00009A190000}"/>
    <cellStyle name="20% - Accent4 3 2 2 8" xfId="1678" xr:uid="{00000000-0005-0000-0000-00009B190000}"/>
    <cellStyle name="20% - Accent4 3 2 2 8 2" xfId="14884" xr:uid="{00000000-0005-0000-0000-00009C190000}"/>
    <cellStyle name="20% - Accent4 3 2 2 8 2 2" xfId="28433" xr:uid="{00000000-0005-0000-0000-00009D190000}"/>
    <cellStyle name="20% - Accent4 3 2 2 8 3" xfId="19002" xr:uid="{00000000-0005-0000-0000-00009E190000}"/>
    <cellStyle name="20% - Accent4 3 2 2 9" xfId="1679" xr:uid="{00000000-0005-0000-0000-00009F190000}"/>
    <cellStyle name="20% - Accent4 3 2 2 9 2" xfId="16352" xr:uid="{00000000-0005-0000-0000-0000A0190000}"/>
    <cellStyle name="20% - Accent4 3 2 2 9 2 2" xfId="29759" xr:uid="{00000000-0005-0000-0000-0000A1190000}"/>
    <cellStyle name="20% - Accent4 3 2 2 9 3" xfId="19003" xr:uid="{00000000-0005-0000-0000-0000A2190000}"/>
    <cellStyle name="20% - Accent4 3 2 3" xfId="1680" xr:uid="{00000000-0005-0000-0000-0000A3190000}"/>
    <cellStyle name="20% - Accent4 3 2 3 2" xfId="1681" xr:uid="{00000000-0005-0000-0000-0000A4190000}"/>
    <cellStyle name="20% - Accent4 3 2 3 2 2" xfId="10778" xr:uid="{00000000-0005-0000-0000-0000A5190000}"/>
    <cellStyle name="20% - Accent4 3 2 3 2 2 2" xfId="24720" xr:uid="{00000000-0005-0000-0000-0000A6190000}"/>
    <cellStyle name="20% - Accent4 3 2 3 2 3" xfId="19005" xr:uid="{00000000-0005-0000-0000-0000A7190000}"/>
    <cellStyle name="20% - Accent4 3 2 3 3" xfId="1682" xr:uid="{00000000-0005-0000-0000-0000A8190000}"/>
    <cellStyle name="20% - Accent4 3 2 3 3 2" xfId="11857" xr:uid="{00000000-0005-0000-0000-0000A9190000}"/>
    <cellStyle name="20% - Accent4 3 2 3 3 2 2" xfId="25572" xr:uid="{00000000-0005-0000-0000-0000AA190000}"/>
    <cellStyle name="20% - Accent4 3 2 3 3 3" xfId="19006" xr:uid="{00000000-0005-0000-0000-0000AB190000}"/>
    <cellStyle name="20% - Accent4 3 2 3 4" xfId="1683" xr:uid="{00000000-0005-0000-0000-0000AC190000}"/>
    <cellStyle name="20% - Accent4 3 2 3 4 2" xfId="14887" xr:uid="{00000000-0005-0000-0000-0000AD190000}"/>
    <cellStyle name="20% - Accent4 3 2 3 4 2 2" xfId="28436" xr:uid="{00000000-0005-0000-0000-0000AE190000}"/>
    <cellStyle name="20% - Accent4 3 2 3 4 3" xfId="19007" xr:uid="{00000000-0005-0000-0000-0000AF190000}"/>
    <cellStyle name="20% - Accent4 3 2 3 5" xfId="1684" xr:uid="{00000000-0005-0000-0000-0000B0190000}"/>
    <cellStyle name="20% - Accent4 3 2 3 5 2" xfId="16644" xr:uid="{00000000-0005-0000-0000-0000B1190000}"/>
    <cellStyle name="20% - Accent4 3 2 3 5 2 2" xfId="30051" xr:uid="{00000000-0005-0000-0000-0000B2190000}"/>
    <cellStyle name="20% - Accent4 3 2 3 5 3" xfId="19008" xr:uid="{00000000-0005-0000-0000-0000B3190000}"/>
    <cellStyle name="20% - Accent4 3 2 3 6" xfId="9053" xr:uid="{00000000-0005-0000-0000-0000B4190000}"/>
    <cellStyle name="20% - Accent4 3 2 3 6 2" xfId="23528" xr:uid="{00000000-0005-0000-0000-0000B5190000}"/>
    <cellStyle name="20% - Accent4 3 2 3 7" xfId="19004" xr:uid="{00000000-0005-0000-0000-0000B6190000}"/>
    <cellStyle name="20% - Accent4 3 2 4" xfId="1685" xr:uid="{00000000-0005-0000-0000-0000B7190000}"/>
    <cellStyle name="20% - Accent4 3 2 4 2" xfId="1686" xr:uid="{00000000-0005-0000-0000-0000B8190000}"/>
    <cellStyle name="20% - Accent4 3 2 4 2 2" xfId="14888" xr:uid="{00000000-0005-0000-0000-0000B9190000}"/>
    <cellStyle name="20% - Accent4 3 2 4 2 2 2" xfId="28437" xr:uid="{00000000-0005-0000-0000-0000BA190000}"/>
    <cellStyle name="20% - Accent4 3 2 4 2 3" xfId="19010" xr:uid="{00000000-0005-0000-0000-0000BB190000}"/>
    <cellStyle name="20% - Accent4 3 2 4 3" xfId="10775" xr:uid="{00000000-0005-0000-0000-0000BC190000}"/>
    <cellStyle name="20% - Accent4 3 2 4 3 2" xfId="24717" xr:uid="{00000000-0005-0000-0000-0000BD190000}"/>
    <cellStyle name="20% - Accent4 3 2 4 4" xfId="19009" xr:uid="{00000000-0005-0000-0000-0000BE190000}"/>
    <cellStyle name="20% - Accent4 3 2 5" xfId="1687" xr:uid="{00000000-0005-0000-0000-0000BF190000}"/>
    <cellStyle name="20% - Accent4 3 2 5 2" xfId="12021" xr:uid="{00000000-0005-0000-0000-0000C0190000}"/>
    <cellStyle name="20% - Accent4 3 2 5 2 2" xfId="25736" xr:uid="{00000000-0005-0000-0000-0000C1190000}"/>
    <cellStyle name="20% - Accent4 3 2 5 3" xfId="19011" xr:uid="{00000000-0005-0000-0000-0000C2190000}"/>
    <cellStyle name="20% - Accent4 3 2 6" xfId="1688" xr:uid="{00000000-0005-0000-0000-0000C3190000}"/>
    <cellStyle name="20% - Accent4 3 2 6 2" xfId="12517" xr:uid="{00000000-0005-0000-0000-0000C4190000}"/>
    <cellStyle name="20% - Accent4 3 2 6 2 2" xfId="26229" xr:uid="{00000000-0005-0000-0000-0000C5190000}"/>
    <cellStyle name="20% - Accent4 3 2 6 3" xfId="19012" xr:uid="{00000000-0005-0000-0000-0000C6190000}"/>
    <cellStyle name="20% - Accent4 3 2 7" xfId="1689" xr:uid="{00000000-0005-0000-0000-0000C7190000}"/>
    <cellStyle name="20% - Accent4 3 2 7 2" xfId="13596" xr:uid="{00000000-0005-0000-0000-0000C8190000}"/>
    <cellStyle name="20% - Accent4 3 2 7 2 2" xfId="27145" xr:uid="{00000000-0005-0000-0000-0000C9190000}"/>
    <cellStyle name="20% - Accent4 3 2 7 3" xfId="19013" xr:uid="{00000000-0005-0000-0000-0000CA190000}"/>
    <cellStyle name="20% - Accent4 3 2 8" xfId="1690" xr:uid="{00000000-0005-0000-0000-0000CB190000}"/>
    <cellStyle name="20% - Accent4 3 2 8 2" xfId="14177" xr:uid="{00000000-0005-0000-0000-0000CC190000}"/>
    <cellStyle name="20% - Accent4 3 2 8 2 2" xfId="27726" xr:uid="{00000000-0005-0000-0000-0000CD190000}"/>
    <cellStyle name="20% - Accent4 3 2 8 3" xfId="19014" xr:uid="{00000000-0005-0000-0000-0000CE190000}"/>
    <cellStyle name="20% - Accent4 3 2 9" xfId="1691" xr:uid="{00000000-0005-0000-0000-0000CF190000}"/>
    <cellStyle name="20% - Accent4 3 2 9 2" xfId="14883" xr:uid="{00000000-0005-0000-0000-0000D0190000}"/>
    <cellStyle name="20% - Accent4 3 2 9 2 2" xfId="28432" xr:uid="{00000000-0005-0000-0000-0000D1190000}"/>
    <cellStyle name="20% - Accent4 3 2 9 3" xfId="19015" xr:uid="{00000000-0005-0000-0000-0000D2190000}"/>
    <cellStyle name="20% - Accent4 3 3" xfId="1692" xr:uid="{00000000-0005-0000-0000-0000D3190000}"/>
    <cellStyle name="20% - Accent4 3 3 10" xfId="9054" xr:uid="{00000000-0005-0000-0000-0000D4190000}"/>
    <cellStyle name="20% - Accent4 3 3 10 2" xfId="23529" xr:uid="{00000000-0005-0000-0000-0000D5190000}"/>
    <cellStyle name="20% - Accent4 3 3 11" xfId="19016" xr:uid="{00000000-0005-0000-0000-0000D6190000}"/>
    <cellStyle name="20% - Accent4 3 3 2" xfId="1693" xr:uid="{00000000-0005-0000-0000-0000D7190000}"/>
    <cellStyle name="20% - Accent4 3 3 2 2" xfId="1694" xr:uid="{00000000-0005-0000-0000-0000D8190000}"/>
    <cellStyle name="20% - Accent4 3 3 2 2 2" xfId="10780" xr:uid="{00000000-0005-0000-0000-0000D9190000}"/>
    <cellStyle name="20% - Accent4 3 3 2 2 2 2" xfId="24722" xr:uid="{00000000-0005-0000-0000-0000DA190000}"/>
    <cellStyle name="20% - Accent4 3 3 2 2 3" xfId="19018" xr:uid="{00000000-0005-0000-0000-0000DB190000}"/>
    <cellStyle name="20% - Accent4 3 3 2 3" xfId="1695" xr:uid="{00000000-0005-0000-0000-0000DC190000}"/>
    <cellStyle name="20% - Accent4 3 3 2 3 2" xfId="12505" xr:uid="{00000000-0005-0000-0000-0000DD190000}"/>
    <cellStyle name="20% - Accent4 3 3 2 3 2 2" xfId="26217" xr:uid="{00000000-0005-0000-0000-0000DE190000}"/>
    <cellStyle name="20% - Accent4 3 3 2 3 3" xfId="19019" xr:uid="{00000000-0005-0000-0000-0000DF190000}"/>
    <cellStyle name="20% - Accent4 3 3 2 4" xfId="1696" xr:uid="{00000000-0005-0000-0000-0000E0190000}"/>
    <cellStyle name="20% - Accent4 3 3 2 4 2" xfId="14890" xr:uid="{00000000-0005-0000-0000-0000E1190000}"/>
    <cellStyle name="20% - Accent4 3 3 2 4 2 2" xfId="28439" xr:uid="{00000000-0005-0000-0000-0000E2190000}"/>
    <cellStyle name="20% - Accent4 3 3 2 4 3" xfId="19020" xr:uid="{00000000-0005-0000-0000-0000E3190000}"/>
    <cellStyle name="20% - Accent4 3 3 2 5" xfId="1697" xr:uid="{00000000-0005-0000-0000-0000E4190000}"/>
    <cellStyle name="20% - Accent4 3 3 2 5 2" xfId="16790" xr:uid="{00000000-0005-0000-0000-0000E5190000}"/>
    <cellStyle name="20% - Accent4 3 3 2 5 2 2" xfId="30197" xr:uid="{00000000-0005-0000-0000-0000E6190000}"/>
    <cellStyle name="20% - Accent4 3 3 2 5 3" xfId="19021" xr:uid="{00000000-0005-0000-0000-0000E7190000}"/>
    <cellStyle name="20% - Accent4 3 3 2 6" xfId="9055" xr:uid="{00000000-0005-0000-0000-0000E8190000}"/>
    <cellStyle name="20% - Accent4 3 3 2 6 2" xfId="23530" xr:uid="{00000000-0005-0000-0000-0000E9190000}"/>
    <cellStyle name="20% - Accent4 3 3 2 7" xfId="19017" xr:uid="{00000000-0005-0000-0000-0000EA190000}"/>
    <cellStyle name="20% - Accent4 3 3 3" xfId="1698" xr:uid="{00000000-0005-0000-0000-0000EB190000}"/>
    <cellStyle name="20% - Accent4 3 3 3 2" xfId="1699" xr:uid="{00000000-0005-0000-0000-0000EC190000}"/>
    <cellStyle name="20% - Accent4 3 3 3 2 2" xfId="14891" xr:uid="{00000000-0005-0000-0000-0000ED190000}"/>
    <cellStyle name="20% - Accent4 3 3 3 2 2 2" xfId="28440" xr:uid="{00000000-0005-0000-0000-0000EE190000}"/>
    <cellStyle name="20% - Accent4 3 3 3 2 3" xfId="19023" xr:uid="{00000000-0005-0000-0000-0000EF190000}"/>
    <cellStyle name="20% - Accent4 3 3 3 3" xfId="10779" xr:uid="{00000000-0005-0000-0000-0000F0190000}"/>
    <cellStyle name="20% - Accent4 3 3 3 3 2" xfId="24721" xr:uid="{00000000-0005-0000-0000-0000F1190000}"/>
    <cellStyle name="20% - Accent4 3 3 3 4" xfId="19022" xr:uid="{00000000-0005-0000-0000-0000F2190000}"/>
    <cellStyle name="20% - Accent4 3 3 4" xfId="1700" xr:uid="{00000000-0005-0000-0000-0000F3190000}"/>
    <cellStyle name="20% - Accent4 3 3 4 2" xfId="12178" xr:uid="{00000000-0005-0000-0000-0000F4190000}"/>
    <cellStyle name="20% - Accent4 3 3 4 2 2" xfId="25890" xr:uid="{00000000-0005-0000-0000-0000F5190000}"/>
    <cellStyle name="20% - Accent4 3 3 4 3" xfId="19024" xr:uid="{00000000-0005-0000-0000-0000F6190000}"/>
    <cellStyle name="20% - Accent4 3 3 5" xfId="1701" xr:uid="{00000000-0005-0000-0000-0000F7190000}"/>
    <cellStyle name="20% - Accent4 3 3 5 2" xfId="12534" xr:uid="{00000000-0005-0000-0000-0000F8190000}"/>
    <cellStyle name="20% - Accent4 3 3 5 2 2" xfId="26246" xr:uid="{00000000-0005-0000-0000-0000F9190000}"/>
    <cellStyle name="20% - Accent4 3 3 5 3" xfId="19025" xr:uid="{00000000-0005-0000-0000-0000FA190000}"/>
    <cellStyle name="20% - Accent4 3 3 6" xfId="1702" xr:uid="{00000000-0005-0000-0000-0000FB190000}"/>
    <cellStyle name="20% - Accent4 3 3 6 2" xfId="13742" xr:uid="{00000000-0005-0000-0000-0000FC190000}"/>
    <cellStyle name="20% - Accent4 3 3 6 2 2" xfId="27291" xr:uid="{00000000-0005-0000-0000-0000FD190000}"/>
    <cellStyle name="20% - Accent4 3 3 6 3" xfId="19026" xr:uid="{00000000-0005-0000-0000-0000FE190000}"/>
    <cellStyle name="20% - Accent4 3 3 7" xfId="1703" xr:uid="{00000000-0005-0000-0000-0000FF190000}"/>
    <cellStyle name="20% - Accent4 3 3 7 2" xfId="14323" xr:uid="{00000000-0005-0000-0000-0000001A0000}"/>
    <cellStyle name="20% - Accent4 3 3 7 2 2" xfId="27872" xr:uid="{00000000-0005-0000-0000-0000011A0000}"/>
    <cellStyle name="20% - Accent4 3 3 7 3" xfId="19027" xr:uid="{00000000-0005-0000-0000-0000021A0000}"/>
    <cellStyle name="20% - Accent4 3 3 8" xfId="1704" xr:uid="{00000000-0005-0000-0000-0000031A0000}"/>
    <cellStyle name="20% - Accent4 3 3 8 2" xfId="14889" xr:uid="{00000000-0005-0000-0000-0000041A0000}"/>
    <cellStyle name="20% - Accent4 3 3 8 2 2" xfId="28438" xr:uid="{00000000-0005-0000-0000-0000051A0000}"/>
    <cellStyle name="20% - Accent4 3 3 8 3" xfId="19028" xr:uid="{00000000-0005-0000-0000-0000061A0000}"/>
    <cellStyle name="20% - Accent4 3 3 9" xfId="1705" xr:uid="{00000000-0005-0000-0000-0000071A0000}"/>
    <cellStyle name="20% - Accent4 3 3 9 2" xfId="16209" xr:uid="{00000000-0005-0000-0000-0000081A0000}"/>
    <cellStyle name="20% - Accent4 3 3 9 2 2" xfId="29616" xr:uid="{00000000-0005-0000-0000-0000091A0000}"/>
    <cellStyle name="20% - Accent4 3 3 9 3" xfId="19029" xr:uid="{00000000-0005-0000-0000-00000A1A0000}"/>
    <cellStyle name="20% - Accent4 3 4" xfId="1706" xr:uid="{00000000-0005-0000-0000-00000B1A0000}"/>
    <cellStyle name="20% - Accent4 3 4 2" xfId="1707" xr:uid="{00000000-0005-0000-0000-00000C1A0000}"/>
    <cellStyle name="20% - Accent4 3 4 2 2" xfId="10781" xr:uid="{00000000-0005-0000-0000-00000D1A0000}"/>
    <cellStyle name="20% - Accent4 3 4 2 2 2" xfId="24723" xr:uid="{00000000-0005-0000-0000-00000E1A0000}"/>
    <cellStyle name="20% - Accent4 3 4 2 3" xfId="19031" xr:uid="{00000000-0005-0000-0000-00000F1A0000}"/>
    <cellStyle name="20% - Accent4 3 4 3" xfId="1708" xr:uid="{00000000-0005-0000-0000-0000101A0000}"/>
    <cellStyle name="20% - Accent4 3 4 3 2" xfId="12579" xr:uid="{00000000-0005-0000-0000-0000111A0000}"/>
    <cellStyle name="20% - Accent4 3 4 3 2 2" xfId="26291" xr:uid="{00000000-0005-0000-0000-0000121A0000}"/>
    <cellStyle name="20% - Accent4 3 4 3 3" xfId="19032" xr:uid="{00000000-0005-0000-0000-0000131A0000}"/>
    <cellStyle name="20% - Accent4 3 4 4" xfId="1709" xr:uid="{00000000-0005-0000-0000-0000141A0000}"/>
    <cellStyle name="20% - Accent4 3 4 4 2" xfId="14892" xr:uid="{00000000-0005-0000-0000-0000151A0000}"/>
    <cellStyle name="20% - Accent4 3 4 4 2 2" xfId="28441" xr:uid="{00000000-0005-0000-0000-0000161A0000}"/>
    <cellStyle name="20% - Accent4 3 4 4 3" xfId="19033" xr:uid="{00000000-0005-0000-0000-0000171A0000}"/>
    <cellStyle name="20% - Accent4 3 4 5" xfId="1710" xr:uid="{00000000-0005-0000-0000-0000181A0000}"/>
    <cellStyle name="20% - Accent4 3 4 5 2" xfId="17137" xr:uid="{00000000-0005-0000-0000-0000191A0000}"/>
    <cellStyle name="20% - Accent4 3 4 5 2 2" xfId="30496" xr:uid="{00000000-0005-0000-0000-00001A1A0000}"/>
    <cellStyle name="20% - Accent4 3 4 5 3" xfId="19034" xr:uid="{00000000-0005-0000-0000-00001B1A0000}"/>
    <cellStyle name="20% - Accent4 3 4 6" xfId="9056" xr:uid="{00000000-0005-0000-0000-00001C1A0000}"/>
    <cellStyle name="20% - Accent4 3 4 6 2" xfId="23531" xr:uid="{00000000-0005-0000-0000-00001D1A0000}"/>
    <cellStyle name="20% - Accent4 3 4 7" xfId="19030" xr:uid="{00000000-0005-0000-0000-00001E1A0000}"/>
    <cellStyle name="20% - Accent4 3 5" xfId="1711" xr:uid="{00000000-0005-0000-0000-00001F1A0000}"/>
    <cellStyle name="20% - Accent4 3 5 2" xfId="1712" xr:uid="{00000000-0005-0000-0000-0000201A0000}"/>
    <cellStyle name="20% - Accent4 3 5 2 2" xfId="10782" xr:uid="{00000000-0005-0000-0000-0000211A0000}"/>
    <cellStyle name="20% - Accent4 3 5 2 2 2" xfId="24724" xr:uid="{00000000-0005-0000-0000-0000221A0000}"/>
    <cellStyle name="20% - Accent4 3 5 2 3" xfId="19036" xr:uid="{00000000-0005-0000-0000-0000231A0000}"/>
    <cellStyle name="20% - Accent4 3 5 3" xfId="1713" xr:uid="{00000000-0005-0000-0000-0000241A0000}"/>
    <cellStyle name="20% - Accent4 3 5 3 2" xfId="11840" xr:uid="{00000000-0005-0000-0000-0000251A0000}"/>
    <cellStyle name="20% - Accent4 3 5 3 2 2" xfId="25555" xr:uid="{00000000-0005-0000-0000-0000261A0000}"/>
    <cellStyle name="20% - Accent4 3 5 3 3" xfId="19037" xr:uid="{00000000-0005-0000-0000-0000271A0000}"/>
    <cellStyle name="20% - Accent4 3 5 4" xfId="1714" xr:uid="{00000000-0005-0000-0000-0000281A0000}"/>
    <cellStyle name="20% - Accent4 3 5 4 2" xfId="14893" xr:uid="{00000000-0005-0000-0000-0000291A0000}"/>
    <cellStyle name="20% - Accent4 3 5 4 2 2" xfId="28442" xr:uid="{00000000-0005-0000-0000-00002A1A0000}"/>
    <cellStyle name="20% - Accent4 3 5 4 3" xfId="19038" xr:uid="{00000000-0005-0000-0000-00002B1A0000}"/>
    <cellStyle name="20% - Accent4 3 5 5" xfId="1715" xr:uid="{00000000-0005-0000-0000-00002C1A0000}"/>
    <cellStyle name="20% - Accent4 3 5 5 2" xfId="17226" xr:uid="{00000000-0005-0000-0000-00002D1A0000}"/>
    <cellStyle name="20% - Accent4 3 5 5 2 2" xfId="30585" xr:uid="{00000000-0005-0000-0000-00002E1A0000}"/>
    <cellStyle name="20% - Accent4 3 5 5 3" xfId="19039" xr:uid="{00000000-0005-0000-0000-00002F1A0000}"/>
    <cellStyle name="20% - Accent4 3 5 6" xfId="9057" xr:uid="{00000000-0005-0000-0000-0000301A0000}"/>
    <cellStyle name="20% - Accent4 3 5 6 2" xfId="23532" xr:uid="{00000000-0005-0000-0000-0000311A0000}"/>
    <cellStyle name="20% - Accent4 3 5 7" xfId="19035" xr:uid="{00000000-0005-0000-0000-0000321A0000}"/>
    <cellStyle name="20% - Accent4 3 6" xfId="1716" xr:uid="{00000000-0005-0000-0000-0000331A0000}"/>
    <cellStyle name="20% - Accent4 3 6 2" xfId="1717" xr:uid="{00000000-0005-0000-0000-0000341A0000}"/>
    <cellStyle name="20% - Accent4 3 6 2 2" xfId="14894" xr:uid="{00000000-0005-0000-0000-0000351A0000}"/>
    <cellStyle name="20% - Accent4 3 6 2 2 2" xfId="28443" xr:uid="{00000000-0005-0000-0000-0000361A0000}"/>
    <cellStyle name="20% - Accent4 3 6 2 3" xfId="19041" xr:uid="{00000000-0005-0000-0000-0000371A0000}"/>
    <cellStyle name="20% - Accent4 3 6 3" xfId="1718" xr:uid="{00000000-0005-0000-0000-0000381A0000}"/>
    <cellStyle name="20% - Accent4 3 6 3 2" xfId="16501" xr:uid="{00000000-0005-0000-0000-0000391A0000}"/>
    <cellStyle name="20% - Accent4 3 6 3 2 2" xfId="29908" xr:uid="{00000000-0005-0000-0000-00003A1A0000}"/>
    <cellStyle name="20% - Accent4 3 6 3 3" xfId="19042" xr:uid="{00000000-0005-0000-0000-00003B1A0000}"/>
    <cellStyle name="20% - Accent4 3 6 4" xfId="10774" xr:uid="{00000000-0005-0000-0000-00003C1A0000}"/>
    <cellStyle name="20% - Accent4 3 6 4 2" xfId="24716" xr:uid="{00000000-0005-0000-0000-00003D1A0000}"/>
    <cellStyle name="20% - Accent4 3 6 5" xfId="19040" xr:uid="{00000000-0005-0000-0000-00003E1A0000}"/>
    <cellStyle name="20% - Accent4 3 7" xfId="1719" xr:uid="{00000000-0005-0000-0000-00003F1A0000}"/>
    <cellStyle name="20% - Accent4 3 7 2" xfId="11873" xr:uid="{00000000-0005-0000-0000-0000401A0000}"/>
    <cellStyle name="20% - Accent4 3 7 2 2" xfId="25588" xr:uid="{00000000-0005-0000-0000-0000411A0000}"/>
    <cellStyle name="20% - Accent4 3 7 3" xfId="19043" xr:uid="{00000000-0005-0000-0000-0000421A0000}"/>
    <cellStyle name="20% - Accent4 3 8" xfId="1720" xr:uid="{00000000-0005-0000-0000-0000431A0000}"/>
    <cellStyle name="20% - Accent4 3 8 2" xfId="12424" xr:uid="{00000000-0005-0000-0000-0000441A0000}"/>
    <cellStyle name="20% - Accent4 3 8 2 2" xfId="26136" xr:uid="{00000000-0005-0000-0000-0000451A0000}"/>
    <cellStyle name="20% - Accent4 3 8 3" xfId="19044" xr:uid="{00000000-0005-0000-0000-0000461A0000}"/>
    <cellStyle name="20% - Accent4 3 9" xfId="1721" xr:uid="{00000000-0005-0000-0000-0000471A0000}"/>
    <cellStyle name="20% - Accent4 3 9 2" xfId="13453" xr:uid="{00000000-0005-0000-0000-0000481A0000}"/>
    <cellStyle name="20% - Accent4 3 9 2 2" xfId="27002" xr:uid="{00000000-0005-0000-0000-0000491A0000}"/>
    <cellStyle name="20% - Accent4 3 9 3" xfId="19045" xr:uid="{00000000-0005-0000-0000-00004A1A0000}"/>
    <cellStyle name="20% - Accent4 30" xfId="23246" xr:uid="{00000000-0005-0000-0000-00004B1A0000}"/>
    <cellStyle name="20% - Accent4 4" xfId="1722" xr:uid="{00000000-0005-0000-0000-00004C1A0000}"/>
    <cellStyle name="20% - Accent4 4 10" xfId="1723" xr:uid="{00000000-0005-0000-0000-00004D1A0000}"/>
    <cellStyle name="20% - Accent4 4 10 2" xfId="14895" xr:uid="{00000000-0005-0000-0000-00004E1A0000}"/>
    <cellStyle name="20% - Accent4 4 10 2 2" xfId="28444" xr:uid="{00000000-0005-0000-0000-00004F1A0000}"/>
    <cellStyle name="20% - Accent4 4 10 3" xfId="19047" xr:uid="{00000000-0005-0000-0000-0000501A0000}"/>
    <cellStyle name="20% - Accent4 4 11" xfId="1724" xr:uid="{00000000-0005-0000-0000-0000511A0000}"/>
    <cellStyle name="20% - Accent4 4 11 2" xfId="15871" xr:uid="{00000000-0005-0000-0000-0000521A0000}"/>
    <cellStyle name="20% - Accent4 4 11 2 2" xfId="29278" xr:uid="{00000000-0005-0000-0000-0000531A0000}"/>
    <cellStyle name="20% - Accent4 4 11 3" xfId="19048" xr:uid="{00000000-0005-0000-0000-0000541A0000}"/>
    <cellStyle name="20% - Accent4 4 12" xfId="9058" xr:uid="{00000000-0005-0000-0000-0000551A0000}"/>
    <cellStyle name="20% - Accent4 4 12 2" xfId="23533" xr:uid="{00000000-0005-0000-0000-0000561A0000}"/>
    <cellStyle name="20% - Accent4 4 13" xfId="19046" xr:uid="{00000000-0005-0000-0000-0000571A0000}"/>
    <cellStyle name="20% - Accent4 4 2" xfId="1725" xr:uid="{00000000-0005-0000-0000-0000581A0000}"/>
    <cellStyle name="20% - Accent4 4 2 10" xfId="1726" xr:uid="{00000000-0005-0000-0000-0000591A0000}"/>
    <cellStyle name="20% - Accent4 4 2 10 2" xfId="16014" xr:uid="{00000000-0005-0000-0000-00005A1A0000}"/>
    <cellStyle name="20% - Accent4 4 2 10 2 2" xfId="29421" xr:uid="{00000000-0005-0000-0000-00005B1A0000}"/>
    <cellStyle name="20% - Accent4 4 2 10 3" xfId="19050" xr:uid="{00000000-0005-0000-0000-00005C1A0000}"/>
    <cellStyle name="20% - Accent4 4 2 11" xfId="9059" xr:uid="{00000000-0005-0000-0000-00005D1A0000}"/>
    <cellStyle name="20% - Accent4 4 2 11 2" xfId="23534" xr:uid="{00000000-0005-0000-0000-00005E1A0000}"/>
    <cellStyle name="20% - Accent4 4 2 12" xfId="19049" xr:uid="{00000000-0005-0000-0000-00005F1A0000}"/>
    <cellStyle name="20% - Accent4 4 2 2" xfId="1727" xr:uid="{00000000-0005-0000-0000-0000601A0000}"/>
    <cellStyle name="20% - Accent4 4 2 2 10" xfId="9060" xr:uid="{00000000-0005-0000-0000-0000611A0000}"/>
    <cellStyle name="20% - Accent4 4 2 2 10 2" xfId="23535" xr:uid="{00000000-0005-0000-0000-0000621A0000}"/>
    <cellStyle name="20% - Accent4 4 2 2 11" xfId="19051" xr:uid="{00000000-0005-0000-0000-0000631A0000}"/>
    <cellStyle name="20% - Accent4 4 2 2 2" xfId="1728" xr:uid="{00000000-0005-0000-0000-0000641A0000}"/>
    <cellStyle name="20% - Accent4 4 2 2 2 2" xfId="1729" xr:uid="{00000000-0005-0000-0000-0000651A0000}"/>
    <cellStyle name="20% - Accent4 4 2 2 2 2 2" xfId="10786" xr:uid="{00000000-0005-0000-0000-0000661A0000}"/>
    <cellStyle name="20% - Accent4 4 2 2 2 2 2 2" xfId="24728" xr:uid="{00000000-0005-0000-0000-0000671A0000}"/>
    <cellStyle name="20% - Accent4 4 2 2 2 2 3" xfId="19053" xr:uid="{00000000-0005-0000-0000-0000681A0000}"/>
    <cellStyle name="20% - Accent4 4 2 2 2 3" xfId="1730" xr:uid="{00000000-0005-0000-0000-0000691A0000}"/>
    <cellStyle name="20% - Accent4 4 2 2 2 3 2" xfId="11727" xr:uid="{00000000-0005-0000-0000-00006A1A0000}"/>
    <cellStyle name="20% - Accent4 4 2 2 2 3 2 2" xfId="25442" xr:uid="{00000000-0005-0000-0000-00006B1A0000}"/>
    <cellStyle name="20% - Accent4 4 2 2 2 3 3" xfId="19054" xr:uid="{00000000-0005-0000-0000-00006C1A0000}"/>
    <cellStyle name="20% - Accent4 4 2 2 2 4" xfId="1731" xr:uid="{00000000-0005-0000-0000-00006D1A0000}"/>
    <cellStyle name="20% - Accent4 4 2 2 2 4 2" xfId="14898" xr:uid="{00000000-0005-0000-0000-00006E1A0000}"/>
    <cellStyle name="20% - Accent4 4 2 2 2 4 2 2" xfId="28447" xr:uid="{00000000-0005-0000-0000-00006F1A0000}"/>
    <cellStyle name="20% - Accent4 4 2 2 2 4 3" xfId="19055" xr:uid="{00000000-0005-0000-0000-0000701A0000}"/>
    <cellStyle name="20% - Accent4 4 2 2 2 5" xfId="1732" xr:uid="{00000000-0005-0000-0000-0000711A0000}"/>
    <cellStyle name="20% - Accent4 4 2 2 2 5 2" xfId="16884" xr:uid="{00000000-0005-0000-0000-0000721A0000}"/>
    <cellStyle name="20% - Accent4 4 2 2 2 5 2 2" xfId="30291" xr:uid="{00000000-0005-0000-0000-0000731A0000}"/>
    <cellStyle name="20% - Accent4 4 2 2 2 5 3" xfId="19056" xr:uid="{00000000-0005-0000-0000-0000741A0000}"/>
    <cellStyle name="20% - Accent4 4 2 2 2 6" xfId="9061" xr:uid="{00000000-0005-0000-0000-0000751A0000}"/>
    <cellStyle name="20% - Accent4 4 2 2 2 6 2" xfId="23536" xr:uid="{00000000-0005-0000-0000-0000761A0000}"/>
    <cellStyle name="20% - Accent4 4 2 2 2 7" xfId="19052" xr:uid="{00000000-0005-0000-0000-0000771A0000}"/>
    <cellStyle name="20% - Accent4 4 2 2 3" xfId="1733" xr:uid="{00000000-0005-0000-0000-0000781A0000}"/>
    <cellStyle name="20% - Accent4 4 2 2 3 2" xfId="1734" xr:uid="{00000000-0005-0000-0000-0000791A0000}"/>
    <cellStyle name="20% - Accent4 4 2 2 3 2 2" xfId="14899" xr:uid="{00000000-0005-0000-0000-00007A1A0000}"/>
    <cellStyle name="20% - Accent4 4 2 2 3 2 2 2" xfId="28448" xr:uid="{00000000-0005-0000-0000-00007B1A0000}"/>
    <cellStyle name="20% - Accent4 4 2 2 3 2 3" xfId="19058" xr:uid="{00000000-0005-0000-0000-00007C1A0000}"/>
    <cellStyle name="20% - Accent4 4 2 2 3 3" xfId="10785" xr:uid="{00000000-0005-0000-0000-00007D1A0000}"/>
    <cellStyle name="20% - Accent4 4 2 2 3 3 2" xfId="24727" xr:uid="{00000000-0005-0000-0000-00007E1A0000}"/>
    <cellStyle name="20% - Accent4 4 2 2 3 4" xfId="19057" xr:uid="{00000000-0005-0000-0000-00007F1A0000}"/>
    <cellStyle name="20% - Accent4 4 2 2 4" xfId="1735" xr:uid="{00000000-0005-0000-0000-0000801A0000}"/>
    <cellStyle name="20% - Accent4 4 2 2 4 2" xfId="12272" xr:uid="{00000000-0005-0000-0000-0000811A0000}"/>
    <cellStyle name="20% - Accent4 4 2 2 4 2 2" xfId="25984" xr:uid="{00000000-0005-0000-0000-0000821A0000}"/>
    <cellStyle name="20% - Accent4 4 2 2 4 3" xfId="19059" xr:uid="{00000000-0005-0000-0000-0000831A0000}"/>
    <cellStyle name="20% - Accent4 4 2 2 5" xfId="1736" xr:uid="{00000000-0005-0000-0000-0000841A0000}"/>
    <cellStyle name="20% - Accent4 4 2 2 5 2" xfId="12740" xr:uid="{00000000-0005-0000-0000-0000851A0000}"/>
    <cellStyle name="20% - Accent4 4 2 2 5 2 2" xfId="26452" xr:uid="{00000000-0005-0000-0000-0000861A0000}"/>
    <cellStyle name="20% - Accent4 4 2 2 5 3" xfId="19060" xr:uid="{00000000-0005-0000-0000-0000871A0000}"/>
    <cellStyle name="20% - Accent4 4 2 2 6" xfId="1737" xr:uid="{00000000-0005-0000-0000-0000881A0000}"/>
    <cellStyle name="20% - Accent4 4 2 2 6 2" xfId="13836" xr:uid="{00000000-0005-0000-0000-0000891A0000}"/>
    <cellStyle name="20% - Accent4 4 2 2 6 2 2" xfId="27385" xr:uid="{00000000-0005-0000-0000-00008A1A0000}"/>
    <cellStyle name="20% - Accent4 4 2 2 6 3" xfId="19061" xr:uid="{00000000-0005-0000-0000-00008B1A0000}"/>
    <cellStyle name="20% - Accent4 4 2 2 7" xfId="1738" xr:uid="{00000000-0005-0000-0000-00008C1A0000}"/>
    <cellStyle name="20% - Accent4 4 2 2 7 2" xfId="14417" xr:uid="{00000000-0005-0000-0000-00008D1A0000}"/>
    <cellStyle name="20% - Accent4 4 2 2 7 2 2" xfId="27966" xr:uid="{00000000-0005-0000-0000-00008E1A0000}"/>
    <cellStyle name="20% - Accent4 4 2 2 7 3" xfId="19062" xr:uid="{00000000-0005-0000-0000-00008F1A0000}"/>
    <cellStyle name="20% - Accent4 4 2 2 8" xfId="1739" xr:uid="{00000000-0005-0000-0000-0000901A0000}"/>
    <cellStyle name="20% - Accent4 4 2 2 8 2" xfId="14897" xr:uid="{00000000-0005-0000-0000-0000911A0000}"/>
    <cellStyle name="20% - Accent4 4 2 2 8 2 2" xfId="28446" xr:uid="{00000000-0005-0000-0000-0000921A0000}"/>
    <cellStyle name="20% - Accent4 4 2 2 8 3" xfId="19063" xr:uid="{00000000-0005-0000-0000-0000931A0000}"/>
    <cellStyle name="20% - Accent4 4 2 2 9" xfId="1740" xr:uid="{00000000-0005-0000-0000-0000941A0000}"/>
    <cellStyle name="20% - Accent4 4 2 2 9 2" xfId="16303" xr:uid="{00000000-0005-0000-0000-0000951A0000}"/>
    <cellStyle name="20% - Accent4 4 2 2 9 2 2" xfId="29710" xr:uid="{00000000-0005-0000-0000-0000961A0000}"/>
    <cellStyle name="20% - Accent4 4 2 2 9 3" xfId="19064" xr:uid="{00000000-0005-0000-0000-0000971A0000}"/>
    <cellStyle name="20% - Accent4 4 2 3" xfId="1741" xr:uid="{00000000-0005-0000-0000-0000981A0000}"/>
    <cellStyle name="20% - Accent4 4 2 3 2" xfId="1742" xr:uid="{00000000-0005-0000-0000-0000991A0000}"/>
    <cellStyle name="20% - Accent4 4 2 3 2 2" xfId="10787" xr:uid="{00000000-0005-0000-0000-00009A1A0000}"/>
    <cellStyle name="20% - Accent4 4 2 3 2 2 2" xfId="24729" xr:uid="{00000000-0005-0000-0000-00009B1A0000}"/>
    <cellStyle name="20% - Accent4 4 2 3 2 3" xfId="19066" xr:uid="{00000000-0005-0000-0000-00009C1A0000}"/>
    <cellStyle name="20% - Accent4 4 2 3 3" xfId="1743" xr:uid="{00000000-0005-0000-0000-00009D1A0000}"/>
    <cellStyle name="20% - Accent4 4 2 3 3 2" xfId="12624" xr:uid="{00000000-0005-0000-0000-00009E1A0000}"/>
    <cellStyle name="20% - Accent4 4 2 3 3 2 2" xfId="26336" xr:uid="{00000000-0005-0000-0000-00009F1A0000}"/>
    <cellStyle name="20% - Accent4 4 2 3 3 3" xfId="19067" xr:uid="{00000000-0005-0000-0000-0000A01A0000}"/>
    <cellStyle name="20% - Accent4 4 2 3 4" xfId="1744" xr:uid="{00000000-0005-0000-0000-0000A11A0000}"/>
    <cellStyle name="20% - Accent4 4 2 3 4 2" xfId="14900" xr:uid="{00000000-0005-0000-0000-0000A21A0000}"/>
    <cellStyle name="20% - Accent4 4 2 3 4 2 2" xfId="28449" xr:uid="{00000000-0005-0000-0000-0000A31A0000}"/>
    <cellStyle name="20% - Accent4 4 2 3 4 3" xfId="19068" xr:uid="{00000000-0005-0000-0000-0000A41A0000}"/>
    <cellStyle name="20% - Accent4 4 2 3 5" xfId="1745" xr:uid="{00000000-0005-0000-0000-0000A51A0000}"/>
    <cellStyle name="20% - Accent4 4 2 3 5 2" xfId="16595" xr:uid="{00000000-0005-0000-0000-0000A61A0000}"/>
    <cellStyle name="20% - Accent4 4 2 3 5 2 2" xfId="30002" xr:uid="{00000000-0005-0000-0000-0000A71A0000}"/>
    <cellStyle name="20% - Accent4 4 2 3 5 3" xfId="19069" xr:uid="{00000000-0005-0000-0000-0000A81A0000}"/>
    <cellStyle name="20% - Accent4 4 2 3 6" xfId="9062" xr:uid="{00000000-0005-0000-0000-0000A91A0000}"/>
    <cellStyle name="20% - Accent4 4 2 3 6 2" xfId="23537" xr:uid="{00000000-0005-0000-0000-0000AA1A0000}"/>
    <cellStyle name="20% - Accent4 4 2 3 7" xfId="19065" xr:uid="{00000000-0005-0000-0000-0000AB1A0000}"/>
    <cellStyle name="20% - Accent4 4 2 4" xfId="1746" xr:uid="{00000000-0005-0000-0000-0000AC1A0000}"/>
    <cellStyle name="20% - Accent4 4 2 4 2" xfId="1747" xr:uid="{00000000-0005-0000-0000-0000AD1A0000}"/>
    <cellStyle name="20% - Accent4 4 2 4 2 2" xfId="14901" xr:uid="{00000000-0005-0000-0000-0000AE1A0000}"/>
    <cellStyle name="20% - Accent4 4 2 4 2 2 2" xfId="28450" xr:uid="{00000000-0005-0000-0000-0000AF1A0000}"/>
    <cellStyle name="20% - Accent4 4 2 4 2 3" xfId="19071" xr:uid="{00000000-0005-0000-0000-0000B01A0000}"/>
    <cellStyle name="20% - Accent4 4 2 4 3" xfId="10784" xr:uid="{00000000-0005-0000-0000-0000B11A0000}"/>
    <cellStyle name="20% - Accent4 4 2 4 3 2" xfId="24726" xr:uid="{00000000-0005-0000-0000-0000B21A0000}"/>
    <cellStyle name="20% - Accent4 4 2 4 4" xfId="19070" xr:uid="{00000000-0005-0000-0000-0000B31A0000}"/>
    <cellStyle name="20% - Accent4 4 2 5" xfId="1748" xr:uid="{00000000-0005-0000-0000-0000B41A0000}"/>
    <cellStyle name="20% - Accent4 4 2 5 2" xfId="11972" xr:uid="{00000000-0005-0000-0000-0000B51A0000}"/>
    <cellStyle name="20% - Accent4 4 2 5 2 2" xfId="25687" xr:uid="{00000000-0005-0000-0000-0000B61A0000}"/>
    <cellStyle name="20% - Accent4 4 2 5 3" xfId="19072" xr:uid="{00000000-0005-0000-0000-0000B71A0000}"/>
    <cellStyle name="20% - Accent4 4 2 6" xfId="1749" xr:uid="{00000000-0005-0000-0000-0000B81A0000}"/>
    <cellStyle name="20% - Accent4 4 2 6 2" xfId="12496" xr:uid="{00000000-0005-0000-0000-0000B91A0000}"/>
    <cellStyle name="20% - Accent4 4 2 6 2 2" xfId="26208" xr:uid="{00000000-0005-0000-0000-0000BA1A0000}"/>
    <cellStyle name="20% - Accent4 4 2 6 3" xfId="19073" xr:uid="{00000000-0005-0000-0000-0000BB1A0000}"/>
    <cellStyle name="20% - Accent4 4 2 7" xfId="1750" xr:uid="{00000000-0005-0000-0000-0000BC1A0000}"/>
    <cellStyle name="20% - Accent4 4 2 7 2" xfId="13547" xr:uid="{00000000-0005-0000-0000-0000BD1A0000}"/>
    <cellStyle name="20% - Accent4 4 2 7 2 2" xfId="27096" xr:uid="{00000000-0005-0000-0000-0000BE1A0000}"/>
    <cellStyle name="20% - Accent4 4 2 7 3" xfId="19074" xr:uid="{00000000-0005-0000-0000-0000BF1A0000}"/>
    <cellStyle name="20% - Accent4 4 2 8" xfId="1751" xr:uid="{00000000-0005-0000-0000-0000C01A0000}"/>
    <cellStyle name="20% - Accent4 4 2 8 2" xfId="14128" xr:uid="{00000000-0005-0000-0000-0000C11A0000}"/>
    <cellStyle name="20% - Accent4 4 2 8 2 2" xfId="27677" xr:uid="{00000000-0005-0000-0000-0000C21A0000}"/>
    <cellStyle name="20% - Accent4 4 2 8 3" xfId="19075" xr:uid="{00000000-0005-0000-0000-0000C31A0000}"/>
    <cellStyle name="20% - Accent4 4 2 9" xfId="1752" xr:uid="{00000000-0005-0000-0000-0000C41A0000}"/>
    <cellStyle name="20% - Accent4 4 2 9 2" xfId="14896" xr:uid="{00000000-0005-0000-0000-0000C51A0000}"/>
    <cellStyle name="20% - Accent4 4 2 9 2 2" xfId="28445" xr:uid="{00000000-0005-0000-0000-0000C61A0000}"/>
    <cellStyle name="20% - Accent4 4 2 9 3" xfId="19076" xr:uid="{00000000-0005-0000-0000-0000C71A0000}"/>
    <cellStyle name="20% - Accent4 4 3" xfId="1753" xr:uid="{00000000-0005-0000-0000-0000C81A0000}"/>
    <cellStyle name="20% - Accent4 4 3 10" xfId="9063" xr:uid="{00000000-0005-0000-0000-0000C91A0000}"/>
    <cellStyle name="20% - Accent4 4 3 10 2" xfId="23538" xr:uid="{00000000-0005-0000-0000-0000CA1A0000}"/>
    <cellStyle name="20% - Accent4 4 3 11" xfId="19077" xr:uid="{00000000-0005-0000-0000-0000CB1A0000}"/>
    <cellStyle name="20% - Accent4 4 3 2" xfId="1754" xr:uid="{00000000-0005-0000-0000-0000CC1A0000}"/>
    <cellStyle name="20% - Accent4 4 3 2 2" xfId="1755" xr:uid="{00000000-0005-0000-0000-0000CD1A0000}"/>
    <cellStyle name="20% - Accent4 4 3 2 2 2" xfId="10789" xr:uid="{00000000-0005-0000-0000-0000CE1A0000}"/>
    <cellStyle name="20% - Accent4 4 3 2 2 2 2" xfId="24731" xr:uid="{00000000-0005-0000-0000-0000CF1A0000}"/>
    <cellStyle name="20% - Accent4 4 3 2 2 3" xfId="19079" xr:uid="{00000000-0005-0000-0000-0000D01A0000}"/>
    <cellStyle name="20% - Accent4 4 3 2 3" xfId="1756" xr:uid="{00000000-0005-0000-0000-0000D11A0000}"/>
    <cellStyle name="20% - Accent4 4 3 2 3 2" xfId="12598" xr:uid="{00000000-0005-0000-0000-0000D21A0000}"/>
    <cellStyle name="20% - Accent4 4 3 2 3 2 2" xfId="26310" xr:uid="{00000000-0005-0000-0000-0000D31A0000}"/>
    <cellStyle name="20% - Accent4 4 3 2 3 3" xfId="19080" xr:uid="{00000000-0005-0000-0000-0000D41A0000}"/>
    <cellStyle name="20% - Accent4 4 3 2 4" xfId="1757" xr:uid="{00000000-0005-0000-0000-0000D51A0000}"/>
    <cellStyle name="20% - Accent4 4 3 2 4 2" xfId="14903" xr:uid="{00000000-0005-0000-0000-0000D61A0000}"/>
    <cellStyle name="20% - Accent4 4 3 2 4 2 2" xfId="28452" xr:uid="{00000000-0005-0000-0000-0000D71A0000}"/>
    <cellStyle name="20% - Accent4 4 3 2 4 3" xfId="19081" xr:uid="{00000000-0005-0000-0000-0000D81A0000}"/>
    <cellStyle name="20% - Accent4 4 3 2 5" xfId="1758" xr:uid="{00000000-0005-0000-0000-0000D91A0000}"/>
    <cellStyle name="20% - Accent4 4 3 2 5 2" xfId="16744" xr:uid="{00000000-0005-0000-0000-0000DA1A0000}"/>
    <cellStyle name="20% - Accent4 4 3 2 5 2 2" xfId="30151" xr:uid="{00000000-0005-0000-0000-0000DB1A0000}"/>
    <cellStyle name="20% - Accent4 4 3 2 5 3" xfId="19082" xr:uid="{00000000-0005-0000-0000-0000DC1A0000}"/>
    <cellStyle name="20% - Accent4 4 3 2 6" xfId="9064" xr:uid="{00000000-0005-0000-0000-0000DD1A0000}"/>
    <cellStyle name="20% - Accent4 4 3 2 6 2" xfId="23539" xr:uid="{00000000-0005-0000-0000-0000DE1A0000}"/>
    <cellStyle name="20% - Accent4 4 3 2 7" xfId="19078" xr:uid="{00000000-0005-0000-0000-0000DF1A0000}"/>
    <cellStyle name="20% - Accent4 4 3 3" xfId="1759" xr:uid="{00000000-0005-0000-0000-0000E01A0000}"/>
    <cellStyle name="20% - Accent4 4 3 3 2" xfId="1760" xr:uid="{00000000-0005-0000-0000-0000E11A0000}"/>
    <cellStyle name="20% - Accent4 4 3 3 2 2" xfId="14904" xr:uid="{00000000-0005-0000-0000-0000E21A0000}"/>
    <cellStyle name="20% - Accent4 4 3 3 2 2 2" xfId="28453" xr:uid="{00000000-0005-0000-0000-0000E31A0000}"/>
    <cellStyle name="20% - Accent4 4 3 3 2 3" xfId="19084" xr:uid="{00000000-0005-0000-0000-0000E41A0000}"/>
    <cellStyle name="20% - Accent4 4 3 3 3" xfId="10788" xr:uid="{00000000-0005-0000-0000-0000E51A0000}"/>
    <cellStyle name="20% - Accent4 4 3 3 3 2" xfId="24730" xr:uid="{00000000-0005-0000-0000-0000E61A0000}"/>
    <cellStyle name="20% - Accent4 4 3 3 4" xfId="19083" xr:uid="{00000000-0005-0000-0000-0000E71A0000}"/>
    <cellStyle name="20% - Accent4 4 3 4" xfId="1761" xr:uid="{00000000-0005-0000-0000-0000E81A0000}"/>
    <cellStyle name="20% - Accent4 4 3 4 2" xfId="12132" xr:uid="{00000000-0005-0000-0000-0000E91A0000}"/>
    <cellStyle name="20% - Accent4 4 3 4 2 2" xfId="25844" xr:uid="{00000000-0005-0000-0000-0000EA1A0000}"/>
    <cellStyle name="20% - Accent4 4 3 4 3" xfId="19085" xr:uid="{00000000-0005-0000-0000-0000EB1A0000}"/>
    <cellStyle name="20% - Accent4 4 3 5" xfId="1762" xr:uid="{00000000-0005-0000-0000-0000EC1A0000}"/>
    <cellStyle name="20% - Accent4 4 3 5 2" xfId="12625" xr:uid="{00000000-0005-0000-0000-0000ED1A0000}"/>
    <cellStyle name="20% - Accent4 4 3 5 2 2" xfId="26337" xr:uid="{00000000-0005-0000-0000-0000EE1A0000}"/>
    <cellStyle name="20% - Accent4 4 3 5 3" xfId="19086" xr:uid="{00000000-0005-0000-0000-0000EF1A0000}"/>
    <cellStyle name="20% - Accent4 4 3 6" xfId="1763" xr:uid="{00000000-0005-0000-0000-0000F01A0000}"/>
    <cellStyle name="20% - Accent4 4 3 6 2" xfId="13696" xr:uid="{00000000-0005-0000-0000-0000F11A0000}"/>
    <cellStyle name="20% - Accent4 4 3 6 2 2" xfId="27245" xr:uid="{00000000-0005-0000-0000-0000F21A0000}"/>
    <cellStyle name="20% - Accent4 4 3 6 3" xfId="19087" xr:uid="{00000000-0005-0000-0000-0000F31A0000}"/>
    <cellStyle name="20% - Accent4 4 3 7" xfId="1764" xr:uid="{00000000-0005-0000-0000-0000F41A0000}"/>
    <cellStyle name="20% - Accent4 4 3 7 2" xfId="14277" xr:uid="{00000000-0005-0000-0000-0000F51A0000}"/>
    <cellStyle name="20% - Accent4 4 3 7 2 2" xfId="27826" xr:uid="{00000000-0005-0000-0000-0000F61A0000}"/>
    <cellStyle name="20% - Accent4 4 3 7 3" xfId="19088" xr:uid="{00000000-0005-0000-0000-0000F71A0000}"/>
    <cellStyle name="20% - Accent4 4 3 8" xfId="1765" xr:uid="{00000000-0005-0000-0000-0000F81A0000}"/>
    <cellStyle name="20% - Accent4 4 3 8 2" xfId="14902" xr:uid="{00000000-0005-0000-0000-0000F91A0000}"/>
    <cellStyle name="20% - Accent4 4 3 8 2 2" xfId="28451" xr:uid="{00000000-0005-0000-0000-0000FA1A0000}"/>
    <cellStyle name="20% - Accent4 4 3 8 3" xfId="19089" xr:uid="{00000000-0005-0000-0000-0000FB1A0000}"/>
    <cellStyle name="20% - Accent4 4 3 9" xfId="1766" xr:uid="{00000000-0005-0000-0000-0000FC1A0000}"/>
    <cellStyle name="20% - Accent4 4 3 9 2" xfId="16163" xr:uid="{00000000-0005-0000-0000-0000FD1A0000}"/>
    <cellStyle name="20% - Accent4 4 3 9 2 2" xfId="29570" xr:uid="{00000000-0005-0000-0000-0000FE1A0000}"/>
    <cellStyle name="20% - Accent4 4 3 9 3" xfId="19090" xr:uid="{00000000-0005-0000-0000-0000FF1A0000}"/>
    <cellStyle name="20% - Accent4 4 4" xfId="1767" xr:uid="{00000000-0005-0000-0000-0000001B0000}"/>
    <cellStyle name="20% - Accent4 4 4 2" xfId="1768" xr:uid="{00000000-0005-0000-0000-0000011B0000}"/>
    <cellStyle name="20% - Accent4 4 4 2 2" xfId="10790" xr:uid="{00000000-0005-0000-0000-0000021B0000}"/>
    <cellStyle name="20% - Accent4 4 4 2 2 2" xfId="24732" xr:uid="{00000000-0005-0000-0000-0000031B0000}"/>
    <cellStyle name="20% - Accent4 4 4 2 3" xfId="19092" xr:uid="{00000000-0005-0000-0000-0000041B0000}"/>
    <cellStyle name="20% - Accent4 4 4 3" xfId="1769" xr:uid="{00000000-0005-0000-0000-0000051B0000}"/>
    <cellStyle name="20% - Accent4 4 4 3 2" xfId="12414" xr:uid="{00000000-0005-0000-0000-0000061B0000}"/>
    <cellStyle name="20% - Accent4 4 4 3 2 2" xfId="26126" xr:uid="{00000000-0005-0000-0000-0000071B0000}"/>
    <cellStyle name="20% - Accent4 4 4 3 3" xfId="19093" xr:uid="{00000000-0005-0000-0000-0000081B0000}"/>
    <cellStyle name="20% - Accent4 4 4 4" xfId="1770" xr:uid="{00000000-0005-0000-0000-0000091B0000}"/>
    <cellStyle name="20% - Accent4 4 4 4 2" xfId="14905" xr:uid="{00000000-0005-0000-0000-00000A1B0000}"/>
    <cellStyle name="20% - Accent4 4 4 4 2 2" xfId="28454" xr:uid="{00000000-0005-0000-0000-00000B1B0000}"/>
    <cellStyle name="20% - Accent4 4 4 4 3" xfId="19094" xr:uid="{00000000-0005-0000-0000-00000C1B0000}"/>
    <cellStyle name="20% - Accent4 4 4 5" xfId="1771" xr:uid="{00000000-0005-0000-0000-00000D1B0000}"/>
    <cellStyle name="20% - Accent4 4 4 5 2" xfId="16452" xr:uid="{00000000-0005-0000-0000-00000E1B0000}"/>
    <cellStyle name="20% - Accent4 4 4 5 2 2" xfId="29859" xr:uid="{00000000-0005-0000-0000-00000F1B0000}"/>
    <cellStyle name="20% - Accent4 4 4 5 3" xfId="19095" xr:uid="{00000000-0005-0000-0000-0000101B0000}"/>
    <cellStyle name="20% - Accent4 4 4 6" xfId="9065" xr:uid="{00000000-0005-0000-0000-0000111B0000}"/>
    <cellStyle name="20% - Accent4 4 4 6 2" xfId="23540" xr:uid="{00000000-0005-0000-0000-0000121B0000}"/>
    <cellStyle name="20% - Accent4 4 4 7" xfId="19091" xr:uid="{00000000-0005-0000-0000-0000131B0000}"/>
    <cellStyle name="20% - Accent4 4 5" xfId="1772" xr:uid="{00000000-0005-0000-0000-0000141B0000}"/>
    <cellStyle name="20% - Accent4 4 5 2" xfId="1773" xr:uid="{00000000-0005-0000-0000-0000151B0000}"/>
    <cellStyle name="20% - Accent4 4 5 2 2" xfId="14906" xr:uid="{00000000-0005-0000-0000-0000161B0000}"/>
    <cellStyle name="20% - Accent4 4 5 2 2 2" xfId="28455" xr:uid="{00000000-0005-0000-0000-0000171B0000}"/>
    <cellStyle name="20% - Accent4 4 5 2 3" xfId="19097" xr:uid="{00000000-0005-0000-0000-0000181B0000}"/>
    <cellStyle name="20% - Accent4 4 5 3" xfId="10783" xr:uid="{00000000-0005-0000-0000-0000191B0000}"/>
    <cellStyle name="20% - Accent4 4 5 3 2" xfId="24725" xr:uid="{00000000-0005-0000-0000-00001A1B0000}"/>
    <cellStyle name="20% - Accent4 4 5 4" xfId="19096" xr:uid="{00000000-0005-0000-0000-00001B1B0000}"/>
    <cellStyle name="20% - Accent4 4 6" xfId="1774" xr:uid="{00000000-0005-0000-0000-00001C1B0000}"/>
    <cellStyle name="20% - Accent4 4 6 2" xfId="11803" xr:uid="{00000000-0005-0000-0000-00001D1B0000}"/>
    <cellStyle name="20% - Accent4 4 6 2 2" xfId="25518" xr:uid="{00000000-0005-0000-0000-00001E1B0000}"/>
    <cellStyle name="20% - Accent4 4 6 3" xfId="19098" xr:uid="{00000000-0005-0000-0000-00001F1B0000}"/>
    <cellStyle name="20% - Accent4 4 7" xfId="1775" xr:uid="{00000000-0005-0000-0000-0000201B0000}"/>
    <cellStyle name="20% - Accent4 4 7 2" xfId="11847" xr:uid="{00000000-0005-0000-0000-0000211B0000}"/>
    <cellStyle name="20% - Accent4 4 7 2 2" xfId="25562" xr:uid="{00000000-0005-0000-0000-0000221B0000}"/>
    <cellStyle name="20% - Accent4 4 7 3" xfId="19099" xr:uid="{00000000-0005-0000-0000-0000231B0000}"/>
    <cellStyle name="20% - Accent4 4 8" xfId="1776" xr:uid="{00000000-0005-0000-0000-0000241B0000}"/>
    <cellStyle name="20% - Accent4 4 8 2" xfId="13404" xr:uid="{00000000-0005-0000-0000-0000251B0000}"/>
    <cellStyle name="20% - Accent4 4 8 2 2" xfId="26953" xr:uid="{00000000-0005-0000-0000-0000261B0000}"/>
    <cellStyle name="20% - Accent4 4 8 3" xfId="19100" xr:uid="{00000000-0005-0000-0000-0000271B0000}"/>
    <cellStyle name="20% - Accent4 4 9" xfId="1777" xr:uid="{00000000-0005-0000-0000-0000281B0000}"/>
    <cellStyle name="20% - Accent4 4 9 2" xfId="13985" xr:uid="{00000000-0005-0000-0000-0000291B0000}"/>
    <cellStyle name="20% - Accent4 4 9 2 2" xfId="27534" xr:uid="{00000000-0005-0000-0000-00002A1B0000}"/>
    <cellStyle name="20% - Accent4 4 9 3" xfId="19101" xr:uid="{00000000-0005-0000-0000-00002B1B0000}"/>
    <cellStyle name="20% - Accent4 5" xfId="1778" xr:uid="{00000000-0005-0000-0000-00002C1B0000}"/>
    <cellStyle name="20% - Accent4 5 10" xfId="1779" xr:uid="{00000000-0005-0000-0000-00002D1B0000}"/>
    <cellStyle name="20% - Accent4 5 10 2" xfId="14907" xr:uid="{00000000-0005-0000-0000-00002E1B0000}"/>
    <cellStyle name="20% - Accent4 5 10 2 2" xfId="28456" xr:uid="{00000000-0005-0000-0000-00002F1B0000}"/>
    <cellStyle name="20% - Accent4 5 10 3" xfId="19103" xr:uid="{00000000-0005-0000-0000-0000301B0000}"/>
    <cellStyle name="20% - Accent4 5 11" xfId="1780" xr:uid="{00000000-0005-0000-0000-0000311B0000}"/>
    <cellStyle name="20% - Accent4 5 11 2" xfId="15854" xr:uid="{00000000-0005-0000-0000-0000321B0000}"/>
    <cellStyle name="20% - Accent4 5 11 2 2" xfId="29261" xr:uid="{00000000-0005-0000-0000-0000331B0000}"/>
    <cellStyle name="20% - Accent4 5 11 3" xfId="19104" xr:uid="{00000000-0005-0000-0000-0000341B0000}"/>
    <cellStyle name="20% - Accent4 5 12" xfId="9066" xr:uid="{00000000-0005-0000-0000-0000351B0000}"/>
    <cellStyle name="20% - Accent4 5 12 2" xfId="23541" xr:uid="{00000000-0005-0000-0000-0000361B0000}"/>
    <cellStyle name="20% - Accent4 5 13" xfId="19102" xr:uid="{00000000-0005-0000-0000-0000371B0000}"/>
    <cellStyle name="20% - Accent4 5 2" xfId="1781" xr:uid="{00000000-0005-0000-0000-0000381B0000}"/>
    <cellStyle name="20% - Accent4 5 2 10" xfId="1782" xr:uid="{00000000-0005-0000-0000-0000391B0000}"/>
    <cellStyle name="20% - Accent4 5 2 10 2" xfId="15997" xr:uid="{00000000-0005-0000-0000-00003A1B0000}"/>
    <cellStyle name="20% - Accent4 5 2 10 2 2" xfId="29404" xr:uid="{00000000-0005-0000-0000-00003B1B0000}"/>
    <cellStyle name="20% - Accent4 5 2 10 3" xfId="19106" xr:uid="{00000000-0005-0000-0000-00003C1B0000}"/>
    <cellStyle name="20% - Accent4 5 2 11" xfId="9067" xr:uid="{00000000-0005-0000-0000-00003D1B0000}"/>
    <cellStyle name="20% - Accent4 5 2 11 2" xfId="23542" xr:uid="{00000000-0005-0000-0000-00003E1B0000}"/>
    <cellStyle name="20% - Accent4 5 2 12" xfId="19105" xr:uid="{00000000-0005-0000-0000-00003F1B0000}"/>
    <cellStyle name="20% - Accent4 5 2 2" xfId="1783" xr:uid="{00000000-0005-0000-0000-0000401B0000}"/>
    <cellStyle name="20% - Accent4 5 2 2 10" xfId="9068" xr:uid="{00000000-0005-0000-0000-0000411B0000}"/>
    <cellStyle name="20% - Accent4 5 2 2 10 2" xfId="23543" xr:uid="{00000000-0005-0000-0000-0000421B0000}"/>
    <cellStyle name="20% - Accent4 5 2 2 11" xfId="19107" xr:uid="{00000000-0005-0000-0000-0000431B0000}"/>
    <cellStyle name="20% - Accent4 5 2 2 2" xfId="1784" xr:uid="{00000000-0005-0000-0000-0000441B0000}"/>
    <cellStyle name="20% - Accent4 5 2 2 2 2" xfId="1785" xr:uid="{00000000-0005-0000-0000-0000451B0000}"/>
    <cellStyle name="20% - Accent4 5 2 2 2 2 2" xfId="10794" xr:uid="{00000000-0005-0000-0000-0000461B0000}"/>
    <cellStyle name="20% - Accent4 5 2 2 2 2 2 2" xfId="24736" xr:uid="{00000000-0005-0000-0000-0000471B0000}"/>
    <cellStyle name="20% - Accent4 5 2 2 2 2 3" xfId="19109" xr:uid="{00000000-0005-0000-0000-0000481B0000}"/>
    <cellStyle name="20% - Accent4 5 2 2 2 3" xfId="1786" xr:uid="{00000000-0005-0000-0000-0000491B0000}"/>
    <cellStyle name="20% - Accent4 5 2 2 2 3 2" xfId="12727" xr:uid="{00000000-0005-0000-0000-00004A1B0000}"/>
    <cellStyle name="20% - Accent4 5 2 2 2 3 2 2" xfId="26439" xr:uid="{00000000-0005-0000-0000-00004B1B0000}"/>
    <cellStyle name="20% - Accent4 5 2 2 2 3 3" xfId="19110" xr:uid="{00000000-0005-0000-0000-00004C1B0000}"/>
    <cellStyle name="20% - Accent4 5 2 2 2 4" xfId="1787" xr:uid="{00000000-0005-0000-0000-00004D1B0000}"/>
    <cellStyle name="20% - Accent4 5 2 2 2 4 2" xfId="14910" xr:uid="{00000000-0005-0000-0000-00004E1B0000}"/>
    <cellStyle name="20% - Accent4 5 2 2 2 4 2 2" xfId="28459" xr:uid="{00000000-0005-0000-0000-00004F1B0000}"/>
    <cellStyle name="20% - Accent4 5 2 2 2 4 3" xfId="19111" xr:uid="{00000000-0005-0000-0000-0000501B0000}"/>
    <cellStyle name="20% - Accent4 5 2 2 2 5" xfId="1788" xr:uid="{00000000-0005-0000-0000-0000511B0000}"/>
    <cellStyle name="20% - Accent4 5 2 2 2 5 2" xfId="16867" xr:uid="{00000000-0005-0000-0000-0000521B0000}"/>
    <cellStyle name="20% - Accent4 5 2 2 2 5 2 2" xfId="30274" xr:uid="{00000000-0005-0000-0000-0000531B0000}"/>
    <cellStyle name="20% - Accent4 5 2 2 2 5 3" xfId="19112" xr:uid="{00000000-0005-0000-0000-0000541B0000}"/>
    <cellStyle name="20% - Accent4 5 2 2 2 6" xfId="9069" xr:uid="{00000000-0005-0000-0000-0000551B0000}"/>
    <cellStyle name="20% - Accent4 5 2 2 2 6 2" xfId="23544" xr:uid="{00000000-0005-0000-0000-0000561B0000}"/>
    <cellStyle name="20% - Accent4 5 2 2 2 7" xfId="19108" xr:uid="{00000000-0005-0000-0000-0000571B0000}"/>
    <cellStyle name="20% - Accent4 5 2 2 3" xfId="1789" xr:uid="{00000000-0005-0000-0000-0000581B0000}"/>
    <cellStyle name="20% - Accent4 5 2 2 3 2" xfId="1790" xr:uid="{00000000-0005-0000-0000-0000591B0000}"/>
    <cellStyle name="20% - Accent4 5 2 2 3 2 2" xfId="14911" xr:uid="{00000000-0005-0000-0000-00005A1B0000}"/>
    <cellStyle name="20% - Accent4 5 2 2 3 2 2 2" xfId="28460" xr:uid="{00000000-0005-0000-0000-00005B1B0000}"/>
    <cellStyle name="20% - Accent4 5 2 2 3 2 3" xfId="19114" xr:uid="{00000000-0005-0000-0000-00005C1B0000}"/>
    <cellStyle name="20% - Accent4 5 2 2 3 3" xfId="10793" xr:uid="{00000000-0005-0000-0000-00005D1B0000}"/>
    <cellStyle name="20% - Accent4 5 2 2 3 3 2" xfId="24735" xr:uid="{00000000-0005-0000-0000-00005E1B0000}"/>
    <cellStyle name="20% - Accent4 5 2 2 3 4" xfId="19113" xr:uid="{00000000-0005-0000-0000-00005F1B0000}"/>
    <cellStyle name="20% - Accent4 5 2 2 4" xfId="1791" xr:uid="{00000000-0005-0000-0000-0000601B0000}"/>
    <cellStyle name="20% - Accent4 5 2 2 4 2" xfId="12255" xr:uid="{00000000-0005-0000-0000-0000611B0000}"/>
    <cellStyle name="20% - Accent4 5 2 2 4 2 2" xfId="25967" xr:uid="{00000000-0005-0000-0000-0000621B0000}"/>
    <cellStyle name="20% - Accent4 5 2 2 4 3" xfId="19115" xr:uid="{00000000-0005-0000-0000-0000631B0000}"/>
    <cellStyle name="20% - Accent4 5 2 2 5" xfId="1792" xr:uid="{00000000-0005-0000-0000-0000641B0000}"/>
    <cellStyle name="20% - Accent4 5 2 2 5 2" xfId="12759" xr:uid="{00000000-0005-0000-0000-0000651B0000}"/>
    <cellStyle name="20% - Accent4 5 2 2 5 2 2" xfId="26471" xr:uid="{00000000-0005-0000-0000-0000661B0000}"/>
    <cellStyle name="20% - Accent4 5 2 2 5 3" xfId="19116" xr:uid="{00000000-0005-0000-0000-0000671B0000}"/>
    <cellStyle name="20% - Accent4 5 2 2 6" xfId="1793" xr:uid="{00000000-0005-0000-0000-0000681B0000}"/>
    <cellStyle name="20% - Accent4 5 2 2 6 2" xfId="13819" xr:uid="{00000000-0005-0000-0000-0000691B0000}"/>
    <cellStyle name="20% - Accent4 5 2 2 6 2 2" xfId="27368" xr:uid="{00000000-0005-0000-0000-00006A1B0000}"/>
    <cellStyle name="20% - Accent4 5 2 2 6 3" xfId="19117" xr:uid="{00000000-0005-0000-0000-00006B1B0000}"/>
    <cellStyle name="20% - Accent4 5 2 2 7" xfId="1794" xr:uid="{00000000-0005-0000-0000-00006C1B0000}"/>
    <cellStyle name="20% - Accent4 5 2 2 7 2" xfId="14400" xr:uid="{00000000-0005-0000-0000-00006D1B0000}"/>
    <cellStyle name="20% - Accent4 5 2 2 7 2 2" xfId="27949" xr:uid="{00000000-0005-0000-0000-00006E1B0000}"/>
    <cellStyle name="20% - Accent4 5 2 2 7 3" xfId="19118" xr:uid="{00000000-0005-0000-0000-00006F1B0000}"/>
    <cellStyle name="20% - Accent4 5 2 2 8" xfId="1795" xr:uid="{00000000-0005-0000-0000-0000701B0000}"/>
    <cellStyle name="20% - Accent4 5 2 2 8 2" xfId="14909" xr:uid="{00000000-0005-0000-0000-0000711B0000}"/>
    <cellStyle name="20% - Accent4 5 2 2 8 2 2" xfId="28458" xr:uid="{00000000-0005-0000-0000-0000721B0000}"/>
    <cellStyle name="20% - Accent4 5 2 2 8 3" xfId="19119" xr:uid="{00000000-0005-0000-0000-0000731B0000}"/>
    <cellStyle name="20% - Accent4 5 2 2 9" xfId="1796" xr:uid="{00000000-0005-0000-0000-0000741B0000}"/>
    <cellStyle name="20% - Accent4 5 2 2 9 2" xfId="16286" xr:uid="{00000000-0005-0000-0000-0000751B0000}"/>
    <cellStyle name="20% - Accent4 5 2 2 9 2 2" xfId="29693" xr:uid="{00000000-0005-0000-0000-0000761B0000}"/>
    <cellStyle name="20% - Accent4 5 2 2 9 3" xfId="19120" xr:uid="{00000000-0005-0000-0000-0000771B0000}"/>
    <cellStyle name="20% - Accent4 5 2 3" xfId="1797" xr:uid="{00000000-0005-0000-0000-0000781B0000}"/>
    <cellStyle name="20% - Accent4 5 2 3 2" xfId="1798" xr:uid="{00000000-0005-0000-0000-0000791B0000}"/>
    <cellStyle name="20% - Accent4 5 2 3 2 2" xfId="10795" xr:uid="{00000000-0005-0000-0000-00007A1B0000}"/>
    <cellStyle name="20% - Accent4 5 2 3 2 2 2" xfId="24737" xr:uid="{00000000-0005-0000-0000-00007B1B0000}"/>
    <cellStyle name="20% - Accent4 5 2 3 2 3" xfId="19122" xr:uid="{00000000-0005-0000-0000-00007C1B0000}"/>
    <cellStyle name="20% - Accent4 5 2 3 3" xfId="1799" xr:uid="{00000000-0005-0000-0000-00007D1B0000}"/>
    <cellStyle name="20% - Accent4 5 2 3 3 2" xfId="12518" xr:uid="{00000000-0005-0000-0000-00007E1B0000}"/>
    <cellStyle name="20% - Accent4 5 2 3 3 2 2" xfId="26230" xr:uid="{00000000-0005-0000-0000-00007F1B0000}"/>
    <cellStyle name="20% - Accent4 5 2 3 3 3" xfId="19123" xr:uid="{00000000-0005-0000-0000-0000801B0000}"/>
    <cellStyle name="20% - Accent4 5 2 3 4" xfId="1800" xr:uid="{00000000-0005-0000-0000-0000811B0000}"/>
    <cellStyle name="20% - Accent4 5 2 3 4 2" xfId="14912" xr:uid="{00000000-0005-0000-0000-0000821B0000}"/>
    <cellStyle name="20% - Accent4 5 2 3 4 2 2" xfId="28461" xr:uid="{00000000-0005-0000-0000-0000831B0000}"/>
    <cellStyle name="20% - Accent4 5 2 3 4 3" xfId="19124" xr:uid="{00000000-0005-0000-0000-0000841B0000}"/>
    <cellStyle name="20% - Accent4 5 2 3 5" xfId="1801" xr:uid="{00000000-0005-0000-0000-0000851B0000}"/>
    <cellStyle name="20% - Accent4 5 2 3 5 2" xfId="16578" xr:uid="{00000000-0005-0000-0000-0000861B0000}"/>
    <cellStyle name="20% - Accent4 5 2 3 5 2 2" xfId="29985" xr:uid="{00000000-0005-0000-0000-0000871B0000}"/>
    <cellStyle name="20% - Accent4 5 2 3 5 3" xfId="19125" xr:uid="{00000000-0005-0000-0000-0000881B0000}"/>
    <cellStyle name="20% - Accent4 5 2 3 6" xfId="9070" xr:uid="{00000000-0005-0000-0000-0000891B0000}"/>
    <cellStyle name="20% - Accent4 5 2 3 6 2" xfId="23545" xr:uid="{00000000-0005-0000-0000-00008A1B0000}"/>
    <cellStyle name="20% - Accent4 5 2 3 7" xfId="19121" xr:uid="{00000000-0005-0000-0000-00008B1B0000}"/>
    <cellStyle name="20% - Accent4 5 2 4" xfId="1802" xr:uid="{00000000-0005-0000-0000-00008C1B0000}"/>
    <cellStyle name="20% - Accent4 5 2 4 2" xfId="1803" xr:uid="{00000000-0005-0000-0000-00008D1B0000}"/>
    <cellStyle name="20% - Accent4 5 2 4 2 2" xfId="14913" xr:uid="{00000000-0005-0000-0000-00008E1B0000}"/>
    <cellStyle name="20% - Accent4 5 2 4 2 2 2" xfId="28462" xr:uid="{00000000-0005-0000-0000-00008F1B0000}"/>
    <cellStyle name="20% - Accent4 5 2 4 2 3" xfId="19127" xr:uid="{00000000-0005-0000-0000-0000901B0000}"/>
    <cellStyle name="20% - Accent4 5 2 4 3" xfId="10792" xr:uid="{00000000-0005-0000-0000-0000911B0000}"/>
    <cellStyle name="20% - Accent4 5 2 4 3 2" xfId="24734" xr:uid="{00000000-0005-0000-0000-0000921B0000}"/>
    <cellStyle name="20% - Accent4 5 2 4 4" xfId="19126" xr:uid="{00000000-0005-0000-0000-0000931B0000}"/>
    <cellStyle name="20% - Accent4 5 2 5" xfId="1804" xr:uid="{00000000-0005-0000-0000-0000941B0000}"/>
    <cellStyle name="20% - Accent4 5 2 5 2" xfId="11955" xr:uid="{00000000-0005-0000-0000-0000951B0000}"/>
    <cellStyle name="20% - Accent4 5 2 5 2 2" xfId="25670" xr:uid="{00000000-0005-0000-0000-0000961B0000}"/>
    <cellStyle name="20% - Accent4 5 2 5 3" xfId="19128" xr:uid="{00000000-0005-0000-0000-0000971B0000}"/>
    <cellStyle name="20% - Accent4 5 2 6" xfId="1805" xr:uid="{00000000-0005-0000-0000-0000981B0000}"/>
    <cellStyle name="20% - Accent4 5 2 6 2" xfId="12704" xr:uid="{00000000-0005-0000-0000-0000991B0000}"/>
    <cellStyle name="20% - Accent4 5 2 6 2 2" xfId="26416" xr:uid="{00000000-0005-0000-0000-00009A1B0000}"/>
    <cellStyle name="20% - Accent4 5 2 6 3" xfId="19129" xr:uid="{00000000-0005-0000-0000-00009B1B0000}"/>
    <cellStyle name="20% - Accent4 5 2 7" xfId="1806" xr:uid="{00000000-0005-0000-0000-00009C1B0000}"/>
    <cellStyle name="20% - Accent4 5 2 7 2" xfId="13530" xr:uid="{00000000-0005-0000-0000-00009D1B0000}"/>
    <cellStyle name="20% - Accent4 5 2 7 2 2" xfId="27079" xr:uid="{00000000-0005-0000-0000-00009E1B0000}"/>
    <cellStyle name="20% - Accent4 5 2 7 3" xfId="19130" xr:uid="{00000000-0005-0000-0000-00009F1B0000}"/>
    <cellStyle name="20% - Accent4 5 2 8" xfId="1807" xr:uid="{00000000-0005-0000-0000-0000A01B0000}"/>
    <cellStyle name="20% - Accent4 5 2 8 2" xfId="14111" xr:uid="{00000000-0005-0000-0000-0000A11B0000}"/>
    <cellStyle name="20% - Accent4 5 2 8 2 2" xfId="27660" xr:uid="{00000000-0005-0000-0000-0000A21B0000}"/>
    <cellStyle name="20% - Accent4 5 2 8 3" xfId="19131" xr:uid="{00000000-0005-0000-0000-0000A31B0000}"/>
    <cellStyle name="20% - Accent4 5 2 9" xfId="1808" xr:uid="{00000000-0005-0000-0000-0000A41B0000}"/>
    <cellStyle name="20% - Accent4 5 2 9 2" xfId="14908" xr:uid="{00000000-0005-0000-0000-0000A51B0000}"/>
    <cellStyle name="20% - Accent4 5 2 9 2 2" xfId="28457" xr:uid="{00000000-0005-0000-0000-0000A61B0000}"/>
    <cellStyle name="20% - Accent4 5 2 9 3" xfId="19132" xr:uid="{00000000-0005-0000-0000-0000A71B0000}"/>
    <cellStyle name="20% - Accent4 5 3" xfId="1809" xr:uid="{00000000-0005-0000-0000-0000A81B0000}"/>
    <cellStyle name="20% - Accent4 5 3 10" xfId="9071" xr:uid="{00000000-0005-0000-0000-0000A91B0000}"/>
    <cellStyle name="20% - Accent4 5 3 10 2" xfId="23546" xr:uid="{00000000-0005-0000-0000-0000AA1B0000}"/>
    <cellStyle name="20% - Accent4 5 3 11" xfId="19133" xr:uid="{00000000-0005-0000-0000-0000AB1B0000}"/>
    <cellStyle name="20% - Accent4 5 3 2" xfId="1810" xr:uid="{00000000-0005-0000-0000-0000AC1B0000}"/>
    <cellStyle name="20% - Accent4 5 3 2 2" xfId="1811" xr:uid="{00000000-0005-0000-0000-0000AD1B0000}"/>
    <cellStyle name="20% - Accent4 5 3 2 2 2" xfId="10797" xr:uid="{00000000-0005-0000-0000-0000AE1B0000}"/>
    <cellStyle name="20% - Accent4 5 3 2 2 2 2" xfId="24739" xr:uid="{00000000-0005-0000-0000-0000AF1B0000}"/>
    <cellStyle name="20% - Accent4 5 3 2 2 3" xfId="19135" xr:uid="{00000000-0005-0000-0000-0000B01B0000}"/>
    <cellStyle name="20% - Accent4 5 3 2 3" xfId="1812" xr:uid="{00000000-0005-0000-0000-0000B11B0000}"/>
    <cellStyle name="20% - Accent4 5 3 2 3 2" xfId="12525" xr:uid="{00000000-0005-0000-0000-0000B21B0000}"/>
    <cellStyle name="20% - Accent4 5 3 2 3 2 2" xfId="26237" xr:uid="{00000000-0005-0000-0000-0000B31B0000}"/>
    <cellStyle name="20% - Accent4 5 3 2 3 3" xfId="19136" xr:uid="{00000000-0005-0000-0000-0000B41B0000}"/>
    <cellStyle name="20% - Accent4 5 3 2 4" xfId="1813" xr:uid="{00000000-0005-0000-0000-0000B51B0000}"/>
    <cellStyle name="20% - Accent4 5 3 2 4 2" xfId="14915" xr:uid="{00000000-0005-0000-0000-0000B61B0000}"/>
    <cellStyle name="20% - Accent4 5 3 2 4 2 2" xfId="28464" xr:uid="{00000000-0005-0000-0000-0000B71B0000}"/>
    <cellStyle name="20% - Accent4 5 3 2 4 3" xfId="19137" xr:uid="{00000000-0005-0000-0000-0000B81B0000}"/>
    <cellStyle name="20% - Accent4 5 3 2 5" xfId="1814" xr:uid="{00000000-0005-0000-0000-0000B91B0000}"/>
    <cellStyle name="20% - Accent4 5 3 2 5 2" xfId="16727" xr:uid="{00000000-0005-0000-0000-0000BA1B0000}"/>
    <cellStyle name="20% - Accent4 5 3 2 5 2 2" xfId="30134" xr:uid="{00000000-0005-0000-0000-0000BB1B0000}"/>
    <cellStyle name="20% - Accent4 5 3 2 5 3" xfId="19138" xr:uid="{00000000-0005-0000-0000-0000BC1B0000}"/>
    <cellStyle name="20% - Accent4 5 3 2 6" xfId="9072" xr:uid="{00000000-0005-0000-0000-0000BD1B0000}"/>
    <cellStyle name="20% - Accent4 5 3 2 6 2" xfId="23547" xr:uid="{00000000-0005-0000-0000-0000BE1B0000}"/>
    <cellStyle name="20% - Accent4 5 3 2 7" xfId="19134" xr:uid="{00000000-0005-0000-0000-0000BF1B0000}"/>
    <cellStyle name="20% - Accent4 5 3 3" xfId="1815" xr:uid="{00000000-0005-0000-0000-0000C01B0000}"/>
    <cellStyle name="20% - Accent4 5 3 3 2" xfId="1816" xr:uid="{00000000-0005-0000-0000-0000C11B0000}"/>
    <cellStyle name="20% - Accent4 5 3 3 2 2" xfId="14916" xr:uid="{00000000-0005-0000-0000-0000C21B0000}"/>
    <cellStyle name="20% - Accent4 5 3 3 2 2 2" xfId="28465" xr:uid="{00000000-0005-0000-0000-0000C31B0000}"/>
    <cellStyle name="20% - Accent4 5 3 3 2 3" xfId="19140" xr:uid="{00000000-0005-0000-0000-0000C41B0000}"/>
    <cellStyle name="20% - Accent4 5 3 3 3" xfId="10796" xr:uid="{00000000-0005-0000-0000-0000C51B0000}"/>
    <cellStyle name="20% - Accent4 5 3 3 3 2" xfId="24738" xr:uid="{00000000-0005-0000-0000-0000C61B0000}"/>
    <cellStyle name="20% - Accent4 5 3 3 4" xfId="19139" xr:uid="{00000000-0005-0000-0000-0000C71B0000}"/>
    <cellStyle name="20% - Accent4 5 3 4" xfId="1817" xr:uid="{00000000-0005-0000-0000-0000C81B0000}"/>
    <cellStyle name="20% - Accent4 5 3 4 2" xfId="12115" xr:uid="{00000000-0005-0000-0000-0000C91B0000}"/>
    <cellStyle name="20% - Accent4 5 3 4 2 2" xfId="25827" xr:uid="{00000000-0005-0000-0000-0000CA1B0000}"/>
    <cellStyle name="20% - Accent4 5 3 4 3" xfId="19141" xr:uid="{00000000-0005-0000-0000-0000CB1B0000}"/>
    <cellStyle name="20% - Accent4 5 3 5" xfId="1818" xr:uid="{00000000-0005-0000-0000-0000CC1B0000}"/>
    <cellStyle name="20% - Accent4 5 3 5 2" xfId="12552" xr:uid="{00000000-0005-0000-0000-0000CD1B0000}"/>
    <cellStyle name="20% - Accent4 5 3 5 2 2" xfId="26264" xr:uid="{00000000-0005-0000-0000-0000CE1B0000}"/>
    <cellStyle name="20% - Accent4 5 3 5 3" xfId="19142" xr:uid="{00000000-0005-0000-0000-0000CF1B0000}"/>
    <cellStyle name="20% - Accent4 5 3 6" xfId="1819" xr:uid="{00000000-0005-0000-0000-0000D01B0000}"/>
    <cellStyle name="20% - Accent4 5 3 6 2" xfId="13679" xr:uid="{00000000-0005-0000-0000-0000D11B0000}"/>
    <cellStyle name="20% - Accent4 5 3 6 2 2" xfId="27228" xr:uid="{00000000-0005-0000-0000-0000D21B0000}"/>
    <cellStyle name="20% - Accent4 5 3 6 3" xfId="19143" xr:uid="{00000000-0005-0000-0000-0000D31B0000}"/>
    <cellStyle name="20% - Accent4 5 3 7" xfId="1820" xr:uid="{00000000-0005-0000-0000-0000D41B0000}"/>
    <cellStyle name="20% - Accent4 5 3 7 2" xfId="14260" xr:uid="{00000000-0005-0000-0000-0000D51B0000}"/>
    <cellStyle name="20% - Accent4 5 3 7 2 2" xfId="27809" xr:uid="{00000000-0005-0000-0000-0000D61B0000}"/>
    <cellStyle name="20% - Accent4 5 3 7 3" xfId="19144" xr:uid="{00000000-0005-0000-0000-0000D71B0000}"/>
    <cellStyle name="20% - Accent4 5 3 8" xfId="1821" xr:uid="{00000000-0005-0000-0000-0000D81B0000}"/>
    <cellStyle name="20% - Accent4 5 3 8 2" xfId="14914" xr:uid="{00000000-0005-0000-0000-0000D91B0000}"/>
    <cellStyle name="20% - Accent4 5 3 8 2 2" xfId="28463" xr:uid="{00000000-0005-0000-0000-0000DA1B0000}"/>
    <cellStyle name="20% - Accent4 5 3 8 3" xfId="19145" xr:uid="{00000000-0005-0000-0000-0000DB1B0000}"/>
    <cellStyle name="20% - Accent4 5 3 9" xfId="1822" xr:uid="{00000000-0005-0000-0000-0000DC1B0000}"/>
    <cellStyle name="20% - Accent4 5 3 9 2" xfId="16146" xr:uid="{00000000-0005-0000-0000-0000DD1B0000}"/>
    <cellStyle name="20% - Accent4 5 3 9 2 2" xfId="29553" xr:uid="{00000000-0005-0000-0000-0000DE1B0000}"/>
    <cellStyle name="20% - Accent4 5 3 9 3" xfId="19146" xr:uid="{00000000-0005-0000-0000-0000DF1B0000}"/>
    <cellStyle name="20% - Accent4 5 4" xfId="1823" xr:uid="{00000000-0005-0000-0000-0000E01B0000}"/>
    <cellStyle name="20% - Accent4 5 4 2" xfId="1824" xr:uid="{00000000-0005-0000-0000-0000E11B0000}"/>
    <cellStyle name="20% - Accent4 5 4 2 2" xfId="10798" xr:uid="{00000000-0005-0000-0000-0000E21B0000}"/>
    <cellStyle name="20% - Accent4 5 4 2 2 2" xfId="24740" xr:uid="{00000000-0005-0000-0000-0000E31B0000}"/>
    <cellStyle name="20% - Accent4 5 4 2 3" xfId="19148" xr:uid="{00000000-0005-0000-0000-0000E41B0000}"/>
    <cellStyle name="20% - Accent4 5 4 3" xfId="1825" xr:uid="{00000000-0005-0000-0000-0000E51B0000}"/>
    <cellStyle name="20% - Accent4 5 4 3 2" xfId="12793" xr:uid="{00000000-0005-0000-0000-0000E61B0000}"/>
    <cellStyle name="20% - Accent4 5 4 3 2 2" xfId="26505" xr:uid="{00000000-0005-0000-0000-0000E71B0000}"/>
    <cellStyle name="20% - Accent4 5 4 3 3" xfId="19149" xr:uid="{00000000-0005-0000-0000-0000E81B0000}"/>
    <cellStyle name="20% - Accent4 5 4 4" xfId="1826" xr:uid="{00000000-0005-0000-0000-0000E91B0000}"/>
    <cellStyle name="20% - Accent4 5 4 4 2" xfId="14917" xr:uid="{00000000-0005-0000-0000-0000EA1B0000}"/>
    <cellStyle name="20% - Accent4 5 4 4 2 2" xfId="28466" xr:uid="{00000000-0005-0000-0000-0000EB1B0000}"/>
    <cellStyle name="20% - Accent4 5 4 4 3" xfId="19150" xr:uid="{00000000-0005-0000-0000-0000EC1B0000}"/>
    <cellStyle name="20% - Accent4 5 4 5" xfId="1827" xr:uid="{00000000-0005-0000-0000-0000ED1B0000}"/>
    <cellStyle name="20% - Accent4 5 4 5 2" xfId="16435" xr:uid="{00000000-0005-0000-0000-0000EE1B0000}"/>
    <cellStyle name="20% - Accent4 5 4 5 2 2" xfId="29842" xr:uid="{00000000-0005-0000-0000-0000EF1B0000}"/>
    <cellStyle name="20% - Accent4 5 4 5 3" xfId="19151" xr:uid="{00000000-0005-0000-0000-0000F01B0000}"/>
    <cellStyle name="20% - Accent4 5 4 6" xfId="9073" xr:uid="{00000000-0005-0000-0000-0000F11B0000}"/>
    <cellStyle name="20% - Accent4 5 4 6 2" xfId="23548" xr:uid="{00000000-0005-0000-0000-0000F21B0000}"/>
    <cellStyle name="20% - Accent4 5 4 7" xfId="19147" xr:uid="{00000000-0005-0000-0000-0000F31B0000}"/>
    <cellStyle name="20% - Accent4 5 5" xfId="1828" xr:uid="{00000000-0005-0000-0000-0000F41B0000}"/>
    <cellStyle name="20% - Accent4 5 5 2" xfId="1829" xr:uid="{00000000-0005-0000-0000-0000F51B0000}"/>
    <cellStyle name="20% - Accent4 5 5 2 2" xfId="14918" xr:uid="{00000000-0005-0000-0000-0000F61B0000}"/>
    <cellStyle name="20% - Accent4 5 5 2 2 2" xfId="28467" xr:uid="{00000000-0005-0000-0000-0000F71B0000}"/>
    <cellStyle name="20% - Accent4 5 5 2 3" xfId="19153" xr:uid="{00000000-0005-0000-0000-0000F81B0000}"/>
    <cellStyle name="20% - Accent4 5 5 3" xfId="10791" xr:uid="{00000000-0005-0000-0000-0000F91B0000}"/>
    <cellStyle name="20% - Accent4 5 5 3 2" xfId="24733" xr:uid="{00000000-0005-0000-0000-0000FA1B0000}"/>
    <cellStyle name="20% - Accent4 5 5 4" xfId="19152" xr:uid="{00000000-0005-0000-0000-0000FB1B0000}"/>
    <cellStyle name="20% - Accent4 5 6" xfId="1830" xr:uid="{00000000-0005-0000-0000-0000FC1B0000}"/>
    <cellStyle name="20% - Accent4 5 6 2" xfId="11786" xr:uid="{00000000-0005-0000-0000-0000FD1B0000}"/>
    <cellStyle name="20% - Accent4 5 6 2 2" xfId="25501" xr:uid="{00000000-0005-0000-0000-0000FE1B0000}"/>
    <cellStyle name="20% - Accent4 5 6 3" xfId="19154" xr:uid="{00000000-0005-0000-0000-0000FF1B0000}"/>
    <cellStyle name="20% - Accent4 5 7" xfId="1831" xr:uid="{00000000-0005-0000-0000-0000001C0000}"/>
    <cellStyle name="20% - Accent4 5 7 2" xfId="12706" xr:uid="{00000000-0005-0000-0000-0000011C0000}"/>
    <cellStyle name="20% - Accent4 5 7 2 2" xfId="26418" xr:uid="{00000000-0005-0000-0000-0000021C0000}"/>
    <cellStyle name="20% - Accent4 5 7 3" xfId="19155" xr:uid="{00000000-0005-0000-0000-0000031C0000}"/>
    <cellStyle name="20% - Accent4 5 8" xfId="1832" xr:uid="{00000000-0005-0000-0000-0000041C0000}"/>
    <cellStyle name="20% - Accent4 5 8 2" xfId="13387" xr:uid="{00000000-0005-0000-0000-0000051C0000}"/>
    <cellStyle name="20% - Accent4 5 8 2 2" xfId="26936" xr:uid="{00000000-0005-0000-0000-0000061C0000}"/>
    <cellStyle name="20% - Accent4 5 8 3" xfId="19156" xr:uid="{00000000-0005-0000-0000-0000071C0000}"/>
    <cellStyle name="20% - Accent4 5 9" xfId="1833" xr:uid="{00000000-0005-0000-0000-0000081C0000}"/>
    <cellStyle name="20% - Accent4 5 9 2" xfId="13968" xr:uid="{00000000-0005-0000-0000-0000091C0000}"/>
    <cellStyle name="20% - Accent4 5 9 2 2" xfId="27517" xr:uid="{00000000-0005-0000-0000-00000A1C0000}"/>
    <cellStyle name="20% - Accent4 5 9 3" xfId="19157" xr:uid="{00000000-0005-0000-0000-00000B1C0000}"/>
    <cellStyle name="20% - Accent4 6" xfId="1834" xr:uid="{00000000-0005-0000-0000-00000C1C0000}"/>
    <cellStyle name="20% - Accent4 6 10" xfId="1835" xr:uid="{00000000-0005-0000-0000-00000D1C0000}"/>
    <cellStyle name="20% - Accent4 6 10 2" xfId="14919" xr:uid="{00000000-0005-0000-0000-00000E1C0000}"/>
    <cellStyle name="20% - Accent4 6 10 2 2" xfId="28468" xr:uid="{00000000-0005-0000-0000-00000F1C0000}"/>
    <cellStyle name="20% - Accent4 6 10 3" xfId="19159" xr:uid="{00000000-0005-0000-0000-0000101C0000}"/>
    <cellStyle name="20% - Accent4 6 11" xfId="1836" xr:uid="{00000000-0005-0000-0000-0000111C0000}"/>
    <cellStyle name="20% - Accent4 6 11 2" xfId="15960" xr:uid="{00000000-0005-0000-0000-0000121C0000}"/>
    <cellStyle name="20% - Accent4 6 11 2 2" xfId="29367" xr:uid="{00000000-0005-0000-0000-0000131C0000}"/>
    <cellStyle name="20% - Accent4 6 11 3" xfId="19160" xr:uid="{00000000-0005-0000-0000-0000141C0000}"/>
    <cellStyle name="20% - Accent4 6 12" xfId="9074" xr:uid="{00000000-0005-0000-0000-0000151C0000}"/>
    <cellStyle name="20% - Accent4 6 12 2" xfId="23549" xr:uid="{00000000-0005-0000-0000-0000161C0000}"/>
    <cellStyle name="20% - Accent4 6 13" xfId="19158" xr:uid="{00000000-0005-0000-0000-0000171C0000}"/>
    <cellStyle name="20% - Accent4 6 2" xfId="1837" xr:uid="{00000000-0005-0000-0000-0000181C0000}"/>
    <cellStyle name="20% - Accent4 6 2 10" xfId="1838" xr:uid="{00000000-0005-0000-0000-0000191C0000}"/>
    <cellStyle name="20% - Accent4 6 2 10 2" xfId="16103" xr:uid="{00000000-0005-0000-0000-00001A1C0000}"/>
    <cellStyle name="20% - Accent4 6 2 10 2 2" xfId="29510" xr:uid="{00000000-0005-0000-0000-00001B1C0000}"/>
    <cellStyle name="20% - Accent4 6 2 10 3" xfId="19162" xr:uid="{00000000-0005-0000-0000-00001C1C0000}"/>
    <cellStyle name="20% - Accent4 6 2 11" xfId="9075" xr:uid="{00000000-0005-0000-0000-00001D1C0000}"/>
    <cellStyle name="20% - Accent4 6 2 11 2" xfId="23550" xr:uid="{00000000-0005-0000-0000-00001E1C0000}"/>
    <cellStyle name="20% - Accent4 6 2 12" xfId="19161" xr:uid="{00000000-0005-0000-0000-00001F1C0000}"/>
    <cellStyle name="20% - Accent4 6 2 2" xfId="1839" xr:uid="{00000000-0005-0000-0000-0000201C0000}"/>
    <cellStyle name="20% - Accent4 6 2 2 10" xfId="9076" xr:uid="{00000000-0005-0000-0000-0000211C0000}"/>
    <cellStyle name="20% - Accent4 6 2 2 10 2" xfId="23551" xr:uid="{00000000-0005-0000-0000-0000221C0000}"/>
    <cellStyle name="20% - Accent4 6 2 2 11" xfId="19163" xr:uid="{00000000-0005-0000-0000-0000231C0000}"/>
    <cellStyle name="20% - Accent4 6 2 2 2" xfId="1840" xr:uid="{00000000-0005-0000-0000-0000241C0000}"/>
    <cellStyle name="20% - Accent4 6 2 2 2 2" xfId="1841" xr:uid="{00000000-0005-0000-0000-0000251C0000}"/>
    <cellStyle name="20% - Accent4 6 2 2 2 2 2" xfId="10802" xr:uid="{00000000-0005-0000-0000-0000261C0000}"/>
    <cellStyle name="20% - Accent4 6 2 2 2 2 2 2" xfId="24744" xr:uid="{00000000-0005-0000-0000-0000271C0000}"/>
    <cellStyle name="20% - Accent4 6 2 2 2 2 3" xfId="19165" xr:uid="{00000000-0005-0000-0000-0000281C0000}"/>
    <cellStyle name="20% - Accent4 6 2 2 2 3" xfId="1842" xr:uid="{00000000-0005-0000-0000-0000291C0000}"/>
    <cellStyle name="20% - Accent4 6 2 2 2 3 2" xfId="12752" xr:uid="{00000000-0005-0000-0000-00002A1C0000}"/>
    <cellStyle name="20% - Accent4 6 2 2 2 3 2 2" xfId="26464" xr:uid="{00000000-0005-0000-0000-00002B1C0000}"/>
    <cellStyle name="20% - Accent4 6 2 2 2 3 3" xfId="19166" xr:uid="{00000000-0005-0000-0000-00002C1C0000}"/>
    <cellStyle name="20% - Accent4 6 2 2 2 4" xfId="1843" xr:uid="{00000000-0005-0000-0000-00002D1C0000}"/>
    <cellStyle name="20% - Accent4 6 2 2 2 4 2" xfId="14922" xr:uid="{00000000-0005-0000-0000-00002E1C0000}"/>
    <cellStyle name="20% - Accent4 6 2 2 2 4 2 2" xfId="28471" xr:uid="{00000000-0005-0000-0000-00002F1C0000}"/>
    <cellStyle name="20% - Accent4 6 2 2 2 4 3" xfId="19167" xr:uid="{00000000-0005-0000-0000-0000301C0000}"/>
    <cellStyle name="20% - Accent4 6 2 2 2 5" xfId="1844" xr:uid="{00000000-0005-0000-0000-0000311C0000}"/>
    <cellStyle name="20% - Accent4 6 2 2 2 5 2" xfId="16973" xr:uid="{00000000-0005-0000-0000-0000321C0000}"/>
    <cellStyle name="20% - Accent4 6 2 2 2 5 2 2" xfId="30380" xr:uid="{00000000-0005-0000-0000-0000331C0000}"/>
    <cellStyle name="20% - Accent4 6 2 2 2 5 3" xfId="19168" xr:uid="{00000000-0005-0000-0000-0000341C0000}"/>
    <cellStyle name="20% - Accent4 6 2 2 2 6" xfId="9077" xr:uid="{00000000-0005-0000-0000-0000351C0000}"/>
    <cellStyle name="20% - Accent4 6 2 2 2 6 2" xfId="23552" xr:uid="{00000000-0005-0000-0000-0000361C0000}"/>
    <cellStyle name="20% - Accent4 6 2 2 2 7" xfId="19164" xr:uid="{00000000-0005-0000-0000-0000371C0000}"/>
    <cellStyle name="20% - Accent4 6 2 2 3" xfId="1845" xr:uid="{00000000-0005-0000-0000-0000381C0000}"/>
    <cellStyle name="20% - Accent4 6 2 2 3 2" xfId="1846" xr:uid="{00000000-0005-0000-0000-0000391C0000}"/>
    <cellStyle name="20% - Accent4 6 2 2 3 2 2" xfId="14923" xr:uid="{00000000-0005-0000-0000-00003A1C0000}"/>
    <cellStyle name="20% - Accent4 6 2 2 3 2 2 2" xfId="28472" xr:uid="{00000000-0005-0000-0000-00003B1C0000}"/>
    <cellStyle name="20% - Accent4 6 2 2 3 2 3" xfId="19170" xr:uid="{00000000-0005-0000-0000-00003C1C0000}"/>
    <cellStyle name="20% - Accent4 6 2 2 3 3" xfId="10801" xr:uid="{00000000-0005-0000-0000-00003D1C0000}"/>
    <cellStyle name="20% - Accent4 6 2 2 3 3 2" xfId="24743" xr:uid="{00000000-0005-0000-0000-00003E1C0000}"/>
    <cellStyle name="20% - Accent4 6 2 2 3 4" xfId="19169" xr:uid="{00000000-0005-0000-0000-00003F1C0000}"/>
    <cellStyle name="20% - Accent4 6 2 2 4" xfId="1847" xr:uid="{00000000-0005-0000-0000-0000401C0000}"/>
    <cellStyle name="20% - Accent4 6 2 2 4 2" xfId="12361" xr:uid="{00000000-0005-0000-0000-0000411C0000}"/>
    <cellStyle name="20% - Accent4 6 2 2 4 2 2" xfId="26073" xr:uid="{00000000-0005-0000-0000-0000421C0000}"/>
    <cellStyle name="20% - Accent4 6 2 2 4 3" xfId="19171" xr:uid="{00000000-0005-0000-0000-0000431C0000}"/>
    <cellStyle name="20% - Accent4 6 2 2 5" xfId="1848" xr:uid="{00000000-0005-0000-0000-0000441C0000}"/>
    <cellStyle name="20% - Accent4 6 2 2 5 2" xfId="12403" xr:uid="{00000000-0005-0000-0000-0000451C0000}"/>
    <cellStyle name="20% - Accent4 6 2 2 5 2 2" xfId="26115" xr:uid="{00000000-0005-0000-0000-0000461C0000}"/>
    <cellStyle name="20% - Accent4 6 2 2 5 3" xfId="19172" xr:uid="{00000000-0005-0000-0000-0000471C0000}"/>
    <cellStyle name="20% - Accent4 6 2 2 6" xfId="1849" xr:uid="{00000000-0005-0000-0000-0000481C0000}"/>
    <cellStyle name="20% - Accent4 6 2 2 6 2" xfId="13925" xr:uid="{00000000-0005-0000-0000-0000491C0000}"/>
    <cellStyle name="20% - Accent4 6 2 2 6 2 2" xfId="27474" xr:uid="{00000000-0005-0000-0000-00004A1C0000}"/>
    <cellStyle name="20% - Accent4 6 2 2 6 3" xfId="19173" xr:uid="{00000000-0005-0000-0000-00004B1C0000}"/>
    <cellStyle name="20% - Accent4 6 2 2 7" xfId="1850" xr:uid="{00000000-0005-0000-0000-00004C1C0000}"/>
    <cellStyle name="20% - Accent4 6 2 2 7 2" xfId="14506" xr:uid="{00000000-0005-0000-0000-00004D1C0000}"/>
    <cellStyle name="20% - Accent4 6 2 2 7 2 2" xfId="28055" xr:uid="{00000000-0005-0000-0000-00004E1C0000}"/>
    <cellStyle name="20% - Accent4 6 2 2 7 3" xfId="19174" xr:uid="{00000000-0005-0000-0000-00004F1C0000}"/>
    <cellStyle name="20% - Accent4 6 2 2 8" xfId="1851" xr:uid="{00000000-0005-0000-0000-0000501C0000}"/>
    <cellStyle name="20% - Accent4 6 2 2 8 2" xfId="14921" xr:uid="{00000000-0005-0000-0000-0000511C0000}"/>
    <cellStyle name="20% - Accent4 6 2 2 8 2 2" xfId="28470" xr:uid="{00000000-0005-0000-0000-0000521C0000}"/>
    <cellStyle name="20% - Accent4 6 2 2 8 3" xfId="19175" xr:uid="{00000000-0005-0000-0000-0000531C0000}"/>
    <cellStyle name="20% - Accent4 6 2 2 9" xfId="1852" xr:uid="{00000000-0005-0000-0000-0000541C0000}"/>
    <cellStyle name="20% - Accent4 6 2 2 9 2" xfId="16392" xr:uid="{00000000-0005-0000-0000-0000551C0000}"/>
    <cellStyle name="20% - Accent4 6 2 2 9 2 2" xfId="29799" xr:uid="{00000000-0005-0000-0000-0000561C0000}"/>
    <cellStyle name="20% - Accent4 6 2 2 9 3" xfId="19176" xr:uid="{00000000-0005-0000-0000-0000571C0000}"/>
    <cellStyle name="20% - Accent4 6 2 3" xfId="1853" xr:uid="{00000000-0005-0000-0000-0000581C0000}"/>
    <cellStyle name="20% - Accent4 6 2 3 2" xfId="1854" xr:uid="{00000000-0005-0000-0000-0000591C0000}"/>
    <cellStyle name="20% - Accent4 6 2 3 2 2" xfId="10803" xr:uid="{00000000-0005-0000-0000-00005A1C0000}"/>
    <cellStyle name="20% - Accent4 6 2 3 2 2 2" xfId="24745" xr:uid="{00000000-0005-0000-0000-00005B1C0000}"/>
    <cellStyle name="20% - Accent4 6 2 3 2 3" xfId="19178" xr:uid="{00000000-0005-0000-0000-00005C1C0000}"/>
    <cellStyle name="20% - Accent4 6 2 3 3" xfId="1855" xr:uid="{00000000-0005-0000-0000-00005D1C0000}"/>
    <cellStyle name="20% - Accent4 6 2 3 3 2" xfId="12621" xr:uid="{00000000-0005-0000-0000-00005E1C0000}"/>
    <cellStyle name="20% - Accent4 6 2 3 3 2 2" xfId="26333" xr:uid="{00000000-0005-0000-0000-00005F1C0000}"/>
    <cellStyle name="20% - Accent4 6 2 3 3 3" xfId="19179" xr:uid="{00000000-0005-0000-0000-0000601C0000}"/>
    <cellStyle name="20% - Accent4 6 2 3 4" xfId="1856" xr:uid="{00000000-0005-0000-0000-0000611C0000}"/>
    <cellStyle name="20% - Accent4 6 2 3 4 2" xfId="14924" xr:uid="{00000000-0005-0000-0000-0000621C0000}"/>
    <cellStyle name="20% - Accent4 6 2 3 4 2 2" xfId="28473" xr:uid="{00000000-0005-0000-0000-0000631C0000}"/>
    <cellStyle name="20% - Accent4 6 2 3 4 3" xfId="19180" xr:uid="{00000000-0005-0000-0000-0000641C0000}"/>
    <cellStyle name="20% - Accent4 6 2 3 5" xfId="1857" xr:uid="{00000000-0005-0000-0000-0000651C0000}"/>
    <cellStyle name="20% - Accent4 6 2 3 5 2" xfId="16684" xr:uid="{00000000-0005-0000-0000-0000661C0000}"/>
    <cellStyle name="20% - Accent4 6 2 3 5 2 2" xfId="30091" xr:uid="{00000000-0005-0000-0000-0000671C0000}"/>
    <cellStyle name="20% - Accent4 6 2 3 5 3" xfId="19181" xr:uid="{00000000-0005-0000-0000-0000681C0000}"/>
    <cellStyle name="20% - Accent4 6 2 3 6" xfId="9078" xr:uid="{00000000-0005-0000-0000-0000691C0000}"/>
    <cellStyle name="20% - Accent4 6 2 3 6 2" xfId="23553" xr:uid="{00000000-0005-0000-0000-00006A1C0000}"/>
    <cellStyle name="20% - Accent4 6 2 3 7" xfId="19177" xr:uid="{00000000-0005-0000-0000-00006B1C0000}"/>
    <cellStyle name="20% - Accent4 6 2 4" xfId="1858" xr:uid="{00000000-0005-0000-0000-00006C1C0000}"/>
    <cellStyle name="20% - Accent4 6 2 4 2" xfId="1859" xr:uid="{00000000-0005-0000-0000-00006D1C0000}"/>
    <cellStyle name="20% - Accent4 6 2 4 2 2" xfId="14925" xr:uid="{00000000-0005-0000-0000-00006E1C0000}"/>
    <cellStyle name="20% - Accent4 6 2 4 2 2 2" xfId="28474" xr:uid="{00000000-0005-0000-0000-00006F1C0000}"/>
    <cellStyle name="20% - Accent4 6 2 4 2 3" xfId="19183" xr:uid="{00000000-0005-0000-0000-0000701C0000}"/>
    <cellStyle name="20% - Accent4 6 2 4 3" xfId="10800" xr:uid="{00000000-0005-0000-0000-0000711C0000}"/>
    <cellStyle name="20% - Accent4 6 2 4 3 2" xfId="24742" xr:uid="{00000000-0005-0000-0000-0000721C0000}"/>
    <cellStyle name="20% - Accent4 6 2 4 4" xfId="19182" xr:uid="{00000000-0005-0000-0000-0000731C0000}"/>
    <cellStyle name="20% - Accent4 6 2 5" xfId="1860" xr:uid="{00000000-0005-0000-0000-0000741C0000}"/>
    <cellStyle name="20% - Accent4 6 2 5 2" xfId="12061" xr:uid="{00000000-0005-0000-0000-0000751C0000}"/>
    <cellStyle name="20% - Accent4 6 2 5 2 2" xfId="25776" xr:uid="{00000000-0005-0000-0000-0000761C0000}"/>
    <cellStyle name="20% - Accent4 6 2 5 3" xfId="19184" xr:uid="{00000000-0005-0000-0000-0000771C0000}"/>
    <cellStyle name="20% - Accent4 6 2 6" xfId="1861" xr:uid="{00000000-0005-0000-0000-0000781C0000}"/>
    <cellStyle name="20% - Accent4 6 2 6 2" xfId="12691" xr:uid="{00000000-0005-0000-0000-0000791C0000}"/>
    <cellStyle name="20% - Accent4 6 2 6 2 2" xfId="26403" xr:uid="{00000000-0005-0000-0000-00007A1C0000}"/>
    <cellStyle name="20% - Accent4 6 2 6 3" xfId="19185" xr:uid="{00000000-0005-0000-0000-00007B1C0000}"/>
    <cellStyle name="20% - Accent4 6 2 7" xfId="1862" xr:uid="{00000000-0005-0000-0000-00007C1C0000}"/>
    <cellStyle name="20% - Accent4 6 2 7 2" xfId="13636" xr:uid="{00000000-0005-0000-0000-00007D1C0000}"/>
    <cellStyle name="20% - Accent4 6 2 7 2 2" xfId="27185" xr:uid="{00000000-0005-0000-0000-00007E1C0000}"/>
    <cellStyle name="20% - Accent4 6 2 7 3" xfId="19186" xr:uid="{00000000-0005-0000-0000-00007F1C0000}"/>
    <cellStyle name="20% - Accent4 6 2 8" xfId="1863" xr:uid="{00000000-0005-0000-0000-0000801C0000}"/>
    <cellStyle name="20% - Accent4 6 2 8 2" xfId="14217" xr:uid="{00000000-0005-0000-0000-0000811C0000}"/>
    <cellStyle name="20% - Accent4 6 2 8 2 2" xfId="27766" xr:uid="{00000000-0005-0000-0000-0000821C0000}"/>
    <cellStyle name="20% - Accent4 6 2 8 3" xfId="19187" xr:uid="{00000000-0005-0000-0000-0000831C0000}"/>
    <cellStyle name="20% - Accent4 6 2 9" xfId="1864" xr:uid="{00000000-0005-0000-0000-0000841C0000}"/>
    <cellStyle name="20% - Accent4 6 2 9 2" xfId="14920" xr:uid="{00000000-0005-0000-0000-0000851C0000}"/>
    <cellStyle name="20% - Accent4 6 2 9 2 2" xfId="28469" xr:uid="{00000000-0005-0000-0000-0000861C0000}"/>
    <cellStyle name="20% - Accent4 6 2 9 3" xfId="19188" xr:uid="{00000000-0005-0000-0000-0000871C0000}"/>
    <cellStyle name="20% - Accent4 6 3" xfId="1865" xr:uid="{00000000-0005-0000-0000-0000881C0000}"/>
    <cellStyle name="20% - Accent4 6 3 10" xfId="9079" xr:uid="{00000000-0005-0000-0000-0000891C0000}"/>
    <cellStyle name="20% - Accent4 6 3 10 2" xfId="23554" xr:uid="{00000000-0005-0000-0000-00008A1C0000}"/>
    <cellStyle name="20% - Accent4 6 3 11" xfId="19189" xr:uid="{00000000-0005-0000-0000-00008B1C0000}"/>
    <cellStyle name="20% - Accent4 6 3 2" xfId="1866" xr:uid="{00000000-0005-0000-0000-00008C1C0000}"/>
    <cellStyle name="20% - Accent4 6 3 2 2" xfId="1867" xr:uid="{00000000-0005-0000-0000-00008D1C0000}"/>
    <cellStyle name="20% - Accent4 6 3 2 2 2" xfId="10805" xr:uid="{00000000-0005-0000-0000-00008E1C0000}"/>
    <cellStyle name="20% - Accent4 6 3 2 2 2 2" xfId="24747" xr:uid="{00000000-0005-0000-0000-00008F1C0000}"/>
    <cellStyle name="20% - Accent4 6 3 2 2 3" xfId="19191" xr:uid="{00000000-0005-0000-0000-0000901C0000}"/>
    <cellStyle name="20% - Accent4 6 3 2 3" xfId="1868" xr:uid="{00000000-0005-0000-0000-0000911C0000}"/>
    <cellStyle name="20% - Accent4 6 3 2 3 2" xfId="12390" xr:uid="{00000000-0005-0000-0000-0000921C0000}"/>
    <cellStyle name="20% - Accent4 6 3 2 3 2 2" xfId="26102" xr:uid="{00000000-0005-0000-0000-0000931C0000}"/>
    <cellStyle name="20% - Accent4 6 3 2 3 3" xfId="19192" xr:uid="{00000000-0005-0000-0000-0000941C0000}"/>
    <cellStyle name="20% - Accent4 6 3 2 4" xfId="1869" xr:uid="{00000000-0005-0000-0000-0000951C0000}"/>
    <cellStyle name="20% - Accent4 6 3 2 4 2" xfId="14927" xr:uid="{00000000-0005-0000-0000-0000961C0000}"/>
    <cellStyle name="20% - Accent4 6 3 2 4 2 2" xfId="28476" xr:uid="{00000000-0005-0000-0000-0000971C0000}"/>
    <cellStyle name="20% - Accent4 6 3 2 4 3" xfId="19193" xr:uid="{00000000-0005-0000-0000-0000981C0000}"/>
    <cellStyle name="20% - Accent4 6 3 2 5" xfId="1870" xr:uid="{00000000-0005-0000-0000-0000991C0000}"/>
    <cellStyle name="20% - Accent4 6 3 2 5 2" xfId="16830" xr:uid="{00000000-0005-0000-0000-00009A1C0000}"/>
    <cellStyle name="20% - Accent4 6 3 2 5 2 2" xfId="30237" xr:uid="{00000000-0005-0000-0000-00009B1C0000}"/>
    <cellStyle name="20% - Accent4 6 3 2 5 3" xfId="19194" xr:uid="{00000000-0005-0000-0000-00009C1C0000}"/>
    <cellStyle name="20% - Accent4 6 3 2 6" xfId="9080" xr:uid="{00000000-0005-0000-0000-00009D1C0000}"/>
    <cellStyle name="20% - Accent4 6 3 2 6 2" xfId="23555" xr:uid="{00000000-0005-0000-0000-00009E1C0000}"/>
    <cellStyle name="20% - Accent4 6 3 2 7" xfId="19190" xr:uid="{00000000-0005-0000-0000-00009F1C0000}"/>
    <cellStyle name="20% - Accent4 6 3 3" xfId="1871" xr:uid="{00000000-0005-0000-0000-0000A01C0000}"/>
    <cellStyle name="20% - Accent4 6 3 3 2" xfId="1872" xr:uid="{00000000-0005-0000-0000-0000A11C0000}"/>
    <cellStyle name="20% - Accent4 6 3 3 2 2" xfId="14928" xr:uid="{00000000-0005-0000-0000-0000A21C0000}"/>
    <cellStyle name="20% - Accent4 6 3 3 2 2 2" xfId="28477" xr:uid="{00000000-0005-0000-0000-0000A31C0000}"/>
    <cellStyle name="20% - Accent4 6 3 3 2 3" xfId="19196" xr:uid="{00000000-0005-0000-0000-0000A41C0000}"/>
    <cellStyle name="20% - Accent4 6 3 3 3" xfId="10804" xr:uid="{00000000-0005-0000-0000-0000A51C0000}"/>
    <cellStyle name="20% - Accent4 6 3 3 3 2" xfId="24746" xr:uid="{00000000-0005-0000-0000-0000A61C0000}"/>
    <cellStyle name="20% - Accent4 6 3 3 4" xfId="19195" xr:uid="{00000000-0005-0000-0000-0000A71C0000}"/>
    <cellStyle name="20% - Accent4 6 3 4" xfId="1873" xr:uid="{00000000-0005-0000-0000-0000A81C0000}"/>
    <cellStyle name="20% - Accent4 6 3 4 2" xfId="12218" xr:uid="{00000000-0005-0000-0000-0000A91C0000}"/>
    <cellStyle name="20% - Accent4 6 3 4 2 2" xfId="25930" xr:uid="{00000000-0005-0000-0000-0000AA1C0000}"/>
    <cellStyle name="20% - Accent4 6 3 4 3" xfId="19197" xr:uid="{00000000-0005-0000-0000-0000AB1C0000}"/>
    <cellStyle name="20% - Accent4 6 3 5" xfId="1874" xr:uid="{00000000-0005-0000-0000-0000AC1C0000}"/>
    <cellStyle name="20% - Accent4 6 3 5 2" xfId="11777" xr:uid="{00000000-0005-0000-0000-0000AD1C0000}"/>
    <cellStyle name="20% - Accent4 6 3 5 2 2" xfId="25492" xr:uid="{00000000-0005-0000-0000-0000AE1C0000}"/>
    <cellStyle name="20% - Accent4 6 3 5 3" xfId="19198" xr:uid="{00000000-0005-0000-0000-0000AF1C0000}"/>
    <cellStyle name="20% - Accent4 6 3 6" xfId="1875" xr:uid="{00000000-0005-0000-0000-0000B01C0000}"/>
    <cellStyle name="20% - Accent4 6 3 6 2" xfId="13782" xr:uid="{00000000-0005-0000-0000-0000B11C0000}"/>
    <cellStyle name="20% - Accent4 6 3 6 2 2" xfId="27331" xr:uid="{00000000-0005-0000-0000-0000B21C0000}"/>
    <cellStyle name="20% - Accent4 6 3 6 3" xfId="19199" xr:uid="{00000000-0005-0000-0000-0000B31C0000}"/>
    <cellStyle name="20% - Accent4 6 3 7" xfId="1876" xr:uid="{00000000-0005-0000-0000-0000B41C0000}"/>
    <cellStyle name="20% - Accent4 6 3 7 2" xfId="14363" xr:uid="{00000000-0005-0000-0000-0000B51C0000}"/>
    <cellStyle name="20% - Accent4 6 3 7 2 2" xfId="27912" xr:uid="{00000000-0005-0000-0000-0000B61C0000}"/>
    <cellStyle name="20% - Accent4 6 3 7 3" xfId="19200" xr:uid="{00000000-0005-0000-0000-0000B71C0000}"/>
    <cellStyle name="20% - Accent4 6 3 8" xfId="1877" xr:uid="{00000000-0005-0000-0000-0000B81C0000}"/>
    <cellStyle name="20% - Accent4 6 3 8 2" xfId="14926" xr:uid="{00000000-0005-0000-0000-0000B91C0000}"/>
    <cellStyle name="20% - Accent4 6 3 8 2 2" xfId="28475" xr:uid="{00000000-0005-0000-0000-0000BA1C0000}"/>
    <cellStyle name="20% - Accent4 6 3 8 3" xfId="19201" xr:uid="{00000000-0005-0000-0000-0000BB1C0000}"/>
    <cellStyle name="20% - Accent4 6 3 9" xfId="1878" xr:uid="{00000000-0005-0000-0000-0000BC1C0000}"/>
    <cellStyle name="20% - Accent4 6 3 9 2" xfId="16249" xr:uid="{00000000-0005-0000-0000-0000BD1C0000}"/>
    <cellStyle name="20% - Accent4 6 3 9 2 2" xfId="29656" xr:uid="{00000000-0005-0000-0000-0000BE1C0000}"/>
    <cellStyle name="20% - Accent4 6 3 9 3" xfId="19202" xr:uid="{00000000-0005-0000-0000-0000BF1C0000}"/>
    <cellStyle name="20% - Accent4 6 4" xfId="1879" xr:uid="{00000000-0005-0000-0000-0000C01C0000}"/>
    <cellStyle name="20% - Accent4 6 4 2" xfId="1880" xr:uid="{00000000-0005-0000-0000-0000C11C0000}"/>
    <cellStyle name="20% - Accent4 6 4 2 2" xfId="10806" xr:uid="{00000000-0005-0000-0000-0000C21C0000}"/>
    <cellStyle name="20% - Accent4 6 4 2 2 2" xfId="24748" xr:uid="{00000000-0005-0000-0000-0000C31C0000}"/>
    <cellStyle name="20% - Accent4 6 4 2 3" xfId="19204" xr:uid="{00000000-0005-0000-0000-0000C41C0000}"/>
    <cellStyle name="20% - Accent4 6 4 3" xfId="1881" xr:uid="{00000000-0005-0000-0000-0000C51C0000}"/>
    <cellStyle name="20% - Accent4 6 4 3 2" xfId="12095" xr:uid="{00000000-0005-0000-0000-0000C61C0000}"/>
    <cellStyle name="20% - Accent4 6 4 3 2 2" xfId="25807" xr:uid="{00000000-0005-0000-0000-0000C71C0000}"/>
    <cellStyle name="20% - Accent4 6 4 3 3" xfId="19205" xr:uid="{00000000-0005-0000-0000-0000C81C0000}"/>
    <cellStyle name="20% - Accent4 6 4 4" xfId="1882" xr:uid="{00000000-0005-0000-0000-0000C91C0000}"/>
    <cellStyle name="20% - Accent4 6 4 4 2" xfId="14929" xr:uid="{00000000-0005-0000-0000-0000CA1C0000}"/>
    <cellStyle name="20% - Accent4 6 4 4 2 2" xfId="28478" xr:uid="{00000000-0005-0000-0000-0000CB1C0000}"/>
    <cellStyle name="20% - Accent4 6 4 4 3" xfId="19206" xr:uid="{00000000-0005-0000-0000-0000CC1C0000}"/>
    <cellStyle name="20% - Accent4 6 4 5" xfId="1883" xr:uid="{00000000-0005-0000-0000-0000CD1C0000}"/>
    <cellStyle name="20% - Accent4 6 4 5 2" xfId="16541" xr:uid="{00000000-0005-0000-0000-0000CE1C0000}"/>
    <cellStyle name="20% - Accent4 6 4 5 2 2" xfId="29948" xr:uid="{00000000-0005-0000-0000-0000CF1C0000}"/>
    <cellStyle name="20% - Accent4 6 4 5 3" xfId="19207" xr:uid="{00000000-0005-0000-0000-0000D01C0000}"/>
    <cellStyle name="20% - Accent4 6 4 6" xfId="9081" xr:uid="{00000000-0005-0000-0000-0000D11C0000}"/>
    <cellStyle name="20% - Accent4 6 4 6 2" xfId="23556" xr:uid="{00000000-0005-0000-0000-0000D21C0000}"/>
    <cellStyle name="20% - Accent4 6 4 7" xfId="19203" xr:uid="{00000000-0005-0000-0000-0000D31C0000}"/>
    <cellStyle name="20% - Accent4 6 5" xfId="1884" xr:uid="{00000000-0005-0000-0000-0000D41C0000}"/>
    <cellStyle name="20% - Accent4 6 5 2" xfId="1885" xr:uid="{00000000-0005-0000-0000-0000D51C0000}"/>
    <cellStyle name="20% - Accent4 6 5 2 2" xfId="14930" xr:uid="{00000000-0005-0000-0000-0000D61C0000}"/>
    <cellStyle name="20% - Accent4 6 5 2 2 2" xfId="28479" xr:uid="{00000000-0005-0000-0000-0000D71C0000}"/>
    <cellStyle name="20% - Accent4 6 5 2 3" xfId="19209" xr:uid="{00000000-0005-0000-0000-0000D81C0000}"/>
    <cellStyle name="20% - Accent4 6 5 3" xfId="10799" xr:uid="{00000000-0005-0000-0000-0000D91C0000}"/>
    <cellStyle name="20% - Accent4 6 5 3 2" xfId="24741" xr:uid="{00000000-0005-0000-0000-0000DA1C0000}"/>
    <cellStyle name="20% - Accent4 6 5 4" xfId="19208" xr:uid="{00000000-0005-0000-0000-0000DB1C0000}"/>
    <cellStyle name="20% - Accent4 6 6" xfId="1886" xr:uid="{00000000-0005-0000-0000-0000DC1C0000}"/>
    <cellStyle name="20% - Accent4 6 6 2" xfId="11916" xr:uid="{00000000-0005-0000-0000-0000DD1C0000}"/>
    <cellStyle name="20% - Accent4 6 6 2 2" xfId="25631" xr:uid="{00000000-0005-0000-0000-0000DE1C0000}"/>
    <cellStyle name="20% - Accent4 6 6 3" xfId="19210" xr:uid="{00000000-0005-0000-0000-0000DF1C0000}"/>
    <cellStyle name="20% - Accent4 6 7" xfId="1887" xr:uid="{00000000-0005-0000-0000-0000E01C0000}"/>
    <cellStyle name="20% - Accent4 6 7 2" xfId="12396" xr:uid="{00000000-0005-0000-0000-0000E11C0000}"/>
    <cellStyle name="20% - Accent4 6 7 2 2" xfId="26108" xr:uid="{00000000-0005-0000-0000-0000E21C0000}"/>
    <cellStyle name="20% - Accent4 6 7 3" xfId="19211" xr:uid="{00000000-0005-0000-0000-0000E31C0000}"/>
    <cellStyle name="20% - Accent4 6 8" xfId="1888" xr:uid="{00000000-0005-0000-0000-0000E41C0000}"/>
    <cellStyle name="20% - Accent4 6 8 2" xfId="13493" xr:uid="{00000000-0005-0000-0000-0000E51C0000}"/>
    <cellStyle name="20% - Accent4 6 8 2 2" xfId="27042" xr:uid="{00000000-0005-0000-0000-0000E61C0000}"/>
    <cellStyle name="20% - Accent4 6 8 3" xfId="19212" xr:uid="{00000000-0005-0000-0000-0000E71C0000}"/>
    <cellStyle name="20% - Accent4 6 9" xfId="1889" xr:uid="{00000000-0005-0000-0000-0000E81C0000}"/>
    <cellStyle name="20% - Accent4 6 9 2" xfId="14074" xr:uid="{00000000-0005-0000-0000-0000E91C0000}"/>
    <cellStyle name="20% - Accent4 6 9 2 2" xfId="27623" xr:uid="{00000000-0005-0000-0000-0000EA1C0000}"/>
    <cellStyle name="20% - Accent4 6 9 3" xfId="19213" xr:uid="{00000000-0005-0000-0000-0000EB1C0000}"/>
    <cellStyle name="20% - Accent4 7" xfId="1890" xr:uid="{00000000-0005-0000-0000-0000EC1C0000}"/>
    <cellStyle name="20% - Accent4 7 10" xfId="1891" xr:uid="{00000000-0005-0000-0000-0000ED1C0000}"/>
    <cellStyle name="20% - Accent4 7 10 2" xfId="15983" xr:uid="{00000000-0005-0000-0000-0000EE1C0000}"/>
    <cellStyle name="20% - Accent4 7 10 2 2" xfId="29390" xr:uid="{00000000-0005-0000-0000-0000EF1C0000}"/>
    <cellStyle name="20% - Accent4 7 10 3" xfId="19215" xr:uid="{00000000-0005-0000-0000-0000F01C0000}"/>
    <cellStyle name="20% - Accent4 7 11" xfId="9082" xr:uid="{00000000-0005-0000-0000-0000F11C0000}"/>
    <cellStyle name="20% - Accent4 7 11 2" xfId="23557" xr:uid="{00000000-0005-0000-0000-0000F21C0000}"/>
    <cellStyle name="20% - Accent4 7 12" xfId="19214" xr:uid="{00000000-0005-0000-0000-0000F31C0000}"/>
    <cellStyle name="20% - Accent4 7 2" xfId="1892" xr:uid="{00000000-0005-0000-0000-0000F41C0000}"/>
    <cellStyle name="20% - Accent4 7 2 10" xfId="9083" xr:uid="{00000000-0005-0000-0000-0000F51C0000}"/>
    <cellStyle name="20% - Accent4 7 2 10 2" xfId="23558" xr:uid="{00000000-0005-0000-0000-0000F61C0000}"/>
    <cellStyle name="20% - Accent4 7 2 11" xfId="19216" xr:uid="{00000000-0005-0000-0000-0000F71C0000}"/>
    <cellStyle name="20% - Accent4 7 2 2" xfId="1893" xr:uid="{00000000-0005-0000-0000-0000F81C0000}"/>
    <cellStyle name="20% - Accent4 7 2 2 2" xfId="1894" xr:uid="{00000000-0005-0000-0000-0000F91C0000}"/>
    <cellStyle name="20% - Accent4 7 2 2 2 2" xfId="10809" xr:uid="{00000000-0005-0000-0000-0000FA1C0000}"/>
    <cellStyle name="20% - Accent4 7 2 2 2 2 2" xfId="24751" xr:uid="{00000000-0005-0000-0000-0000FB1C0000}"/>
    <cellStyle name="20% - Accent4 7 2 2 2 3" xfId="19218" xr:uid="{00000000-0005-0000-0000-0000FC1C0000}"/>
    <cellStyle name="20% - Accent4 7 2 2 3" xfId="1895" xr:uid="{00000000-0005-0000-0000-0000FD1C0000}"/>
    <cellStyle name="20% - Accent4 7 2 2 3 2" xfId="12400" xr:uid="{00000000-0005-0000-0000-0000FE1C0000}"/>
    <cellStyle name="20% - Accent4 7 2 2 3 2 2" xfId="26112" xr:uid="{00000000-0005-0000-0000-0000FF1C0000}"/>
    <cellStyle name="20% - Accent4 7 2 2 3 3" xfId="19219" xr:uid="{00000000-0005-0000-0000-0000001D0000}"/>
    <cellStyle name="20% - Accent4 7 2 2 4" xfId="1896" xr:uid="{00000000-0005-0000-0000-0000011D0000}"/>
    <cellStyle name="20% - Accent4 7 2 2 4 2" xfId="14933" xr:uid="{00000000-0005-0000-0000-0000021D0000}"/>
    <cellStyle name="20% - Accent4 7 2 2 4 2 2" xfId="28482" xr:uid="{00000000-0005-0000-0000-0000031D0000}"/>
    <cellStyle name="20% - Accent4 7 2 2 4 3" xfId="19220" xr:uid="{00000000-0005-0000-0000-0000041D0000}"/>
    <cellStyle name="20% - Accent4 7 2 2 5" xfId="1897" xr:uid="{00000000-0005-0000-0000-0000051D0000}"/>
    <cellStyle name="20% - Accent4 7 2 2 5 2" xfId="16853" xr:uid="{00000000-0005-0000-0000-0000061D0000}"/>
    <cellStyle name="20% - Accent4 7 2 2 5 2 2" xfId="30260" xr:uid="{00000000-0005-0000-0000-0000071D0000}"/>
    <cellStyle name="20% - Accent4 7 2 2 5 3" xfId="19221" xr:uid="{00000000-0005-0000-0000-0000081D0000}"/>
    <cellStyle name="20% - Accent4 7 2 2 6" xfId="9084" xr:uid="{00000000-0005-0000-0000-0000091D0000}"/>
    <cellStyle name="20% - Accent4 7 2 2 6 2" xfId="23559" xr:uid="{00000000-0005-0000-0000-00000A1D0000}"/>
    <cellStyle name="20% - Accent4 7 2 2 7" xfId="19217" xr:uid="{00000000-0005-0000-0000-00000B1D0000}"/>
    <cellStyle name="20% - Accent4 7 2 3" xfId="1898" xr:uid="{00000000-0005-0000-0000-00000C1D0000}"/>
    <cellStyle name="20% - Accent4 7 2 3 2" xfId="1899" xr:uid="{00000000-0005-0000-0000-00000D1D0000}"/>
    <cellStyle name="20% - Accent4 7 2 3 2 2" xfId="14934" xr:uid="{00000000-0005-0000-0000-00000E1D0000}"/>
    <cellStyle name="20% - Accent4 7 2 3 2 2 2" xfId="28483" xr:uid="{00000000-0005-0000-0000-00000F1D0000}"/>
    <cellStyle name="20% - Accent4 7 2 3 2 3" xfId="19223" xr:uid="{00000000-0005-0000-0000-0000101D0000}"/>
    <cellStyle name="20% - Accent4 7 2 3 3" xfId="10808" xr:uid="{00000000-0005-0000-0000-0000111D0000}"/>
    <cellStyle name="20% - Accent4 7 2 3 3 2" xfId="24750" xr:uid="{00000000-0005-0000-0000-0000121D0000}"/>
    <cellStyle name="20% - Accent4 7 2 3 4" xfId="19222" xr:uid="{00000000-0005-0000-0000-0000131D0000}"/>
    <cellStyle name="20% - Accent4 7 2 4" xfId="1900" xr:uid="{00000000-0005-0000-0000-0000141D0000}"/>
    <cellStyle name="20% - Accent4 7 2 4 2" xfId="12241" xr:uid="{00000000-0005-0000-0000-0000151D0000}"/>
    <cellStyle name="20% - Accent4 7 2 4 2 2" xfId="25953" xr:uid="{00000000-0005-0000-0000-0000161D0000}"/>
    <cellStyle name="20% - Accent4 7 2 4 3" xfId="19224" xr:uid="{00000000-0005-0000-0000-0000171D0000}"/>
    <cellStyle name="20% - Accent4 7 2 5" xfId="1901" xr:uid="{00000000-0005-0000-0000-0000181D0000}"/>
    <cellStyle name="20% - Accent4 7 2 5 2" xfId="12722" xr:uid="{00000000-0005-0000-0000-0000191D0000}"/>
    <cellStyle name="20% - Accent4 7 2 5 2 2" xfId="26434" xr:uid="{00000000-0005-0000-0000-00001A1D0000}"/>
    <cellStyle name="20% - Accent4 7 2 5 3" xfId="19225" xr:uid="{00000000-0005-0000-0000-00001B1D0000}"/>
    <cellStyle name="20% - Accent4 7 2 6" xfId="1902" xr:uid="{00000000-0005-0000-0000-00001C1D0000}"/>
    <cellStyle name="20% - Accent4 7 2 6 2" xfId="13805" xr:uid="{00000000-0005-0000-0000-00001D1D0000}"/>
    <cellStyle name="20% - Accent4 7 2 6 2 2" xfId="27354" xr:uid="{00000000-0005-0000-0000-00001E1D0000}"/>
    <cellStyle name="20% - Accent4 7 2 6 3" xfId="19226" xr:uid="{00000000-0005-0000-0000-00001F1D0000}"/>
    <cellStyle name="20% - Accent4 7 2 7" xfId="1903" xr:uid="{00000000-0005-0000-0000-0000201D0000}"/>
    <cellStyle name="20% - Accent4 7 2 7 2" xfId="14386" xr:uid="{00000000-0005-0000-0000-0000211D0000}"/>
    <cellStyle name="20% - Accent4 7 2 7 2 2" xfId="27935" xr:uid="{00000000-0005-0000-0000-0000221D0000}"/>
    <cellStyle name="20% - Accent4 7 2 7 3" xfId="19227" xr:uid="{00000000-0005-0000-0000-0000231D0000}"/>
    <cellStyle name="20% - Accent4 7 2 8" xfId="1904" xr:uid="{00000000-0005-0000-0000-0000241D0000}"/>
    <cellStyle name="20% - Accent4 7 2 8 2" xfId="14932" xr:uid="{00000000-0005-0000-0000-0000251D0000}"/>
    <cellStyle name="20% - Accent4 7 2 8 2 2" xfId="28481" xr:uid="{00000000-0005-0000-0000-0000261D0000}"/>
    <cellStyle name="20% - Accent4 7 2 8 3" xfId="19228" xr:uid="{00000000-0005-0000-0000-0000271D0000}"/>
    <cellStyle name="20% - Accent4 7 2 9" xfId="1905" xr:uid="{00000000-0005-0000-0000-0000281D0000}"/>
    <cellStyle name="20% - Accent4 7 2 9 2" xfId="16272" xr:uid="{00000000-0005-0000-0000-0000291D0000}"/>
    <cellStyle name="20% - Accent4 7 2 9 2 2" xfId="29679" xr:uid="{00000000-0005-0000-0000-00002A1D0000}"/>
    <cellStyle name="20% - Accent4 7 2 9 3" xfId="19229" xr:uid="{00000000-0005-0000-0000-00002B1D0000}"/>
    <cellStyle name="20% - Accent4 7 3" xfId="1906" xr:uid="{00000000-0005-0000-0000-00002C1D0000}"/>
    <cellStyle name="20% - Accent4 7 3 2" xfId="1907" xr:uid="{00000000-0005-0000-0000-00002D1D0000}"/>
    <cellStyle name="20% - Accent4 7 3 2 2" xfId="10810" xr:uid="{00000000-0005-0000-0000-00002E1D0000}"/>
    <cellStyle name="20% - Accent4 7 3 2 2 2" xfId="24752" xr:uid="{00000000-0005-0000-0000-00002F1D0000}"/>
    <cellStyle name="20% - Accent4 7 3 2 3" xfId="19231" xr:uid="{00000000-0005-0000-0000-0000301D0000}"/>
    <cellStyle name="20% - Accent4 7 3 3" xfId="1908" xr:uid="{00000000-0005-0000-0000-0000311D0000}"/>
    <cellStyle name="20% - Accent4 7 3 3 2" xfId="12589" xr:uid="{00000000-0005-0000-0000-0000321D0000}"/>
    <cellStyle name="20% - Accent4 7 3 3 2 2" xfId="26301" xr:uid="{00000000-0005-0000-0000-0000331D0000}"/>
    <cellStyle name="20% - Accent4 7 3 3 3" xfId="19232" xr:uid="{00000000-0005-0000-0000-0000341D0000}"/>
    <cellStyle name="20% - Accent4 7 3 4" xfId="1909" xr:uid="{00000000-0005-0000-0000-0000351D0000}"/>
    <cellStyle name="20% - Accent4 7 3 4 2" xfId="14935" xr:uid="{00000000-0005-0000-0000-0000361D0000}"/>
    <cellStyle name="20% - Accent4 7 3 4 2 2" xfId="28484" xr:uid="{00000000-0005-0000-0000-0000371D0000}"/>
    <cellStyle name="20% - Accent4 7 3 4 3" xfId="19233" xr:uid="{00000000-0005-0000-0000-0000381D0000}"/>
    <cellStyle name="20% - Accent4 7 3 5" xfId="1910" xr:uid="{00000000-0005-0000-0000-0000391D0000}"/>
    <cellStyle name="20% - Accent4 7 3 5 2" xfId="16564" xr:uid="{00000000-0005-0000-0000-00003A1D0000}"/>
    <cellStyle name="20% - Accent4 7 3 5 2 2" xfId="29971" xr:uid="{00000000-0005-0000-0000-00003B1D0000}"/>
    <cellStyle name="20% - Accent4 7 3 5 3" xfId="19234" xr:uid="{00000000-0005-0000-0000-00003C1D0000}"/>
    <cellStyle name="20% - Accent4 7 3 6" xfId="9085" xr:uid="{00000000-0005-0000-0000-00003D1D0000}"/>
    <cellStyle name="20% - Accent4 7 3 6 2" xfId="23560" xr:uid="{00000000-0005-0000-0000-00003E1D0000}"/>
    <cellStyle name="20% - Accent4 7 3 7" xfId="19230" xr:uid="{00000000-0005-0000-0000-00003F1D0000}"/>
    <cellStyle name="20% - Accent4 7 4" xfId="1911" xr:uid="{00000000-0005-0000-0000-0000401D0000}"/>
    <cellStyle name="20% - Accent4 7 4 2" xfId="1912" xr:uid="{00000000-0005-0000-0000-0000411D0000}"/>
    <cellStyle name="20% - Accent4 7 4 2 2" xfId="14936" xr:uid="{00000000-0005-0000-0000-0000421D0000}"/>
    <cellStyle name="20% - Accent4 7 4 2 2 2" xfId="28485" xr:uid="{00000000-0005-0000-0000-0000431D0000}"/>
    <cellStyle name="20% - Accent4 7 4 2 3" xfId="19236" xr:uid="{00000000-0005-0000-0000-0000441D0000}"/>
    <cellStyle name="20% - Accent4 7 4 3" xfId="10807" xr:uid="{00000000-0005-0000-0000-0000451D0000}"/>
    <cellStyle name="20% - Accent4 7 4 3 2" xfId="24749" xr:uid="{00000000-0005-0000-0000-0000461D0000}"/>
    <cellStyle name="20% - Accent4 7 4 4" xfId="19235" xr:uid="{00000000-0005-0000-0000-0000471D0000}"/>
    <cellStyle name="20% - Accent4 7 5" xfId="1913" xr:uid="{00000000-0005-0000-0000-0000481D0000}"/>
    <cellStyle name="20% - Accent4 7 5 2" xfId="11939" xr:uid="{00000000-0005-0000-0000-0000491D0000}"/>
    <cellStyle name="20% - Accent4 7 5 2 2" xfId="25654" xr:uid="{00000000-0005-0000-0000-00004A1D0000}"/>
    <cellStyle name="20% - Accent4 7 5 3" xfId="19237" xr:uid="{00000000-0005-0000-0000-00004B1D0000}"/>
    <cellStyle name="20% - Accent4 7 6" xfId="1914" xr:uid="{00000000-0005-0000-0000-00004C1D0000}"/>
    <cellStyle name="20% - Accent4 7 6 2" xfId="12750" xr:uid="{00000000-0005-0000-0000-00004D1D0000}"/>
    <cellStyle name="20% - Accent4 7 6 2 2" xfId="26462" xr:uid="{00000000-0005-0000-0000-00004E1D0000}"/>
    <cellStyle name="20% - Accent4 7 6 3" xfId="19238" xr:uid="{00000000-0005-0000-0000-00004F1D0000}"/>
    <cellStyle name="20% - Accent4 7 7" xfId="1915" xr:uid="{00000000-0005-0000-0000-0000501D0000}"/>
    <cellStyle name="20% - Accent4 7 7 2" xfId="13516" xr:uid="{00000000-0005-0000-0000-0000511D0000}"/>
    <cellStyle name="20% - Accent4 7 7 2 2" xfId="27065" xr:uid="{00000000-0005-0000-0000-0000521D0000}"/>
    <cellStyle name="20% - Accent4 7 7 3" xfId="19239" xr:uid="{00000000-0005-0000-0000-0000531D0000}"/>
    <cellStyle name="20% - Accent4 7 8" xfId="1916" xr:uid="{00000000-0005-0000-0000-0000541D0000}"/>
    <cellStyle name="20% - Accent4 7 8 2" xfId="14097" xr:uid="{00000000-0005-0000-0000-0000551D0000}"/>
    <cellStyle name="20% - Accent4 7 8 2 2" xfId="27646" xr:uid="{00000000-0005-0000-0000-0000561D0000}"/>
    <cellStyle name="20% - Accent4 7 8 3" xfId="19240" xr:uid="{00000000-0005-0000-0000-0000571D0000}"/>
    <cellStyle name="20% - Accent4 7 9" xfId="1917" xr:uid="{00000000-0005-0000-0000-0000581D0000}"/>
    <cellStyle name="20% - Accent4 7 9 2" xfId="14931" xr:uid="{00000000-0005-0000-0000-0000591D0000}"/>
    <cellStyle name="20% - Accent4 7 9 2 2" xfId="28480" xr:uid="{00000000-0005-0000-0000-00005A1D0000}"/>
    <cellStyle name="20% - Accent4 7 9 3" xfId="19241" xr:uid="{00000000-0005-0000-0000-00005B1D0000}"/>
    <cellStyle name="20% - Accent4 8" xfId="1918" xr:uid="{00000000-0005-0000-0000-00005C1D0000}"/>
    <cellStyle name="20% - Accent4 8 10" xfId="9086" xr:uid="{00000000-0005-0000-0000-00005D1D0000}"/>
    <cellStyle name="20% - Accent4 8 10 2" xfId="23561" xr:uid="{00000000-0005-0000-0000-00005E1D0000}"/>
    <cellStyle name="20% - Accent4 8 11" xfId="19242" xr:uid="{00000000-0005-0000-0000-00005F1D0000}"/>
    <cellStyle name="20% - Accent4 8 2" xfId="1919" xr:uid="{00000000-0005-0000-0000-0000601D0000}"/>
    <cellStyle name="20% - Accent4 8 2 2" xfId="1920" xr:uid="{00000000-0005-0000-0000-0000611D0000}"/>
    <cellStyle name="20% - Accent4 8 2 2 2" xfId="10812" xr:uid="{00000000-0005-0000-0000-0000621D0000}"/>
    <cellStyle name="20% - Accent4 8 2 2 2 2" xfId="24754" xr:uid="{00000000-0005-0000-0000-0000631D0000}"/>
    <cellStyle name="20% - Accent4 8 2 2 3" xfId="19244" xr:uid="{00000000-0005-0000-0000-0000641D0000}"/>
    <cellStyle name="20% - Accent4 8 2 3" xfId="1921" xr:uid="{00000000-0005-0000-0000-0000651D0000}"/>
    <cellStyle name="20% - Accent4 8 2 3 2" xfId="12713" xr:uid="{00000000-0005-0000-0000-0000661D0000}"/>
    <cellStyle name="20% - Accent4 8 2 3 2 2" xfId="26425" xr:uid="{00000000-0005-0000-0000-0000671D0000}"/>
    <cellStyle name="20% - Accent4 8 2 3 3" xfId="19245" xr:uid="{00000000-0005-0000-0000-0000681D0000}"/>
    <cellStyle name="20% - Accent4 8 2 4" xfId="1922" xr:uid="{00000000-0005-0000-0000-0000691D0000}"/>
    <cellStyle name="20% - Accent4 8 2 4 2" xfId="14938" xr:uid="{00000000-0005-0000-0000-00006A1D0000}"/>
    <cellStyle name="20% - Accent4 8 2 4 2 2" xfId="28487" xr:uid="{00000000-0005-0000-0000-00006B1D0000}"/>
    <cellStyle name="20% - Accent4 8 2 4 3" xfId="19246" xr:uid="{00000000-0005-0000-0000-00006C1D0000}"/>
    <cellStyle name="20% - Accent4 8 2 5" xfId="1923" xr:uid="{00000000-0005-0000-0000-00006D1D0000}"/>
    <cellStyle name="20% - Accent4 8 2 5 2" xfId="16704" xr:uid="{00000000-0005-0000-0000-00006E1D0000}"/>
    <cellStyle name="20% - Accent4 8 2 5 2 2" xfId="30111" xr:uid="{00000000-0005-0000-0000-00006F1D0000}"/>
    <cellStyle name="20% - Accent4 8 2 5 3" xfId="19247" xr:uid="{00000000-0005-0000-0000-0000701D0000}"/>
    <cellStyle name="20% - Accent4 8 2 6" xfId="9087" xr:uid="{00000000-0005-0000-0000-0000711D0000}"/>
    <cellStyle name="20% - Accent4 8 2 6 2" xfId="23562" xr:uid="{00000000-0005-0000-0000-0000721D0000}"/>
    <cellStyle name="20% - Accent4 8 2 7" xfId="19243" xr:uid="{00000000-0005-0000-0000-0000731D0000}"/>
    <cellStyle name="20% - Accent4 8 3" xfId="1924" xr:uid="{00000000-0005-0000-0000-0000741D0000}"/>
    <cellStyle name="20% - Accent4 8 3 2" xfId="1925" xr:uid="{00000000-0005-0000-0000-0000751D0000}"/>
    <cellStyle name="20% - Accent4 8 3 2 2" xfId="14939" xr:uid="{00000000-0005-0000-0000-0000761D0000}"/>
    <cellStyle name="20% - Accent4 8 3 2 2 2" xfId="28488" xr:uid="{00000000-0005-0000-0000-0000771D0000}"/>
    <cellStyle name="20% - Accent4 8 3 2 3" xfId="19249" xr:uid="{00000000-0005-0000-0000-0000781D0000}"/>
    <cellStyle name="20% - Accent4 8 3 3" xfId="10811" xr:uid="{00000000-0005-0000-0000-0000791D0000}"/>
    <cellStyle name="20% - Accent4 8 3 3 2" xfId="24753" xr:uid="{00000000-0005-0000-0000-00007A1D0000}"/>
    <cellStyle name="20% - Accent4 8 3 4" xfId="19248" xr:uid="{00000000-0005-0000-0000-00007B1D0000}"/>
    <cellStyle name="20% - Accent4 8 4" xfId="1926" xr:uid="{00000000-0005-0000-0000-00007C1D0000}"/>
    <cellStyle name="20% - Accent4 8 4 2" xfId="12082" xr:uid="{00000000-0005-0000-0000-00007D1D0000}"/>
    <cellStyle name="20% - Accent4 8 4 2 2" xfId="25796" xr:uid="{00000000-0005-0000-0000-00007E1D0000}"/>
    <cellStyle name="20% - Accent4 8 4 3" xfId="19250" xr:uid="{00000000-0005-0000-0000-00007F1D0000}"/>
    <cellStyle name="20% - Accent4 8 5" xfId="1927" xr:uid="{00000000-0005-0000-0000-0000801D0000}"/>
    <cellStyle name="20% - Accent4 8 5 2" xfId="12489" xr:uid="{00000000-0005-0000-0000-0000811D0000}"/>
    <cellStyle name="20% - Accent4 8 5 2 2" xfId="26201" xr:uid="{00000000-0005-0000-0000-0000821D0000}"/>
    <cellStyle name="20% - Accent4 8 5 3" xfId="19251" xr:uid="{00000000-0005-0000-0000-0000831D0000}"/>
    <cellStyle name="20% - Accent4 8 6" xfId="1928" xr:uid="{00000000-0005-0000-0000-0000841D0000}"/>
    <cellStyle name="20% - Accent4 8 6 2" xfId="13656" xr:uid="{00000000-0005-0000-0000-0000851D0000}"/>
    <cellStyle name="20% - Accent4 8 6 2 2" xfId="27205" xr:uid="{00000000-0005-0000-0000-0000861D0000}"/>
    <cellStyle name="20% - Accent4 8 6 3" xfId="19252" xr:uid="{00000000-0005-0000-0000-0000871D0000}"/>
    <cellStyle name="20% - Accent4 8 7" xfId="1929" xr:uid="{00000000-0005-0000-0000-0000881D0000}"/>
    <cellStyle name="20% - Accent4 8 7 2" xfId="14237" xr:uid="{00000000-0005-0000-0000-0000891D0000}"/>
    <cellStyle name="20% - Accent4 8 7 2 2" xfId="27786" xr:uid="{00000000-0005-0000-0000-00008A1D0000}"/>
    <cellStyle name="20% - Accent4 8 7 3" xfId="19253" xr:uid="{00000000-0005-0000-0000-00008B1D0000}"/>
    <cellStyle name="20% - Accent4 8 8" xfId="1930" xr:uid="{00000000-0005-0000-0000-00008C1D0000}"/>
    <cellStyle name="20% - Accent4 8 8 2" xfId="14937" xr:uid="{00000000-0005-0000-0000-00008D1D0000}"/>
    <cellStyle name="20% - Accent4 8 8 2 2" xfId="28486" xr:uid="{00000000-0005-0000-0000-00008E1D0000}"/>
    <cellStyle name="20% - Accent4 8 8 3" xfId="19254" xr:uid="{00000000-0005-0000-0000-00008F1D0000}"/>
    <cellStyle name="20% - Accent4 8 9" xfId="1931" xr:uid="{00000000-0005-0000-0000-0000901D0000}"/>
    <cellStyle name="20% - Accent4 8 9 2" xfId="16123" xr:uid="{00000000-0005-0000-0000-0000911D0000}"/>
    <cellStyle name="20% - Accent4 8 9 2 2" xfId="29530" xr:uid="{00000000-0005-0000-0000-0000921D0000}"/>
    <cellStyle name="20% - Accent4 8 9 3" xfId="19255" xr:uid="{00000000-0005-0000-0000-0000931D0000}"/>
    <cellStyle name="20% - Accent4 9" xfId="1932" xr:uid="{00000000-0005-0000-0000-0000941D0000}"/>
    <cellStyle name="20% - Accent4 9 2" xfId="1933" xr:uid="{00000000-0005-0000-0000-0000951D0000}"/>
    <cellStyle name="20% - Accent4 9 2 2" xfId="10813" xr:uid="{00000000-0005-0000-0000-0000961D0000}"/>
    <cellStyle name="20% - Accent4 9 2 2 2" xfId="24755" xr:uid="{00000000-0005-0000-0000-0000971D0000}"/>
    <cellStyle name="20% - Accent4 9 2 3" xfId="19257" xr:uid="{00000000-0005-0000-0000-0000981D0000}"/>
    <cellStyle name="20% - Accent4 9 3" xfId="1934" xr:uid="{00000000-0005-0000-0000-0000991D0000}"/>
    <cellStyle name="20% - Accent4 9 3 2" xfId="12627" xr:uid="{00000000-0005-0000-0000-00009A1D0000}"/>
    <cellStyle name="20% - Accent4 9 3 2 2" xfId="26339" xr:uid="{00000000-0005-0000-0000-00009B1D0000}"/>
    <cellStyle name="20% - Accent4 9 3 3" xfId="19258" xr:uid="{00000000-0005-0000-0000-00009C1D0000}"/>
    <cellStyle name="20% - Accent4 9 4" xfId="1935" xr:uid="{00000000-0005-0000-0000-00009D1D0000}"/>
    <cellStyle name="20% - Accent4 9 4 2" xfId="14940" xr:uid="{00000000-0005-0000-0000-00009E1D0000}"/>
    <cellStyle name="20% - Accent4 9 4 2 2" xfId="28489" xr:uid="{00000000-0005-0000-0000-00009F1D0000}"/>
    <cellStyle name="20% - Accent4 9 4 3" xfId="19259" xr:uid="{00000000-0005-0000-0000-0000A01D0000}"/>
    <cellStyle name="20% - Accent4 9 5" xfId="1936" xr:uid="{00000000-0005-0000-0000-0000A11D0000}"/>
    <cellStyle name="20% - Accent4 9 5 2" xfId="17088" xr:uid="{00000000-0005-0000-0000-0000A21D0000}"/>
    <cellStyle name="20% - Accent4 9 5 2 2" xfId="30447" xr:uid="{00000000-0005-0000-0000-0000A31D0000}"/>
    <cellStyle name="20% - Accent4 9 5 3" xfId="19260" xr:uid="{00000000-0005-0000-0000-0000A41D0000}"/>
    <cellStyle name="20% - Accent4 9 6" xfId="9088" xr:uid="{00000000-0005-0000-0000-0000A51D0000}"/>
    <cellStyle name="20% - Accent4 9 6 2" xfId="23563" xr:uid="{00000000-0005-0000-0000-0000A61D0000}"/>
    <cellStyle name="20% - Accent4 9 7" xfId="19256" xr:uid="{00000000-0005-0000-0000-0000A71D0000}"/>
    <cellStyle name="20% - Accent5" xfId="33" builtinId="46" customBuiltin="1"/>
    <cellStyle name="20% - Accent5 10" xfId="1937" xr:uid="{00000000-0005-0000-0000-0000A91D0000}"/>
    <cellStyle name="20% - Accent5 10 2" xfId="1938" xr:uid="{00000000-0005-0000-0000-0000AA1D0000}"/>
    <cellStyle name="20% - Accent5 10 2 2" xfId="12428" xr:uid="{00000000-0005-0000-0000-0000AB1D0000}"/>
    <cellStyle name="20% - Accent5 10 2 2 2" xfId="26140" xr:uid="{00000000-0005-0000-0000-0000AC1D0000}"/>
    <cellStyle name="20% - Accent5 10 2 3" xfId="19263" xr:uid="{00000000-0005-0000-0000-0000AD1D0000}"/>
    <cellStyle name="20% - Accent5 10 3" xfId="1939" xr:uid="{00000000-0005-0000-0000-0000AE1D0000}"/>
    <cellStyle name="20% - Accent5 10 3 2" xfId="14941" xr:uid="{00000000-0005-0000-0000-0000AF1D0000}"/>
    <cellStyle name="20% - Accent5 10 3 2 2" xfId="28490" xr:uid="{00000000-0005-0000-0000-0000B01D0000}"/>
    <cellStyle name="20% - Accent5 10 3 3" xfId="19264" xr:uid="{00000000-0005-0000-0000-0000B11D0000}"/>
    <cellStyle name="20% - Accent5 10 4" xfId="1940" xr:uid="{00000000-0005-0000-0000-0000B21D0000}"/>
    <cellStyle name="20% - Accent5 10 4 2" xfId="17178" xr:uid="{00000000-0005-0000-0000-0000B31D0000}"/>
    <cellStyle name="20% - Accent5 10 4 2 2" xfId="30537" xr:uid="{00000000-0005-0000-0000-0000B41D0000}"/>
    <cellStyle name="20% - Accent5 10 4 3" xfId="19265" xr:uid="{00000000-0005-0000-0000-0000B51D0000}"/>
    <cellStyle name="20% - Accent5 10 5" xfId="10496" xr:uid="{00000000-0005-0000-0000-0000B61D0000}"/>
    <cellStyle name="20% - Accent5 10 5 2" xfId="24444" xr:uid="{00000000-0005-0000-0000-0000B71D0000}"/>
    <cellStyle name="20% - Accent5 10 6" xfId="19262" xr:uid="{00000000-0005-0000-0000-0000B81D0000}"/>
    <cellStyle name="20% - Accent5 11" xfId="1941" xr:uid="{00000000-0005-0000-0000-0000B91D0000}"/>
    <cellStyle name="20% - Accent5 11 2" xfId="1942" xr:uid="{00000000-0005-0000-0000-0000BA1D0000}"/>
    <cellStyle name="20% - Accent5 11 2 2" xfId="12429" xr:uid="{00000000-0005-0000-0000-0000BB1D0000}"/>
    <cellStyle name="20% - Accent5 11 2 2 2" xfId="26141" xr:uid="{00000000-0005-0000-0000-0000BC1D0000}"/>
    <cellStyle name="20% - Accent5 11 2 3" xfId="19267" xr:uid="{00000000-0005-0000-0000-0000BD1D0000}"/>
    <cellStyle name="20% - Accent5 11 3" xfId="1943" xr:uid="{00000000-0005-0000-0000-0000BE1D0000}"/>
    <cellStyle name="20% - Accent5 11 3 2" xfId="14942" xr:uid="{00000000-0005-0000-0000-0000BF1D0000}"/>
    <cellStyle name="20% - Accent5 11 3 2 2" xfId="28491" xr:uid="{00000000-0005-0000-0000-0000C01D0000}"/>
    <cellStyle name="20% - Accent5 11 3 3" xfId="19268" xr:uid="{00000000-0005-0000-0000-0000C11D0000}"/>
    <cellStyle name="20% - Accent5 11 4" xfId="1944" xr:uid="{00000000-0005-0000-0000-0000C21D0000}"/>
    <cellStyle name="20% - Accent5 11 4 2" xfId="17267" xr:uid="{00000000-0005-0000-0000-0000C31D0000}"/>
    <cellStyle name="20% - Accent5 11 4 2 2" xfId="30626" xr:uid="{00000000-0005-0000-0000-0000C41D0000}"/>
    <cellStyle name="20% - Accent5 11 4 3" xfId="19269" xr:uid="{00000000-0005-0000-0000-0000C51D0000}"/>
    <cellStyle name="20% - Accent5 11 5" xfId="10814" xr:uid="{00000000-0005-0000-0000-0000C61D0000}"/>
    <cellStyle name="20% - Accent5 11 5 2" xfId="24756" xr:uid="{00000000-0005-0000-0000-0000C71D0000}"/>
    <cellStyle name="20% - Accent5 11 6" xfId="19266" xr:uid="{00000000-0005-0000-0000-0000C81D0000}"/>
    <cellStyle name="20% - Accent5 12" xfId="1945" xr:uid="{00000000-0005-0000-0000-0000C91D0000}"/>
    <cellStyle name="20% - Accent5 12 2" xfId="1946" xr:uid="{00000000-0005-0000-0000-0000CA1D0000}"/>
    <cellStyle name="20% - Accent5 12 2 2" xfId="16419" xr:uid="{00000000-0005-0000-0000-0000CB1D0000}"/>
    <cellStyle name="20% - Accent5 12 2 2 2" xfId="29826" xr:uid="{00000000-0005-0000-0000-0000CC1D0000}"/>
    <cellStyle name="20% - Accent5 12 2 3" xfId="19271" xr:uid="{00000000-0005-0000-0000-0000CD1D0000}"/>
    <cellStyle name="20% - Accent5 12 3" xfId="11732" xr:uid="{00000000-0005-0000-0000-0000CE1D0000}"/>
    <cellStyle name="20% - Accent5 12 3 2" xfId="25447" xr:uid="{00000000-0005-0000-0000-0000CF1D0000}"/>
    <cellStyle name="20% - Accent5 12 4" xfId="19270" xr:uid="{00000000-0005-0000-0000-0000D01D0000}"/>
    <cellStyle name="20% - Accent5 13" xfId="1947" xr:uid="{00000000-0005-0000-0000-0000D11D0000}"/>
    <cellStyle name="20% - Accent5 13 2" xfId="13371" xr:uid="{00000000-0005-0000-0000-0000D21D0000}"/>
    <cellStyle name="20% - Accent5 13 2 2" xfId="26920" xr:uid="{00000000-0005-0000-0000-0000D31D0000}"/>
    <cellStyle name="20% - Accent5 13 3" xfId="19272" xr:uid="{00000000-0005-0000-0000-0000D41D0000}"/>
    <cellStyle name="20% - Accent5 14" xfId="1948" xr:uid="{00000000-0005-0000-0000-0000D51D0000}"/>
    <cellStyle name="20% - Accent5 14 2" xfId="13952" xr:uid="{00000000-0005-0000-0000-0000D61D0000}"/>
    <cellStyle name="20% - Accent5 14 2 2" xfId="27501" xr:uid="{00000000-0005-0000-0000-0000D71D0000}"/>
    <cellStyle name="20% - Accent5 14 3" xfId="19273" xr:uid="{00000000-0005-0000-0000-0000D81D0000}"/>
    <cellStyle name="20% - Accent5 15" xfId="1949" xr:uid="{00000000-0005-0000-0000-0000D91D0000}"/>
    <cellStyle name="20% - Accent5 15 2" xfId="15825" xr:uid="{00000000-0005-0000-0000-0000DA1D0000}"/>
    <cellStyle name="20% - Accent5 15 2 2" xfId="29232" xr:uid="{00000000-0005-0000-0000-0000DB1D0000}"/>
    <cellStyle name="20% - Accent5 15 3" xfId="19274" xr:uid="{00000000-0005-0000-0000-0000DC1D0000}"/>
    <cellStyle name="20% - Accent5 16" xfId="1950" xr:uid="{00000000-0005-0000-0000-0000DD1D0000}"/>
    <cellStyle name="20% - Accent5 16 2" xfId="15838" xr:uid="{00000000-0005-0000-0000-0000DE1D0000}"/>
    <cellStyle name="20% - Accent5 16 2 2" xfId="29245" xr:uid="{00000000-0005-0000-0000-0000DF1D0000}"/>
    <cellStyle name="20% - Accent5 16 3" xfId="19275" xr:uid="{00000000-0005-0000-0000-0000E01D0000}"/>
    <cellStyle name="20% - Accent5 17" xfId="8807" xr:uid="{00000000-0005-0000-0000-0000E11D0000}"/>
    <cellStyle name="20% - Accent5 17 2" xfId="23283" xr:uid="{00000000-0005-0000-0000-0000E21D0000}"/>
    <cellStyle name="20% - Accent5 18" xfId="19261" xr:uid="{00000000-0005-0000-0000-0000E31D0000}"/>
    <cellStyle name="20% - Accent5 2" xfId="1951" xr:uid="{00000000-0005-0000-0000-0000E41D0000}"/>
    <cellStyle name="20% - Accent5 2 10" xfId="1952" xr:uid="{00000000-0005-0000-0000-0000E51D0000}"/>
    <cellStyle name="20% - Accent5 2 10 2" xfId="15899" xr:uid="{00000000-0005-0000-0000-0000E61D0000}"/>
    <cellStyle name="20% - Accent5 2 10 2 2" xfId="29306" xr:uid="{00000000-0005-0000-0000-0000E71D0000}"/>
    <cellStyle name="20% - Accent5 2 10 3" xfId="19277" xr:uid="{00000000-0005-0000-0000-0000E81D0000}"/>
    <cellStyle name="20% - Accent5 2 11" xfId="9089" xr:uid="{00000000-0005-0000-0000-0000E91D0000}"/>
    <cellStyle name="20% - Accent5 2 11 2" xfId="23564" xr:uid="{00000000-0005-0000-0000-0000EA1D0000}"/>
    <cellStyle name="20% - Accent5 2 12" xfId="19276" xr:uid="{00000000-0005-0000-0000-0000EB1D0000}"/>
    <cellStyle name="20% - Accent5 2 2" xfId="1953" xr:uid="{00000000-0005-0000-0000-0000EC1D0000}"/>
    <cellStyle name="20% - Accent5 2 2 10" xfId="19278" xr:uid="{00000000-0005-0000-0000-0000ED1D0000}"/>
    <cellStyle name="20% - Accent5 2 2 2" xfId="1954" xr:uid="{00000000-0005-0000-0000-0000EE1D0000}"/>
    <cellStyle name="20% - Accent5 2 2 2 2" xfId="1955" xr:uid="{00000000-0005-0000-0000-0000EF1D0000}"/>
    <cellStyle name="20% - Accent5 2 2 2 2 2" xfId="1956" xr:uid="{00000000-0005-0000-0000-0000F01D0000}"/>
    <cellStyle name="20% - Accent5 2 2 2 2 2 2" xfId="1957" xr:uid="{00000000-0005-0000-0000-0000F11D0000}"/>
    <cellStyle name="20% - Accent5 2 2 2 2 2 2 2" xfId="16958" xr:uid="{00000000-0005-0000-0000-0000F21D0000}"/>
    <cellStyle name="20% - Accent5 2 2 2 2 2 2 2 2" xfId="30365" xr:uid="{00000000-0005-0000-0000-0000F31D0000}"/>
    <cellStyle name="20% - Accent5 2 2 2 2 2 2 3" xfId="19282" xr:uid="{00000000-0005-0000-0000-0000F41D0000}"/>
    <cellStyle name="20% - Accent5 2 2 2 2 2 3" xfId="10818" xr:uid="{00000000-0005-0000-0000-0000F51D0000}"/>
    <cellStyle name="20% - Accent5 2 2 2 2 2 3 2" xfId="24760" xr:uid="{00000000-0005-0000-0000-0000F61D0000}"/>
    <cellStyle name="20% - Accent5 2 2 2 2 2 4" xfId="19281" xr:uid="{00000000-0005-0000-0000-0000F71D0000}"/>
    <cellStyle name="20% - Accent5 2 2 2 2 3" xfId="1958" xr:uid="{00000000-0005-0000-0000-0000F81D0000}"/>
    <cellStyle name="20% - Accent5 2 2 2 2 3 2" xfId="12346" xr:uid="{00000000-0005-0000-0000-0000F91D0000}"/>
    <cellStyle name="20% - Accent5 2 2 2 2 3 2 2" xfId="26058" xr:uid="{00000000-0005-0000-0000-0000FA1D0000}"/>
    <cellStyle name="20% - Accent5 2 2 2 2 3 3" xfId="19283" xr:uid="{00000000-0005-0000-0000-0000FB1D0000}"/>
    <cellStyle name="20% - Accent5 2 2 2 2 4" xfId="1959" xr:uid="{00000000-0005-0000-0000-0000FC1D0000}"/>
    <cellStyle name="20% - Accent5 2 2 2 2 4 2" xfId="13910" xr:uid="{00000000-0005-0000-0000-0000FD1D0000}"/>
    <cellStyle name="20% - Accent5 2 2 2 2 4 2 2" xfId="27459" xr:uid="{00000000-0005-0000-0000-0000FE1D0000}"/>
    <cellStyle name="20% - Accent5 2 2 2 2 4 3" xfId="19284" xr:uid="{00000000-0005-0000-0000-0000FF1D0000}"/>
    <cellStyle name="20% - Accent5 2 2 2 2 5" xfId="1960" xr:uid="{00000000-0005-0000-0000-0000001E0000}"/>
    <cellStyle name="20% - Accent5 2 2 2 2 5 2" xfId="14491" xr:uid="{00000000-0005-0000-0000-0000011E0000}"/>
    <cellStyle name="20% - Accent5 2 2 2 2 5 2 2" xfId="28040" xr:uid="{00000000-0005-0000-0000-0000021E0000}"/>
    <cellStyle name="20% - Accent5 2 2 2 2 5 3" xfId="19285" xr:uid="{00000000-0005-0000-0000-0000031E0000}"/>
    <cellStyle name="20% - Accent5 2 2 2 2 6" xfId="1961" xr:uid="{00000000-0005-0000-0000-0000041E0000}"/>
    <cellStyle name="20% - Accent5 2 2 2 2 6 2" xfId="16377" xr:uid="{00000000-0005-0000-0000-0000051E0000}"/>
    <cellStyle name="20% - Accent5 2 2 2 2 6 2 2" xfId="29784" xr:uid="{00000000-0005-0000-0000-0000061E0000}"/>
    <cellStyle name="20% - Accent5 2 2 2 2 6 3" xfId="19286" xr:uid="{00000000-0005-0000-0000-0000071E0000}"/>
    <cellStyle name="20% - Accent5 2 2 2 2 7" xfId="9092" xr:uid="{00000000-0005-0000-0000-0000081E0000}"/>
    <cellStyle name="20% - Accent5 2 2 2 2 7 2" xfId="23567" xr:uid="{00000000-0005-0000-0000-0000091E0000}"/>
    <cellStyle name="20% - Accent5 2 2 2 2 8" xfId="19280" xr:uid="{00000000-0005-0000-0000-00000A1E0000}"/>
    <cellStyle name="20% - Accent5 2 2 2 3" xfId="1962" xr:uid="{00000000-0005-0000-0000-00000B1E0000}"/>
    <cellStyle name="20% - Accent5 2 2 2 3 2" xfId="1963" xr:uid="{00000000-0005-0000-0000-00000C1E0000}"/>
    <cellStyle name="20% - Accent5 2 2 2 3 2 2" xfId="16669" xr:uid="{00000000-0005-0000-0000-00000D1E0000}"/>
    <cellStyle name="20% - Accent5 2 2 2 3 2 2 2" xfId="30076" xr:uid="{00000000-0005-0000-0000-00000E1E0000}"/>
    <cellStyle name="20% - Accent5 2 2 2 3 2 3" xfId="19288" xr:uid="{00000000-0005-0000-0000-00000F1E0000}"/>
    <cellStyle name="20% - Accent5 2 2 2 3 3" xfId="10817" xr:uid="{00000000-0005-0000-0000-0000101E0000}"/>
    <cellStyle name="20% - Accent5 2 2 2 3 3 2" xfId="24759" xr:uid="{00000000-0005-0000-0000-0000111E0000}"/>
    <cellStyle name="20% - Accent5 2 2 2 3 4" xfId="19287" xr:uid="{00000000-0005-0000-0000-0000121E0000}"/>
    <cellStyle name="20% - Accent5 2 2 2 4" xfId="1964" xr:uid="{00000000-0005-0000-0000-0000131E0000}"/>
    <cellStyle name="20% - Accent5 2 2 2 4 2" xfId="12046" xr:uid="{00000000-0005-0000-0000-0000141E0000}"/>
    <cellStyle name="20% - Accent5 2 2 2 4 2 2" xfId="25761" xr:uid="{00000000-0005-0000-0000-0000151E0000}"/>
    <cellStyle name="20% - Accent5 2 2 2 4 3" xfId="19289" xr:uid="{00000000-0005-0000-0000-0000161E0000}"/>
    <cellStyle name="20% - Accent5 2 2 2 5" xfId="1965" xr:uid="{00000000-0005-0000-0000-0000171E0000}"/>
    <cellStyle name="20% - Accent5 2 2 2 5 2" xfId="13621" xr:uid="{00000000-0005-0000-0000-0000181E0000}"/>
    <cellStyle name="20% - Accent5 2 2 2 5 2 2" xfId="27170" xr:uid="{00000000-0005-0000-0000-0000191E0000}"/>
    <cellStyle name="20% - Accent5 2 2 2 5 3" xfId="19290" xr:uid="{00000000-0005-0000-0000-00001A1E0000}"/>
    <cellStyle name="20% - Accent5 2 2 2 6" xfId="1966" xr:uid="{00000000-0005-0000-0000-00001B1E0000}"/>
    <cellStyle name="20% - Accent5 2 2 2 6 2" xfId="14202" xr:uid="{00000000-0005-0000-0000-00001C1E0000}"/>
    <cellStyle name="20% - Accent5 2 2 2 6 2 2" xfId="27751" xr:uid="{00000000-0005-0000-0000-00001D1E0000}"/>
    <cellStyle name="20% - Accent5 2 2 2 6 3" xfId="19291" xr:uid="{00000000-0005-0000-0000-00001E1E0000}"/>
    <cellStyle name="20% - Accent5 2 2 2 7" xfId="1967" xr:uid="{00000000-0005-0000-0000-00001F1E0000}"/>
    <cellStyle name="20% - Accent5 2 2 2 7 2" xfId="16088" xr:uid="{00000000-0005-0000-0000-0000201E0000}"/>
    <cellStyle name="20% - Accent5 2 2 2 7 2 2" xfId="29495" xr:uid="{00000000-0005-0000-0000-0000211E0000}"/>
    <cellStyle name="20% - Accent5 2 2 2 7 3" xfId="19292" xr:uid="{00000000-0005-0000-0000-0000221E0000}"/>
    <cellStyle name="20% - Accent5 2 2 2 8" xfId="9091" xr:uid="{00000000-0005-0000-0000-0000231E0000}"/>
    <cellStyle name="20% - Accent5 2 2 2 8 2" xfId="23566" xr:uid="{00000000-0005-0000-0000-0000241E0000}"/>
    <cellStyle name="20% - Accent5 2 2 2 9" xfId="19279" xr:uid="{00000000-0005-0000-0000-0000251E0000}"/>
    <cellStyle name="20% - Accent5 2 2 3" xfId="1968" xr:uid="{00000000-0005-0000-0000-0000261E0000}"/>
    <cellStyle name="20% - Accent5 2 2 3 2" xfId="1969" xr:uid="{00000000-0005-0000-0000-0000271E0000}"/>
    <cellStyle name="20% - Accent5 2 2 3 2 2" xfId="1970" xr:uid="{00000000-0005-0000-0000-0000281E0000}"/>
    <cellStyle name="20% - Accent5 2 2 3 2 2 2" xfId="16815" xr:uid="{00000000-0005-0000-0000-0000291E0000}"/>
    <cellStyle name="20% - Accent5 2 2 3 2 2 2 2" xfId="30222" xr:uid="{00000000-0005-0000-0000-00002A1E0000}"/>
    <cellStyle name="20% - Accent5 2 2 3 2 2 3" xfId="19295" xr:uid="{00000000-0005-0000-0000-00002B1E0000}"/>
    <cellStyle name="20% - Accent5 2 2 3 2 3" xfId="10819" xr:uid="{00000000-0005-0000-0000-00002C1E0000}"/>
    <cellStyle name="20% - Accent5 2 2 3 2 3 2" xfId="24761" xr:uid="{00000000-0005-0000-0000-00002D1E0000}"/>
    <cellStyle name="20% - Accent5 2 2 3 2 4" xfId="19294" xr:uid="{00000000-0005-0000-0000-00002E1E0000}"/>
    <cellStyle name="20% - Accent5 2 2 3 3" xfId="1971" xr:uid="{00000000-0005-0000-0000-00002F1E0000}"/>
    <cellStyle name="20% - Accent5 2 2 3 3 2" xfId="12203" xr:uid="{00000000-0005-0000-0000-0000301E0000}"/>
    <cellStyle name="20% - Accent5 2 2 3 3 2 2" xfId="25915" xr:uid="{00000000-0005-0000-0000-0000311E0000}"/>
    <cellStyle name="20% - Accent5 2 2 3 3 3" xfId="19296" xr:uid="{00000000-0005-0000-0000-0000321E0000}"/>
    <cellStyle name="20% - Accent5 2 2 3 4" xfId="1972" xr:uid="{00000000-0005-0000-0000-0000331E0000}"/>
    <cellStyle name="20% - Accent5 2 2 3 4 2" xfId="13767" xr:uid="{00000000-0005-0000-0000-0000341E0000}"/>
    <cellStyle name="20% - Accent5 2 2 3 4 2 2" xfId="27316" xr:uid="{00000000-0005-0000-0000-0000351E0000}"/>
    <cellStyle name="20% - Accent5 2 2 3 4 3" xfId="19297" xr:uid="{00000000-0005-0000-0000-0000361E0000}"/>
    <cellStyle name="20% - Accent5 2 2 3 5" xfId="1973" xr:uid="{00000000-0005-0000-0000-0000371E0000}"/>
    <cellStyle name="20% - Accent5 2 2 3 5 2" xfId="14348" xr:uid="{00000000-0005-0000-0000-0000381E0000}"/>
    <cellStyle name="20% - Accent5 2 2 3 5 2 2" xfId="27897" xr:uid="{00000000-0005-0000-0000-0000391E0000}"/>
    <cellStyle name="20% - Accent5 2 2 3 5 3" xfId="19298" xr:uid="{00000000-0005-0000-0000-00003A1E0000}"/>
    <cellStyle name="20% - Accent5 2 2 3 6" xfId="1974" xr:uid="{00000000-0005-0000-0000-00003B1E0000}"/>
    <cellStyle name="20% - Accent5 2 2 3 6 2" xfId="16234" xr:uid="{00000000-0005-0000-0000-00003C1E0000}"/>
    <cellStyle name="20% - Accent5 2 2 3 6 2 2" xfId="29641" xr:uid="{00000000-0005-0000-0000-00003D1E0000}"/>
    <cellStyle name="20% - Accent5 2 2 3 6 3" xfId="19299" xr:uid="{00000000-0005-0000-0000-00003E1E0000}"/>
    <cellStyle name="20% - Accent5 2 2 3 7" xfId="9093" xr:uid="{00000000-0005-0000-0000-00003F1E0000}"/>
    <cellStyle name="20% - Accent5 2 2 3 7 2" xfId="23568" xr:uid="{00000000-0005-0000-0000-0000401E0000}"/>
    <cellStyle name="20% - Accent5 2 2 3 8" xfId="19293" xr:uid="{00000000-0005-0000-0000-0000411E0000}"/>
    <cellStyle name="20% - Accent5 2 2 4" xfId="1975" xr:uid="{00000000-0005-0000-0000-0000421E0000}"/>
    <cellStyle name="20% - Accent5 2 2 4 2" xfId="1976" xr:uid="{00000000-0005-0000-0000-0000431E0000}"/>
    <cellStyle name="20% - Accent5 2 2 4 2 2" xfId="17162" xr:uid="{00000000-0005-0000-0000-0000441E0000}"/>
    <cellStyle name="20% - Accent5 2 2 4 2 2 2" xfId="30521" xr:uid="{00000000-0005-0000-0000-0000451E0000}"/>
    <cellStyle name="20% - Accent5 2 2 4 2 3" xfId="19301" xr:uid="{00000000-0005-0000-0000-0000461E0000}"/>
    <cellStyle name="20% - Accent5 2 2 4 3" xfId="10816" xr:uid="{00000000-0005-0000-0000-0000471E0000}"/>
    <cellStyle name="20% - Accent5 2 2 4 3 2" xfId="24758" xr:uid="{00000000-0005-0000-0000-0000481E0000}"/>
    <cellStyle name="20% - Accent5 2 2 4 4" xfId="19300" xr:uid="{00000000-0005-0000-0000-0000491E0000}"/>
    <cellStyle name="20% - Accent5 2 2 5" xfId="1977" xr:uid="{00000000-0005-0000-0000-00004A1E0000}"/>
    <cellStyle name="20% - Accent5 2 2 5 2" xfId="1978" xr:uid="{00000000-0005-0000-0000-00004B1E0000}"/>
    <cellStyle name="20% - Accent5 2 2 5 2 2" xfId="17251" xr:uid="{00000000-0005-0000-0000-00004C1E0000}"/>
    <cellStyle name="20% - Accent5 2 2 5 2 2 2" xfId="30610" xr:uid="{00000000-0005-0000-0000-00004D1E0000}"/>
    <cellStyle name="20% - Accent5 2 2 5 2 3" xfId="19303" xr:uid="{00000000-0005-0000-0000-00004E1E0000}"/>
    <cellStyle name="20% - Accent5 2 2 5 3" xfId="11901" xr:uid="{00000000-0005-0000-0000-00004F1E0000}"/>
    <cellStyle name="20% - Accent5 2 2 5 3 2" xfId="25616" xr:uid="{00000000-0005-0000-0000-0000501E0000}"/>
    <cellStyle name="20% - Accent5 2 2 5 4" xfId="19302" xr:uid="{00000000-0005-0000-0000-0000511E0000}"/>
    <cellStyle name="20% - Accent5 2 2 6" xfId="1979" xr:uid="{00000000-0005-0000-0000-0000521E0000}"/>
    <cellStyle name="20% - Accent5 2 2 6 2" xfId="1980" xr:uid="{00000000-0005-0000-0000-0000531E0000}"/>
    <cellStyle name="20% - Accent5 2 2 6 2 2" xfId="16526" xr:uid="{00000000-0005-0000-0000-0000541E0000}"/>
    <cellStyle name="20% - Accent5 2 2 6 2 2 2" xfId="29933" xr:uid="{00000000-0005-0000-0000-0000551E0000}"/>
    <cellStyle name="20% - Accent5 2 2 6 2 3" xfId="19305" xr:uid="{00000000-0005-0000-0000-0000561E0000}"/>
    <cellStyle name="20% - Accent5 2 2 6 3" xfId="13478" xr:uid="{00000000-0005-0000-0000-0000571E0000}"/>
    <cellStyle name="20% - Accent5 2 2 6 3 2" xfId="27027" xr:uid="{00000000-0005-0000-0000-0000581E0000}"/>
    <cellStyle name="20% - Accent5 2 2 6 4" xfId="19304" xr:uid="{00000000-0005-0000-0000-0000591E0000}"/>
    <cellStyle name="20% - Accent5 2 2 7" xfId="1981" xr:uid="{00000000-0005-0000-0000-00005A1E0000}"/>
    <cellStyle name="20% - Accent5 2 2 7 2" xfId="14059" xr:uid="{00000000-0005-0000-0000-00005B1E0000}"/>
    <cellStyle name="20% - Accent5 2 2 7 2 2" xfId="27608" xr:uid="{00000000-0005-0000-0000-00005C1E0000}"/>
    <cellStyle name="20% - Accent5 2 2 7 3" xfId="19306" xr:uid="{00000000-0005-0000-0000-00005D1E0000}"/>
    <cellStyle name="20% - Accent5 2 2 8" xfId="1982" xr:uid="{00000000-0005-0000-0000-00005E1E0000}"/>
    <cellStyle name="20% - Accent5 2 2 8 2" xfId="15945" xr:uid="{00000000-0005-0000-0000-00005F1E0000}"/>
    <cellStyle name="20% - Accent5 2 2 8 2 2" xfId="29352" xr:uid="{00000000-0005-0000-0000-0000601E0000}"/>
    <cellStyle name="20% - Accent5 2 2 8 3" xfId="19307" xr:uid="{00000000-0005-0000-0000-0000611E0000}"/>
    <cellStyle name="20% - Accent5 2 2 9" xfId="9090" xr:uid="{00000000-0005-0000-0000-0000621E0000}"/>
    <cellStyle name="20% - Accent5 2 2 9 2" xfId="23565" xr:uid="{00000000-0005-0000-0000-0000631E0000}"/>
    <cellStyle name="20% - Accent5 2 3" xfId="1983" xr:uid="{00000000-0005-0000-0000-0000641E0000}"/>
    <cellStyle name="20% - Accent5 2 3 2" xfId="1984" xr:uid="{00000000-0005-0000-0000-0000651E0000}"/>
    <cellStyle name="20% - Accent5 2 3 2 2" xfId="1985" xr:uid="{00000000-0005-0000-0000-0000661E0000}"/>
    <cellStyle name="20% - Accent5 2 3 2 2 2" xfId="1986" xr:uid="{00000000-0005-0000-0000-0000671E0000}"/>
    <cellStyle name="20% - Accent5 2 3 2 2 2 2" xfId="16912" xr:uid="{00000000-0005-0000-0000-0000681E0000}"/>
    <cellStyle name="20% - Accent5 2 3 2 2 2 2 2" xfId="30319" xr:uid="{00000000-0005-0000-0000-0000691E0000}"/>
    <cellStyle name="20% - Accent5 2 3 2 2 2 3" xfId="19311" xr:uid="{00000000-0005-0000-0000-00006A1E0000}"/>
    <cellStyle name="20% - Accent5 2 3 2 2 3" xfId="10821" xr:uid="{00000000-0005-0000-0000-00006B1E0000}"/>
    <cellStyle name="20% - Accent5 2 3 2 2 3 2" xfId="24763" xr:uid="{00000000-0005-0000-0000-00006C1E0000}"/>
    <cellStyle name="20% - Accent5 2 3 2 2 4" xfId="19310" xr:uid="{00000000-0005-0000-0000-00006D1E0000}"/>
    <cellStyle name="20% - Accent5 2 3 2 3" xfId="1987" xr:uid="{00000000-0005-0000-0000-00006E1E0000}"/>
    <cellStyle name="20% - Accent5 2 3 2 3 2" xfId="12300" xr:uid="{00000000-0005-0000-0000-00006F1E0000}"/>
    <cellStyle name="20% - Accent5 2 3 2 3 2 2" xfId="26012" xr:uid="{00000000-0005-0000-0000-0000701E0000}"/>
    <cellStyle name="20% - Accent5 2 3 2 3 3" xfId="19312" xr:uid="{00000000-0005-0000-0000-0000711E0000}"/>
    <cellStyle name="20% - Accent5 2 3 2 4" xfId="1988" xr:uid="{00000000-0005-0000-0000-0000721E0000}"/>
    <cellStyle name="20% - Accent5 2 3 2 4 2" xfId="13864" xr:uid="{00000000-0005-0000-0000-0000731E0000}"/>
    <cellStyle name="20% - Accent5 2 3 2 4 2 2" xfId="27413" xr:uid="{00000000-0005-0000-0000-0000741E0000}"/>
    <cellStyle name="20% - Accent5 2 3 2 4 3" xfId="19313" xr:uid="{00000000-0005-0000-0000-0000751E0000}"/>
    <cellStyle name="20% - Accent5 2 3 2 5" xfId="1989" xr:uid="{00000000-0005-0000-0000-0000761E0000}"/>
    <cellStyle name="20% - Accent5 2 3 2 5 2" xfId="14445" xr:uid="{00000000-0005-0000-0000-0000771E0000}"/>
    <cellStyle name="20% - Accent5 2 3 2 5 2 2" xfId="27994" xr:uid="{00000000-0005-0000-0000-0000781E0000}"/>
    <cellStyle name="20% - Accent5 2 3 2 5 3" xfId="19314" xr:uid="{00000000-0005-0000-0000-0000791E0000}"/>
    <cellStyle name="20% - Accent5 2 3 2 6" xfId="1990" xr:uid="{00000000-0005-0000-0000-00007A1E0000}"/>
    <cellStyle name="20% - Accent5 2 3 2 6 2" xfId="16331" xr:uid="{00000000-0005-0000-0000-00007B1E0000}"/>
    <cellStyle name="20% - Accent5 2 3 2 6 2 2" xfId="29738" xr:uid="{00000000-0005-0000-0000-00007C1E0000}"/>
    <cellStyle name="20% - Accent5 2 3 2 6 3" xfId="19315" xr:uid="{00000000-0005-0000-0000-00007D1E0000}"/>
    <cellStyle name="20% - Accent5 2 3 2 7" xfId="9095" xr:uid="{00000000-0005-0000-0000-00007E1E0000}"/>
    <cellStyle name="20% - Accent5 2 3 2 7 2" xfId="23570" xr:uid="{00000000-0005-0000-0000-00007F1E0000}"/>
    <cellStyle name="20% - Accent5 2 3 2 8" xfId="19309" xr:uid="{00000000-0005-0000-0000-0000801E0000}"/>
    <cellStyle name="20% - Accent5 2 3 3" xfId="1991" xr:uid="{00000000-0005-0000-0000-0000811E0000}"/>
    <cellStyle name="20% - Accent5 2 3 3 2" xfId="1992" xr:uid="{00000000-0005-0000-0000-0000821E0000}"/>
    <cellStyle name="20% - Accent5 2 3 3 2 2" xfId="16623" xr:uid="{00000000-0005-0000-0000-0000831E0000}"/>
    <cellStyle name="20% - Accent5 2 3 3 2 2 2" xfId="30030" xr:uid="{00000000-0005-0000-0000-0000841E0000}"/>
    <cellStyle name="20% - Accent5 2 3 3 2 3" xfId="19317" xr:uid="{00000000-0005-0000-0000-0000851E0000}"/>
    <cellStyle name="20% - Accent5 2 3 3 3" xfId="10820" xr:uid="{00000000-0005-0000-0000-0000861E0000}"/>
    <cellStyle name="20% - Accent5 2 3 3 3 2" xfId="24762" xr:uid="{00000000-0005-0000-0000-0000871E0000}"/>
    <cellStyle name="20% - Accent5 2 3 3 4" xfId="19316" xr:uid="{00000000-0005-0000-0000-0000881E0000}"/>
    <cellStyle name="20% - Accent5 2 3 4" xfId="1993" xr:uid="{00000000-0005-0000-0000-0000891E0000}"/>
    <cellStyle name="20% - Accent5 2 3 4 2" xfId="12000" xr:uid="{00000000-0005-0000-0000-00008A1E0000}"/>
    <cellStyle name="20% - Accent5 2 3 4 2 2" xfId="25715" xr:uid="{00000000-0005-0000-0000-00008B1E0000}"/>
    <cellStyle name="20% - Accent5 2 3 4 3" xfId="19318" xr:uid="{00000000-0005-0000-0000-00008C1E0000}"/>
    <cellStyle name="20% - Accent5 2 3 5" xfId="1994" xr:uid="{00000000-0005-0000-0000-00008D1E0000}"/>
    <cellStyle name="20% - Accent5 2 3 5 2" xfId="13575" xr:uid="{00000000-0005-0000-0000-00008E1E0000}"/>
    <cellStyle name="20% - Accent5 2 3 5 2 2" xfId="27124" xr:uid="{00000000-0005-0000-0000-00008F1E0000}"/>
    <cellStyle name="20% - Accent5 2 3 5 3" xfId="19319" xr:uid="{00000000-0005-0000-0000-0000901E0000}"/>
    <cellStyle name="20% - Accent5 2 3 6" xfId="1995" xr:uid="{00000000-0005-0000-0000-0000911E0000}"/>
    <cellStyle name="20% - Accent5 2 3 6 2" xfId="14156" xr:uid="{00000000-0005-0000-0000-0000921E0000}"/>
    <cellStyle name="20% - Accent5 2 3 6 2 2" xfId="27705" xr:uid="{00000000-0005-0000-0000-0000931E0000}"/>
    <cellStyle name="20% - Accent5 2 3 6 3" xfId="19320" xr:uid="{00000000-0005-0000-0000-0000941E0000}"/>
    <cellStyle name="20% - Accent5 2 3 7" xfId="1996" xr:uid="{00000000-0005-0000-0000-0000951E0000}"/>
    <cellStyle name="20% - Accent5 2 3 7 2" xfId="16042" xr:uid="{00000000-0005-0000-0000-0000961E0000}"/>
    <cellStyle name="20% - Accent5 2 3 7 2 2" xfId="29449" xr:uid="{00000000-0005-0000-0000-0000971E0000}"/>
    <cellStyle name="20% - Accent5 2 3 7 3" xfId="19321" xr:uid="{00000000-0005-0000-0000-0000981E0000}"/>
    <cellStyle name="20% - Accent5 2 3 8" xfId="9094" xr:uid="{00000000-0005-0000-0000-0000991E0000}"/>
    <cellStyle name="20% - Accent5 2 3 8 2" xfId="23569" xr:uid="{00000000-0005-0000-0000-00009A1E0000}"/>
    <cellStyle name="20% - Accent5 2 3 9" xfId="19308" xr:uid="{00000000-0005-0000-0000-00009B1E0000}"/>
    <cellStyle name="20% - Accent5 2 4" xfId="1997" xr:uid="{00000000-0005-0000-0000-00009C1E0000}"/>
    <cellStyle name="20% - Accent5 2 4 2" xfId="1998" xr:uid="{00000000-0005-0000-0000-00009D1E0000}"/>
    <cellStyle name="20% - Accent5 2 4 2 2" xfId="1999" xr:uid="{00000000-0005-0000-0000-00009E1E0000}"/>
    <cellStyle name="20% - Accent5 2 4 2 2 2" xfId="16769" xr:uid="{00000000-0005-0000-0000-00009F1E0000}"/>
    <cellStyle name="20% - Accent5 2 4 2 2 2 2" xfId="30176" xr:uid="{00000000-0005-0000-0000-0000A01E0000}"/>
    <cellStyle name="20% - Accent5 2 4 2 2 3" xfId="19324" xr:uid="{00000000-0005-0000-0000-0000A11E0000}"/>
    <cellStyle name="20% - Accent5 2 4 2 3" xfId="10822" xr:uid="{00000000-0005-0000-0000-0000A21E0000}"/>
    <cellStyle name="20% - Accent5 2 4 2 3 2" xfId="24764" xr:uid="{00000000-0005-0000-0000-0000A31E0000}"/>
    <cellStyle name="20% - Accent5 2 4 2 4" xfId="19323" xr:uid="{00000000-0005-0000-0000-0000A41E0000}"/>
    <cellStyle name="20% - Accent5 2 4 3" xfId="2000" xr:uid="{00000000-0005-0000-0000-0000A51E0000}"/>
    <cellStyle name="20% - Accent5 2 4 3 2" xfId="12157" xr:uid="{00000000-0005-0000-0000-0000A61E0000}"/>
    <cellStyle name="20% - Accent5 2 4 3 2 2" xfId="25869" xr:uid="{00000000-0005-0000-0000-0000A71E0000}"/>
    <cellStyle name="20% - Accent5 2 4 3 3" xfId="19325" xr:uid="{00000000-0005-0000-0000-0000A81E0000}"/>
    <cellStyle name="20% - Accent5 2 4 4" xfId="2001" xr:uid="{00000000-0005-0000-0000-0000A91E0000}"/>
    <cellStyle name="20% - Accent5 2 4 4 2" xfId="13721" xr:uid="{00000000-0005-0000-0000-0000AA1E0000}"/>
    <cellStyle name="20% - Accent5 2 4 4 2 2" xfId="27270" xr:uid="{00000000-0005-0000-0000-0000AB1E0000}"/>
    <cellStyle name="20% - Accent5 2 4 4 3" xfId="19326" xr:uid="{00000000-0005-0000-0000-0000AC1E0000}"/>
    <cellStyle name="20% - Accent5 2 4 5" xfId="2002" xr:uid="{00000000-0005-0000-0000-0000AD1E0000}"/>
    <cellStyle name="20% - Accent5 2 4 5 2" xfId="14302" xr:uid="{00000000-0005-0000-0000-0000AE1E0000}"/>
    <cellStyle name="20% - Accent5 2 4 5 2 2" xfId="27851" xr:uid="{00000000-0005-0000-0000-0000AF1E0000}"/>
    <cellStyle name="20% - Accent5 2 4 5 3" xfId="19327" xr:uid="{00000000-0005-0000-0000-0000B01E0000}"/>
    <cellStyle name="20% - Accent5 2 4 6" xfId="2003" xr:uid="{00000000-0005-0000-0000-0000B11E0000}"/>
    <cellStyle name="20% - Accent5 2 4 6 2" xfId="16188" xr:uid="{00000000-0005-0000-0000-0000B21E0000}"/>
    <cellStyle name="20% - Accent5 2 4 6 2 2" xfId="29595" xr:uid="{00000000-0005-0000-0000-0000B31E0000}"/>
    <cellStyle name="20% - Accent5 2 4 6 3" xfId="19328" xr:uid="{00000000-0005-0000-0000-0000B41E0000}"/>
    <cellStyle name="20% - Accent5 2 4 7" xfId="9096" xr:uid="{00000000-0005-0000-0000-0000B51E0000}"/>
    <cellStyle name="20% - Accent5 2 4 7 2" xfId="23571" xr:uid="{00000000-0005-0000-0000-0000B61E0000}"/>
    <cellStyle name="20% - Accent5 2 4 8" xfId="19322" xr:uid="{00000000-0005-0000-0000-0000B71E0000}"/>
    <cellStyle name="20% - Accent5 2 5" xfId="2004" xr:uid="{00000000-0005-0000-0000-0000B81E0000}"/>
    <cellStyle name="20% - Accent5 2 5 2" xfId="2005" xr:uid="{00000000-0005-0000-0000-0000B91E0000}"/>
    <cellStyle name="20% - Accent5 2 5 2 2" xfId="12628" xr:uid="{00000000-0005-0000-0000-0000BA1E0000}"/>
    <cellStyle name="20% - Accent5 2 5 2 2 2" xfId="26340" xr:uid="{00000000-0005-0000-0000-0000BB1E0000}"/>
    <cellStyle name="20% - Accent5 2 5 2 3" xfId="19330" xr:uid="{00000000-0005-0000-0000-0000BC1E0000}"/>
    <cellStyle name="20% - Accent5 2 5 3" xfId="2006" xr:uid="{00000000-0005-0000-0000-0000BD1E0000}"/>
    <cellStyle name="20% - Accent5 2 5 3 2" xfId="14943" xr:uid="{00000000-0005-0000-0000-0000BE1E0000}"/>
    <cellStyle name="20% - Accent5 2 5 3 2 2" xfId="28492" xr:uid="{00000000-0005-0000-0000-0000BF1E0000}"/>
    <cellStyle name="20% - Accent5 2 5 3 3" xfId="19331" xr:uid="{00000000-0005-0000-0000-0000C01E0000}"/>
    <cellStyle name="20% - Accent5 2 5 4" xfId="2007" xr:uid="{00000000-0005-0000-0000-0000C11E0000}"/>
    <cellStyle name="20% - Accent5 2 5 4 2" xfId="17000" xr:uid="{00000000-0005-0000-0000-0000C21E0000}"/>
    <cellStyle name="20% - Accent5 2 5 4 2 2" xfId="30407" xr:uid="{00000000-0005-0000-0000-0000C31E0000}"/>
    <cellStyle name="20% - Accent5 2 5 4 3" xfId="19332" xr:uid="{00000000-0005-0000-0000-0000C41E0000}"/>
    <cellStyle name="20% - Accent5 2 5 5" xfId="10521" xr:uid="{00000000-0005-0000-0000-0000C51E0000}"/>
    <cellStyle name="20% - Accent5 2 5 5 2" xfId="24463" xr:uid="{00000000-0005-0000-0000-0000C61E0000}"/>
    <cellStyle name="20% - Accent5 2 5 6" xfId="19329" xr:uid="{00000000-0005-0000-0000-0000C71E0000}"/>
    <cellStyle name="20% - Accent5 2 6" xfId="2008" xr:uid="{00000000-0005-0000-0000-0000C81E0000}"/>
    <cellStyle name="20% - Accent5 2 6 2" xfId="2009" xr:uid="{00000000-0005-0000-0000-0000C91E0000}"/>
    <cellStyle name="20% - Accent5 2 6 2 2" xfId="12510" xr:uid="{00000000-0005-0000-0000-0000CA1E0000}"/>
    <cellStyle name="20% - Accent5 2 6 2 2 2" xfId="26222" xr:uid="{00000000-0005-0000-0000-0000CB1E0000}"/>
    <cellStyle name="20% - Accent5 2 6 2 3" xfId="19334" xr:uid="{00000000-0005-0000-0000-0000CC1E0000}"/>
    <cellStyle name="20% - Accent5 2 6 3" xfId="2010" xr:uid="{00000000-0005-0000-0000-0000CD1E0000}"/>
    <cellStyle name="20% - Accent5 2 6 3 2" xfId="14944" xr:uid="{00000000-0005-0000-0000-0000CE1E0000}"/>
    <cellStyle name="20% - Accent5 2 6 3 2 2" xfId="28493" xr:uid="{00000000-0005-0000-0000-0000CF1E0000}"/>
    <cellStyle name="20% - Accent5 2 6 3 3" xfId="19335" xr:uid="{00000000-0005-0000-0000-0000D01E0000}"/>
    <cellStyle name="20% - Accent5 2 6 4" xfId="2011" xr:uid="{00000000-0005-0000-0000-0000D11E0000}"/>
    <cellStyle name="20% - Accent5 2 6 4 2" xfId="17116" xr:uid="{00000000-0005-0000-0000-0000D21E0000}"/>
    <cellStyle name="20% - Accent5 2 6 4 2 2" xfId="30475" xr:uid="{00000000-0005-0000-0000-0000D31E0000}"/>
    <cellStyle name="20% - Accent5 2 6 4 3" xfId="19336" xr:uid="{00000000-0005-0000-0000-0000D41E0000}"/>
    <cellStyle name="20% - Accent5 2 6 5" xfId="10815" xr:uid="{00000000-0005-0000-0000-0000D51E0000}"/>
    <cellStyle name="20% - Accent5 2 6 5 2" xfId="24757" xr:uid="{00000000-0005-0000-0000-0000D61E0000}"/>
    <cellStyle name="20% - Accent5 2 6 6" xfId="19333" xr:uid="{00000000-0005-0000-0000-0000D71E0000}"/>
    <cellStyle name="20% - Accent5 2 7" xfId="2012" xr:uid="{00000000-0005-0000-0000-0000D81E0000}"/>
    <cellStyle name="20% - Accent5 2 7 2" xfId="2013" xr:uid="{00000000-0005-0000-0000-0000D91E0000}"/>
    <cellStyle name="20% - Accent5 2 7 2 2" xfId="17205" xr:uid="{00000000-0005-0000-0000-0000DA1E0000}"/>
    <cellStyle name="20% - Accent5 2 7 2 2 2" xfId="30564" xr:uid="{00000000-0005-0000-0000-0000DB1E0000}"/>
    <cellStyle name="20% - Accent5 2 7 2 3" xfId="19338" xr:uid="{00000000-0005-0000-0000-0000DC1E0000}"/>
    <cellStyle name="20% - Accent5 2 7 3" xfId="11834" xr:uid="{00000000-0005-0000-0000-0000DD1E0000}"/>
    <cellStyle name="20% - Accent5 2 7 3 2" xfId="25549" xr:uid="{00000000-0005-0000-0000-0000DE1E0000}"/>
    <cellStyle name="20% - Accent5 2 7 4" xfId="19337" xr:uid="{00000000-0005-0000-0000-0000DF1E0000}"/>
    <cellStyle name="20% - Accent5 2 8" xfId="2014" xr:uid="{00000000-0005-0000-0000-0000E01E0000}"/>
    <cellStyle name="20% - Accent5 2 8 2" xfId="2015" xr:uid="{00000000-0005-0000-0000-0000E11E0000}"/>
    <cellStyle name="20% - Accent5 2 8 2 2" xfId="16480" xr:uid="{00000000-0005-0000-0000-0000E21E0000}"/>
    <cellStyle name="20% - Accent5 2 8 2 2 2" xfId="29887" xr:uid="{00000000-0005-0000-0000-0000E31E0000}"/>
    <cellStyle name="20% - Accent5 2 8 2 3" xfId="19340" xr:uid="{00000000-0005-0000-0000-0000E41E0000}"/>
    <cellStyle name="20% - Accent5 2 8 3" xfId="13432" xr:uid="{00000000-0005-0000-0000-0000E51E0000}"/>
    <cellStyle name="20% - Accent5 2 8 3 2" xfId="26981" xr:uid="{00000000-0005-0000-0000-0000E61E0000}"/>
    <cellStyle name="20% - Accent5 2 8 4" xfId="19339" xr:uid="{00000000-0005-0000-0000-0000E71E0000}"/>
    <cellStyle name="20% - Accent5 2 9" xfId="2016" xr:uid="{00000000-0005-0000-0000-0000E81E0000}"/>
    <cellStyle name="20% - Accent5 2 9 2" xfId="14013" xr:uid="{00000000-0005-0000-0000-0000E91E0000}"/>
    <cellStyle name="20% - Accent5 2 9 2 2" xfId="27562" xr:uid="{00000000-0005-0000-0000-0000EA1E0000}"/>
    <cellStyle name="20% - Accent5 2 9 3" xfId="19341" xr:uid="{00000000-0005-0000-0000-0000EB1E0000}"/>
    <cellStyle name="20% - Accent5 3" xfId="2017" xr:uid="{00000000-0005-0000-0000-0000EC1E0000}"/>
    <cellStyle name="20% - Accent5 3 10" xfId="19342" xr:uid="{00000000-0005-0000-0000-0000ED1E0000}"/>
    <cellStyle name="20% - Accent5 3 2" xfId="2018" xr:uid="{00000000-0005-0000-0000-0000EE1E0000}"/>
    <cellStyle name="20% - Accent5 3 2 2" xfId="2019" xr:uid="{00000000-0005-0000-0000-0000EF1E0000}"/>
    <cellStyle name="20% - Accent5 3 2 2 2" xfId="2020" xr:uid="{00000000-0005-0000-0000-0000F01E0000}"/>
    <cellStyle name="20% - Accent5 3 2 2 2 2" xfId="2021" xr:uid="{00000000-0005-0000-0000-0000F11E0000}"/>
    <cellStyle name="20% - Accent5 3 2 2 2 2 2" xfId="16935" xr:uid="{00000000-0005-0000-0000-0000F21E0000}"/>
    <cellStyle name="20% - Accent5 3 2 2 2 2 2 2" xfId="30342" xr:uid="{00000000-0005-0000-0000-0000F31E0000}"/>
    <cellStyle name="20% - Accent5 3 2 2 2 2 3" xfId="19346" xr:uid="{00000000-0005-0000-0000-0000F41E0000}"/>
    <cellStyle name="20% - Accent5 3 2 2 2 3" xfId="10825" xr:uid="{00000000-0005-0000-0000-0000F51E0000}"/>
    <cellStyle name="20% - Accent5 3 2 2 2 3 2" xfId="24767" xr:uid="{00000000-0005-0000-0000-0000F61E0000}"/>
    <cellStyle name="20% - Accent5 3 2 2 2 4" xfId="19345" xr:uid="{00000000-0005-0000-0000-0000F71E0000}"/>
    <cellStyle name="20% - Accent5 3 2 2 3" xfId="2022" xr:uid="{00000000-0005-0000-0000-0000F81E0000}"/>
    <cellStyle name="20% - Accent5 3 2 2 3 2" xfId="12323" xr:uid="{00000000-0005-0000-0000-0000F91E0000}"/>
    <cellStyle name="20% - Accent5 3 2 2 3 2 2" xfId="26035" xr:uid="{00000000-0005-0000-0000-0000FA1E0000}"/>
    <cellStyle name="20% - Accent5 3 2 2 3 3" xfId="19347" xr:uid="{00000000-0005-0000-0000-0000FB1E0000}"/>
    <cellStyle name="20% - Accent5 3 2 2 4" xfId="2023" xr:uid="{00000000-0005-0000-0000-0000FC1E0000}"/>
    <cellStyle name="20% - Accent5 3 2 2 4 2" xfId="13887" xr:uid="{00000000-0005-0000-0000-0000FD1E0000}"/>
    <cellStyle name="20% - Accent5 3 2 2 4 2 2" xfId="27436" xr:uid="{00000000-0005-0000-0000-0000FE1E0000}"/>
    <cellStyle name="20% - Accent5 3 2 2 4 3" xfId="19348" xr:uid="{00000000-0005-0000-0000-0000FF1E0000}"/>
    <cellStyle name="20% - Accent5 3 2 2 5" xfId="2024" xr:uid="{00000000-0005-0000-0000-0000001F0000}"/>
    <cellStyle name="20% - Accent5 3 2 2 5 2" xfId="14468" xr:uid="{00000000-0005-0000-0000-0000011F0000}"/>
    <cellStyle name="20% - Accent5 3 2 2 5 2 2" xfId="28017" xr:uid="{00000000-0005-0000-0000-0000021F0000}"/>
    <cellStyle name="20% - Accent5 3 2 2 5 3" xfId="19349" xr:uid="{00000000-0005-0000-0000-0000031F0000}"/>
    <cellStyle name="20% - Accent5 3 2 2 6" xfId="2025" xr:uid="{00000000-0005-0000-0000-0000041F0000}"/>
    <cellStyle name="20% - Accent5 3 2 2 6 2" xfId="16354" xr:uid="{00000000-0005-0000-0000-0000051F0000}"/>
    <cellStyle name="20% - Accent5 3 2 2 6 2 2" xfId="29761" xr:uid="{00000000-0005-0000-0000-0000061F0000}"/>
    <cellStyle name="20% - Accent5 3 2 2 6 3" xfId="19350" xr:uid="{00000000-0005-0000-0000-0000071F0000}"/>
    <cellStyle name="20% - Accent5 3 2 2 7" xfId="9099" xr:uid="{00000000-0005-0000-0000-0000081F0000}"/>
    <cellStyle name="20% - Accent5 3 2 2 7 2" xfId="23574" xr:uid="{00000000-0005-0000-0000-0000091F0000}"/>
    <cellStyle name="20% - Accent5 3 2 2 8" xfId="19344" xr:uid="{00000000-0005-0000-0000-00000A1F0000}"/>
    <cellStyle name="20% - Accent5 3 2 3" xfId="2026" xr:uid="{00000000-0005-0000-0000-00000B1F0000}"/>
    <cellStyle name="20% - Accent5 3 2 3 2" xfId="2027" xr:uid="{00000000-0005-0000-0000-00000C1F0000}"/>
    <cellStyle name="20% - Accent5 3 2 3 2 2" xfId="16646" xr:uid="{00000000-0005-0000-0000-00000D1F0000}"/>
    <cellStyle name="20% - Accent5 3 2 3 2 2 2" xfId="30053" xr:uid="{00000000-0005-0000-0000-00000E1F0000}"/>
    <cellStyle name="20% - Accent5 3 2 3 2 3" xfId="19352" xr:uid="{00000000-0005-0000-0000-00000F1F0000}"/>
    <cellStyle name="20% - Accent5 3 2 3 3" xfId="10824" xr:uid="{00000000-0005-0000-0000-0000101F0000}"/>
    <cellStyle name="20% - Accent5 3 2 3 3 2" xfId="24766" xr:uid="{00000000-0005-0000-0000-0000111F0000}"/>
    <cellStyle name="20% - Accent5 3 2 3 4" xfId="19351" xr:uid="{00000000-0005-0000-0000-0000121F0000}"/>
    <cellStyle name="20% - Accent5 3 2 4" xfId="2028" xr:uid="{00000000-0005-0000-0000-0000131F0000}"/>
    <cellStyle name="20% - Accent5 3 2 4 2" xfId="12023" xr:uid="{00000000-0005-0000-0000-0000141F0000}"/>
    <cellStyle name="20% - Accent5 3 2 4 2 2" xfId="25738" xr:uid="{00000000-0005-0000-0000-0000151F0000}"/>
    <cellStyle name="20% - Accent5 3 2 4 3" xfId="19353" xr:uid="{00000000-0005-0000-0000-0000161F0000}"/>
    <cellStyle name="20% - Accent5 3 2 5" xfId="2029" xr:uid="{00000000-0005-0000-0000-0000171F0000}"/>
    <cellStyle name="20% - Accent5 3 2 5 2" xfId="13598" xr:uid="{00000000-0005-0000-0000-0000181F0000}"/>
    <cellStyle name="20% - Accent5 3 2 5 2 2" xfId="27147" xr:uid="{00000000-0005-0000-0000-0000191F0000}"/>
    <cellStyle name="20% - Accent5 3 2 5 3" xfId="19354" xr:uid="{00000000-0005-0000-0000-00001A1F0000}"/>
    <cellStyle name="20% - Accent5 3 2 6" xfId="2030" xr:uid="{00000000-0005-0000-0000-00001B1F0000}"/>
    <cellStyle name="20% - Accent5 3 2 6 2" xfId="14179" xr:uid="{00000000-0005-0000-0000-00001C1F0000}"/>
    <cellStyle name="20% - Accent5 3 2 6 2 2" xfId="27728" xr:uid="{00000000-0005-0000-0000-00001D1F0000}"/>
    <cellStyle name="20% - Accent5 3 2 6 3" xfId="19355" xr:uid="{00000000-0005-0000-0000-00001E1F0000}"/>
    <cellStyle name="20% - Accent5 3 2 7" xfId="2031" xr:uid="{00000000-0005-0000-0000-00001F1F0000}"/>
    <cellStyle name="20% - Accent5 3 2 7 2" xfId="16065" xr:uid="{00000000-0005-0000-0000-0000201F0000}"/>
    <cellStyle name="20% - Accent5 3 2 7 2 2" xfId="29472" xr:uid="{00000000-0005-0000-0000-0000211F0000}"/>
    <cellStyle name="20% - Accent5 3 2 7 3" xfId="19356" xr:uid="{00000000-0005-0000-0000-0000221F0000}"/>
    <cellStyle name="20% - Accent5 3 2 8" xfId="9098" xr:uid="{00000000-0005-0000-0000-0000231F0000}"/>
    <cellStyle name="20% - Accent5 3 2 8 2" xfId="23573" xr:uid="{00000000-0005-0000-0000-0000241F0000}"/>
    <cellStyle name="20% - Accent5 3 2 9" xfId="19343" xr:uid="{00000000-0005-0000-0000-0000251F0000}"/>
    <cellStyle name="20% - Accent5 3 3" xfId="2032" xr:uid="{00000000-0005-0000-0000-0000261F0000}"/>
    <cellStyle name="20% - Accent5 3 3 2" xfId="2033" xr:uid="{00000000-0005-0000-0000-0000271F0000}"/>
    <cellStyle name="20% - Accent5 3 3 2 2" xfId="2034" xr:uid="{00000000-0005-0000-0000-0000281F0000}"/>
    <cellStyle name="20% - Accent5 3 3 2 2 2" xfId="16792" xr:uid="{00000000-0005-0000-0000-0000291F0000}"/>
    <cellStyle name="20% - Accent5 3 3 2 2 2 2" xfId="30199" xr:uid="{00000000-0005-0000-0000-00002A1F0000}"/>
    <cellStyle name="20% - Accent5 3 3 2 2 3" xfId="19359" xr:uid="{00000000-0005-0000-0000-00002B1F0000}"/>
    <cellStyle name="20% - Accent5 3 3 2 3" xfId="10826" xr:uid="{00000000-0005-0000-0000-00002C1F0000}"/>
    <cellStyle name="20% - Accent5 3 3 2 3 2" xfId="24768" xr:uid="{00000000-0005-0000-0000-00002D1F0000}"/>
    <cellStyle name="20% - Accent5 3 3 2 4" xfId="19358" xr:uid="{00000000-0005-0000-0000-00002E1F0000}"/>
    <cellStyle name="20% - Accent5 3 3 3" xfId="2035" xr:uid="{00000000-0005-0000-0000-00002F1F0000}"/>
    <cellStyle name="20% - Accent5 3 3 3 2" xfId="12180" xr:uid="{00000000-0005-0000-0000-0000301F0000}"/>
    <cellStyle name="20% - Accent5 3 3 3 2 2" xfId="25892" xr:uid="{00000000-0005-0000-0000-0000311F0000}"/>
    <cellStyle name="20% - Accent5 3 3 3 3" xfId="19360" xr:uid="{00000000-0005-0000-0000-0000321F0000}"/>
    <cellStyle name="20% - Accent5 3 3 4" xfId="2036" xr:uid="{00000000-0005-0000-0000-0000331F0000}"/>
    <cellStyle name="20% - Accent5 3 3 4 2" xfId="13744" xr:uid="{00000000-0005-0000-0000-0000341F0000}"/>
    <cellStyle name="20% - Accent5 3 3 4 2 2" xfId="27293" xr:uid="{00000000-0005-0000-0000-0000351F0000}"/>
    <cellStyle name="20% - Accent5 3 3 4 3" xfId="19361" xr:uid="{00000000-0005-0000-0000-0000361F0000}"/>
    <cellStyle name="20% - Accent5 3 3 5" xfId="2037" xr:uid="{00000000-0005-0000-0000-0000371F0000}"/>
    <cellStyle name="20% - Accent5 3 3 5 2" xfId="14325" xr:uid="{00000000-0005-0000-0000-0000381F0000}"/>
    <cellStyle name="20% - Accent5 3 3 5 2 2" xfId="27874" xr:uid="{00000000-0005-0000-0000-0000391F0000}"/>
    <cellStyle name="20% - Accent5 3 3 5 3" xfId="19362" xr:uid="{00000000-0005-0000-0000-00003A1F0000}"/>
    <cellStyle name="20% - Accent5 3 3 6" xfId="2038" xr:uid="{00000000-0005-0000-0000-00003B1F0000}"/>
    <cellStyle name="20% - Accent5 3 3 6 2" xfId="16211" xr:uid="{00000000-0005-0000-0000-00003C1F0000}"/>
    <cellStyle name="20% - Accent5 3 3 6 2 2" xfId="29618" xr:uid="{00000000-0005-0000-0000-00003D1F0000}"/>
    <cellStyle name="20% - Accent5 3 3 6 3" xfId="19363" xr:uid="{00000000-0005-0000-0000-00003E1F0000}"/>
    <cellStyle name="20% - Accent5 3 3 7" xfId="9100" xr:uid="{00000000-0005-0000-0000-00003F1F0000}"/>
    <cellStyle name="20% - Accent5 3 3 7 2" xfId="23575" xr:uid="{00000000-0005-0000-0000-0000401F0000}"/>
    <cellStyle name="20% - Accent5 3 3 8" xfId="19357" xr:uid="{00000000-0005-0000-0000-0000411F0000}"/>
    <cellStyle name="20% - Accent5 3 4" xfId="2039" xr:uid="{00000000-0005-0000-0000-0000421F0000}"/>
    <cellStyle name="20% - Accent5 3 4 2" xfId="2040" xr:uid="{00000000-0005-0000-0000-0000431F0000}"/>
    <cellStyle name="20% - Accent5 3 4 2 2" xfId="17139" xr:uid="{00000000-0005-0000-0000-0000441F0000}"/>
    <cellStyle name="20% - Accent5 3 4 2 2 2" xfId="30498" xr:uid="{00000000-0005-0000-0000-0000451F0000}"/>
    <cellStyle name="20% - Accent5 3 4 2 3" xfId="19365" xr:uid="{00000000-0005-0000-0000-0000461F0000}"/>
    <cellStyle name="20% - Accent5 3 4 3" xfId="10823" xr:uid="{00000000-0005-0000-0000-0000471F0000}"/>
    <cellStyle name="20% - Accent5 3 4 3 2" xfId="24765" xr:uid="{00000000-0005-0000-0000-0000481F0000}"/>
    <cellStyle name="20% - Accent5 3 4 4" xfId="19364" xr:uid="{00000000-0005-0000-0000-0000491F0000}"/>
    <cellStyle name="20% - Accent5 3 5" xfId="2041" xr:uid="{00000000-0005-0000-0000-00004A1F0000}"/>
    <cellStyle name="20% - Accent5 3 5 2" xfId="2042" xr:uid="{00000000-0005-0000-0000-00004B1F0000}"/>
    <cellStyle name="20% - Accent5 3 5 2 2" xfId="17228" xr:uid="{00000000-0005-0000-0000-00004C1F0000}"/>
    <cellStyle name="20% - Accent5 3 5 2 2 2" xfId="30587" xr:uid="{00000000-0005-0000-0000-00004D1F0000}"/>
    <cellStyle name="20% - Accent5 3 5 2 3" xfId="19367" xr:uid="{00000000-0005-0000-0000-00004E1F0000}"/>
    <cellStyle name="20% - Accent5 3 5 3" xfId="11875" xr:uid="{00000000-0005-0000-0000-00004F1F0000}"/>
    <cellStyle name="20% - Accent5 3 5 3 2" xfId="25590" xr:uid="{00000000-0005-0000-0000-0000501F0000}"/>
    <cellStyle name="20% - Accent5 3 5 4" xfId="19366" xr:uid="{00000000-0005-0000-0000-0000511F0000}"/>
    <cellStyle name="20% - Accent5 3 6" xfId="2043" xr:uid="{00000000-0005-0000-0000-0000521F0000}"/>
    <cellStyle name="20% - Accent5 3 6 2" xfId="2044" xr:uid="{00000000-0005-0000-0000-0000531F0000}"/>
    <cellStyle name="20% - Accent5 3 6 2 2" xfId="16503" xr:uid="{00000000-0005-0000-0000-0000541F0000}"/>
    <cellStyle name="20% - Accent5 3 6 2 2 2" xfId="29910" xr:uid="{00000000-0005-0000-0000-0000551F0000}"/>
    <cellStyle name="20% - Accent5 3 6 2 3" xfId="19369" xr:uid="{00000000-0005-0000-0000-0000561F0000}"/>
    <cellStyle name="20% - Accent5 3 6 3" xfId="13455" xr:uid="{00000000-0005-0000-0000-0000571F0000}"/>
    <cellStyle name="20% - Accent5 3 6 3 2" xfId="27004" xr:uid="{00000000-0005-0000-0000-0000581F0000}"/>
    <cellStyle name="20% - Accent5 3 6 4" xfId="19368" xr:uid="{00000000-0005-0000-0000-0000591F0000}"/>
    <cellStyle name="20% - Accent5 3 7" xfId="2045" xr:uid="{00000000-0005-0000-0000-00005A1F0000}"/>
    <cellStyle name="20% - Accent5 3 7 2" xfId="14036" xr:uid="{00000000-0005-0000-0000-00005B1F0000}"/>
    <cellStyle name="20% - Accent5 3 7 2 2" xfId="27585" xr:uid="{00000000-0005-0000-0000-00005C1F0000}"/>
    <cellStyle name="20% - Accent5 3 7 3" xfId="19370" xr:uid="{00000000-0005-0000-0000-00005D1F0000}"/>
    <cellStyle name="20% - Accent5 3 8" xfId="2046" xr:uid="{00000000-0005-0000-0000-00005E1F0000}"/>
    <cellStyle name="20% - Accent5 3 8 2" xfId="15922" xr:uid="{00000000-0005-0000-0000-00005F1F0000}"/>
    <cellStyle name="20% - Accent5 3 8 2 2" xfId="29329" xr:uid="{00000000-0005-0000-0000-0000601F0000}"/>
    <cellStyle name="20% - Accent5 3 8 3" xfId="19371" xr:uid="{00000000-0005-0000-0000-0000611F0000}"/>
    <cellStyle name="20% - Accent5 3 9" xfId="9097" xr:uid="{00000000-0005-0000-0000-0000621F0000}"/>
    <cellStyle name="20% - Accent5 3 9 2" xfId="23572" xr:uid="{00000000-0005-0000-0000-0000631F0000}"/>
    <cellStyle name="20% - Accent5 4" xfId="2047" xr:uid="{00000000-0005-0000-0000-0000641F0000}"/>
    <cellStyle name="20% - Accent5 4 10" xfId="19372" xr:uid="{00000000-0005-0000-0000-0000651F0000}"/>
    <cellStyle name="20% - Accent5 4 2" xfId="2048" xr:uid="{00000000-0005-0000-0000-0000661F0000}"/>
    <cellStyle name="20% - Accent5 4 2 2" xfId="2049" xr:uid="{00000000-0005-0000-0000-0000671F0000}"/>
    <cellStyle name="20% - Accent5 4 2 2 2" xfId="2050" xr:uid="{00000000-0005-0000-0000-0000681F0000}"/>
    <cellStyle name="20% - Accent5 4 2 2 2 2" xfId="2051" xr:uid="{00000000-0005-0000-0000-0000691F0000}"/>
    <cellStyle name="20% - Accent5 4 2 2 2 2 2" xfId="16885" xr:uid="{00000000-0005-0000-0000-00006A1F0000}"/>
    <cellStyle name="20% - Accent5 4 2 2 2 2 2 2" xfId="30292" xr:uid="{00000000-0005-0000-0000-00006B1F0000}"/>
    <cellStyle name="20% - Accent5 4 2 2 2 2 3" xfId="19376" xr:uid="{00000000-0005-0000-0000-00006C1F0000}"/>
    <cellStyle name="20% - Accent5 4 2 2 2 3" xfId="10829" xr:uid="{00000000-0005-0000-0000-00006D1F0000}"/>
    <cellStyle name="20% - Accent5 4 2 2 2 3 2" xfId="24771" xr:uid="{00000000-0005-0000-0000-00006E1F0000}"/>
    <cellStyle name="20% - Accent5 4 2 2 2 4" xfId="19375" xr:uid="{00000000-0005-0000-0000-00006F1F0000}"/>
    <cellStyle name="20% - Accent5 4 2 2 3" xfId="2052" xr:uid="{00000000-0005-0000-0000-0000701F0000}"/>
    <cellStyle name="20% - Accent5 4 2 2 3 2" xfId="12273" xr:uid="{00000000-0005-0000-0000-0000711F0000}"/>
    <cellStyle name="20% - Accent5 4 2 2 3 2 2" xfId="25985" xr:uid="{00000000-0005-0000-0000-0000721F0000}"/>
    <cellStyle name="20% - Accent5 4 2 2 3 3" xfId="19377" xr:uid="{00000000-0005-0000-0000-0000731F0000}"/>
    <cellStyle name="20% - Accent5 4 2 2 4" xfId="2053" xr:uid="{00000000-0005-0000-0000-0000741F0000}"/>
    <cellStyle name="20% - Accent5 4 2 2 4 2" xfId="13837" xr:uid="{00000000-0005-0000-0000-0000751F0000}"/>
    <cellStyle name="20% - Accent5 4 2 2 4 2 2" xfId="27386" xr:uid="{00000000-0005-0000-0000-0000761F0000}"/>
    <cellStyle name="20% - Accent5 4 2 2 4 3" xfId="19378" xr:uid="{00000000-0005-0000-0000-0000771F0000}"/>
    <cellStyle name="20% - Accent5 4 2 2 5" xfId="2054" xr:uid="{00000000-0005-0000-0000-0000781F0000}"/>
    <cellStyle name="20% - Accent5 4 2 2 5 2" xfId="14418" xr:uid="{00000000-0005-0000-0000-0000791F0000}"/>
    <cellStyle name="20% - Accent5 4 2 2 5 2 2" xfId="27967" xr:uid="{00000000-0005-0000-0000-00007A1F0000}"/>
    <cellStyle name="20% - Accent5 4 2 2 5 3" xfId="19379" xr:uid="{00000000-0005-0000-0000-00007B1F0000}"/>
    <cellStyle name="20% - Accent5 4 2 2 6" xfId="2055" xr:uid="{00000000-0005-0000-0000-00007C1F0000}"/>
    <cellStyle name="20% - Accent5 4 2 2 6 2" xfId="16304" xr:uid="{00000000-0005-0000-0000-00007D1F0000}"/>
    <cellStyle name="20% - Accent5 4 2 2 6 2 2" xfId="29711" xr:uid="{00000000-0005-0000-0000-00007E1F0000}"/>
    <cellStyle name="20% - Accent5 4 2 2 6 3" xfId="19380" xr:uid="{00000000-0005-0000-0000-00007F1F0000}"/>
    <cellStyle name="20% - Accent5 4 2 2 7" xfId="9103" xr:uid="{00000000-0005-0000-0000-0000801F0000}"/>
    <cellStyle name="20% - Accent5 4 2 2 7 2" xfId="23578" xr:uid="{00000000-0005-0000-0000-0000811F0000}"/>
    <cellStyle name="20% - Accent5 4 2 2 8" xfId="19374" xr:uid="{00000000-0005-0000-0000-0000821F0000}"/>
    <cellStyle name="20% - Accent5 4 2 3" xfId="2056" xr:uid="{00000000-0005-0000-0000-0000831F0000}"/>
    <cellStyle name="20% - Accent5 4 2 3 2" xfId="2057" xr:uid="{00000000-0005-0000-0000-0000841F0000}"/>
    <cellStyle name="20% - Accent5 4 2 3 2 2" xfId="16596" xr:uid="{00000000-0005-0000-0000-0000851F0000}"/>
    <cellStyle name="20% - Accent5 4 2 3 2 2 2" xfId="30003" xr:uid="{00000000-0005-0000-0000-0000861F0000}"/>
    <cellStyle name="20% - Accent5 4 2 3 2 3" xfId="19382" xr:uid="{00000000-0005-0000-0000-0000871F0000}"/>
    <cellStyle name="20% - Accent5 4 2 3 3" xfId="10828" xr:uid="{00000000-0005-0000-0000-0000881F0000}"/>
    <cellStyle name="20% - Accent5 4 2 3 3 2" xfId="24770" xr:uid="{00000000-0005-0000-0000-0000891F0000}"/>
    <cellStyle name="20% - Accent5 4 2 3 4" xfId="19381" xr:uid="{00000000-0005-0000-0000-00008A1F0000}"/>
    <cellStyle name="20% - Accent5 4 2 4" xfId="2058" xr:uid="{00000000-0005-0000-0000-00008B1F0000}"/>
    <cellStyle name="20% - Accent5 4 2 4 2" xfId="11973" xr:uid="{00000000-0005-0000-0000-00008C1F0000}"/>
    <cellStyle name="20% - Accent5 4 2 4 2 2" xfId="25688" xr:uid="{00000000-0005-0000-0000-00008D1F0000}"/>
    <cellStyle name="20% - Accent5 4 2 4 3" xfId="19383" xr:uid="{00000000-0005-0000-0000-00008E1F0000}"/>
    <cellStyle name="20% - Accent5 4 2 5" xfId="2059" xr:uid="{00000000-0005-0000-0000-00008F1F0000}"/>
    <cellStyle name="20% - Accent5 4 2 5 2" xfId="13548" xr:uid="{00000000-0005-0000-0000-0000901F0000}"/>
    <cellStyle name="20% - Accent5 4 2 5 2 2" xfId="27097" xr:uid="{00000000-0005-0000-0000-0000911F0000}"/>
    <cellStyle name="20% - Accent5 4 2 5 3" xfId="19384" xr:uid="{00000000-0005-0000-0000-0000921F0000}"/>
    <cellStyle name="20% - Accent5 4 2 6" xfId="2060" xr:uid="{00000000-0005-0000-0000-0000931F0000}"/>
    <cellStyle name="20% - Accent5 4 2 6 2" xfId="14129" xr:uid="{00000000-0005-0000-0000-0000941F0000}"/>
    <cellStyle name="20% - Accent5 4 2 6 2 2" xfId="27678" xr:uid="{00000000-0005-0000-0000-0000951F0000}"/>
    <cellStyle name="20% - Accent5 4 2 6 3" xfId="19385" xr:uid="{00000000-0005-0000-0000-0000961F0000}"/>
    <cellStyle name="20% - Accent5 4 2 7" xfId="2061" xr:uid="{00000000-0005-0000-0000-0000971F0000}"/>
    <cellStyle name="20% - Accent5 4 2 7 2" xfId="16015" xr:uid="{00000000-0005-0000-0000-0000981F0000}"/>
    <cellStyle name="20% - Accent5 4 2 7 2 2" xfId="29422" xr:uid="{00000000-0005-0000-0000-0000991F0000}"/>
    <cellStyle name="20% - Accent5 4 2 7 3" xfId="19386" xr:uid="{00000000-0005-0000-0000-00009A1F0000}"/>
    <cellStyle name="20% - Accent5 4 2 8" xfId="9102" xr:uid="{00000000-0005-0000-0000-00009B1F0000}"/>
    <cellStyle name="20% - Accent5 4 2 8 2" xfId="23577" xr:uid="{00000000-0005-0000-0000-00009C1F0000}"/>
    <cellStyle name="20% - Accent5 4 2 9" xfId="19373" xr:uid="{00000000-0005-0000-0000-00009D1F0000}"/>
    <cellStyle name="20% - Accent5 4 3" xfId="2062" xr:uid="{00000000-0005-0000-0000-00009E1F0000}"/>
    <cellStyle name="20% - Accent5 4 3 2" xfId="2063" xr:uid="{00000000-0005-0000-0000-00009F1F0000}"/>
    <cellStyle name="20% - Accent5 4 3 2 2" xfId="2064" xr:uid="{00000000-0005-0000-0000-0000A01F0000}"/>
    <cellStyle name="20% - Accent5 4 3 2 2 2" xfId="16745" xr:uid="{00000000-0005-0000-0000-0000A11F0000}"/>
    <cellStyle name="20% - Accent5 4 3 2 2 2 2" xfId="30152" xr:uid="{00000000-0005-0000-0000-0000A21F0000}"/>
    <cellStyle name="20% - Accent5 4 3 2 2 3" xfId="19389" xr:uid="{00000000-0005-0000-0000-0000A31F0000}"/>
    <cellStyle name="20% - Accent5 4 3 2 3" xfId="10830" xr:uid="{00000000-0005-0000-0000-0000A41F0000}"/>
    <cellStyle name="20% - Accent5 4 3 2 3 2" xfId="24772" xr:uid="{00000000-0005-0000-0000-0000A51F0000}"/>
    <cellStyle name="20% - Accent5 4 3 2 4" xfId="19388" xr:uid="{00000000-0005-0000-0000-0000A61F0000}"/>
    <cellStyle name="20% - Accent5 4 3 3" xfId="2065" xr:uid="{00000000-0005-0000-0000-0000A71F0000}"/>
    <cellStyle name="20% - Accent5 4 3 3 2" xfId="12133" xr:uid="{00000000-0005-0000-0000-0000A81F0000}"/>
    <cellStyle name="20% - Accent5 4 3 3 2 2" xfId="25845" xr:uid="{00000000-0005-0000-0000-0000A91F0000}"/>
    <cellStyle name="20% - Accent5 4 3 3 3" xfId="19390" xr:uid="{00000000-0005-0000-0000-0000AA1F0000}"/>
    <cellStyle name="20% - Accent5 4 3 4" xfId="2066" xr:uid="{00000000-0005-0000-0000-0000AB1F0000}"/>
    <cellStyle name="20% - Accent5 4 3 4 2" xfId="13697" xr:uid="{00000000-0005-0000-0000-0000AC1F0000}"/>
    <cellStyle name="20% - Accent5 4 3 4 2 2" xfId="27246" xr:uid="{00000000-0005-0000-0000-0000AD1F0000}"/>
    <cellStyle name="20% - Accent5 4 3 4 3" xfId="19391" xr:uid="{00000000-0005-0000-0000-0000AE1F0000}"/>
    <cellStyle name="20% - Accent5 4 3 5" xfId="2067" xr:uid="{00000000-0005-0000-0000-0000AF1F0000}"/>
    <cellStyle name="20% - Accent5 4 3 5 2" xfId="14278" xr:uid="{00000000-0005-0000-0000-0000B01F0000}"/>
    <cellStyle name="20% - Accent5 4 3 5 2 2" xfId="27827" xr:uid="{00000000-0005-0000-0000-0000B11F0000}"/>
    <cellStyle name="20% - Accent5 4 3 5 3" xfId="19392" xr:uid="{00000000-0005-0000-0000-0000B21F0000}"/>
    <cellStyle name="20% - Accent5 4 3 6" xfId="2068" xr:uid="{00000000-0005-0000-0000-0000B31F0000}"/>
    <cellStyle name="20% - Accent5 4 3 6 2" xfId="16164" xr:uid="{00000000-0005-0000-0000-0000B41F0000}"/>
    <cellStyle name="20% - Accent5 4 3 6 2 2" xfId="29571" xr:uid="{00000000-0005-0000-0000-0000B51F0000}"/>
    <cellStyle name="20% - Accent5 4 3 6 3" xfId="19393" xr:uid="{00000000-0005-0000-0000-0000B61F0000}"/>
    <cellStyle name="20% - Accent5 4 3 7" xfId="9104" xr:uid="{00000000-0005-0000-0000-0000B71F0000}"/>
    <cellStyle name="20% - Accent5 4 3 7 2" xfId="23579" xr:uid="{00000000-0005-0000-0000-0000B81F0000}"/>
    <cellStyle name="20% - Accent5 4 3 8" xfId="19387" xr:uid="{00000000-0005-0000-0000-0000B91F0000}"/>
    <cellStyle name="20% - Accent5 4 4" xfId="2069" xr:uid="{00000000-0005-0000-0000-0000BA1F0000}"/>
    <cellStyle name="20% - Accent5 4 4 2" xfId="2070" xr:uid="{00000000-0005-0000-0000-0000BB1F0000}"/>
    <cellStyle name="20% - Accent5 4 4 2 2" xfId="16453" xr:uid="{00000000-0005-0000-0000-0000BC1F0000}"/>
    <cellStyle name="20% - Accent5 4 4 2 2 2" xfId="29860" xr:uid="{00000000-0005-0000-0000-0000BD1F0000}"/>
    <cellStyle name="20% - Accent5 4 4 2 3" xfId="19395" xr:uid="{00000000-0005-0000-0000-0000BE1F0000}"/>
    <cellStyle name="20% - Accent5 4 4 3" xfId="10827" xr:uid="{00000000-0005-0000-0000-0000BF1F0000}"/>
    <cellStyle name="20% - Accent5 4 4 3 2" xfId="24769" xr:uid="{00000000-0005-0000-0000-0000C01F0000}"/>
    <cellStyle name="20% - Accent5 4 4 4" xfId="19394" xr:uid="{00000000-0005-0000-0000-0000C11F0000}"/>
    <cellStyle name="20% - Accent5 4 5" xfId="2071" xr:uid="{00000000-0005-0000-0000-0000C21F0000}"/>
    <cellStyle name="20% - Accent5 4 5 2" xfId="11804" xr:uid="{00000000-0005-0000-0000-0000C31F0000}"/>
    <cellStyle name="20% - Accent5 4 5 2 2" xfId="25519" xr:uid="{00000000-0005-0000-0000-0000C41F0000}"/>
    <cellStyle name="20% - Accent5 4 5 3" xfId="19396" xr:uid="{00000000-0005-0000-0000-0000C51F0000}"/>
    <cellStyle name="20% - Accent5 4 6" xfId="2072" xr:uid="{00000000-0005-0000-0000-0000C61F0000}"/>
    <cellStyle name="20% - Accent5 4 6 2" xfId="13405" xr:uid="{00000000-0005-0000-0000-0000C71F0000}"/>
    <cellStyle name="20% - Accent5 4 6 2 2" xfId="26954" xr:uid="{00000000-0005-0000-0000-0000C81F0000}"/>
    <cellStyle name="20% - Accent5 4 6 3" xfId="19397" xr:uid="{00000000-0005-0000-0000-0000C91F0000}"/>
    <cellStyle name="20% - Accent5 4 7" xfId="2073" xr:uid="{00000000-0005-0000-0000-0000CA1F0000}"/>
    <cellStyle name="20% - Accent5 4 7 2" xfId="13986" xr:uid="{00000000-0005-0000-0000-0000CB1F0000}"/>
    <cellStyle name="20% - Accent5 4 7 2 2" xfId="27535" xr:uid="{00000000-0005-0000-0000-0000CC1F0000}"/>
    <cellStyle name="20% - Accent5 4 7 3" xfId="19398" xr:uid="{00000000-0005-0000-0000-0000CD1F0000}"/>
    <cellStyle name="20% - Accent5 4 8" xfId="2074" xr:uid="{00000000-0005-0000-0000-0000CE1F0000}"/>
    <cellStyle name="20% - Accent5 4 8 2" xfId="15872" xr:uid="{00000000-0005-0000-0000-0000CF1F0000}"/>
    <cellStyle name="20% - Accent5 4 8 2 2" xfId="29279" xr:uid="{00000000-0005-0000-0000-0000D01F0000}"/>
    <cellStyle name="20% - Accent5 4 8 3" xfId="19399" xr:uid="{00000000-0005-0000-0000-0000D11F0000}"/>
    <cellStyle name="20% - Accent5 4 9" xfId="9101" xr:uid="{00000000-0005-0000-0000-0000D21F0000}"/>
    <cellStyle name="20% - Accent5 4 9 2" xfId="23576" xr:uid="{00000000-0005-0000-0000-0000D31F0000}"/>
    <cellStyle name="20% - Accent5 5" xfId="2075" xr:uid="{00000000-0005-0000-0000-0000D41F0000}"/>
    <cellStyle name="20% - Accent5 5 10" xfId="19400" xr:uid="{00000000-0005-0000-0000-0000D51F0000}"/>
    <cellStyle name="20% - Accent5 5 2" xfId="2076" xr:uid="{00000000-0005-0000-0000-0000D61F0000}"/>
    <cellStyle name="20% - Accent5 5 2 2" xfId="2077" xr:uid="{00000000-0005-0000-0000-0000D71F0000}"/>
    <cellStyle name="20% - Accent5 5 2 2 2" xfId="2078" xr:uid="{00000000-0005-0000-0000-0000D81F0000}"/>
    <cellStyle name="20% - Accent5 5 2 2 2 2" xfId="2079" xr:uid="{00000000-0005-0000-0000-0000D91F0000}"/>
    <cellStyle name="20% - Accent5 5 2 2 2 2 2" xfId="16868" xr:uid="{00000000-0005-0000-0000-0000DA1F0000}"/>
    <cellStyle name="20% - Accent5 5 2 2 2 2 2 2" xfId="30275" xr:uid="{00000000-0005-0000-0000-0000DB1F0000}"/>
    <cellStyle name="20% - Accent5 5 2 2 2 2 3" xfId="19404" xr:uid="{00000000-0005-0000-0000-0000DC1F0000}"/>
    <cellStyle name="20% - Accent5 5 2 2 2 3" xfId="10833" xr:uid="{00000000-0005-0000-0000-0000DD1F0000}"/>
    <cellStyle name="20% - Accent5 5 2 2 2 3 2" xfId="24775" xr:uid="{00000000-0005-0000-0000-0000DE1F0000}"/>
    <cellStyle name="20% - Accent5 5 2 2 2 4" xfId="19403" xr:uid="{00000000-0005-0000-0000-0000DF1F0000}"/>
    <cellStyle name="20% - Accent5 5 2 2 3" xfId="2080" xr:uid="{00000000-0005-0000-0000-0000E01F0000}"/>
    <cellStyle name="20% - Accent5 5 2 2 3 2" xfId="12256" xr:uid="{00000000-0005-0000-0000-0000E11F0000}"/>
    <cellStyle name="20% - Accent5 5 2 2 3 2 2" xfId="25968" xr:uid="{00000000-0005-0000-0000-0000E21F0000}"/>
    <cellStyle name="20% - Accent5 5 2 2 3 3" xfId="19405" xr:uid="{00000000-0005-0000-0000-0000E31F0000}"/>
    <cellStyle name="20% - Accent5 5 2 2 4" xfId="2081" xr:uid="{00000000-0005-0000-0000-0000E41F0000}"/>
    <cellStyle name="20% - Accent5 5 2 2 4 2" xfId="13820" xr:uid="{00000000-0005-0000-0000-0000E51F0000}"/>
    <cellStyle name="20% - Accent5 5 2 2 4 2 2" xfId="27369" xr:uid="{00000000-0005-0000-0000-0000E61F0000}"/>
    <cellStyle name="20% - Accent5 5 2 2 4 3" xfId="19406" xr:uid="{00000000-0005-0000-0000-0000E71F0000}"/>
    <cellStyle name="20% - Accent5 5 2 2 5" xfId="2082" xr:uid="{00000000-0005-0000-0000-0000E81F0000}"/>
    <cellStyle name="20% - Accent5 5 2 2 5 2" xfId="14401" xr:uid="{00000000-0005-0000-0000-0000E91F0000}"/>
    <cellStyle name="20% - Accent5 5 2 2 5 2 2" xfId="27950" xr:uid="{00000000-0005-0000-0000-0000EA1F0000}"/>
    <cellStyle name="20% - Accent5 5 2 2 5 3" xfId="19407" xr:uid="{00000000-0005-0000-0000-0000EB1F0000}"/>
    <cellStyle name="20% - Accent5 5 2 2 6" xfId="2083" xr:uid="{00000000-0005-0000-0000-0000EC1F0000}"/>
    <cellStyle name="20% - Accent5 5 2 2 6 2" xfId="16287" xr:uid="{00000000-0005-0000-0000-0000ED1F0000}"/>
    <cellStyle name="20% - Accent5 5 2 2 6 2 2" xfId="29694" xr:uid="{00000000-0005-0000-0000-0000EE1F0000}"/>
    <cellStyle name="20% - Accent5 5 2 2 6 3" xfId="19408" xr:uid="{00000000-0005-0000-0000-0000EF1F0000}"/>
    <cellStyle name="20% - Accent5 5 2 2 7" xfId="9107" xr:uid="{00000000-0005-0000-0000-0000F01F0000}"/>
    <cellStyle name="20% - Accent5 5 2 2 7 2" xfId="23582" xr:uid="{00000000-0005-0000-0000-0000F11F0000}"/>
    <cellStyle name="20% - Accent5 5 2 2 8" xfId="19402" xr:uid="{00000000-0005-0000-0000-0000F21F0000}"/>
    <cellStyle name="20% - Accent5 5 2 3" xfId="2084" xr:uid="{00000000-0005-0000-0000-0000F31F0000}"/>
    <cellStyle name="20% - Accent5 5 2 3 2" xfId="2085" xr:uid="{00000000-0005-0000-0000-0000F41F0000}"/>
    <cellStyle name="20% - Accent5 5 2 3 2 2" xfId="16579" xr:uid="{00000000-0005-0000-0000-0000F51F0000}"/>
    <cellStyle name="20% - Accent5 5 2 3 2 2 2" xfId="29986" xr:uid="{00000000-0005-0000-0000-0000F61F0000}"/>
    <cellStyle name="20% - Accent5 5 2 3 2 3" xfId="19410" xr:uid="{00000000-0005-0000-0000-0000F71F0000}"/>
    <cellStyle name="20% - Accent5 5 2 3 3" xfId="10832" xr:uid="{00000000-0005-0000-0000-0000F81F0000}"/>
    <cellStyle name="20% - Accent5 5 2 3 3 2" xfId="24774" xr:uid="{00000000-0005-0000-0000-0000F91F0000}"/>
    <cellStyle name="20% - Accent5 5 2 3 4" xfId="19409" xr:uid="{00000000-0005-0000-0000-0000FA1F0000}"/>
    <cellStyle name="20% - Accent5 5 2 4" xfId="2086" xr:uid="{00000000-0005-0000-0000-0000FB1F0000}"/>
    <cellStyle name="20% - Accent5 5 2 4 2" xfId="11956" xr:uid="{00000000-0005-0000-0000-0000FC1F0000}"/>
    <cellStyle name="20% - Accent5 5 2 4 2 2" xfId="25671" xr:uid="{00000000-0005-0000-0000-0000FD1F0000}"/>
    <cellStyle name="20% - Accent5 5 2 4 3" xfId="19411" xr:uid="{00000000-0005-0000-0000-0000FE1F0000}"/>
    <cellStyle name="20% - Accent5 5 2 5" xfId="2087" xr:uid="{00000000-0005-0000-0000-0000FF1F0000}"/>
    <cellStyle name="20% - Accent5 5 2 5 2" xfId="13531" xr:uid="{00000000-0005-0000-0000-000000200000}"/>
    <cellStyle name="20% - Accent5 5 2 5 2 2" xfId="27080" xr:uid="{00000000-0005-0000-0000-000001200000}"/>
    <cellStyle name="20% - Accent5 5 2 5 3" xfId="19412" xr:uid="{00000000-0005-0000-0000-000002200000}"/>
    <cellStyle name="20% - Accent5 5 2 6" xfId="2088" xr:uid="{00000000-0005-0000-0000-000003200000}"/>
    <cellStyle name="20% - Accent5 5 2 6 2" xfId="14112" xr:uid="{00000000-0005-0000-0000-000004200000}"/>
    <cellStyle name="20% - Accent5 5 2 6 2 2" xfId="27661" xr:uid="{00000000-0005-0000-0000-000005200000}"/>
    <cellStyle name="20% - Accent5 5 2 6 3" xfId="19413" xr:uid="{00000000-0005-0000-0000-000006200000}"/>
    <cellStyle name="20% - Accent5 5 2 7" xfId="2089" xr:uid="{00000000-0005-0000-0000-000007200000}"/>
    <cellStyle name="20% - Accent5 5 2 7 2" xfId="15998" xr:uid="{00000000-0005-0000-0000-000008200000}"/>
    <cellStyle name="20% - Accent5 5 2 7 2 2" xfId="29405" xr:uid="{00000000-0005-0000-0000-000009200000}"/>
    <cellStyle name="20% - Accent5 5 2 7 3" xfId="19414" xr:uid="{00000000-0005-0000-0000-00000A200000}"/>
    <cellStyle name="20% - Accent5 5 2 8" xfId="9106" xr:uid="{00000000-0005-0000-0000-00000B200000}"/>
    <cellStyle name="20% - Accent5 5 2 8 2" xfId="23581" xr:uid="{00000000-0005-0000-0000-00000C200000}"/>
    <cellStyle name="20% - Accent5 5 2 9" xfId="19401" xr:uid="{00000000-0005-0000-0000-00000D200000}"/>
    <cellStyle name="20% - Accent5 5 3" xfId="2090" xr:uid="{00000000-0005-0000-0000-00000E200000}"/>
    <cellStyle name="20% - Accent5 5 3 2" xfId="2091" xr:uid="{00000000-0005-0000-0000-00000F200000}"/>
    <cellStyle name="20% - Accent5 5 3 2 2" xfId="2092" xr:uid="{00000000-0005-0000-0000-000010200000}"/>
    <cellStyle name="20% - Accent5 5 3 2 2 2" xfId="16728" xr:uid="{00000000-0005-0000-0000-000011200000}"/>
    <cellStyle name="20% - Accent5 5 3 2 2 2 2" xfId="30135" xr:uid="{00000000-0005-0000-0000-000012200000}"/>
    <cellStyle name="20% - Accent5 5 3 2 2 3" xfId="19417" xr:uid="{00000000-0005-0000-0000-000013200000}"/>
    <cellStyle name="20% - Accent5 5 3 2 3" xfId="10834" xr:uid="{00000000-0005-0000-0000-000014200000}"/>
    <cellStyle name="20% - Accent5 5 3 2 3 2" xfId="24776" xr:uid="{00000000-0005-0000-0000-000015200000}"/>
    <cellStyle name="20% - Accent5 5 3 2 4" xfId="19416" xr:uid="{00000000-0005-0000-0000-000016200000}"/>
    <cellStyle name="20% - Accent5 5 3 3" xfId="2093" xr:uid="{00000000-0005-0000-0000-000017200000}"/>
    <cellStyle name="20% - Accent5 5 3 3 2" xfId="12116" xr:uid="{00000000-0005-0000-0000-000018200000}"/>
    <cellStyle name="20% - Accent5 5 3 3 2 2" xfId="25828" xr:uid="{00000000-0005-0000-0000-000019200000}"/>
    <cellStyle name="20% - Accent5 5 3 3 3" xfId="19418" xr:uid="{00000000-0005-0000-0000-00001A200000}"/>
    <cellStyle name="20% - Accent5 5 3 4" xfId="2094" xr:uid="{00000000-0005-0000-0000-00001B200000}"/>
    <cellStyle name="20% - Accent5 5 3 4 2" xfId="13680" xr:uid="{00000000-0005-0000-0000-00001C200000}"/>
    <cellStyle name="20% - Accent5 5 3 4 2 2" xfId="27229" xr:uid="{00000000-0005-0000-0000-00001D200000}"/>
    <cellStyle name="20% - Accent5 5 3 4 3" xfId="19419" xr:uid="{00000000-0005-0000-0000-00001E200000}"/>
    <cellStyle name="20% - Accent5 5 3 5" xfId="2095" xr:uid="{00000000-0005-0000-0000-00001F200000}"/>
    <cellStyle name="20% - Accent5 5 3 5 2" xfId="14261" xr:uid="{00000000-0005-0000-0000-000020200000}"/>
    <cellStyle name="20% - Accent5 5 3 5 2 2" xfId="27810" xr:uid="{00000000-0005-0000-0000-000021200000}"/>
    <cellStyle name="20% - Accent5 5 3 5 3" xfId="19420" xr:uid="{00000000-0005-0000-0000-000022200000}"/>
    <cellStyle name="20% - Accent5 5 3 6" xfId="2096" xr:uid="{00000000-0005-0000-0000-000023200000}"/>
    <cellStyle name="20% - Accent5 5 3 6 2" xfId="16147" xr:uid="{00000000-0005-0000-0000-000024200000}"/>
    <cellStyle name="20% - Accent5 5 3 6 2 2" xfId="29554" xr:uid="{00000000-0005-0000-0000-000025200000}"/>
    <cellStyle name="20% - Accent5 5 3 6 3" xfId="19421" xr:uid="{00000000-0005-0000-0000-000026200000}"/>
    <cellStyle name="20% - Accent5 5 3 7" xfId="9108" xr:uid="{00000000-0005-0000-0000-000027200000}"/>
    <cellStyle name="20% - Accent5 5 3 7 2" xfId="23583" xr:uid="{00000000-0005-0000-0000-000028200000}"/>
    <cellStyle name="20% - Accent5 5 3 8" xfId="19415" xr:uid="{00000000-0005-0000-0000-000029200000}"/>
    <cellStyle name="20% - Accent5 5 4" xfId="2097" xr:uid="{00000000-0005-0000-0000-00002A200000}"/>
    <cellStyle name="20% - Accent5 5 4 2" xfId="2098" xr:uid="{00000000-0005-0000-0000-00002B200000}"/>
    <cellStyle name="20% - Accent5 5 4 2 2" xfId="16436" xr:uid="{00000000-0005-0000-0000-00002C200000}"/>
    <cellStyle name="20% - Accent5 5 4 2 2 2" xfId="29843" xr:uid="{00000000-0005-0000-0000-00002D200000}"/>
    <cellStyle name="20% - Accent5 5 4 2 3" xfId="19423" xr:uid="{00000000-0005-0000-0000-00002E200000}"/>
    <cellStyle name="20% - Accent5 5 4 3" xfId="10831" xr:uid="{00000000-0005-0000-0000-00002F200000}"/>
    <cellStyle name="20% - Accent5 5 4 3 2" xfId="24773" xr:uid="{00000000-0005-0000-0000-000030200000}"/>
    <cellStyle name="20% - Accent5 5 4 4" xfId="19422" xr:uid="{00000000-0005-0000-0000-000031200000}"/>
    <cellStyle name="20% - Accent5 5 5" xfId="2099" xr:uid="{00000000-0005-0000-0000-000032200000}"/>
    <cellStyle name="20% - Accent5 5 5 2" xfId="11787" xr:uid="{00000000-0005-0000-0000-000033200000}"/>
    <cellStyle name="20% - Accent5 5 5 2 2" xfId="25502" xr:uid="{00000000-0005-0000-0000-000034200000}"/>
    <cellStyle name="20% - Accent5 5 5 3" xfId="19424" xr:uid="{00000000-0005-0000-0000-000035200000}"/>
    <cellStyle name="20% - Accent5 5 6" xfId="2100" xr:uid="{00000000-0005-0000-0000-000036200000}"/>
    <cellStyle name="20% - Accent5 5 6 2" xfId="13388" xr:uid="{00000000-0005-0000-0000-000037200000}"/>
    <cellStyle name="20% - Accent5 5 6 2 2" xfId="26937" xr:uid="{00000000-0005-0000-0000-000038200000}"/>
    <cellStyle name="20% - Accent5 5 6 3" xfId="19425" xr:uid="{00000000-0005-0000-0000-000039200000}"/>
    <cellStyle name="20% - Accent5 5 7" xfId="2101" xr:uid="{00000000-0005-0000-0000-00003A200000}"/>
    <cellStyle name="20% - Accent5 5 7 2" xfId="13969" xr:uid="{00000000-0005-0000-0000-00003B200000}"/>
    <cellStyle name="20% - Accent5 5 7 2 2" xfId="27518" xr:uid="{00000000-0005-0000-0000-00003C200000}"/>
    <cellStyle name="20% - Accent5 5 7 3" xfId="19426" xr:uid="{00000000-0005-0000-0000-00003D200000}"/>
    <cellStyle name="20% - Accent5 5 8" xfId="2102" xr:uid="{00000000-0005-0000-0000-00003E200000}"/>
    <cellStyle name="20% - Accent5 5 8 2" xfId="15855" xr:uid="{00000000-0005-0000-0000-00003F200000}"/>
    <cellStyle name="20% - Accent5 5 8 2 2" xfId="29262" xr:uid="{00000000-0005-0000-0000-000040200000}"/>
    <cellStyle name="20% - Accent5 5 8 3" xfId="19427" xr:uid="{00000000-0005-0000-0000-000041200000}"/>
    <cellStyle name="20% - Accent5 5 9" xfId="9105" xr:uid="{00000000-0005-0000-0000-000042200000}"/>
    <cellStyle name="20% - Accent5 5 9 2" xfId="23580" xr:uid="{00000000-0005-0000-0000-000043200000}"/>
    <cellStyle name="20% - Accent5 6" xfId="2103" xr:uid="{00000000-0005-0000-0000-000044200000}"/>
    <cellStyle name="20% - Accent5 6 10" xfId="19428" xr:uid="{00000000-0005-0000-0000-000045200000}"/>
    <cellStyle name="20% - Accent5 6 2" xfId="2104" xr:uid="{00000000-0005-0000-0000-000046200000}"/>
    <cellStyle name="20% - Accent5 6 2 2" xfId="2105" xr:uid="{00000000-0005-0000-0000-000047200000}"/>
    <cellStyle name="20% - Accent5 6 2 2 2" xfId="2106" xr:uid="{00000000-0005-0000-0000-000048200000}"/>
    <cellStyle name="20% - Accent5 6 2 2 2 2" xfId="2107" xr:uid="{00000000-0005-0000-0000-000049200000}"/>
    <cellStyle name="20% - Accent5 6 2 2 2 2 2" xfId="16974" xr:uid="{00000000-0005-0000-0000-00004A200000}"/>
    <cellStyle name="20% - Accent5 6 2 2 2 2 2 2" xfId="30381" xr:uid="{00000000-0005-0000-0000-00004B200000}"/>
    <cellStyle name="20% - Accent5 6 2 2 2 2 3" xfId="19432" xr:uid="{00000000-0005-0000-0000-00004C200000}"/>
    <cellStyle name="20% - Accent5 6 2 2 2 3" xfId="10837" xr:uid="{00000000-0005-0000-0000-00004D200000}"/>
    <cellStyle name="20% - Accent5 6 2 2 2 3 2" xfId="24779" xr:uid="{00000000-0005-0000-0000-00004E200000}"/>
    <cellStyle name="20% - Accent5 6 2 2 2 4" xfId="19431" xr:uid="{00000000-0005-0000-0000-00004F200000}"/>
    <cellStyle name="20% - Accent5 6 2 2 3" xfId="2108" xr:uid="{00000000-0005-0000-0000-000050200000}"/>
    <cellStyle name="20% - Accent5 6 2 2 3 2" xfId="12362" xr:uid="{00000000-0005-0000-0000-000051200000}"/>
    <cellStyle name="20% - Accent5 6 2 2 3 2 2" xfId="26074" xr:uid="{00000000-0005-0000-0000-000052200000}"/>
    <cellStyle name="20% - Accent5 6 2 2 3 3" xfId="19433" xr:uid="{00000000-0005-0000-0000-000053200000}"/>
    <cellStyle name="20% - Accent5 6 2 2 4" xfId="2109" xr:uid="{00000000-0005-0000-0000-000054200000}"/>
    <cellStyle name="20% - Accent5 6 2 2 4 2" xfId="13926" xr:uid="{00000000-0005-0000-0000-000055200000}"/>
    <cellStyle name="20% - Accent5 6 2 2 4 2 2" xfId="27475" xr:uid="{00000000-0005-0000-0000-000056200000}"/>
    <cellStyle name="20% - Accent5 6 2 2 4 3" xfId="19434" xr:uid="{00000000-0005-0000-0000-000057200000}"/>
    <cellStyle name="20% - Accent5 6 2 2 5" xfId="2110" xr:uid="{00000000-0005-0000-0000-000058200000}"/>
    <cellStyle name="20% - Accent5 6 2 2 5 2" xfId="14507" xr:uid="{00000000-0005-0000-0000-000059200000}"/>
    <cellStyle name="20% - Accent5 6 2 2 5 2 2" xfId="28056" xr:uid="{00000000-0005-0000-0000-00005A200000}"/>
    <cellStyle name="20% - Accent5 6 2 2 5 3" xfId="19435" xr:uid="{00000000-0005-0000-0000-00005B200000}"/>
    <cellStyle name="20% - Accent5 6 2 2 6" xfId="2111" xr:uid="{00000000-0005-0000-0000-00005C200000}"/>
    <cellStyle name="20% - Accent5 6 2 2 6 2" xfId="16393" xr:uid="{00000000-0005-0000-0000-00005D200000}"/>
    <cellStyle name="20% - Accent5 6 2 2 6 2 2" xfId="29800" xr:uid="{00000000-0005-0000-0000-00005E200000}"/>
    <cellStyle name="20% - Accent5 6 2 2 6 3" xfId="19436" xr:uid="{00000000-0005-0000-0000-00005F200000}"/>
    <cellStyle name="20% - Accent5 6 2 2 7" xfId="9111" xr:uid="{00000000-0005-0000-0000-000060200000}"/>
    <cellStyle name="20% - Accent5 6 2 2 7 2" xfId="23586" xr:uid="{00000000-0005-0000-0000-000061200000}"/>
    <cellStyle name="20% - Accent5 6 2 2 8" xfId="19430" xr:uid="{00000000-0005-0000-0000-000062200000}"/>
    <cellStyle name="20% - Accent5 6 2 3" xfId="2112" xr:uid="{00000000-0005-0000-0000-000063200000}"/>
    <cellStyle name="20% - Accent5 6 2 3 2" xfId="2113" xr:uid="{00000000-0005-0000-0000-000064200000}"/>
    <cellStyle name="20% - Accent5 6 2 3 2 2" xfId="16685" xr:uid="{00000000-0005-0000-0000-000065200000}"/>
    <cellStyle name="20% - Accent5 6 2 3 2 2 2" xfId="30092" xr:uid="{00000000-0005-0000-0000-000066200000}"/>
    <cellStyle name="20% - Accent5 6 2 3 2 3" xfId="19438" xr:uid="{00000000-0005-0000-0000-000067200000}"/>
    <cellStyle name="20% - Accent5 6 2 3 3" xfId="10836" xr:uid="{00000000-0005-0000-0000-000068200000}"/>
    <cellStyle name="20% - Accent5 6 2 3 3 2" xfId="24778" xr:uid="{00000000-0005-0000-0000-000069200000}"/>
    <cellStyle name="20% - Accent5 6 2 3 4" xfId="19437" xr:uid="{00000000-0005-0000-0000-00006A200000}"/>
    <cellStyle name="20% - Accent5 6 2 4" xfId="2114" xr:uid="{00000000-0005-0000-0000-00006B200000}"/>
    <cellStyle name="20% - Accent5 6 2 4 2" xfId="12062" xr:uid="{00000000-0005-0000-0000-00006C200000}"/>
    <cellStyle name="20% - Accent5 6 2 4 2 2" xfId="25777" xr:uid="{00000000-0005-0000-0000-00006D200000}"/>
    <cellStyle name="20% - Accent5 6 2 4 3" xfId="19439" xr:uid="{00000000-0005-0000-0000-00006E200000}"/>
    <cellStyle name="20% - Accent5 6 2 5" xfId="2115" xr:uid="{00000000-0005-0000-0000-00006F200000}"/>
    <cellStyle name="20% - Accent5 6 2 5 2" xfId="13637" xr:uid="{00000000-0005-0000-0000-000070200000}"/>
    <cellStyle name="20% - Accent5 6 2 5 2 2" xfId="27186" xr:uid="{00000000-0005-0000-0000-000071200000}"/>
    <cellStyle name="20% - Accent5 6 2 5 3" xfId="19440" xr:uid="{00000000-0005-0000-0000-000072200000}"/>
    <cellStyle name="20% - Accent5 6 2 6" xfId="2116" xr:uid="{00000000-0005-0000-0000-000073200000}"/>
    <cellStyle name="20% - Accent5 6 2 6 2" xfId="14218" xr:uid="{00000000-0005-0000-0000-000074200000}"/>
    <cellStyle name="20% - Accent5 6 2 6 2 2" xfId="27767" xr:uid="{00000000-0005-0000-0000-000075200000}"/>
    <cellStyle name="20% - Accent5 6 2 6 3" xfId="19441" xr:uid="{00000000-0005-0000-0000-000076200000}"/>
    <cellStyle name="20% - Accent5 6 2 7" xfId="2117" xr:uid="{00000000-0005-0000-0000-000077200000}"/>
    <cellStyle name="20% - Accent5 6 2 7 2" xfId="16104" xr:uid="{00000000-0005-0000-0000-000078200000}"/>
    <cellStyle name="20% - Accent5 6 2 7 2 2" xfId="29511" xr:uid="{00000000-0005-0000-0000-000079200000}"/>
    <cellStyle name="20% - Accent5 6 2 7 3" xfId="19442" xr:uid="{00000000-0005-0000-0000-00007A200000}"/>
    <cellStyle name="20% - Accent5 6 2 8" xfId="9110" xr:uid="{00000000-0005-0000-0000-00007B200000}"/>
    <cellStyle name="20% - Accent5 6 2 8 2" xfId="23585" xr:uid="{00000000-0005-0000-0000-00007C200000}"/>
    <cellStyle name="20% - Accent5 6 2 9" xfId="19429" xr:uid="{00000000-0005-0000-0000-00007D200000}"/>
    <cellStyle name="20% - Accent5 6 3" xfId="2118" xr:uid="{00000000-0005-0000-0000-00007E200000}"/>
    <cellStyle name="20% - Accent5 6 3 2" xfId="2119" xr:uid="{00000000-0005-0000-0000-00007F200000}"/>
    <cellStyle name="20% - Accent5 6 3 2 2" xfId="2120" xr:uid="{00000000-0005-0000-0000-000080200000}"/>
    <cellStyle name="20% - Accent5 6 3 2 2 2" xfId="16831" xr:uid="{00000000-0005-0000-0000-000081200000}"/>
    <cellStyle name="20% - Accent5 6 3 2 2 2 2" xfId="30238" xr:uid="{00000000-0005-0000-0000-000082200000}"/>
    <cellStyle name="20% - Accent5 6 3 2 2 3" xfId="19445" xr:uid="{00000000-0005-0000-0000-000083200000}"/>
    <cellStyle name="20% - Accent5 6 3 2 3" xfId="10838" xr:uid="{00000000-0005-0000-0000-000084200000}"/>
    <cellStyle name="20% - Accent5 6 3 2 3 2" xfId="24780" xr:uid="{00000000-0005-0000-0000-000085200000}"/>
    <cellStyle name="20% - Accent5 6 3 2 4" xfId="19444" xr:uid="{00000000-0005-0000-0000-000086200000}"/>
    <cellStyle name="20% - Accent5 6 3 3" xfId="2121" xr:uid="{00000000-0005-0000-0000-000087200000}"/>
    <cellStyle name="20% - Accent5 6 3 3 2" xfId="12219" xr:uid="{00000000-0005-0000-0000-000088200000}"/>
    <cellStyle name="20% - Accent5 6 3 3 2 2" xfId="25931" xr:uid="{00000000-0005-0000-0000-000089200000}"/>
    <cellStyle name="20% - Accent5 6 3 3 3" xfId="19446" xr:uid="{00000000-0005-0000-0000-00008A200000}"/>
    <cellStyle name="20% - Accent5 6 3 4" xfId="2122" xr:uid="{00000000-0005-0000-0000-00008B200000}"/>
    <cellStyle name="20% - Accent5 6 3 4 2" xfId="13783" xr:uid="{00000000-0005-0000-0000-00008C200000}"/>
    <cellStyle name="20% - Accent5 6 3 4 2 2" xfId="27332" xr:uid="{00000000-0005-0000-0000-00008D200000}"/>
    <cellStyle name="20% - Accent5 6 3 4 3" xfId="19447" xr:uid="{00000000-0005-0000-0000-00008E200000}"/>
    <cellStyle name="20% - Accent5 6 3 5" xfId="2123" xr:uid="{00000000-0005-0000-0000-00008F200000}"/>
    <cellStyle name="20% - Accent5 6 3 5 2" xfId="14364" xr:uid="{00000000-0005-0000-0000-000090200000}"/>
    <cellStyle name="20% - Accent5 6 3 5 2 2" xfId="27913" xr:uid="{00000000-0005-0000-0000-000091200000}"/>
    <cellStyle name="20% - Accent5 6 3 5 3" xfId="19448" xr:uid="{00000000-0005-0000-0000-000092200000}"/>
    <cellStyle name="20% - Accent5 6 3 6" xfId="2124" xr:uid="{00000000-0005-0000-0000-000093200000}"/>
    <cellStyle name="20% - Accent5 6 3 6 2" xfId="16250" xr:uid="{00000000-0005-0000-0000-000094200000}"/>
    <cellStyle name="20% - Accent5 6 3 6 2 2" xfId="29657" xr:uid="{00000000-0005-0000-0000-000095200000}"/>
    <cellStyle name="20% - Accent5 6 3 6 3" xfId="19449" xr:uid="{00000000-0005-0000-0000-000096200000}"/>
    <cellStyle name="20% - Accent5 6 3 7" xfId="9112" xr:uid="{00000000-0005-0000-0000-000097200000}"/>
    <cellStyle name="20% - Accent5 6 3 7 2" xfId="23587" xr:uid="{00000000-0005-0000-0000-000098200000}"/>
    <cellStyle name="20% - Accent5 6 3 8" xfId="19443" xr:uid="{00000000-0005-0000-0000-000099200000}"/>
    <cellStyle name="20% - Accent5 6 4" xfId="2125" xr:uid="{00000000-0005-0000-0000-00009A200000}"/>
    <cellStyle name="20% - Accent5 6 4 2" xfId="2126" xr:uid="{00000000-0005-0000-0000-00009B200000}"/>
    <cellStyle name="20% - Accent5 6 4 2 2" xfId="16542" xr:uid="{00000000-0005-0000-0000-00009C200000}"/>
    <cellStyle name="20% - Accent5 6 4 2 2 2" xfId="29949" xr:uid="{00000000-0005-0000-0000-00009D200000}"/>
    <cellStyle name="20% - Accent5 6 4 2 3" xfId="19451" xr:uid="{00000000-0005-0000-0000-00009E200000}"/>
    <cellStyle name="20% - Accent5 6 4 3" xfId="10835" xr:uid="{00000000-0005-0000-0000-00009F200000}"/>
    <cellStyle name="20% - Accent5 6 4 3 2" xfId="24777" xr:uid="{00000000-0005-0000-0000-0000A0200000}"/>
    <cellStyle name="20% - Accent5 6 4 4" xfId="19450" xr:uid="{00000000-0005-0000-0000-0000A1200000}"/>
    <cellStyle name="20% - Accent5 6 5" xfId="2127" xr:uid="{00000000-0005-0000-0000-0000A2200000}"/>
    <cellStyle name="20% - Accent5 6 5 2" xfId="11917" xr:uid="{00000000-0005-0000-0000-0000A3200000}"/>
    <cellStyle name="20% - Accent5 6 5 2 2" xfId="25632" xr:uid="{00000000-0005-0000-0000-0000A4200000}"/>
    <cellStyle name="20% - Accent5 6 5 3" xfId="19452" xr:uid="{00000000-0005-0000-0000-0000A5200000}"/>
    <cellStyle name="20% - Accent5 6 6" xfId="2128" xr:uid="{00000000-0005-0000-0000-0000A6200000}"/>
    <cellStyle name="20% - Accent5 6 6 2" xfId="13494" xr:uid="{00000000-0005-0000-0000-0000A7200000}"/>
    <cellStyle name="20% - Accent5 6 6 2 2" xfId="27043" xr:uid="{00000000-0005-0000-0000-0000A8200000}"/>
    <cellStyle name="20% - Accent5 6 6 3" xfId="19453" xr:uid="{00000000-0005-0000-0000-0000A9200000}"/>
    <cellStyle name="20% - Accent5 6 7" xfId="2129" xr:uid="{00000000-0005-0000-0000-0000AA200000}"/>
    <cellStyle name="20% - Accent5 6 7 2" xfId="14075" xr:uid="{00000000-0005-0000-0000-0000AB200000}"/>
    <cellStyle name="20% - Accent5 6 7 2 2" xfId="27624" xr:uid="{00000000-0005-0000-0000-0000AC200000}"/>
    <cellStyle name="20% - Accent5 6 7 3" xfId="19454" xr:uid="{00000000-0005-0000-0000-0000AD200000}"/>
    <cellStyle name="20% - Accent5 6 8" xfId="2130" xr:uid="{00000000-0005-0000-0000-0000AE200000}"/>
    <cellStyle name="20% - Accent5 6 8 2" xfId="15961" xr:uid="{00000000-0005-0000-0000-0000AF200000}"/>
    <cellStyle name="20% - Accent5 6 8 2 2" xfId="29368" xr:uid="{00000000-0005-0000-0000-0000B0200000}"/>
    <cellStyle name="20% - Accent5 6 8 3" xfId="19455" xr:uid="{00000000-0005-0000-0000-0000B1200000}"/>
    <cellStyle name="20% - Accent5 6 9" xfId="9109" xr:uid="{00000000-0005-0000-0000-0000B2200000}"/>
    <cellStyle name="20% - Accent5 6 9 2" xfId="23584" xr:uid="{00000000-0005-0000-0000-0000B3200000}"/>
    <cellStyle name="20% - Accent5 7" xfId="2131" xr:uid="{00000000-0005-0000-0000-0000B4200000}"/>
    <cellStyle name="20% - Accent5 7 2" xfId="2132" xr:uid="{00000000-0005-0000-0000-0000B5200000}"/>
    <cellStyle name="20% - Accent5 7 2 2" xfId="2133" xr:uid="{00000000-0005-0000-0000-0000B6200000}"/>
    <cellStyle name="20% - Accent5 7 2 2 2" xfId="2134" xr:uid="{00000000-0005-0000-0000-0000B7200000}"/>
    <cellStyle name="20% - Accent5 7 2 2 2 2" xfId="16855" xr:uid="{00000000-0005-0000-0000-0000B8200000}"/>
    <cellStyle name="20% - Accent5 7 2 2 2 2 2" xfId="30262" xr:uid="{00000000-0005-0000-0000-0000B9200000}"/>
    <cellStyle name="20% - Accent5 7 2 2 2 3" xfId="19459" xr:uid="{00000000-0005-0000-0000-0000BA200000}"/>
    <cellStyle name="20% - Accent5 7 2 2 3" xfId="10840" xr:uid="{00000000-0005-0000-0000-0000BB200000}"/>
    <cellStyle name="20% - Accent5 7 2 2 3 2" xfId="24782" xr:uid="{00000000-0005-0000-0000-0000BC200000}"/>
    <cellStyle name="20% - Accent5 7 2 2 4" xfId="19458" xr:uid="{00000000-0005-0000-0000-0000BD200000}"/>
    <cellStyle name="20% - Accent5 7 2 3" xfId="2135" xr:uid="{00000000-0005-0000-0000-0000BE200000}"/>
    <cellStyle name="20% - Accent5 7 2 3 2" xfId="12243" xr:uid="{00000000-0005-0000-0000-0000BF200000}"/>
    <cellStyle name="20% - Accent5 7 2 3 2 2" xfId="25955" xr:uid="{00000000-0005-0000-0000-0000C0200000}"/>
    <cellStyle name="20% - Accent5 7 2 3 3" xfId="19460" xr:uid="{00000000-0005-0000-0000-0000C1200000}"/>
    <cellStyle name="20% - Accent5 7 2 4" xfId="2136" xr:uid="{00000000-0005-0000-0000-0000C2200000}"/>
    <cellStyle name="20% - Accent5 7 2 4 2" xfId="13807" xr:uid="{00000000-0005-0000-0000-0000C3200000}"/>
    <cellStyle name="20% - Accent5 7 2 4 2 2" xfId="27356" xr:uid="{00000000-0005-0000-0000-0000C4200000}"/>
    <cellStyle name="20% - Accent5 7 2 4 3" xfId="19461" xr:uid="{00000000-0005-0000-0000-0000C5200000}"/>
    <cellStyle name="20% - Accent5 7 2 5" xfId="2137" xr:uid="{00000000-0005-0000-0000-0000C6200000}"/>
    <cellStyle name="20% - Accent5 7 2 5 2" xfId="14388" xr:uid="{00000000-0005-0000-0000-0000C7200000}"/>
    <cellStyle name="20% - Accent5 7 2 5 2 2" xfId="27937" xr:uid="{00000000-0005-0000-0000-0000C8200000}"/>
    <cellStyle name="20% - Accent5 7 2 5 3" xfId="19462" xr:uid="{00000000-0005-0000-0000-0000C9200000}"/>
    <cellStyle name="20% - Accent5 7 2 6" xfId="2138" xr:uid="{00000000-0005-0000-0000-0000CA200000}"/>
    <cellStyle name="20% - Accent5 7 2 6 2" xfId="16274" xr:uid="{00000000-0005-0000-0000-0000CB200000}"/>
    <cellStyle name="20% - Accent5 7 2 6 2 2" xfId="29681" xr:uid="{00000000-0005-0000-0000-0000CC200000}"/>
    <cellStyle name="20% - Accent5 7 2 6 3" xfId="19463" xr:uid="{00000000-0005-0000-0000-0000CD200000}"/>
    <cellStyle name="20% - Accent5 7 2 7" xfId="9114" xr:uid="{00000000-0005-0000-0000-0000CE200000}"/>
    <cellStyle name="20% - Accent5 7 2 7 2" xfId="23589" xr:uid="{00000000-0005-0000-0000-0000CF200000}"/>
    <cellStyle name="20% - Accent5 7 2 8" xfId="19457" xr:uid="{00000000-0005-0000-0000-0000D0200000}"/>
    <cellStyle name="20% - Accent5 7 3" xfId="2139" xr:uid="{00000000-0005-0000-0000-0000D1200000}"/>
    <cellStyle name="20% - Accent5 7 3 2" xfId="2140" xr:uid="{00000000-0005-0000-0000-0000D2200000}"/>
    <cellStyle name="20% - Accent5 7 3 2 2" xfId="16566" xr:uid="{00000000-0005-0000-0000-0000D3200000}"/>
    <cellStyle name="20% - Accent5 7 3 2 2 2" xfId="29973" xr:uid="{00000000-0005-0000-0000-0000D4200000}"/>
    <cellStyle name="20% - Accent5 7 3 2 3" xfId="19465" xr:uid="{00000000-0005-0000-0000-0000D5200000}"/>
    <cellStyle name="20% - Accent5 7 3 3" xfId="10839" xr:uid="{00000000-0005-0000-0000-0000D6200000}"/>
    <cellStyle name="20% - Accent5 7 3 3 2" xfId="24781" xr:uid="{00000000-0005-0000-0000-0000D7200000}"/>
    <cellStyle name="20% - Accent5 7 3 4" xfId="19464" xr:uid="{00000000-0005-0000-0000-0000D8200000}"/>
    <cellStyle name="20% - Accent5 7 4" xfId="2141" xr:uid="{00000000-0005-0000-0000-0000D9200000}"/>
    <cellStyle name="20% - Accent5 7 4 2" xfId="11941" xr:uid="{00000000-0005-0000-0000-0000DA200000}"/>
    <cellStyle name="20% - Accent5 7 4 2 2" xfId="25656" xr:uid="{00000000-0005-0000-0000-0000DB200000}"/>
    <cellStyle name="20% - Accent5 7 4 3" xfId="19466" xr:uid="{00000000-0005-0000-0000-0000DC200000}"/>
    <cellStyle name="20% - Accent5 7 5" xfId="2142" xr:uid="{00000000-0005-0000-0000-0000DD200000}"/>
    <cellStyle name="20% - Accent5 7 5 2" xfId="13518" xr:uid="{00000000-0005-0000-0000-0000DE200000}"/>
    <cellStyle name="20% - Accent5 7 5 2 2" xfId="27067" xr:uid="{00000000-0005-0000-0000-0000DF200000}"/>
    <cellStyle name="20% - Accent5 7 5 3" xfId="19467" xr:uid="{00000000-0005-0000-0000-0000E0200000}"/>
    <cellStyle name="20% - Accent5 7 6" xfId="2143" xr:uid="{00000000-0005-0000-0000-0000E1200000}"/>
    <cellStyle name="20% - Accent5 7 6 2" xfId="14099" xr:uid="{00000000-0005-0000-0000-0000E2200000}"/>
    <cellStyle name="20% - Accent5 7 6 2 2" xfId="27648" xr:uid="{00000000-0005-0000-0000-0000E3200000}"/>
    <cellStyle name="20% - Accent5 7 6 3" xfId="19468" xr:uid="{00000000-0005-0000-0000-0000E4200000}"/>
    <cellStyle name="20% - Accent5 7 7" xfId="2144" xr:uid="{00000000-0005-0000-0000-0000E5200000}"/>
    <cellStyle name="20% - Accent5 7 7 2" xfId="15985" xr:uid="{00000000-0005-0000-0000-0000E6200000}"/>
    <cellStyle name="20% - Accent5 7 7 2 2" xfId="29392" xr:uid="{00000000-0005-0000-0000-0000E7200000}"/>
    <cellStyle name="20% - Accent5 7 7 3" xfId="19469" xr:uid="{00000000-0005-0000-0000-0000E8200000}"/>
    <cellStyle name="20% - Accent5 7 8" xfId="9113" xr:uid="{00000000-0005-0000-0000-0000E9200000}"/>
    <cellStyle name="20% - Accent5 7 8 2" xfId="23588" xr:uid="{00000000-0005-0000-0000-0000EA200000}"/>
    <cellStyle name="20% - Accent5 7 9" xfId="19456" xr:uid="{00000000-0005-0000-0000-0000EB200000}"/>
    <cellStyle name="20% - Accent5 8" xfId="2145" xr:uid="{00000000-0005-0000-0000-0000EC200000}"/>
    <cellStyle name="20% - Accent5 8 2" xfId="2146" xr:uid="{00000000-0005-0000-0000-0000ED200000}"/>
    <cellStyle name="20% - Accent5 8 2 2" xfId="2147" xr:uid="{00000000-0005-0000-0000-0000EE200000}"/>
    <cellStyle name="20% - Accent5 8 2 2 2" xfId="16705" xr:uid="{00000000-0005-0000-0000-0000EF200000}"/>
    <cellStyle name="20% - Accent5 8 2 2 2 2" xfId="30112" xr:uid="{00000000-0005-0000-0000-0000F0200000}"/>
    <cellStyle name="20% - Accent5 8 2 2 3" xfId="19472" xr:uid="{00000000-0005-0000-0000-0000F1200000}"/>
    <cellStyle name="20% - Accent5 8 2 3" xfId="10841" xr:uid="{00000000-0005-0000-0000-0000F2200000}"/>
    <cellStyle name="20% - Accent5 8 2 3 2" xfId="24783" xr:uid="{00000000-0005-0000-0000-0000F3200000}"/>
    <cellStyle name="20% - Accent5 8 2 4" xfId="19471" xr:uid="{00000000-0005-0000-0000-0000F4200000}"/>
    <cellStyle name="20% - Accent5 8 3" xfId="2148" xr:uid="{00000000-0005-0000-0000-0000F5200000}"/>
    <cellStyle name="20% - Accent5 8 3 2" xfId="12083" xr:uid="{00000000-0005-0000-0000-0000F6200000}"/>
    <cellStyle name="20% - Accent5 8 3 2 2" xfId="25797" xr:uid="{00000000-0005-0000-0000-0000F7200000}"/>
    <cellStyle name="20% - Accent5 8 3 3" xfId="19473" xr:uid="{00000000-0005-0000-0000-0000F8200000}"/>
    <cellStyle name="20% - Accent5 8 4" xfId="2149" xr:uid="{00000000-0005-0000-0000-0000F9200000}"/>
    <cellStyle name="20% - Accent5 8 4 2" xfId="13657" xr:uid="{00000000-0005-0000-0000-0000FA200000}"/>
    <cellStyle name="20% - Accent5 8 4 2 2" xfId="27206" xr:uid="{00000000-0005-0000-0000-0000FB200000}"/>
    <cellStyle name="20% - Accent5 8 4 3" xfId="19474" xr:uid="{00000000-0005-0000-0000-0000FC200000}"/>
    <cellStyle name="20% - Accent5 8 5" xfId="2150" xr:uid="{00000000-0005-0000-0000-0000FD200000}"/>
    <cellStyle name="20% - Accent5 8 5 2" xfId="14238" xr:uid="{00000000-0005-0000-0000-0000FE200000}"/>
    <cellStyle name="20% - Accent5 8 5 2 2" xfId="27787" xr:uid="{00000000-0005-0000-0000-0000FF200000}"/>
    <cellStyle name="20% - Accent5 8 5 3" xfId="19475" xr:uid="{00000000-0005-0000-0000-000000210000}"/>
    <cellStyle name="20% - Accent5 8 6" xfId="2151" xr:uid="{00000000-0005-0000-0000-000001210000}"/>
    <cellStyle name="20% - Accent5 8 6 2" xfId="16124" xr:uid="{00000000-0005-0000-0000-000002210000}"/>
    <cellStyle name="20% - Accent5 8 6 2 2" xfId="29531" xr:uid="{00000000-0005-0000-0000-000003210000}"/>
    <cellStyle name="20% - Accent5 8 6 3" xfId="19476" xr:uid="{00000000-0005-0000-0000-000004210000}"/>
    <cellStyle name="20% - Accent5 8 7" xfId="9115" xr:uid="{00000000-0005-0000-0000-000005210000}"/>
    <cellStyle name="20% - Accent5 8 7 2" xfId="23590" xr:uid="{00000000-0005-0000-0000-000006210000}"/>
    <cellStyle name="20% - Accent5 8 8" xfId="19470" xr:uid="{00000000-0005-0000-0000-000007210000}"/>
    <cellStyle name="20% - Accent5 9" xfId="2152" xr:uid="{00000000-0005-0000-0000-000008210000}"/>
    <cellStyle name="20% - Accent5 9 2" xfId="2153" xr:uid="{00000000-0005-0000-0000-000009210000}"/>
    <cellStyle name="20% - Accent5 9 2 2" xfId="11703" xr:uid="{00000000-0005-0000-0000-00000A210000}"/>
    <cellStyle name="20% - Accent5 9 2 2 2" xfId="25423" xr:uid="{00000000-0005-0000-0000-00000B210000}"/>
    <cellStyle name="20% - Accent5 9 2 3" xfId="19478" xr:uid="{00000000-0005-0000-0000-00000C210000}"/>
    <cellStyle name="20% - Accent5 9 3" xfId="2154" xr:uid="{00000000-0005-0000-0000-00000D210000}"/>
    <cellStyle name="20% - Accent5 9 3 2" xfId="12798" xr:uid="{00000000-0005-0000-0000-00000E210000}"/>
    <cellStyle name="20% - Accent5 9 3 2 2" xfId="26510" xr:uid="{00000000-0005-0000-0000-00000F210000}"/>
    <cellStyle name="20% - Accent5 9 3 3" xfId="19479" xr:uid="{00000000-0005-0000-0000-000010210000}"/>
    <cellStyle name="20% - Accent5 9 4" xfId="2155" xr:uid="{00000000-0005-0000-0000-000011210000}"/>
    <cellStyle name="20% - Accent5 9 4 2" xfId="14945" xr:uid="{00000000-0005-0000-0000-000012210000}"/>
    <cellStyle name="20% - Accent5 9 4 2 2" xfId="28494" xr:uid="{00000000-0005-0000-0000-000013210000}"/>
    <cellStyle name="20% - Accent5 9 4 3" xfId="19480" xr:uid="{00000000-0005-0000-0000-000014210000}"/>
    <cellStyle name="20% - Accent5 9 5" xfId="2156" xr:uid="{00000000-0005-0000-0000-000015210000}"/>
    <cellStyle name="20% - Accent5 9 5 2" xfId="17089" xr:uid="{00000000-0005-0000-0000-000016210000}"/>
    <cellStyle name="20% - Accent5 9 5 2 2" xfId="30448" xr:uid="{00000000-0005-0000-0000-000017210000}"/>
    <cellStyle name="20% - Accent5 9 5 3" xfId="19481" xr:uid="{00000000-0005-0000-0000-000018210000}"/>
    <cellStyle name="20% - Accent5 9 6" xfId="10455" xr:uid="{00000000-0005-0000-0000-000019210000}"/>
    <cellStyle name="20% - Accent5 9 6 2" xfId="24414" xr:uid="{00000000-0005-0000-0000-00001A210000}"/>
    <cellStyle name="20% - Accent5 9 7" xfId="19477" xr:uid="{00000000-0005-0000-0000-00001B210000}"/>
    <cellStyle name="20% - Accent6" xfId="37" builtinId="50" customBuiltin="1"/>
    <cellStyle name="20% - Accent6 10" xfId="2157" xr:uid="{00000000-0005-0000-0000-00001D210000}"/>
    <cellStyle name="20% - Accent6 10 2" xfId="2158" xr:uid="{00000000-0005-0000-0000-00001E210000}"/>
    <cellStyle name="20% - Accent6 10 2 2" xfId="2159" xr:uid="{00000000-0005-0000-0000-00001F210000}"/>
    <cellStyle name="20% - Accent6 10 2 2 2" xfId="12389" xr:uid="{00000000-0005-0000-0000-000020210000}"/>
    <cellStyle name="20% - Accent6 10 2 2 2 2" xfId="26101" xr:uid="{00000000-0005-0000-0000-000021210000}"/>
    <cellStyle name="20% - Accent6 10 2 2 3" xfId="19484" xr:uid="{00000000-0005-0000-0000-000022210000}"/>
    <cellStyle name="20% - Accent6 10 2 3" xfId="2160" xr:uid="{00000000-0005-0000-0000-000023210000}"/>
    <cellStyle name="20% - Accent6 10 2 3 2" xfId="14948" xr:uid="{00000000-0005-0000-0000-000024210000}"/>
    <cellStyle name="20% - Accent6 10 2 3 2 2" xfId="28497" xr:uid="{00000000-0005-0000-0000-000025210000}"/>
    <cellStyle name="20% - Accent6 10 2 3 3" xfId="19485" xr:uid="{00000000-0005-0000-0000-000026210000}"/>
    <cellStyle name="20% - Accent6 10 2 4" xfId="10843" xr:uid="{00000000-0005-0000-0000-000027210000}"/>
    <cellStyle name="20% - Accent6 10 2 4 2" xfId="24785" xr:uid="{00000000-0005-0000-0000-000028210000}"/>
    <cellStyle name="20% - Accent6 10 2 5" xfId="19483" xr:uid="{00000000-0005-0000-0000-000029210000}"/>
    <cellStyle name="20% - Accent6 10 3" xfId="2161" xr:uid="{00000000-0005-0000-0000-00002A210000}"/>
    <cellStyle name="20% - Accent6 10 3 2" xfId="12461" xr:uid="{00000000-0005-0000-0000-00002B210000}"/>
    <cellStyle name="20% - Accent6 10 3 2 2" xfId="26173" xr:uid="{00000000-0005-0000-0000-00002C210000}"/>
    <cellStyle name="20% - Accent6 10 3 3" xfId="19486" xr:uid="{00000000-0005-0000-0000-00002D210000}"/>
    <cellStyle name="20% - Accent6 10 4" xfId="2162" xr:uid="{00000000-0005-0000-0000-00002E210000}"/>
    <cellStyle name="20% - Accent6 10 4 2" xfId="14947" xr:uid="{00000000-0005-0000-0000-00002F210000}"/>
    <cellStyle name="20% - Accent6 10 4 2 2" xfId="28496" xr:uid="{00000000-0005-0000-0000-000030210000}"/>
    <cellStyle name="20% - Accent6 10 4 3" xfId="19487" xr:uid="{00000000-0005-0000-0000-000031210000}"/>
    <cellStyle name="20% - Accent6 10 5" xfId="2163" xr:uid="{00000000-0005-0000-0000-000032210000}"/>
    <cellStyle name="20% - Accent6 10 5 2" xfId="17179" xr:uid="{00000000-0005-0000-0000-000033210000}"/>
    <cellStyle name="20% - Accent6 10 5 2 2" xfId="30538" xr:uid="{00000000-0005-0000-0000-000034210000}"/>
    <cellStyle name="20% - Accent6 10 5 3" xfId="19488" xr:uid="{00000000-0005-0000-0000-000035210000}"/>
    <cellStyle name="20% - Accent6 10 6" xfId="9117" xr:uid="{00000000-0005-0000-0000-000036210000}"/>
    <cellStyle name="20% - Accent6 10 6 2" xfId="23592" xr:uid="{00000000-0005-0000-0000-000037210000}"/>
    <cellStyle name="20% - Accent6 10 7" xfId="19482" xr:uid="{00000000-0005-0000-0000-000038210000}"/>
    <cellStyle name="20% - Accent6 11" xfId="2164" xr:uid="{00000000-0005-0000-0000-000039210000}"/>
    <cellStyle name="20% - Accent6 11 2" xfId="2165" xr:uid="{00000000-0005-0000-0000-00003A210000}"/>
    <cellStyle name="20% - Accent6 11 2 2" xfId="10844" xr:uid="{00000000-0005-0000-0000-00003B210000}"/>
    <cellStyle name="20% - Accent6 11 2 2 2" xfId="24786" xr:uid="{00000000-0005-0000-0000-00003C210000}"/>
    <cellStyle name="20% - Accent6 11 2 3" xfId="19490" xr:uid="{00000000-0005-0000-0000-00003D210000}"/>
    <cellStyle name="20% - Accent6 11 3" xfId="2166" xr:uid="{00000000-0005-0000-0000-00003E210000}"/>
    <cellStyle name="20% - Accent6 11 3 2" xfId="12801" xr:uid="{00000000-0005-0000-0000-00003F210000}"/>
    <cellStyle name="20% - Accent6 11 3 2 2" xfId="26513" xr:uid="{00000000-0005-0000-0000-000040210000}"/>
    <cellStyle name="20% - Accent6 11 3 3" xfId="19491" xr:uid="{00000000-0005-0000-0000-000041210000}"/>
    <cellStyle name="20% - Accent6 11 4" xfId="2167" xr:uid="{00000000-0005-0000-0000-000042210000}"/>
    <cellStyle name="20% - Accent6 11 4 2" xfId="14949" xr:uid="{00000000-0005-0000-0000-000043210000}"/>
    <cellStyle name="20% - Accent6 11 4 2 2" xfId="28498" xr:uid="{00000000-0005-0000-0000-000044210000}"/>
    <cellStyle name="20% - Accent6 11 4 3" xfId="19492" xr:uid="{00000000-0005-0000-0000-000045210000}"/>
    <cellStyle name="20% - Accent6 11 5" xfId="2168" xr:uid="{00000000-0005-0000-0000-000046210000}"/>
    <cellStyle name="20% - Accent6 11 5 2" xfId="17268" xr:uid="{00000000-0005-0000-0000-000047210000}"/>
    <cellStyle name="20% - Accent6 11 5 2 2" xfId="30627" xr:uid="{00000000-0005-0000-0000-000048210000}"/>
    <cellStyle name="20% - Accent6 11 5 3" xfId="19493" xr:uid="{00000000-0005-0000-0000-000049210000}"/>
    <cellStyle name="20% - Accent6 11 6" xfId="9118" xr:uid="{00000000-0005-0000-0000-00004A210000}"/>
    <cellStyle name="20% - Accent6 11 6 2" xfId="23593" xr:uid="{00000000-0005-0000-0000-00004B210000}"/>
    <cellStyle name="20% - Accent6 11 7" xfId="19489" xr:uid="{00000000-0005-0000-0000-00004C210000}"/>
    <cellStyle name="20% - Accent6 12" xfId="2169" xr:uid="{00000000-0005-0000-0000-00004D210000}"/>
    <cellStyle name="20% - Accent6 12 2" xfId="2170" xr:uid="{00000000-0005-0000-0000-00004E210000}"/>
    <cellStyle name="20% - Accent6 12 2 2" xfId="2171" xr:uid="{00000000-0005-0000-0000-00004F210000}"/>
    <cellStyle name="20% - Accent6 12 2 2 2" xfId="10846" xr:uid="{00000000-0005-0000-0000-000050210000}"/>
    <cellStyle name="20% - Accent6 12 2 2 2 2" xfId="24788" xr:uid="{00000000-0005-0000-0000-000051210000}"/>
    <cellStyle name="20% - Accent6 12 2 2 3" xfId="19496" xr:uid="{00000000-0005-0000-0000-000052210000}"/>
    <cellStyle name="20% - Accent6 12 2 3" xfId="2172" xr:uid="{00000000-0005-0000-0000-000053210000}"/>
    <cellStyle name="20% - Accent6 12 2 3 2" xfId="12733" xr:uid="{00000000-0005-0000-0000-000054210000}"/>
    <cellStyle name="20% - Accent6 12 2 3 2 2" xfId="26445" xr:uid="{00000000-0005-0000-0000-000055210000}"/>
    <cellStyle name="20% - Accent6 12 2 3 3" xfId="19497" xr:uid="{00000000-0005-0000-0000-000056210000}"/>
    <cellStyle name="20% - Accent6 12 2 4" xfId="2173" xr:uid="{00000000-0005-0000-0000-000057210000}"/>
    <cellStyle name="20% - Accent6 12 2 4 2" xfId="14951" xr:uid="{00000000-0005-0000-0000-000058210000}"/>
    <cellStyle name="20% - Accent6 12 2 4 2 2" xfId="28500" xr:uid="{00000000-0005-0000-0000-000059210000}"/>
    <cellStyle name="20% - Accent6 12 2 4 3" xfId="19498" xr:uid="{00000000-0005-0000-0000-00005A210000}"/>
    <cellStyle name="20% - Accent6 12 2 5" xfId="9120" xr:uid="{00000000-0005-0000-0000-00005B210000}"/>
    <cellStyle name="20% - Accent6 12 2 5 2" xfId="23595" xr:uid="{00000000-0005-0000-0000-00005C210000}"/>
    <cellStyle name="20% - Accent6 12 2 6" xfId="19495" xr:uid="{00000000-0005-0000-0000-00005D210000}"/>
    <cellStyle name="20% - Accent6 12 3" xfId="2174" xr:uid="{00000000-0005-0000-0000-00005E210000}"/>
    <cellStyle name="20% - Accent6 12 3 2" xfId="10845" xr:uid="{00000000-0005-0000-0000-00005F210000}"/>
    <cellStyle name="20% - Accent6 12 3 2 2" xfId="24787" xr:uid="{00000000-0005-0000-0000-000060210000}"/>
    <cellStyle name="20% - Accent6 12 3 3" xfId="19499" xr:uid="{00000000-0005-0000-0000-000061210000}"/>
    <cellStyle name="20% - Accent6 12 4" xfId="2175" xr:uid="{00000000-0005-0000-0000-000062210000}"/>
    <cellStyle name="20% - Accent6 12 4 2" xfId="12537" xr:uid="{00000000-0005-0000-0000-000063210000}"/>
    <cellStyle name="20% - Accent6 12 4 2 2" xfId="26249" xr:uid="{00000000-0005-0000-0000-000064210000}"/>
    <cellStyle name="20% - Accent6 12 4 3" xfId="19500" xr:uid="{00000000-0005-0000-0000-000065210000}"/>
    <cellStyle name="20% - Accent6 12 5" xfId="2176" xr:uid="{00000000-0005-0000-0000-000066210000}"/>
    <cellStyle name="20% - Accent6 12 5 2" xfId="14950" xr:uid="{00000000-0005-0000-0000-000067210000}"/>
    <cellStyle name="20% - Accent6 12 5 2 2" xfId="28499" xr:uid="{00000000-0005-0000-0000-000068210000}"/>
    <cellStyle name="20% - Accent6 12 5 3" xfId="19501" xr:uid="{00000000-0005-0000-0000-000069210000}"/>
    <cellStyle name="20% - Accent6 12 6" xfId="2177" xr:uid="{00000000-0005-0000-0000-00006A210000}"/>
    <cellStyle name="20% - Accent6 12 6 2" xfId="16420" xr:uid="{00000000-0005-0000-0000-00006B210000}"/>
    <cellStyle name="20% - Accent6 12 6 2 2" xfId="29827" xr:uid="{00000000-0005-0000-0000-00006C210000}"/>
    <cellStyle name="20% - Accent6 12 6 3" xfId="19502" xr:uid="{00000000-0005-0000-0000-00006D210000}"/>
    <cellStyle name="20% - Accent6 12 7" xfId="9119" xr:uid="{00000000-0005-0000-0000-00006E210000}"/>
    <cellStyle name="20% - Accent6 12 7 2" xfId="23594" xr:uid="{00000000-0005-0000-0000-00006F210000}"/>
    <cellStyle name="20% - Accent6 12 8" xfId="19494" xr:uid="{00000000-0005-0000-0000-000070210000}"/>
    <cellStyle name="20% - Accent6 13" xfId="2178" xr:uid="{00000000-0005-0000-0000-000071210000}"/>
    <cellStyle name="20% - Accent6 13 2" xfId="2179" xr:uid="{00000000-0005-0000-0000-000072210000}"/>
    <cellStyle name="20% - Accent6 13 2 2" xfId="10847" xr:uid="{00000000-0005-0000-0000-000073210000}"/>
    <cellStyle name="20% - Accent6 13 2 2 2" xfId="24789" xr:uid="{00000000-0005-0000-0000-000074210000}"/>
    <cellStyle name="20% - Accent6 13 2 3" xfId="19504" xr:uid="{00000000-0005-0000-0000-000075210000}"/>
    <cellStyle name="20% - Accent6 13 3" xfId="2180" xr:uid="{00000000-0005-0000-0000-000076210000}"/>
    <cellStyle name="20% - Accent6 13 3 2" xfId="12541" xr:uid="{00000000-0005-0000-0000-000077210000}"/>
    <cellStyle name="20% - Accent6 13 3 2 2" xfId="26253" xr:uid="{00000000-0005-0000-0000-000078210000}"/>
    <cellStyle name="20% - Accent6 13 3 3" xfId="19505" xr:uid="{00000000-0005-0000-0000-000079210000}"/>
    <cellStyle name="20% - Accent6 13 4" xfId="2181" xr:uid="{00000000-0005-0000-0000-00007A210000}"/>
    <cellStyle name="20% - Accent6 13 4 2" xfId="14952" xr:uid="{00000000-0005-0000-0000-00007B210000}"/>
    <cellStyle name="20% - Accent6 13 4 2 2" xfId="28501" xr:uid="{00000000-0005-0000-0000-00007C210000}"/>
    <cellStyle name="20% - Accent6 13 4 3" xfId="19506" xr:uid="{00000000-0005-0000-0000-00007D210000}"/>
    <cellStyle name="20% - Accent6 13 5" xfId="9121" xr:uid="{00000000-0005-0000-0000-00007E210000}"/>
    <cellStyle name="20% - Accent6 13 5 2" xfId="23596" xr:uid="{00000000-0005-0000-0000-00007F210000}"/>
    <cellStyle name="20% - Accent6 13 6" xfId="19503" xr:uid="{00000000-0005-0000-0000-000080210000}"/>
    <cellStyle name="20% - Accent6 14" xfId="2182" xr:uid="{00000000-0005-0000-0000-000081210000}"/>
    <cellStyle name="20% - Accent6 14 2" xfId="2183" xr:uid="{00000000-0005-0000-0000-000082210000}"/>
    <cellStyle name="20% - Accent6 14 2 2" xfId="10848" xr:uid="{00000000-0005-0000-0000-000083210000}"/>
    <cellStyle name="20% - Accent6 14 2 2 2" xfId="24790" xr:uid="{00000000-0005-0000-0000-000084210000}"/>
    <cellStyle name="20% - Accent6 14 2 3" xfId="19508" xr:uid="{00000000-0005-0000-0000-000085210000}"/>
    <cellStyle name="20% - Accent6 14 3" xfId="2184" xr:uid="{00000000-0005-0000-0000-000086210000}"/>
    <cellStyle name="20% - Accent6 14 3 2" xfId="12597" xr:uid="{00000000-0005-0000-0000-000087210000}"/>
    <cellStyle name="20% - Accent6 14 3 2 2" xfId="26309" xr:uid="{00000000-0005-0000-0000-000088210000}"/>
    <cellStyle name="20% - Accent6 14 3 3" xfId="19509" xr:uid="{00000000-0005-0000-0000-000089210000}"/>
    <cellStyle name="20% - Accent6 14 4" xfId="2185" xr:uid="{00000000-0005-0000-0000-00008A210000}"/>
    <cellStyle name="20% - Accent6 14 4 2" xfId="14953" xr:uid="{00000000-0005-0000-0000-00008B210000}"/>
    <cellStyle name="20% - Accent6 14 4 2 2" xfId="28502" xr:uid="{00000000-0005-0000-0000-00008C210000}"/>
    <cellStyle name="20% - Accent6 14 4 3" xfId="19510" xr:uid="{00000000-0005-0000-0000-00008D210000}"/>
    <cellStyle name="20% - Accent6 14 5" xfId="9122" xr:uid="{00000000-0005-0000-0000-00008E210000}"/>
    <cellStyle name="20% - Accent6 14 5 2" xfId="23597" xr:uid="{00000000-0005-0000-0000-00008F210000}"/>
    <cellStyle name="20% - Accent6 14 6" xfId="19507" xr:uid="{00000000-0005-0000-0000-000090210000}"/>
    <cellStyle name="20% - Accent6 15" xfId="2186" xr:uid="{00000000-0005-0000-0000-000091210000}"/>
    <cellStyle name="20% - Accent6 15 2" xfId="2187" xr:uid="{00000000-0005-0000-0000-000092210000}"/>
    <cellStyle name="20% - Accent6 15 2 2" xfId="10849" xr:uid="{00000000-0005-0000-0000-000093210000}"/>
    <cellStyle name="20% - Accent6 15 2 2 2" xfId="24791" xr:uid="{00000000-0005-0000-0000-000094210000}"/>
    <cellStyle name="20% - Accent6 15 2 3" xfId="19512" xr:uid="{00000000-0005-0000-0000-000095210000}"/>
    <cellStyle name="20% - Accent6 15 3" xfId="2188" xr:uid="{00000000-0005-0000-0000-000096210000}"/>
    <cellStyle name="20% - Accent6 15 3 2" xfId="12658" xr:uid="{00000000-0005-0000-0000-000097210000}"/>
    <cellStyle name="20% - Accent6 15 3 2 2" xfId="26370" xr:uid="{00000000-0005-0000-0000-000098210000}"/>
    <cellStyle name="20% - Accent6 15 3 3" xfId="19513" xr:uid="{00000000-0005-0000-0000-000099210000}"/>
    <cellStyle name="20% - Accent6 15 4" xfId="2189" xr:uid="{00000000-0005-0000-0000-00009A210000}"/>
    <cellStyle name="20% - Accent6 15 4 2" xfId="14954" xr:uid="{00000000-0005-0000-0000-00009B210000}"/>
    <cellStyle name="20% - Accent6 15 4 2 2" xfId="28503" xr:uid="{00000000-0005-0000-0000-00009C210000}"/>
    <cellStyle name="20% - Accent6 15 4 3" xfId="19514" xr:uid="{00000000-0005-0000-0000-00009D210000}"/>
    <cellStyle name="20% - Accent6 15 5" xfId="9123" xr:uid="{00000000-0005-0000-0000-00009E210000}"/>
    <cellStyle name="20% - Accent6 15 5 2" xfId="23598" xr:uid="{00000000-0005-0000-0000-00009F210000}"/>
    <cellStyle name="20% - Accent6 15 6" xfId="19511" xr:uid="{00000000-0005-0000-0000-0000A0210000}"/>
    <cellStyle name="20% - Accent6 16" xfId="2190" xr:uid="{00000000-0005-0000-0000-0000A1210000}"/>
    <cellStyle name="20% - Accent6 16 2" xfId="2191" xr:uid="{00000000-0005-0000-0000-0000A2210000}"/>
    <cellStyle name="20% - Accent6 16 2 2" xfId="10850" xr:uid="{00000000-0005-0000-0000-0000A3210000}"/>
    <cellStyle name="20% - Accent6 16 2 2 2" xfId="24792" xr:uid="{00000000-0005-0000-0000-0000A4210000}"/>
    <cellStyle name="20% - Accent6 16 2 3" xfId="19516" xr:uid="{00000000-0005-0000-0000-0000A5210000}"/>
    <cellStyle name="20% - Accent6 16 3" xfId="2192" xr:uid="{00000000-0005-0000-0000-0000A6210000}"/>
    <cellStyle name="20% - Accent6 16 3 2" xfId="12450" xr:uid="{00000000-0005-0000-0000-0000A7210000}"/>
    <cellStyle name="20% - Accent6 16 3 2 2" xfId="26162" xr:uid="{00000000-0005-0000-0000-0000A8210000}"/>
    <cellStyle name="20% - Accent6 16 3 3" xfId="19517" xr:uid="{00000000-0005-0000-0000-0000A9210000}"/>
    <cellStyle name="20% - Accent6 16 4" xfId="2193" xr:uid="{00000000-0005-0000-0000-0000AA210000}"/>
    <cellStyle name="20% - Accent6 16 4 2" xfId="14955" xr:uid="{00000000-0005-0000-0000-0000AB210000}"/>
    <cellStyle name="20% - Accent6 16 4 2 2" xfId="28504" xr:uid="{00000000-0005-0000-0000-0000AC210000}"/>
    <cellStyle name="20% - Accent6 16 4 3" xfId="19518" xr:uid="{00000000-0005-0000-0000-0000AD210000}"/>
    <cellStyle name="20% - Accent6 16 5" xfId="9124" xr:uid="{00000000-0005-0000-0000-0000AE210000}"/>
    <cellStyle name="20% - Accent6 16 5 2" xfId="23599" xr:uid="{00000000-0005-0000-0000-0000AF210000}"/>
    <cellStyle name="20% - Accent6 16 6" xfId="19515" xr:uid="{00000000-0005-0000-0000-0000B0210000}"/>
    <cellStyle name="20% - Accent6 17" xfId="2194" xr:uid="{00000000-0005-0000-0000-0000B1210000}"/>
    <cellStyle name="20% - Accent6 17 2" xfId="2195" xr:uid="{00000000-0005-0000-0000-0000B2210000}"/>
    <cellStyle name="20% - Accent6 17 2 2" xfId="10851" xr:uid="{00000000-0005-0000-0000-0000B3210000}"/>
    <cellStyle name="20% - Accent6 17 2 2 2" xfId="24793" xr:uid="{00000000-0005-0000-0000-0000B4210000}"/>
    <cellStyle name="20% - Accent6 17 2 3" xfId="19520" xr:uid="{00000000-0005-0000-0000-0000B5210000}"/>
    <cellStyle name="20% - Accent6 17 3" xfId="2196" xr:uid="{00000000-0005-0000-0000-0000B6210000}"/>
    <cellStyle name="20% - Accent6 17 3 2" xfId="11770" xr:uid="{00000000-0005-0000-0000-0000B7210000}"/>
    <cellStyle name="20% - Accent6 17 3 2 2" xfId="25485" xr:uid="{00000000-0005-0000-0000-0000B8210000}"/>
    <cellStyle name="20% - Accent6 17 3 3" xfId="19521" xr:uid="{00000000-0005-0000-0000-0000B9210000}"/>
    <cellStyle name="20% - Accent6 17 4" xfId="2197" xr:uid="{00000000-0005-0000-0000-0000BA210000}"/>
    <cellStyle name="20% - Accent6 17 4 2" xfId="14956" xr:uid="{00000000-0005-0000-0000-0000BB210000}"/>
    <cellStyle name="20% - Accent6 17 4 2 2" xfId="28505" xr:uid="{00000000-0005-0000-0000-0000BC210000}"/>
    <cellStyle name="20% - Accent6 17 4 3" xfId="19522" xr:uid="{00000000-0005-0000-0000-0000BD210000}"/>
    <cellStyle name="20% - Accent6 17 5" xfId="9125" xr:uid="{00000000-0005-0000-0000-0000BE210000}"/>
    <cellStyle name="20% - Accent6 17 5 2" xfId="23600" xr:uid="{00000000-0005-0000-0000-0000BF210000}"/>
    <cellStyle name="20% - Accent6 17 6" xfId="19519" xr:uid="{00000000-0005-0000-0000-0000C0210000}"/>
    <cellStyle name="20% - Accent6 18" xfId="2198" xr:uid="{00000000-0005-0000-0000-0000C1210000}"/>
    <cellStyle name="20% - Accent6 18 2" xfId="2199" xr:uid="{00000000-0005-0000-0000-0000C2210000}"/>
    <cellStyle name="20% - Accent6 18 2 2" xfId="10852" xr:uid="{00000000-0005-0000-0000-0000C3210000}"/>
    <cellStyle name="20% - Accent6 18 2 2 2" xfId="24794" xr:uid="{00000000-0005-0000-0000-0000C4210000}"/>
    <cellStyle name="20% - Accent6 18 2 3" xfId="19524" xr:uid="{00000000-0005-0000-0000-0000C5210000}"/>
    <cellStyle name="20% - Accent6 18 3" xfId="2200" xr:uid="{00000000-0005-0000-0000-0000C6210000}"/>
    <cellStyle name="20% - Accent6 18 3 2" xfId="12718" xr:uid="{00000000-0005-0000-0000-0000C7210000}"/>
    <cellStyle name="20% - Accent6 18 3 2 2" xfId="26430" xr:uid="{00000000-0005-0000-0000-0000C8210000}"/>
    <cellStyle name="20% - Accent6 18 3 3" xfId="19525" xr:uid="{00000000-0005-0000-0000-0000C9210000}"/>
    <cellStyle name="20% - Accent6 18 4" xfId="2201" xr:uid="{00000000-0005-0000-0000-0000CA210000}"/>
    <cellStyle name="20% - Accent6 18 4 2" xfId="14957" xr:uid="{00000000-0005-0000-0000-0000CB210000}"/>
    <cellStyle name="20% - Accent6 18 4 2 2" xfId="28506" xr:uid="{00000000-0005-0000-0000-0000CC210000}"/>
    <cellStyle name="20% - Accent6 18 4 3" xfId="19526" xr:uid="{00000000-0005-0000-0000-0000CD210000}"/>
    <cellStyle name="20% - Accent6 18 5" xfId="9126" xr:uid="{00000000-0005-0000-0000-0000CE210000}"/>
    <cellStyle name="20% - Accent6 18 5 2" xfId="23601" xr:uid="{00000000-0005-0000-0000-0000CF210000}"/>
    <cellStyle name="20% - Accent6 18 6" xfId="19523" xr:uid="{00000000-0005-0000-0000-0000D0210000}"/>
    <cellStyle name="20% - Accent6 19" xfId="2202" xr:uid="{00000000-0005-0000-0000-0000D1210000}"/>
    <cellStyle name="20% - Accent6 19 2" xfId="2203" xr:uid="{00000000-0005-0000-0000-0000D2210000}"/>
    <cellStyle name="20% - Accent6 19 2 2" xfId="11704" xr:uid="{00000000-0005-0000-0000-0000D3210000}"/>
    <cellStyle name="20% - Accent6 19 2 2 2" xfId="25424" xr:uid="{00000000-0005-0000-0000-0000D4210000}"/>
    <cellStyle name="20% - Accent6 19 2 3" xfId="19528" xr:uid="{00000000-0005-0000-0000-0000D5210000}"/>
    <cellStyle name="20% - Accent6 19 3" xfId="2204" xr:uid="{00000000-0005-0000-0000-0000D6210000}"/>
    <cellStyle name="20% - Accent6 19 3 2" xfId="12639" xr:uid="{00000000-0005-0000-0000-0000D7210000}"/>
    <cellStyle name="20% - Accent6 19 3 2 2" xfId="26351" xr:uid="{00000000-0005-0000-0000-0000D8210000}"/>
    <cellStyle name="20% - Accent6 19 3 3" xfId="19529" xr:uid="{00000000-0005-0000-0000-0000D9210000}"/>
    <cellStyle name="20% - Accent6 19 4" xfId="2205" xr:uid="{00000000-0005-0000-0000-0000DA210000}"/>
    <cellStyle name="20% - Accent6 19 4 2" xfId="14958" xr:uid="{00000000-0005-0000-0000-0000DB210000}"/>
    <cellStyle name="20% - Accent6 19 4 2 2" xfId="28507" xr:uid="{00000000-0005-0000-0000-0000DC210000}"/>
    <cellStyle name="20% - Accent6 19 4 3" xfId="19530" xr:uid="{00000000-0005-0000-0000-0000DD210000}"/>
    <cellStyle name="20% - Accent6 19 5" xfId="10456" xr:uid="{00000000-0005-0000-0000-0000DE210000}"/>
    <cellStyle name="20% - Accent6 19 5 2" xfId="24415" xr:uid="{00000000-0005-0000-0000-0000DF210000}"/>
    <cellStyle name="20% - Accent6 19 6" xfId="19527" xr:uid="{00000000-0005-0000-0000-0000E0210000}"/>
    <cellStyle name="20% - Accent6 2" xfId="2206" xr:uid="{00000000-0005-0000-0000-0000E1210000}"/>
    <cellStyle name="20% - Accent6 2 10" xfId="2207" xr:uid="{00000000-0005-0000-0000-0000E2210000}"/>
    <cellStyle name="20% - Accent6 2 10 2" xfId="2208" xr:uid="{00000000-0005-0000-0000-0000E3210000}"/>
    <cellStyle name="20% - Accent6 2 10 2 2" xfId="14960" xr:uid="{00000000-0005-0000-0000-0000E4210000}"/>
    <cellStyle name="20% - Accent6 2 10 2 2 2" xfId="28509" xr:uid="{00000000-0005-0000-0000-0000E5210000}"/>
    <cellStyle name="20% - Accent6 2 10 2 3" xfId="19533" xr:uid="{00000000-0005-0000-0000-0000E6210000}"/>
    <cellStyle name="20% - Accent6 2 10 3" xfId="11837" xr:uid="{00000000-0005-0000-0000-0000E7210000}"/>
    <cellStyle name="20% - Accent6 2 10 3 2" xfId="25552" xr:uid="{00000000-0005-0000-0000-0000E8210000}"/>
    <cellStyle name="20% - Accent6 2 10 4" xfId="19532" xr:uid="{00000000-0005-0000-0000-0000E9210000}"/>
    <cellStyle name="20% - Accent6 2 11" xfId="2209" xr:uid="{00000000-0005-0000-0000-0000EA210000}"/>
    <cellStyle name="20% - Accent6 2 11 2" xfId="11855" xr:uid="{00000000-0005-0000-0000-0000EB210000}"/>
    <cellStyle name="20% - Accent6 2 11 2 2" xfId="25570" xr:uid="{00000000-0005-0000-0000-0000EC210000}"/>
    <cellStyle name="20% - Accent6 2 11 3" xfId="19534" xr:uid="{00000000-0005-0000-0000-0000ED210000}"/>
    <cellStyle name="20% - Accent6 2 12" xfId="2210" xr:uid="{00000000-0005-0000-0000-0000EE210000}"/>
    <cellStyle name="20% - Accent6 2 12 2" xfId="13434" xr:uid="{00000000-0005-0000-0000-0000EF210000}"/>
    <cellStyle name="20% - Accent6 2 12 2 2" xfId="26983" xr:uid="{00000000-0005-0000-0000-0000F0210000}"/>
    <cellStyle name="20% - Accent6 2 12 3" xfId="19535" xr:uid="{00000000-0005-0000-0000-0000F1210000}"/>
    <cellStyle name="20% - Accent6 2 13" xfId="2211" xr:uid="{00000000-0005-0000-0000-0000F2210000}"/>
    <cellStyle name="20% - Accent6 2 13 2" xfId="14015" xr:uid="{00000000-0005-0000-0000-0000F3210000}"/>
    <cellStyle name="20% - Accent6 2 13 2 2" xfId="27564" xr:uid="{00000000-0005-0000-0000-0000F4210000}"/>
    <cellStyle name="20% - Accent6 2 13 3" xfId="19536" xr:uid="{00000000-0005-0000-0000-0000F5210000}"/>
    <cellStyle name="20% - Accent6 2 14" xfId="2212" xr:uid="{00000000-0005-0000-0000-0000F6210000}"/>
    <cellStyle name="20% - Accent6 2 14 2" xfId="14959" xr:uid="{00000000-0005-0000-0000-0000F7210000}"/>
    <cellStyle name="20% - Accent6 2 14 2 2" xfId="28508" xr:uid="{00000000-0005-0000-0000-0000F8210000}"/>
    <cellStyle name="20% - Accent6 2 14 3" xfId="19537" xr:uid="{00000000-0005-0000-0000-0000F9210000}"/>
    <cellStyle name="20% - Accent6 2 15" xfId="2213" xr:uid="{00000000-0005-0000-0000-0000FA210000}"/>
    <cellStyle name="20% - Accent6 2 15 2" xfId="15901" xr:uid="{00000000-0005-0000-0000-0000FB210000}"/>
    <cellStyle name="20% - Accent6 2 15 2 2" xfId="29308" xr:uid="{00000000-0005-0000-0000-0000FC210000}"/>
    <cellStyle name="20% - Accent6 2 15 3" xfId="19538" xr:uid="{00000000-0005-0000-0000-0000FD210000}"/>
    <cellStyle name="20% - Accent6 2 16" xfId="9127" xr:uid="{00000000-0005-0000-0000-0000FE210000}"/>
    <cellStyle name="20% - Accent6 2 16 2" xfId="23602" xr:uid="{00000000-0005-0000-0000-0000FF210000}"/>
    <cellStyle name="20% - Accent6 2 17" xfId="19531" xr:uid="{00000000-0005-0000-0000-000000220000}"/>
    <cellStyle name="20% - Accent6 2 2" xfId="2214" xr:uid="{00000000-0005-0000-0000-000001220000}"/>
    <cellStyle name="20% - Accent6 2 2 10" xfId="2215" xr:uid="{00000000-0005-0000-0000-000002220000}"/>
    <cellStyle name="20% - Accent6 2 2 10 2" xfId="14961" xr:uid="{00000000-0005-0000-0000-000003220000}"/>
    <cellStyle name="20% - Accent6 2 2 10 2 2" xfId="28510" xr:uid="{00000000-0005-0000-0000-000004220000}"/>
    <cellStyle name="20% - Accent6 2 2 10 3" xfId="19540" xr:uid="{00000000-0005-0000-0000-000005220000}"/>
    <cellStyle name="20% - Accent6 2 2 11" xfId="2216" xr:uid="{00000000-0005-0000-0000-000006220000}"/>
    <cellStyle name="20% - Accent6 2 2 11 2" xfId="15947" xr:uid="{00000000-0005-0000-0000-000007220000}"/>
    <cellStyle name="20% - Accent6 2 2 11 2 2" xfId="29354" xr:uid="{00000000-0005-0000-0000-000008220000}"/>
    <cellStyle name="20% - Accent6 2 2 11 3" xfId="19541" xr:uid="{00000000-0005-0000-0000-000009220000}"/>
    <cellStyle name="20% - Accent6 2 2 12" xfId="9128" xr:uid="{00000000-0005-0000-0000-00000A220000}"/>
    <cellStyle name="20% - Accent6 2 2 12 2" xfId="23603" xr:uid="{00000000-0005-0000-0000-00000B220000}"/>
    <cellStyle name="20% - Accent6 2 2 13" xfId="19539" xr:uid="{00000000-0005-0000-0000-00000C220000}"/>
    <cellStyle name="20% - Accent6 2 2 2" xfId="2217" xr:uid="{00000000-0005-0000-0000-00000D220000}"/>
    <cellStyle name="20% - Accent6 2 2 2 10" xfId="2218" xr:uid="{00000000-0005-0000-0000-00000E220000}"/>
    <cellStyle name="20% - Accent6 2 2 2 10 2" xfId="16090" xr:uid="{00000000-0005-0000-0000-00000F220000}"/>
    <cellStyle name="20% - Accent6 2 2 2 10 2 2" xfId="29497" xr:uid="{00000000-0005-0000-0000-000010220000}"/>
    <cellStyle name="20% - Accent6 2 2 2 10 3" xfId="19543" xr:uid="{00000000-0005-0000-0000-000011220000}"/>
    <cellStyle name="20% - Accent6 2 2 2 11" xfId="9129" xr:uid="{00000000-0005-0000-0000-000012220000}"/>
    <cellStyle name="20% - Accent6 2 2 2 11 2" xfId="23604" xr:uid="{00000000-0005-0000-0000-000013220000}"/>
    <cellStyle name="20% - Accent6 2 2 2 12" xfId="19542" xr:uid="{00000000-0005-0000-0000-000014220000}"/>
    <cellStyle name="20% - Accent6 2 2 2 2" xfId="2219" xr:uid="{00000000-0005-0000-0000-000015220000}"/>
    <cellStyle name="20% - Accent6 2 2 2 2 10" xfId="9130" xr:uid="{00000000-0005-0000-0000-000016220000}"/>
    <cellStyle name="20% - Accent6 2 2 2 2 10 2" xfId="23605" xr:uid="{00000000-0005-0000-0000-000017220000}"/>
    <cellStyle name="20% - Accent6 2 2 2 2 11" xfId="19544" xr:uid="{00000000-0005-0000-0000-000018220000}"/>
    <cellStyle name="20% - Accent6 2 2 2 2 2" xfId="2220" xr:uid="{00000000-0005-0000-0000-000019220000}"/>
    <cellStyle name="20% - Accent6 2 2 2 2 2 2" xfId="2221" xr:uid="{00000000-0005-0000-0000-00001A220000}"/>
    <cellStyle name="20% - Accent6 2 2 2 2 2 2 2" xfId="10857" xr:uid="{00000000-0005-0000-0000-00001B220000}"/>
    <cellStyle name="20% - Accent6 2 2 2 2 2 2 2 2" xfId="24799" xr:uid="{00000000-0005-0000-0000-00001C220000}"/>
    <cellStyle name="20% - Accent6 2 2 2 2 2 2 3" xfId="19546" xr:uid="{00000000-0005-0000-0000-00001D220000}"/>
    <cellStyle name="20% - Accent6 2 2 2 2 2 3" xfId="2222" xr:uid="{00000000-0005-0000-0000-00001E220000}"/>
    <cellStyle name="20% - Accent6 2 2 2 2 2 3 2" xfId="12663" xr:uid="{00000000-0005-0000-0000-00001F220000}"/>
    <cellStyle name="20% - Accent6 2 2 2 2 2 3 2 2" xfId="26375" xr:uid="{00000000-0005-0000-0000-000020220000}"/>
    <cellStyle name="20% - Accent6 2 2 2 2 2 3 3" xfId="19547" xr:uid="{00000000-0005-0000-0000-000021220000}"/>
    <cellStyle name="20% - Accent6 2 2 2 2 2 4" xfId="2223" xr:uid="{00000000-0005-0000-0000-000022220000}"/>
    <cellStyle name="20% - Accent6 2 2 2 2 2 4 2" xfId="14964" xr:uid="{00000000-0005-0000-0000-000023220000}"/>
    <cellStyle name="20% - Accent6 2 2 2 2 2 4 2 2" xfId="28513" xr:uid="{00000000-0005-0000-0000-000024220000}"/>
    <cellStyle name="20% - Accent6 2 2 2 2 2 4 3" xfId="19548" xr:uid="{00000000-0005-0000-0000-000025220000}"/>
    <cellStyle name="20% - Accent6 2 2 2 2 2 5" xfId="2224" xr:uid="{00000000-0005-0000-0000-000026220000}"/>
    <cellStyle name="20% - Accent6 2 2 2 2 2 5 2" xfId="16960" xr:uid="{00000000-0005-0000-0000-000027220000}"/>
    <cellStyle name="20% - Accent6 2 2 2 2 2 5 2 2" xfId="30367" xr:uid="{00000000-0005-0000-0000-000028220000}"/>
    <cellStyle name="20% - Accent6 2 2 2 2 2 5 3" xfId="19549" xr:uid="{00000000-0005-0000-0000-000029220000}"/>
    <cellStyle name="20% - Accent6 2 2 2 2 2 6" xfId="9131" xr:uid="{00000000-0005-0000-0000-00002A220000}"/>
    <cellStyle name="20% - Accent6 2 2 2 2 2 6 2" xfId="23606" xr:uid="{00000000-0005-0000-0000-00002B220000}"/>
    <cellStyle name="20% - Accent6 2 2 2 2 2 7" xfId="19545" xr:uid="{00000000-0005-0000-0000-00002C220000}"/>
    <cellStyle name="20% - Accent6 2 2 2 2 3" xfId="2225" xr:uid="{00000000-0005-0000-0000-00002D220000}"/>
    <cellStyle name="20% - Accent6 2 2 2 2 3 2" xfId="2226" xr:uid="{00000000-0005-0000-0000-00002E220000}"/>
    <cellStyle name="20% - Accent6 2 2 2 2 3 2 2" xfId="14965" xr:uid="{00000000-0005-0000-0000-00002F220000}"/>
    <cellStyle name="20% - Accent6 2 2 2 2 3 2 2 2" xfId="28514" xr:uid="{00000000-0005-0000-0000-000030220000}"/>
    <cellStyle name="20% - Accent6 2 2 2 2 3 2 3" xfId="19551" xr:uid="{00000000-0005-0000-0000-000031220000}"/>
    <cellStyle name="20% - Accent6 2 2 2 2 3 3" xfId="10856" xr:uid="{00000000-0005-0000-0000-000032220000}"/>
    <cellStyle name="20% - Accent6 2 2 2 2 3 3 2" xfId="24798" xr:uid="{00000000-0005-0000-0000-000033220000}"/>
    <cellStyle name="20% - Accent6 2 2 2 2 3 4" xfId="19550" xr:uid="{00000000-0005-0000-0000-000034220000}"/>
    <cellStyle name="20% - Accent6 2 2 2 2 4" xfId="2227" xr:uid="{00000000-0005-0000-0000-000035220000}"/>
    <cellStyle name="20% - Accent6 2 2 2 2 4 2" xfId="12348" xr:uid="{00000000-0005-0000-0000-000036220000}"/>
    <cellStyle name="20% - Accent6 2 2 2 2 4 2 2" xfId="26060" xr:uid="{00000000-0005-0000-0000-000037220000}"/>
    <cellStyle name="20% - Accent6 2 2 2 2 4 3" xfId="19552" xr:uid="{00000000-0005-0000-0000-000038220000}"/>
    <cellStyle name="20% - Accent6 2 2 2 2 5" xfId="2228" xr:uid="{00000000-0005-0000-0000-000039220000}"/>
    <cellStyle name="20% - Accent6 2 2 2 2 5 2" xfId="11748" xr:uid="{00000000-0005-0000-0000-00003A220000}"/>
    <cellStyle name="20% - Accent6 2 2 2 2 5 2 2" xfId="25463" xr:uid="{00000000-0005-0000-0000-00003B220000}"/>
    <cellStyle name="20% - Accent6 2 2 2 2 5 3" xfId="19553" xr:uid="{00000000-0005-0000-0000-00003C220000}"/>
    <cellStyle name="20% - Accent6 2 2 2 2 6" xfId="2229" xr:uid="{00000000-0005-0000-0000-00003D220000}"/>
    <cellStyle name="20% - Accent6 2 2 2 2 6 2" xfId="13912" xr:uid="{00000000-0005-0000-0000-00003E220000}"/>
    <cellStyle name="20% - Accent6 2 2 2 2 6 2 2" xfId="27461" xr:uid="{00000000-0005-0000-0000-00003F220000}"/>
    <cellStyle name="20% - Accent6 2 2 2 2 6 3" xfId="19554" xr:uid="{00000000-0005-0000-0000-000040220000}"/>
    <cellStyle name="20% - Accent6 2 2 2 2 7" xfId="2230" xr:uid="{00000000-0005-0000-0000-000041220000}"/>
    <cellStyle name="20% - Accent6 2 2 2 2 7 2" xfId="14493" xr:uid="{00000000-0005-0000-0000-000042220000}"/>
    <cellStyle name="20% - Accent6 2 2 2 2 7 2 2" xfId="28042" xr:uid="{00000000-0005-0000-0000-000043220000}"/>
    <cellStyle name="20% - Accent6 2 2 2 2 7 3" xfId="19555" xr:uid="{00000000-0005-0000-0000-000044220000}"/>
    <cellStyle name="20% - Accent6 2 2 2 2 8" xfId="2231" xr:uid="{00000000-0005-0000-0000-000045220000}"/>
    <cellStyle name="20% - Accent6 2 2 2 2 8 2" xfId="14963" xr:uid="{00000000-0005-0000-0000-000046220000}"/>
    <cellStyle name="20% - Accent6 2 2 2 2 8 2 2" xfId="28512" xr:uid="{00000000-0005-0000-0000-000047220000}"/>
    <cellStyle name="20% - Accent6 2 2 2 2 8 3" xfId="19556" xr:uid="{00000000-0005-0000-0000-000048220000}"/>
    <cellStyle name="20% - Accent6 2 2 2 2 9" xfId="2232" xr:uid="{00000000-0005-0000-0000-000049220000}"/>
    <cellStyle name="20% - Accent6 2 2 2 2 9 2" xfId="16379" xr:uid="{00000000-0005-0000-0000-00004A220000}"/>
    <cellStyle name="20% - Accent6 2 2 2 2 9 2 2" xfId="29786" xr:uid="{00000000-0005-0000-0000-00004B220000}"/>
    <cellStyle name="20% - Accent6 2 2 2 2 9 3" xfId="19557" xr:uid="{00000000-0005-0000-0000-00004C220000}"/>
    <cellStyle name="20% - Accent6 2 2 2 3" xfId="2233" xr:uid="{00000000-0005-0000-0000-00004D220000}"/>
    <cellStyle name="20% - Accent6 2 2 2 3 2" xfId="2234" xr:uid="{00000000-0005-0000-0000-00004E220000}"/>
    <cellStyle name="20% - Accent6 2 2 2 3 2 2" xfId="10858" xr:uid="{00000000-0005-0000-0000-00004F220000}"/>
    <cellStyle name="20% - Accent6 2 2 2 3 2 2 2" xfId="24800" xr:uid="{00000000-0005-0000-0000-000050220000}"/>
    <cellStyle name="20% - Accent6 2 2 2 3 2 3" xfId="19559" xr:uid="{00000000-0005-0000-0000-000051220000}"/>
    <cellStyle name="20% - Accent6 2 2 2 3 3" xfId="2235" xr:uid="{00000000-0005-0000-0000-000052220000}"/>
    <cellStyle name="20% - Accent6 2 2 2 3 3 2" xfId="12437" xr:uid="{00000000-0005-0000-0000-000053220000}"/>
    <cellStyle name="20% - Accent6 2 2 2 3 3 2 2" xfId="26149" xr:uid="{00000000-0005-0000-0000-000054220000}"/>
    <cellStyle name="20% - Accent6 2 2 2 3 3 3" xfId="19560" xr:uid="{00000000-0005-0000-0000-000055220000}"/>
    <cellStyle name="20% - Accent6 2 2 2 3 4" xfId="2236" xr:uid="{00000000-0005-0000-0000-000056220000}"/>
    <cellStyle name="20% - Accent6 2 2 2 3 4 2" xfId="14966" xr:uid="{00000000-0005-0000-0000-000057220000}"/>
    <cellStyle name="20% - Accent6 2 2 2 3 4 2 2" xfId="28515" xr:uid="{00000000-0005-0000-0000-000058220000}"/>
    <cellStyle name="20% - Accent6 2 2 2 3 4 3" xfId="19561" xr:uid="{00000000-0005-0000-0000-000059220000}"/>
    <cellStyle name="20% - Accent6 2 2 2 3 5" xfId="2237" xr:uid="{00000000-0005-0000-0000-00005A220000}"/>
    <cellStyle name="20% - Accent6 2 2 2 3 5 2" xfId="16671" xr:uid="{00000000-0005-0000-0000-00005B220000}"/>
    <cellStyle name="20% - Accent6 2 2 2 3 5 2 2" xfId="30078" xr:uid="{00000000-0005-0000-0000-00005C220000}"/>
    <cellStyle name="20% - Accent6 2 2 2 3 5 3" xfId="19562" xr:uid="{00000000-0005-0000-0000-00005D220000}"/>
    <cellStyle name="20% - Accent6 2 2 2 3 6" xfId="9132" xr:uid="{00000000-0005-0000-0000-00005E220000}"/>
    <cellStyle name="20% - Accent6 2 2 2 3 6 2" xfId="23607" xr:uid="{00000000-0005-0000-0000-00005F220000}"/>
    <cellStyle name="20% - Accent6 2 2 2 3 7" xfId="19558" xr:uid="{00000000-0005-0000-0000-000060220000}"/>
    <cellStyle name="20% - Accent6 2 2 2 4" xfId="2238" xr:uid="{00000000-0005-0000-0000-000061220000}"/>
    <cellStyle name="20% - Accent6 2 2 2 4 2" xfId="2239" xr:uid="{00000000-0005-0000-0000-000062220000}"/>
    <cellStyle name="20% - Accent6 2 2 2 4 2 2" xfId="14967" xr:uid="{00000000-0005-0000-0000-000063220000}"/>
    <cellStyle name="20% - Accent6 2 2 2 4 2 2 2" xfId="28516" xr:uid="{00000000-0005-0000-0000-000064220000}"/>
    <cellStyle name="20% - Accent6 2 2 2 4 2 3" xfId="19564" xr:uid="{00000000-0005-0000-0000-000065220000}"/>
    <cellStyle name="20% - Accent6 2 2 2 4 3" xfId="10855" xr:uid="{00000000-0005-0000-0000-000066220000}"/>
    <cellStyle name="20% - Accent6 2 2 2 4 3 2" xfId="24797" xr:uid="{00000000-0005-0000-0000-000067220000}"/>
    <cellStyle name="20% - Accent6 2 2 2 4 4" xfId="19563" xr:uid="{00000000-0005-0000-0000-000068220000}"/>
    <cellStyle name="20% - Accent6 2 2 2 5" xfId="2240" xr:uid="{00000000-0005-0000-0000-000069220000}"/>
    <cellStyle name="20% - Accent6 2 2 2 5 2" xfId="12048" xr:uid="{00000000-0005-0000-0000-00006A220000}"/>
    <cellStyle name="20% - Accent6 2 2 2 5 2 2" xfId="25763" xr:uid="{00000000-0005-0000-0000-00006B220000}"/>
    <cellStyle name="20% - Accent6 2 2 2 5 3" xfId="19565" xr:uid="{00000000-0005-0000-0000-00006C220000}"/>
    <cellStyle name="20% - Accent6 2 2 2 6" xfId="2241" xr:uid="{00000000-0005-0000-0000-00006D220000}"/>
    <cellStyle name="20% - Accent6 2 2 2 6 2" xfId="12440" xr:uid="{00000000-0005-0000-0000-00006E220000}"/>
    <cellStyle name="20% - Accent6 2 2 2 6 2 2" xfId="26152" xr:uid="{00000000-0005-0000-0000-00006F220000}"/>
    <cellStyle name="20% - Accent6 2 2 2 6 3" xfId="19566" xr:uid="{00000000-0005-0000-0000-000070220000}"/>
    <cellStyle name="20% - Accent6 2 2 2 7" xfId="2242" xr:uid="{00000000-0005-0000-0000-000071220000}"/>
    <cellStyle name="20% - Accent6 2 2 2 7 2" xfId="13623" xr:uid="{00000000-0005-0000-0000-000072220000}"/>
    <cellStyle name="20% - Accent6 2 2 2 7 2 2" xfId="27172" xr:uid="{00000000-0005-0000-0000-000073220000}"/>
    <cellStyle name="20% - Accent6 2 2 2 7 3" xfId="19567" xr:uid="{00000000-0005-0000-0000-000074220000}"/>
    <cellStyle name="20% - Accent6 2 2 2 8" xfId="2243" xr:uid="{00000000-0005-0000-0000-000075220000}"/>
    <cellStyle name="20% - Accent6 2 2 2 8 2" xfId="14204" xr:uid="{00000000-0005-0000-0000-000076220000}"/>
    <cellStyle name="20% - Accent6 2 2 2 8 2 2" xfId="27753" xr:uid="{00000000-0005-0000-0000-000077220000}"/>
    <cellStyle name="20% - Accent6 2 2 2 8 3" xfId="19568" xr:uid="{00000000-0005-0000-0000-000078220000}"/>
    <cellStyle name="20% - Accent6 2 2 2 9" xfId="2244" xr:uid="{00000000-0005-0000-0000-000079220000}"/>
    <cellStyle name="20% - Accent6 2 2 2 9 2" xfId="14962" xr:uid="{00000000-0005-0000-0000-00007A220000}"/>
    <cellStyle name="20% - Accent6 2 2 2 9 2 2" xfId="28511" xr:uid="{00000000-0005-0000-0000-00007B220000}"/>
    <cellStyle name="20% - Accent6 2 2 2 9 3" xfId="19569" xr:uid="{00000000-0005-0000-0000-00007C220000}"/>
    <cellStyle name="20% - Accent6 2 2 3" xfId="2245" xr:uid="{00000000-0005-0000-0000-00007D220000}"/>
    <cellStyle name="20% - Accent6 2 2 3 10" xfId="9133" xr:uid="{00000000-0005-0000-0000-00007E220000}"/>
    <cellStyle name="20% - Accent6 2 2 3 10 2" xfId="23608" xr:uid="{00000000-0005-0000-0000-00007F220000}"/>
    <cellStyle name="20% - Accent6 2 2 3 11" xfId="19570" xr:uid="{00000000-0005-0000-0000-000080220000}"/>
    <cellStyle name="20% - Accent6 2 2 3 2" xfId="2246" xr:uid="{00000000-0005-0000-0000-000081220000}"/>
    <cellStyle name="20% - Accent6 2 2 3 2 2" xfId="2247" xr:uid="{00000000-0005-0000-0000-000082220000}"/>
    <cellStyle name="20% - Accent6 2 2 3 2 2 2" xfId="10860" xr:uid="{00000000-0005-0000-0000-000083220000}"/>
    <cellStyle name="20% - Accent6 2 2 3 2 2 2 2" xfId="24802" xr:uid="{00000000-0005-0000-0000-000084220000}"/>
    <cellStyle name="20% - Accent6 2 2 3 2 2 3" xfId="19572" xr:uid="{00000000-0005-0000-0000-000085220000}"/>
    <cellStyle name="20% - Accent6 2 2 3 2 3" xfId="2248" xr:uid="{00000000-0005-0000-0000-000086220000}"/>
    <cellStyle name="20% - Accent6 2 2 3 2 3 2" xfId="11946" xr:uid="{00000000-0005-0000-0000-000087220000}"/>
    <cellStyle name="20% - Accent6 2 2 3 2 3 2 2" xfId="25661" xr:uid="{00000000-0005-0000-0000-000088220000}"/>
    <cellStyle name="20% - Accent6 2 2 3 2 3 3" xfId="19573" xr:uid="{00000000-0005-0000-0000-000089220000}"/>
    <cellStyle name="20% - Accent6 2 2 3 2 4" xfId="2249" xr:uid="{00000000-0005-0000-0000-00008A220000}"/>
    <cellStyle name="20% - Accent6 2 2 3 2 4 2" xfId="14969" xr:uid="{00000000-0005-0000-0000-00008B220000}"/>
    <cellStyle name="20% - Accent6 2 2 3 2 4 2 2" xfId="28518" xr:uid="{00000000-0005-0000-0000-00008C220000}"/>
    <cellStyle name="20% - Accent6 2 2 3 2 4 3" xfId="19574" xr:uid="{00000000-0005-0000-0000-00008D220000}"/>
    <cellStyle name="20% - Accent6 2 2 3 2 5" xfId="2250" xr:uid="{00000000-0005-0000-0000-00008E220000}"/>
    <cellStyle name="20% - Accent6 2 2 3 2 5 2" xfId="16817" xr:uid="{00000000-0005-0000-0000-00008F220000}"/>
    <cellStyle name="20% - Accent6 2 2 3 2 5 2 2" xfId="30224" xr:uid="{00000000-0005-0000-0000-000090220000}"/>
    <cellStyle name="20% - Accent6 2 2 3 2 5 3" xfId="19575" xr:uid="{00000000-0005-0000-0000-000091220000}"/>
    <cellStyle name="20% - Accent6 2 2 3 2 6" xfId="9134" xr:uid="{00000000-0005-0000-0000-000092220000}"/>
    <cellStyle name="20% - Accent6 2 2 3 2 6 2" xfId="23609" xr:uid="{00000000-0005-0000-0000-000093220000}"/>
    <cellStyle name="20% - Accent6 2 2 3 2 7" xfId="19571" xr:uid="{00000000-0005-0000-0000-000094220000}"/>
    <cellStyle name="20% - Accent6 2 2 3 3" xfId="2251" xr:uid="{00000000-0005-0000-0000-000095220000}"/>
    <cellStyle name="20% - Accent6 2 2 3 3 2" xfId="2252" xr:uid="{00000000-0005-0000-0000-000096220000}"/>
    <cellStyle name="20% - Accent6 2 2 3 3 2 2" xfId="14970" xr:uid="{00000000-0005-0000-0000-000097220000}"/>
    <cellStyle name="20% - Accent6 2 2 3 3 2 2 2" xfId="28519" xr:uid="{00000000-0005-0000-0000-000098220000}"/>
    <cellStyle name="20% - Accent6 2 2 3 3 2 3" xfId="19577" xr:uid="{00000000-0005-0000-0000-000099220000}"/>
    <cellStyle name="20% - Accent6 2 2 3 3 3" xfId="10859" xr:uid="{00000000-0005-0000-0000-00009A220000}"/>
    <cellStyle name="20% - Accent6 2 2 3 3 3 2" xfId="24801" xr:uid="{00000000-0005-0000-0000-00009B220000}"/>
    <cellStyle name="20% - Accent6 2 2 3 3 4" xfId="19576" xr:uid="{00000000-0005-0000-0000-00009C220000}"/>
    <cellStyle name="20% - Accent6 2 2 3 4" xfId="2253" xr:uid="{00000000-0005-0000-0000-00009D220000}"/>
    <cellStyle name="20% - Accent6 2 2 3 4 2" xfId="12205" xr:uid="{00000000-0005-0000-0000-00009E220000}"/>
    <cellStyle name="20% - Accent6 2 2 3 4 2 2" xfId="25917" xr:uid="{00000000-0005-0000-0000-00009F220000}"/>
    <cellStyle name="20% - Accent6 2 2 3 4 3" xfId="19578" xr:uid="{00000000-0005-0000-0000-0000A0220000}"/>
    <cellStyle name="20% - Accent6 2 2 3 5" xfId="2254" xr:uid="{00000000-0005-0000-0000-0000A1220000}"/>
    <cellStyle name="20% - Accent6 2 2 3 5 2" xfId="12603" xr:uid="{00000000-0005-0000-0000-0000A2220000}"/>
    <cellStyle name="20% - Accent6 2 2 3 5 2 2" xfId="26315" xr:uid="{00000000-0005-0000-0000-0000A3220000}"/>
    <cellStyle name="20% - Accent6 2 2 3 5 3" xfId="19579" xr:uid="{00000000-0005-0000-0000-0000A4220000}"/>
    <cellStyle name="20% - Accent6 2 2 3 6" xfId="2255" xr:uid="{00000000-0005-0000-0000-0000A5220000}"/>
    <cellStyle name="20% - Accent6 2 2 3 6 2" xfId="13769" xr:uid="{00000000-0005-0000-0000-0000A6220000}"/>
    <cellStyle name="20% - Accent6 2 2 3 6 2 2" xfId="27318" xr:uid="{00000000-0005-0000-0000-0000A7220000}"/>
    <cellStyle name="20% - Accent6 2 2 3 6 3" xfId="19580" xr:uid="{00000000-0005-0000-0000-0000A8220000}"/>
    <cellStyle name="20% - Accent6 2 2 3 7" xfId="2256" xr:uid="{00000000-0005-0000-0000-0000A9220000}"/>
    <cellStyle name="20% - Accent6 2 2 3 7 2" xfId="14350" xr:uid="{00000000-0005-0000-0000-0000AA220000}"/>
    <cellStyle name="20% - Accent6 2 2 3 7 2 2" xfId="27899" xr:uid="{00000000-0005-0000-0000-0000AB220000}"/>
    <cellStyle name="20% - Accent6 2 2 3 7 3" xfId="19581" xr:uid="{00000000-0005-0000-0000-0000AC220000}"/>
    <cellStyle name="20% - Accent6 2 2 3 8" xfId="2257" xr:uid="{00000000-0005-0000-0000-0000AD220000}"/>
    <cellStyle name="20% - Accent6 2 2 3 8 2" xfId="14968" xr:uid="{00000000-0005-0000-0000-0000AE220000}"/>
    <cellStyle name="20% - Accent6 2 2 3 8 2 2" xfId="28517" xr:uid="{00000000-0005-0000-0000-0000AF220000}"/>
    <cellStyle name="20% - Accent6 2 2 3 8 3" xfId="19582" xr:uid="{00000000-0005-0000-0000-0000B0220000}"/>
    <cellStyle name="20% - Accent6 2 2 3 9" xfId="2258" xr:uid="{00000000-0005-0000-0000-0000B1220000}"/>
    <cellStyle name="20% - Accent6 2 2 3 9 2" xfId="16236" xr:uid="{00000000-0005-0000-0000-0000B2220000}"/>
    <cellStyle name="20% - Accent6 2 2 3 9 2 2" xfId="29643" xr:uid="{00000000-0005-0000-0000-0000B3220000}"/>
    <cellStyle name="20% - Accent6 2 2 3 9 3" xfId="19583" xr:uid="{00000000-0005-0000-0000-0000B4220000}"/>
    <cellStyle name="20% - Accent6 2 2 4" xfId="2259" xr:uid="{00000000-0005-0000-0000-0000B5220000}"/>
    <cellStyle name="20% - Accent6 2 2 4 2" xfId="2260" xr:uid="{00000000-0005-0000-0000-0000B6220000}"/>
    <cellStyle name="20% - Accent6 2 2 4 2 2" xfId="10861" xr:uid="{00000000-0005-0000-0000-0000B7220000}"/>
    <cellStyle name="20% - Accent6 2 2 4 2 2 2" xfId="24803" xr:uid="{00000000-0005-0000-0000-0000B8220000}"/>
    <cellStyle name="20% - Accent6 2 2 4 2 3" xfId="19585" xr:uid="{00000000-0005-0000-0000-0000B9220000}"/>
    <cellStyle name="20% - Accent6 2 2 4 3" xfId="2261" xr:uid="{00000000-0005-0000-0000-0000BA220000}"/>
    <cellStyle name="20% - Accent6 2 2 4 3 2" xfId="12540" xr:uid="{00000000-0005-0000-0000-0000BB220000}"/>
    <cellStyle name="20% - Accent6 2 2 4 3 2 2" xfId="26252" xr:uid="{00000000-0005-0000-0000-0000BC220000}"/>
    <cellStyle name="20% - Accent6 2 2 4 3 3" xfId="19586" xr:uid="{00000000-0005-0000-0000-0000BD220000}"/>
    <cellStyle name="20% - Accent6 2 2 4 4" xfId="2262" xr:uid="{00000000-0005-0000-0000-0000BE220000}"/>
    <cellStyle name="20% - Accent6 2 2 4 4 2" xfId="14971" xr:uid="{00000000-0005-0000-0000-0000BF220000}"/>
    <cellStyle name="20% - Accent6 2 2 4 4 2 2" xfId="28520" xr:uid="{00000000-0005-0000-0000-0000C0220000}"/>
    <cellStyle name="20% - Accent6 2 2 4 4 3" xfId="19587" xr:uid="{00000000-0005-0000-0000-0000C1220000}"/>
    <cellStyle name="20% - Accent6 2 2 4 5" xfId="2263" xr:uid="{00000000-0005-0000-0000-0000C2220000}"/>
    <cellStyle name="20% - Accent6 2 2 4 5 2" xfId="17164" xr:uid="{00000000-0005-0000-0000-0000C3220000}"/>
    <cellStyle name="20% - Accent6 2 2 4 5 2 2" xfId="30523" xr:uid="{00000000-0005-0000-0000-0000C4220000}"/>
    <cellStyle name="20% - Accent6 2 2 4 5 3" xfId="19588" xr:uid="{00000000-0005-0000-0000-0000C5220000}"/>
    <cellStyle name="20% - Accent6 2 2 4 6" xfId="9135" xr:uid="{00000000-0005-0000-0000-0000C6220000}"/>
    <cellStyle name="20% - Accent6 2 2 4 6 2" xfId="23610" xr:uid="{00000000-0005-0000-0000-0000C7220000}"/>
    <cellStyle name="20% - Accent6 2 2 4 7" xfId="19584" xr:uid="{00000000-0005-0000-0000-0000C8220000}"/>
    <cellStyle name="20% - Accent6 2 2 5" xfId="2264" xr:uid="{00000000-0005-0000-0000-0000C9220000}"/>
    <cellStyle name="20% - Accent6 2 2 5 2" xfId="2265" xr:uid="{00000000-0005-0000-0000-0000CA220000}"/>
    <cellStyle name="20% - Accent6 2 2 5 2 2" xfId="14972" xr:uid="{00000000-0005-0000-0000-0000CB220000}"/>
    <cellStyle name="20% - Accent6 2 2 5 2 2 2" xfId="28521" xr:uid="{00000000-0005-0000-0000-0000CC220000}"/>
    <cellStyle name="20% - Accent6 2 2 5 2 3" xfId="19590" xr:uid="{00000000-0005-0000-0000-0000CD220000}"/>
    <cellStyle name="20% - Accent6 2 2 5 3" xfId="2266" xr:uid="{00000000-0005-0000-0000-0000CE220000}"/>
    <cellStyle name="20% - Accent6 2 2 5 3 2" xfId="17253" xr:uid="{00000000-0005-0000-0000-0000CF220000}"/>
    <cellStyle name="20% - Accent6 2 2 5 3 2 2" xfId="30612" xr:uid="{00000000-0005-0000-0000-0000D0220000}"/>
    <cellStyle name="20% - Accent6 2 2 5 3 3" xfId="19591" xr:uid="{00000000-0005-0000-0000-0000D1220000}"/>
    <cellStyle name="20% - Accent6 2 2 5 4" xfId="10854" xr:uid="{00000000-0005-0000-0000-0000D2220000}"/>
    <cellStyle name="20% - Accent6 2 2 5 4 2" xfId="24796" xr:uid="{00000000-0005-0000-0000-0000D3220000}"/>
    <cellStyle name="20% - Accent6 2 2 5 5" xfId="19589" xr:uid="{00000000-0005-0000-0000-0000D4220000}"/>
    <cellStyle name="20% - Accent6 2 2 6" xfId="2267" xr:uid="{00000000-0005-0000-0000-0000D5220000}"/>
    <cellStyle name="20% - Accent6 2 2 6 2" xfId="2268" xr:uid="{00000000-0005-0000-0000-0000D6220000}"/>
    <cellStyle name="20% - Accent6 2 2 6 2 2" xfId="16528" xr:uid="{00000000-0005-0000-0000-0000D7220000}"/>
    <cellStyle name="20% - Accent6 2 2 6 2 2 2" xfId="29935" xr:uid="{00000000-0005-0000-0000-0000D8220000}"/>
    <cellStyle name="20% - Accent6 2 2 6 2 3" xfId="19593" xr:uid="{00000000-0005-0000-0000-0000D9220000}"/>
    <cellStyle name="20% - Accent6 2 2 6 3" xfId="11903" xr:uid="{00000000-0005-0000-0000-0000DA220000}"/>
    <cellStyle name="20% - Accent6 2 2 6 3 2" xfId="25618" xr:uid="{00000000-0005-0000-0000-0000DB220000}"/>
    <cellStyle name="20% - Accent6 2 2 6 4" xfId="19592" xr:uid="{00000000-0005-0000-0000-0000DC220000}"/>
    <cellStyle name="20% - Accent6 2 2 7" xfId="2269" xr:uid="{00000000-0005-0000-0000-0000DD220000}"/>
    <cellStyle name="20% - Accent6 2 2 7 2" xfId="12799" xr:uid="{00000000-0005-0000-0000-0000DE220000}"/>
    <cellStyle name="20% - Accent6 2 2 7 2 2" xfId="26511" xr:uid="{00000000-0005-0000-0000-0000DF220000}"/>
    <cellStyle name="20% - Accent6 2 2 7 3" xfId="19594" xr:uid="{00000000-0005-0000-0000-0000E0220000}"/>
    <cellStyle name="20% - Accent6 2 2 8" xfId="2270" xr:uid="{00000000-0005-0000-0000-0000E1220000}"/>
    <cellStyle name="20% - Accent6 2 2 8 2" xfId="13480" xr:uid="{00000000-0005-0000-0000-0000E2220000}"/>
    <cellStyle name="20% - Accent6 2 2 8 2 2" xfId="27029" xr:uid="{00000000-0005-0000-0000-0000E3220000}"/>
    <cellStyle name="20% - Accent6 2 2 8 3" xfId="19595" xr:uid="{00000000-0005-0000-0000-0000E4220000}"/>
    <cellStyle name="20% - Accent6 2 2 9" xfId="2271" xr:uid="{00000000-0005-0000-0000-0000E5220000}"/>
    <cellStyle name="20% - Accent6 2 2 9 2" xfId="14061" xr:uid="{00000000-0005-0000-0000-0000E6220000}"/>
    <cellStyle name="20% - Accent6 2 2 9 2 2" xfId="27610" xr:uid="{00000000-0005-0000-0000-0000E7220000}"/>
    <cellStyle name="20% - Accent6 2 2 9 3" xfId="19596" xr:uid="{00000000-0005-0000-0000-0000E8220000}"/>
    <cellStyle name="20% - Accent6 2 3" xfId="2272" xr:uid="{00000000-0005-0000-0000-0000E9220000}"/>
    <cellStyle name="20% - Accent6 2 3 10" xfId="2273" xr:uid="{00000000-0005-0000-0000-0000EA220000}"/>
    <cellStyle name="20% - Accent6 2 3 10 2" xfId="16044" xr:uid="{00000000-0005-0000-0000-0000EB220000}"/>
    <cellStyle name="20% - Accent6 2 3 10 2 2" xfId="29451" xr:uid="{00000000-0005-0000-0000-0000EC220000}"/>
    <cellStyle name="20% - Accent6 2 3 10 3" xfId="19598" xr:uid="{00000000-0005-0000-0000-0000ED220000}"/>
    <cellStyle name="20% - Accent6 2 3 11" xfId="9136" xr:uid="{00000000-0005-0000-0000-0000EE220000}"/>
    <cellStyle name="20% - Accent6 2 3 11 2" xfId="23611" xr:uid="{00000000-0005-0000-0000-0000EF220000}"/>
    <cellStyle name="20% - Accent6 2 3 12" xfId="19597" xr:uid="{00000000-0005-0000-0000-0000F0220000}"/>
    <cellStyle name="20% - Accent6 2 3 2" xfId="2274" xr:uid="{00000000-0005-0000-0000-0000F1220000}"/>
    <cellStyle name="20% - Accent6 2 3 2 10" xfId="9137" xr:uid="{00000000-0005-0000-0000-0000F2220000}"/>
    <cellStyle name="20% - Accent6 2 3 2 10 2" xfId="23612" xr:uid="{00000000-0005-0000-0000-0000F3220000}"/>
    <cellStyle name="20% - Accent6 2 3 2 11" xfId="19599" xr:uid="{00000000-0005-0000-0000-0000F4220000}"/>
    <cellStyle name="20% - Accent6 2 3 2 2" xfId="2275" xr:uid="{00000000-0005-0000-0000-0000F5220000}"/>
    <cellStyle name="20% - Accent6 2 3 2 2 2" xfId="2276" xr:uid="{00000000-0005-0000-0000-0000F6220000}"/>
    <cellStyle name="20% - Accent6 2 3 2 2 2 2" xfId="10864" xr:uid="{00000000-0005-0000-0000-0000F7220000}"/>
    <cellStyle name="20% - Accent6 2 3 2 2 2 2 2" xfId="24806" xr:uid="{00000000-0005-0000-0000-0000F8220000}"/>
    <cellStyle name="20% - Accent6 2 3 2 2 2 3" xfId="19601" xr:uid="{00000000-0005-0000-0000-0000F9220000}"/>
    <cellStyle name="20% - Accent6 2 3 2 2 3" xfId="2277" xr:uid="{00000000-0005-0000-0000-0000FA220000}"/>
    <cellStyle name="20% - Accent6 2 3 2 2 3 2" xfId="12757" xr:uid="{00000000-0005-0000-0000-0000FB220000}"/>
    <cellStyle name="20% - Accent6 2 3 2 2 3 2 2" xfId="26469" xr:uid="{00000000-0005-0000-0000-0000FC220000}"/>
    <cellStyle name="20% - Accent6 2 3 2 2 3 3" xfId="19602" xr:uid="{00000000-0005-0000-0000-0000FD220000}"/>
    <cellStyle name="20% - Accent6 2 3 2 2 4" xfId="2278" xr:uid="{00000000-0005-0000-0000-0000FE220000}"/>
    <cellStyle name="20% - Accent6 2 3 2 2 4 2" xfId="14975" xr:uid="{00000000-0005-0000-0000-0000FF220000}"/>
    <cellStyle name="20% - Accent6 2 3 2 2 4 2 2" xfId="28524" xr:uid="{00000000-0005-0000-0000-000000230000}"/>
    <cellStyle name="20% - Accent6 2 3 2 2 4 3" xfId="19603" xr:uid="{00000000-0005-0000-0000-000001230000}"/>
    <cellStyle name="20% - Accent6 2 3 2 2 5" xfId="2279" xr:uid="{00000000-0005-0000-0000-000002230000}"/>
    <cellStyle name="20% - Accent6 2 3 2 2 5 2" xfId="16914" xr:uid="{00000000-0005-0000-0000-000003230000}"/>
    <cellStyle name="20% - Accent6 2 3 2 2 5 2 2" xfId="30321" xr:uid="{00000000-0005-0000-0000-000004230000}"/>
    <cellStyle name="20% - Accent6 2 3 2 2 5 3" xfId="19604" xr:uid="{00000000-0005-0000-0000-000005230000}"/>
    <cellStyle name="20% - Accent6 2 3 2 2 6" xfId="9138" xr:uid="{00000000-0005-0000-0000-000006230000}"/>
    <cellStyle name="20% - Accent6 2 3 2 2 6 2" xfId="23613" xr:uid="{00000000-0005-0000-0000-000007230000}"/>
    <cellStyle name="20% - Accent6 2 3 2 2 7" xfId="19600" xr:uid="{00000000-0005-0000-0000-000008230000}"/>
    <cellStyle name="20% - Accent6 2 3 2 3" xfId="2280" xr:uid="{00000000-0005-0000-0000-000009230000}"/>
    <cellStyle name="20% - Accent6 2 3 2 3 2" xfId="2281" xr:uid="{00000000-0005-0000-0000-00000A230000}"/>
    <cellStyle name="20% - Accent6 2 3 2 3 2 2" xfId="14976" xr:uid="{00000000-0005-0000-0000-00000B230000}"/>
    <cellStyle name="20% - Accent6 2 3 2 3 2 2 2" xfId="28525" xr:uid="{00000000-0005-0000-0000-00000C230000}"/>
    <cellStyle name="20% - Accent6 2 3 2 3 2 3" xfId="19606" xr:uid="{00000000-0005-0000-0000-00000D230000}"/>
    <cellStyle name="20% - Accent6 2 3 2 3 3" xfId="10863" xr:uid="{00000000-0005-0000-0000-00000E230000}"/>
    <cellStyle name="20% - Accent6 2 3 2 3 3 2" xfId="24805" xr:uid="{00000000-0005-0000-0000-00000F230000}"/>
    <cellStyle name="20% - Accent6 2 3 2 3 4" xfId="19605" xr:uid="{00000000-0005-0000-0000-000010230000}"/>
    <cellStyle name="20% - Accent6 2 3 2 4" xfId="2282" xr:uid="{00000000-0005-0000-0000-000011230000}"/>
    <cellStyle name="20% - Accent6 2 3 2 4 2" xfId="12302" xr:uid="{00000000-0005-0000-0000-000012230000}"/>
    <cellStyle name="20% - Accent6 2 3 2 4 2 2" xfId="26014" xr:uid="{00000000-0005-0000-0000-000013230000}"/>
    <cellStyle name="20% - Accent6 2 3 2 4 3" xfId="19607" xr:uid="{00000000-0005-0000-0000-000014230000}"/>
    <cellStyle name="20% - Accent6 2 3 2 5" xfId="2283" xr:uid="{00000000-0005-0000-0000-000015230000}"/>
    <cellStyle name="20% - Accent6 2 3 2 5 2" xfId="12756" xr:uid="{00000000-0005-0000-0000-000016230000}"/>
    <cellStyle name="20% - Accent6 2 3 2 5 2 2" xfId="26468" xr:uid="{00000000-0005-0000-0000-000017230000}"/>
    <cellStyle name="20% - Accent6 2 3 2 5 3" xfId="19608" xr:uid="{00000000-0005-0000-0000-000018230000}"/>
    <cellStyle name="20% - Accent6 2 3 2 6" xfId="2284" xr:uid="{00000000-0005-0000-0000-000019230000}"/>
    <cellStyle name="20% - Accent6 2 3 2 6 2" xfId="13866" xr:uid="{00000000-0005-0000-0000-00001A230000}"/>
    <cellStyle name="20% - Accent6 2 3 2 6 2 2" xfId="27415" xr:uid="{00000000-0005-0000-0000-00001B230000}"/>
    <cellStyle name="20% - Accent6 2 3 2 6 3" xfId="19609" xr:uid="{00000000-0005-0000-0000-00001C230000}"/>
    <cellStyle name="20% - Accent6 2 3 2 7" xfId="2285" xr:uid="{00000000-0005-0000-0000-00001D230000}"/>
    <cellStyle name="20% - Accent6 2 3 2 7 2" xfId="14447" xr:uid="{00000000-0005-0000-0000-00001E230000}"/>
    <cellStyle name="20% - Accent6 2 3 2 7 2 2" xfId="27996" xr:uid="{00000000-0005-0000-0000-00001F230000}"/>
    <cellStyle name="20% - Accent6 2 3 2 7 3" xfId="19610" xr:uid="{00000000-0005-0000-0000-000020230000}"/>
    <cellStyle name="20% - Accent6 2 3 2 8" xfId="2286" xr:uid="{00000000-0005-0000-0000-000021230000}"/>
    <cellStyle name="20% - Accent6 2 3 2 8 2" xfId="14974" xr:uid="{00000000-0005-0000-0000-000022230000}"/>
    <cellStyle name="20% - Accent6 2 3 2 8 2 2" xfId="28523" xr:uid="{00000000-0005-0000-0000-000023230000}"/>
    <cellStyle name="20% - Accent6 2 3 2 8 3" xfId="19611" xr:uid="{00000000-0005-0000-0000-000024230000}"/>
    <cellStyle name="20% - Accent6 2 3 2 9" xfId="2287" xr:uid="{00000000-0005-0000-0000-000025230000}"/>
    <cellStyle name="20% - Accent6 2 3 2 9 2" xfId="16333" xr:uid="{00000000-0005-0000-0000-000026230000}"/>
    <cellStyle name="20% - Accent6 2 3 2 9 2 2" xfId="29740" xr:uid="{00000000-0005-0000-0000-000027230000}"/>
    <cellStyle name="20% - Accent6 2 3 2 9 3" xfId="19612" xr:uid="{00000000-0005-0000-0000-000028230000}"/>
    <cellStyle name="20% - Accent6 2 3 3" xfId="2288" xr:uid="{00000000-0005-0000-0000-000029230000}"/>
    <cellStyle name="20% - Accent6 2 3 3 2" xfId="2289" xr:uid="{00000000-0005-0000-0000-00002A230000}"/>
    <cellStyle name="20% - Accent6 2 3 3 2 2" xfId="10865" xr:uid="{00000000-0005-0000-0000-00002B230000}"/>
    <cellStyle name="20% - Accent6 2 3 3 2 2 2" xfId="24807" xr:uid="{00000000-0005-0000-0000-00002C230000}"/>
    <cellStyle name="20% - Accent6 2 3 3 2 3" xfId="19614" xr:uid="{00000000-0005-0000-0000-00002D230000}"/>
    <cellStyle name="20% - Accent6 2 3 3 3" xfId="2290" xr:uid="{00000000-0005-0000-0000-00002E230000}"/>
    <cellStyle name="20% - Accent6 2 3 3 3 2" xfId="12444" xr:uid="{00000000-0005-0000-0000-00002F230000}"/>
    <cellStyle name="20% - Accent6 2 3 3 3 2 2" xfId="26156" xr:uid="{00000000-0005-0000-0000-000030230000}"/>
    <cellStyle name="20% - Accent6 2 3 3 3 3" xfId="19615" xr:uid="{00000000-0005-0000-0000-000031230000}"/>
    <cellStyle name="20% - Accent6 2 3 3 4" xfId="2291" xr:uid="{00000000-0005-0000-0000-000032230000}"/>
    <cellStyle name="20% - Accent6 2 3 3 4 2" xfId="14977" xr:uid="{00000000-0005-0000-0000-000033230000}"/>
    <cellStyle name="20% - Accent6 2 3 3 4 2 2" xfId="28526" xr:uid="{00000000-0005-0000-0000-000034230000}"/>
    <cellStyle name="20% - Accent6 2 3 3 4 3" xfId="19616" xr:uid="{00000000-0005-0000-0000-000035230000}"/>
    <cellStyle name="20% - Accent6 2 3 3 5" xfId="2292" xr:uid="{00000000-0005-0000-0000-000036230000}"/>
    <cellStyle name="20% - Accent6 2 3 3 5 2" xfId="16625" xr:uid="{00000000-0005-0000-0000-000037230000}"/>
    <cellStyle name="20% - Accent6 2 3 3 5 2 2" xfId="30032" xr:uid="{00000000-0005-0000-0000-000038230000}"/>
    <cellStyle name="20% - Accent6 2 3 3 5 3" xfId="19617" xr:uid="{00000000-0005-0000-0000-000039230000}"/>
    <cellStyle name="20% - Accent6 2 3 3 6" xfId="9139" xr:uid="{00000000-0005-0000-0000-00003A230000}"/>
    <cellStyle name="20% - Accent6 2 3 3 6 2" xfId="23614" xr:uid="{00000000-0005-0000-0000-00003B230000}"/>
    <cellStyle name="20% - Accent6 2 3 3 7" xfId="19613" xr:uid="{00000000-0005-0000-0000-00003C230000}"/>
    <cellStyle name="20% - Accent6 2 3 4" xfId="2293" xr:uid="{00000000-0005-0000-0000-00003D230000}"/>
    <cellStyle name="20% - Accent6 2 3 4 2" xfId="2294" xr:uid="{00000000-0005-0000-0000-00003E230000}"/>
    <cellStyle name="20% - Accent6 2 3 4 2 2" xfId="14978" xr:uid="{00000000-0005-0000-0000-00003F230000}"/>
    <cellStyle name="20% - Accent6 2 3 4 2 2 2" xfId="28527" xr:uid="{00000000-0005-0000-0000-000040230000}"/>
    <cellStyle name="20% - Accent6 2 3 4 2 3" xfId="19619" xr:uid="{00000000-0005-0000-0000-000041230000}"/>
    <cellStyle name="20% - Accent6 2 3 4 3" xfId="10862" xr:uid="{00000000-0005-0000-0000-000042230000}"/>
    <cellStyle name="20% - Accent6 2 3 4 3 2" xfId="24804" xr:uid="{00000000-0005-0000-0000-000043230000}"/>
    <cellStyle name="20% - Accent6 2 3 4 4" xfId="19618" xr:uid="{00000000-0005-0000-0000-000044230000}"/>
    <cellStyle name="20% - Accent6 2 3 5" xfId="2295" xr:uid="{00000000-0005-0000-0000-000045230000}"/>
    <cellStyle name="20% - Accent6 2 3 5 2" xfId="12002" xr:uid="{00000000-0005-0000-0000-000046230000}"/>
    <cellStyle name="20% - Accent6 2 3 5 2 2" xfId="25717" xr:uid="{00000000-0005-0000-0000-000047230000}"/>
    <cellStyle name="20% - Accent6 2 3 5 3" xfId="19620" xr:uid="{00000000-0005-0000-0000-000048230000}"/>
    <cellStyle name="20% - Accent6 2 3 6" xfId="2296" xr:uid="{00000000-0005-0000-0000-000049230000}"/>
    <cellStyle name="20% - Accent6 2 3 6 2" xfId="11763" xr:uid="{00000000-0005-0000-0000-00004A230000}"/>
    <cellStyle name="20% - Accent6 2 3 6 2 2" xfId="25478" xr:uid="{00000000-0005-0000-0000-00004B230000}"/>
    <cellStyle name="20% - Accent6 2 3 6 3" xfId="19621" xr:uid="{00000000-0005-0000-0000-00004C230000}"/>
    <cellStyle name="20% - Accent6 2 3 7" xfId="2297" xr:uid="{00000000-0005-0000-0000-00004D230000}"/>
    <cellStyle name="20% - Accent6 2 3 7 2" xfId="13577" xr:uid="{00000000-0005-0000-0000-00004E230000}"/>
    <cellStyle name="20% - Accent6 2 3 7 2 2" xfId="27126" xr:uid="{00000000-0005-0000-0000-00004F230000}"/>
    <cellStyle name="20% - Accent6 2 3 7 3" xfId="19622" xr:uid="{00000000-0005-0000-0000-000050230000}"/>
    <cellStyle name="20% - Accent6 2 3 8" xfId="2298" xr:uid="{00000000-0005-0000-0000-000051230000}"/>
    <cellStyle name="20% - Accent6 2 3 8 2" xfId="14158" xr:uid="{00000000-0005-0000-0000-000052230000}"/>
    <cellStyle name="20% - Accent6 2 3 8 2 2" xfId="27707" xr:uid="{00000000-0005-0000-0000-000053230000}"/>
    <cellStyle name="20% - Accent6 2 3 8 3" xfId="19623" xr:uid="{00000000-0005-0000-0000-000054230000}"/>
    <cellStyle name="20% - Accent6 2 3 9" xfId="2299" xr:uid="{00000000-0005-0000-0000-000055230000}"/>
    <cellStyle name="20% - Accent6 2 3 9 2" xfId="14973" xr:uid="{00000000-0005-0000-0000-000056230000}"/>
    <cellStyle name="20% - Accent6 2 3 9 2 2" xfId="28522" xr:uid="{00000000-0005-0000-0000-000057230000}"/>
    <cellStyle name="20% - Accent6 2 3 9 3" xfId="19624" xr:uid="{00000000-0005-0000-0000-000058230000}"/>
    <cellStyle name="20% - Accent6 2 4" xfId="2300" xr:uid="{00000000-0005-0000-0000-000059230000}"/>
    <cellStyle name="20% - Accent6 2 4 10" xfId="9140" xr:uid="{00000000-0005-0000-0000-00005A230000}"/>
    <cellStyle name="20% - Accent6 2 4 10 2" xfId="23615" xr:uid="{00000000-0005-0000-0000-00005B230000}"/>
    <cellStyle name="20% - Accent6 2 4 11" xfId="19625" xr:uid="{00000000-0005-0000-0000-00005C230000}"/>
    <cellStyle name="20% - Accent6 2 4 2" xfId="2301" xr:uid="{00000000-0005-0000-0000-00005D230000}"/>
    <cellStyle name="20% - Accent6 2 4 2 2" xfId="2302" xr:uid="{00000000-0005-0000-0000-00005E230000}"/>
    <cellStyle name="20% - Accent6 2 4 2 2 2" xfId="10867" xr:uid="{00000000-0005-0000-0000-00005F230000}"/>
    <cellStyle name="20% - Accent6 2 4 2 2 2 2" xfId="24809" xr:uid="{00000000-0005-0000-0000-000060230000}"/>
    <cellStyle name="20% - Accent6 2 4 2 2 3" xfId="19627" xr:uid="{00000000-0005-0000-0000-000061230000}"/>
    <cellStyle name="20% - Accent6 2 4 2 3" xfId="2303" xr:uid="{00000000-0005-0000-0000-000062230000}"/>
    <cellStyle name="20% - Accent6 2 4 2 3 2" xfId="12570" xr:uid="{00000000-0005-0000-0000-000063230000}"/>
    <cellStyle name="20% - Accent6 2 4 2 3 2 2" xfId="26282" xr:uid="{00000000-0005-0000-0000-000064230000}"/>
    <cellStyle name="20% - Accent6 2 4 2 3 3" xfId="19628" xr:uid="{00000000-0005-0000-0000-000065230000}"/>
    <cellStyle name="20% - Accent6 2 4 2 4" xfId="2304" xr:uid="{00000000-0005-0000-0000-000066230000}"/>
    <cellStyle name="20% - Accent6 2 4 2 4 2" xfId="14980" xr:uid="{00000000-0005-0000-0000-000067230000}"/>
    <cellStyle name="20% - Accent6 2 4 2 4 2 2" xfId="28529" xr:uid="{00000000-0005-0000-0000-000068230000}"/>
    <cellStyle name="20% - Accent6 2 4 2 4 3" xfId="19629" xr:uid="{00000000-0005-0000-0000-000069230000}"/>
    <cellStyle name="20% - Accent6 2 4 2 5" xfId="2305" xr:uid="{00000000-0005-0000-0000-00006A230000}"/>
    <cellStyle name="20% - Accent6 2 4 2 5 2" xfId="16771" xr:uid="{00000000-0005-0000-0000-00006B230000}"/>
    <cellStyle name="20% - Accent6 2 4 2 5 2 2" xfId="30178" xr:uid="{00000000-0005-0000-0000-00006C230000}"/>
    <cellStyle name="20% - Accent6 2 4 2 5 3" xfId="19630" xr:uid="{00000000-0005-0000-0000-00006D230000}"/>
    <cellStyle name="20% - Accent6 2 4 2 6" xfId="9141" xr:uid="{00000000-0005-0000-0000-00006E230000}"/>
    <cellStyle name="20% - Accent6 2 4 2 6 2" xfId="23616" xr:uid="{00000000-0005-0000-0000-00006F230000}"/>
    <cellStyle name="20% - Accent6 2 4 2 7" xfId="19626" xr:uid="{00000000-0005-0000-0000-000070230000}"/>
    <cellStyle name="20% - Accent6 2 4 3" xfId="2306" xr:uid="{00000000-0005-0000-0000-000071230000}"/>
    <cellStyle name="20% - Accent6 2 4 3 2" xfId="2307" xr:uid="{00000000-0005-0000-0000-000072230000}"/>
    <cellStyle name="20% - Accent6 2 4 3 2 2" xfId="14981" xr:uid="{00000000-0005-0000-0000-000073230000}"/>
    <cellStyle name="20% - Accent6 2 4 3 2 2 2" xfId="28530" xr:uid="{00000000-0005-0000-0000-000074230000}"/>
    <cellStyle name="20% - Accent6 2 4 3 2 3" xfId="19632" xr:uid="{00000000-0005-0000-0000-000075230000}"/>
    <cellStyle name="20% - Accent6 2 4 3 3" xfId="10866" xr:uid="{00000000-0005-0000-0000-000076230000}"/>
    <cellStyle name="20% - Accent6 2 4 3 3 2" xfId="24808" xr:uid="{00000000-0005-0000-0000-000077230000}"/>
    <cellStyle name="20% - Accent6 2 4 3 4" xfId="19631" xr:uid="{00000000-0005-0000-0000-000078230000}"/>
    <cellStyle name="20% - Accent6 2 4 4" xfId="2308" xr:uid="{00000000-0005-0000-0000-000079230000}"/>
    <cellStyle name="20% - Accent6 2 4 4 2" xfId="12159" xr:uid="{00000000-0005-0000-0000-00007A230000}"/>
    <cellStyle name="20% - Accent6 2 4 4 2 2" xfId="25871" xr:uid="{00000000-0005-0000-0000-00007B230000}"/>
    <cellStyle name="20% - Accent6 2 4 4 3" xfId="19633" xr:uid="{00000000-0005-0000-0000-00007C230000}"/>
    <cellStyle name="20% - Accent6 2 4 5" xfId="2309" xr:uid="{00000000-0005-0000-0000-00007D230000}"/>
    <cellStyle name="20% - Accent6 2 4 5 2" xfId="11757" xr:uid="{00000000-0005-0000-0000-00007E230000}"/>
    <cellStyle name="20% - Accent6 2 4 5 2 2" xfId="25472" xr:uid="{00000000-0005-0000-0000-00007F230000}"/>
    <cellStyle name="20% - Accent6 2 4 5 3" xfId="19634" xr:uid="{00000000-0005-0000-0000-000080230000}"/>
    <cellStyle name="20% - Accent6 2 4 6" xfId="2310" xr:uid="{00000000-0005-0000-0000-000081230000}"/>
    <cellStyle name="20% - Accent6 2 4 6 2" xfId="13723" xr:uid="{00000000-0005-0000-0000-000082230000}"/>
    <cellStyle name="20% - Accent6 2 4 6 2 2" xfId="27272" xr:uid="{00000000-0005-0000-0000-000083230000}"/>
    <cellStyle name="20% - Accent6 2 4 6 3" xfId="19635" xr:uid="{00000000-0005-0000-0000-000084230000}"/>
    <cellStyle name="20% - Accent6 2 4 7" xfId="2311" xr:uid="{00000000-0005-0000-0000-000085230000}"/>
    <cellStyle name="20% - Accent6 2 4 7 2" xfId="14304" xr:uid="{00000000-0005-0000-0000-000086230000}"/>
    <cellStyle name="20% - Accent6 2 4 7 2 2" xfId="27853" xr:uid="{00000000-0005-0000-0000-000087230000}"/>
    <cellStyle name="20% - Accent6 2 4 7 3" xfId="19636" xr:uid="{00000000-0005-0000-0000-000088230000}"/>
    <cellStyle name="20% - Accent6 2 4 8" xfId="2312" xr:uid="{00000000-0005-0000-0000-000089230000}"/>
    <cellStyle name="20% - Accent6 2 4 8 2" xfId="14979" xr:uid="{00000000-0005-0000-0000-00008A230000}"/>
    <cellStyle name="20% - Accent6 2 4 8 2 2" xfId="28528" xr:uid="{00000000-0005-0000-0000-00008B230000}"/>
    <cellStyle name="20% - Accent6 2 4 8 3" xfId="19637" xr:uid="{00000000-0005-0000-0000-00008C230000}"/>
    <cellStyle name="20% - Accent6 2 4 9" xfId="2313" xr:uid="{00000000-0005-0000-0000-00008D230000}"/>
    <cellStyle name="20% - Accent6 2 4 9 2" xfId="16190" xr:uid="{00000000-0005-0000-0000-00008E230000}"/>
    <cellStyle name="20% - Accent6 2 4 9 2 2" xfId="29597" xr:uid="{00000000-0005-0000-0000-00008F230000}"/>
    <cellStyle name="20% - Accent6 2 4 9 3" xfId="19638" xr:uid="{00000000-0005-0000-0000-000090230000}"/>
    <cellStyle name="20% - Accent6 2 5" xfId="2314" xr:uid="{00000000-0005-0000-0000-000091230000}"/>
    <cellStyle name="20% - Accent6 2 5 2" xfId="2315" xr:uid="{00000000-0005-0000-0000-000092230000}"/>
    <cellStyle name="20% - Accent6 2 5 2 2" xfId="2316" xr:uid="{00000000-0005-0000-0000-000093230000}"/>
    <cellStyle name="20% - Accent6 2 5 2 2 2" xfId="10869" xr:uid="{00000000-0005-0000-0000-000094230000}"/>
    <cellStyle name="20% - Accent6 2 5 2 2 2 2" xfId="24811" xr:uid="{00000000-0005-0000-0000-000095230000}"/>
    <cellStyle name="20% - Accent6 2 5 2 2 3" xfId="19641" xr:uid="{00000000-0005-0000-0000-000096230000}"/>
    <cellStyle name="20% - Accent6 2 5 2 3" xfId="2317" xr:uid="{00000000-0005-0000-0000-000097230000}"/>
    <cellStyle name="20% - Accent6 2 5 2 3 2" xfId="12507" xr:uid="{00000000-0005-0000-0000-000098230000}"/>
    <cellStyle name="20% - Accent6 2 5 2 3 2 2" xfId="26219" xr:uid="{00000000-0005-0000-0000-000099230000}"/>
    <cellStyle name="20% - Accent6 2 5 2 3 3" xfId="19642" xr:uid="{00000000-0005-0000-0000-00009A230000}"/>
    <cellStyle name="20% - Accent6 2 5 2 4" xfId="2318" xr:uid="{00000000-0005-0000-0000-00009B230000}"/>
    <cellStyle name="20% - Accent6 2 5 2 4 2" xfId="14983" xr:uid="{00000000-0005-0000-0000-00009C230000}"/>
    <cellStyle name="20% - Accent6 2 5 2 4 2 2" xfId="28532" xr:uid="{00000000-0005-0000-0000-00009D230000}"/>
    <cellStyle name="20% - Accent6 2 5 2 4 3" xfId="19643" xr:uid="{00000000-0005-0000-0000-00009E230000}"/>
    <cellStyle name="20% - Accent6 2 5 2 5" xfId="9143" xr:uid="{00000000-0005-0000-0000-00009F230000}"/>
    <cellStyle name="20% - Accent6 2 5 2 5 2" xfId="23618" xr:uid="{00000000-0005-0000-0000-0000A0230000}"/>
    <cellStyle name="20% - Accent6 2 5 2 6" xfId="19640" xr:uid="{00000000-0005-0000-0000-0000A1230000}"/>
    <cellStyle name="20% - Accent6 2 5 3" xfId="2319" xr:uid="{00000000-0005-0000-0000-0000A2230000}"/>
    <cellStyle name="20% - Accent6 2 5 3 2" xfId="10868" xr:uid="{00000000-0005-0000-0000-0000A3230000}"/>
    <cellStyle name="20% - Accent6 2 5 3 2 2" xfId="24810" xr:uid="{00000000-0005-0000-0000-0000A4230000}"/>
    <cellStyle name="20% - Accent6 2 5 3 3" xfId="19644" xr:uid="{00000000-0005-0000-0000-0000A5230000}"/>
    <cellStyle name="20% - Accent6 2 5 4" xfId="2320" xr:uid="{00000000-0005-0000-0000-0000A6230000}"/>
    <cellStyle name="20% - Accent6 2 5 4 2" xfId="12565" xr:uid="{00000000-0005-0000-0000-0000A7230000}"/>
    <cellStyle name="20% - Accent6 2 5 4 2 2" xfId="26277" xr:uid="{00000000-0005-0000-0000-0000A8230000}"/>
    <cellStyle name="20% - Accent6 2 5 4 3" xfId="19645" xr:uid="{00000000-0005-0000-0000-0000A9230000}"/>
    <cellStyle name="20% - Accent6 2 5 5" xfId="2321" xr:uid="{00000000-0005-0000-0000-0000AA230000}"/>
    <cellStyle name="20% - Accent6 2 5 5 2" xfId="14982" xr:uid="{00000000-0005-0000-0000-0000AB230000}"/>
    <cellStyle name="20% - Accent6 2 5 5 2 2" xfId="28531" xr:uid="{00000000-0005-0000-0000-0000AC230000}"/>
    <cellStyle name="20% - Accent6 2 5 5 3" xfId="19646" xr:uid="{00000000-0005-0000-0000-0000AD230000}"/>
    <cellStyle name="20% - Accent6 2 5 6" xfId="2322" xr:uid="{00000000-0005-0000-0000-0000AE230000}"/>
    <cellStyle name="20% - Accent6 2 5 6 2" xfId="17001" xr:uid="{00000000-0005-0000-0000-0000AF230000}"/>
    <cellStyle name="20% - Accent6 2 5 6 2 2" xfId="30408" xr:uid="{00000000-0005-0000-0000-0000B0230000}"/>
    <cellStyle name="20% - Accent6 2 5 6 3" xfId="19647" xr:uid="{00000000-0005-0000-0000-0000B1230000}"/>
    <cellStyle name="20% - Accent6 2 5 7" xfId="9142" xr:uid="{00000000-0005-0000-0000-0000B2230000}"/>
    <cellStyle name="20% - Accent6 2 5 7 2" xfId="23617" xr:uid="{00000000-0005-0000-0000-0000B3230000}"/>
    <cellStyle name="20% - Accent6 2 5 8" xfId="19639" xr:uid="{00000000-0005-0000-0000-0000B4230000}"/>
    <cellStyle name="20% - Accent6 2 6" xfId="2323" xr:uid="{00000000-0005-0000-0000-0000B5230000}"/>
    <cellStyle name="20% - Accent6 2 6 2" xfId="2324" xr:uid="{00000000-0005-0000-0000-0000B6230000}"/>
    <cellStyle name="20% - Accent6 2 6 2 2" xfId="10870" xr:uid="{00000000-0005-0000-0000-0000B7230000}"/>
    <cellStyle name="20% - Accent6 2 6 2 2 2" xfId="24812" xr:uid="{00000000-0005-0000-0000-0000B8230000}"/>
    <cellStyle name="20% - Accent6 2 6 2 3" xfId="19649" xr:uid="{00000000-0005-0000-0000-0000B9230000}"/>
    <cellStyle name="20% - Accent6 2 6 3" xfId="2325" xr:uid="{00000000-0005-0000-0000-0000BA230000}"/>
    <cellStyle name="20% - Accent6 2 6 3 2" xfId="12599" xr:uid="{00000000-0005-0000-0000-0000BB230000}"/>
    <cellStyle name="20% - Accent6 2 6 3 2 2" xfId="26311" xr:uid="{00000000-0005-0000-0000-0000BC230000}"/>
    <cellStyle name="20% - Accent6 2 6 3 3" xfId="19650" xr:uid="{00000000-0005-0000-0000-0000BD230000}"/>
    <cellStyle name="20% - Accent6 2 6 4" xfId="2326" xr:uid="{00000000-0005-0000-0000-0000BE230000}"/>
    <cellStyle name="20% - Accent6 2 6 4 2" xfId="14984" xr:uid="{00000000-0005-0000-0000-0000BF230000}"/>
    <cellStyle name="20% - Accent6 2 6 4 2 2" xfId="28533" xr:uid="{00000000-0005-0000-0000-0000C0230000}"/>
    <cellStyle name="20% - Accent6 2 6 4 3" xfId="19651" xr:uid="{00000000-0005-0000-0000-0000C1230000}"/>
    <cellStyle name="20% - Accent6 2 6 5" xfId="2327" xr:uid="{00000000-0005-0000-0000-0000C2230000}"/>
    <cellStyle name="20% - Accent6 2 6 5 2" xfId="17118" xr:uid="{00000000-0005-0000-0000-0000C3230000}"/>
    <cellStyle name="20% - Accent6 2 6 5 2 2" xfId="30477" xr:uid="{00000000-0005-0000-0000-0000C4230000}"/>
    <cellStyle name="20% - Accent6 2 6 5 3" xfId="19652" xr:uid="{00000000-0005-0000-0000-0000C5230000}"/>
    <cellStyle name="20% - Accent6 2 6 6" xfId="9144" xr:uid="{00000000-0005-0000-0000-0000C6230000}"/>
    <cellStyle name="20% - Accent6 2 6 6 2" xfId="23619" xr:uid="{00000000-0005-0000-0000-0000C7230000}"/>
    <cellStyle name="20% - Accent6 2 6 7" xfId="19648" xr:uid="{00000000-0005-0000-0000-0000C8230000}"/>
    <cellStyle name="20% - Accent6 2 7" xfId="2328" xr:uid="{00000000-0005-0000-0000-0000C9230000}"/>
    <cellStyle name="20% - Accent6 2 7 2" xfId="2329" xr:uid="{00000000-0005-0000-0000-0000CA230000}"/>
    <cellStyle name="20% - Accent6 2 7 2 2" xfId="10871" xr:uid="{00000000-0005-0000-0000-0000CB230000}"/>
    <cellStyle name="20% - Accent6 2 7 2 2 2" xfId="24813" xr:uid="{00000000-0005-0000-0000-0000CC230000}"/>
    <cellStyle name="20% - Accent6 2 7 2 3" xfId="19654" xr:uid="{00000000-0005-0000-0000-0000CD230000}"/>
    <cellStyle name="20% - Accent6 2 7 3" xfId="2330" xr:uid="{00000000-0005-0000-0000-0000CE230000}"/>
    <cellStyle name="20% - Accent6 2 7 3 2" xfId="12640" xr:uid="{00000000-0005-0000-0000-0000CF230000}"/>
    <cellStyle name="20% - Accent6 2 7 3 2 2" xfId="26352" xr:uid="{00000000-0005-0000-0000-0000D0230000}"/>
    <cellStyle name="20% - Accent6 2 7 3 3" xfId="19655" xr:uid="{00000000-0005-0000-0000-0000D1230000}"/>
    <cellStyle name="20% - Accent6 2 7 4" xfId="2331" xr:uid="{00000000-0005-0000-0000-0000D2230000}"/>
    <cellStyle name="20% - Accent6 2 7 4 2" xfId="14985" xr:uid="{00000000-0005-0000-0000-0000D3230000}"/>
    <cellStyle name="20% - Accent6 2 7 4 2 2" xfId="28534" xr:uid="{00000000-0005-0000-0000-0000D4230000}"/>
    <cellStyle name="20% - Accent6 2 7 4 3" xfId="19656" xr:uid="{00000000-0005-0000-0000-0000D5230000}"/>
    <cellStyle name="20% - Accent6 2 7 5" xfId="2332" xr:uid="{00000000-0005-0000-0000-0000D6230000}"/>
    <cellStyle name="20% - Accent6 2 7 5 2" xfId="17207" xr:uid="{00000000-0005-0000-0000-0000D7230000}"/>
    <cellStyle name="20% - Accent6 2 7 5 2 2" xfId="30566" xr:uid="{00000000-0005-0000-0000-0000D8230000}"/>
    <cellStyle name="20% - Accent6 2 7 5 3" xfId="19657" xr:uid="{00000000-0005-0000-0000-0000D9230000}"/>
    <cellStyle name="20% - Accent6 2 7 6" xfId="9145" xr:uid="{00000000-0005-0000-0000-0000DA230000}"/>
    <cellStyle name="20% - Accent6 2 7 6 2" xfId="23620" xr:uid="{00000000-0005-0000-0000-0000DB230000}"/>
    <cellStyle name="20% - Accent6 2 7 7" xfId="19653" xr:uid="{00000000-0005-0000-0000-0000DC230000}"/>
    <cellStyle name="20% - Accent6 2 8" xfId="2333" xr:uid="{00000000-0005-0000-0000-0000DD230000}"/>
    <cellStyle name="20% - Accent6 2 8 2" xfId="2334" xr:uid="{00000000-0005-0000-0000-0000DE230000}"/>
    <cellStyle name="20% - Accent6 2 8 2 2" xfId="12427" xr:uid="{00000000-0005-0000-0000-0000DF230000}"/>
    <cellStyle name="20% - Accent6 2 8 2 2 2" xfId="26139" xr:uid="{00000000-0005-0000-0000-0000E0230000}"/>
    <cellStyle name="20% - Accent6 2 8 2 3" xfId="19659" xr:uid="{00000000-0005-0000-0000-0000E1230000}"/>
    <cellStyle name="20% - Accent6 2 8 3" xfId="2335" xr:uid="{00000000-0005-0000-0000-0000E2230000}"/>
    <cellStyle name="20% - Accent6 2 8 3 2" xfId="14986" xr:uid="{00000000-0005-0000-0000-0000E3230000}"/>
    <cellStyle name="20% - Accent6 2 8 3 2 2" xfId="28535" xr:uid="{00000000-0005-0000-0000-0000E4230000}"/>
    <cellStyle name="20% - Accent6 2 8 3 3" xfId="19660" xr:uid="{00000000-0005-0000-0000-0000E5230000}"/>
    <cellStyle name="20% - Accent6 2 8 4" xfId="2336" xr:uid="{00000000-0005-0000-0000-0000E6230000}"/>
    <cellStyle name="20% - Accent6 2 8 4 2" xfId="16482" xr:uid="{00000000-0005-0000-0000-0000E7230000}"/>
    <cellStyle name="20% - Accent6 2 8 4 2 2" xfId="29889" xr:uid="{00000000-0005-0000-0000-0000E8230000}"/>
    <cellStyle name="20% - Accent6 2 8 4 3" xfId="19661" xr:uid="{00000000-0005-0000-0000-0000E9230000}"/>
    <cellStyle name="20% - Accent6 2 8 5" xfId="10522" xr:uid="{00000000-0005-0000-0000-0000EA230000}"/>
    <cellStyle name="20% - Accent6 2 8 5 2" xfId="24464" xr:uid="{00000000-0005-0000-0000-0000EB230000}"/>
    <cellStyle name="20% - Accent6 2 8 6" xfId="19658" xr:uid="{00000000-0005-0000-0000-0000EC230000}"/>
    <cellStyle name="20% - Accent6 2 9" xfId="2337" xr:uid="{00000000-0005-0000-0000-0000ED230000}"/>
    <cellStyle name="20% - Accent6 2 9 2" xfId="2338" xr:uid="{00000000-0005-0000-0000-0000EE230000}"/>
    <cellStyle name="20% - Accent6 2 9 2 2" xfId="12647" xr:uid="{00000000-0005-0000-0000-0000EF230000}"/>
    <cellStyle name="20% - Accent6 2 9 2 2 2" xfId="26359" xr:uid="{00000000-0005-0000-0000-0000F0230000}"/>
    <cellStyle name="20% - Accent6 2 9 2 3" xfId="19663" xr:uid="{00000000-0005-0000-0000-0000F1230000}"/>
    <cellStyle name="20% - Accent6 2 9 3" xfId="2339" xr:uid="{00000000-0005-0000-0000-0000F2230000}"/>
    <cellStyle name="20% - Accent6 2 9 3 2" xfId="14987" xr:uid="{00000000-0005-0000-0000-0000F3230000}"/>
    <cellStyle name="20% - Accent6 2 9 3 2 2" xfId="28536" xr:uid="{00000000-0005-0000-0000-0000F4230000}"/>
    <cellStyle name="20% - Accent6 2 9 3 3" xfId="19664" xr:uid="{00000000-0005-0000-0000-0000F5230000}"/>
    <cellStyle name="20% - Accent6 2 9 4" xfId="10853" xr:uid="{00000000-0005-0000-0000-0000F6230000}"/>
    <cellStyle name="20% - Accent6 2 9 4 2" xfId="24795" xr:uid="{00000000-0005-0000-0000-0000F7230000}"/>
    <cellStyle name="20% - Accent6 2 9 5" xfId="19662" xr:uid="{00000000-0005-0000-0000-0000F8230000}"/>
    <cellStyle name="20% - Accent6 20" xfId="2340" xr:uid="{00000000-0005-0000-0000-0000F9230000}"/>
    <cellStyle name="20% - Accent6 20 2" xfId="2341" xr:uid="{00000000-0005-0000-0000-0000FA230000}"/>
    <cellStyle name="20% - Accent6 20 2 2" xfId="12415" xr:uid="{00000000-0005-0000-0000-0000FB230000}"/>
    <cellStyle name="20% - Accent6 20 2 2 2" xfId="26127" xr:uid="{00000000-0005-0000-0000-0000FC230000}"/>
    <cellStyle name="20% - Accent6 20 2 3" xfId="19666" xr:uid="{00000000-0005-0000-0000-0000FD230000}"/>
    <cellStyle name="20% - Accent6 20 3" xfId="2342" xr:uid="{00000000-0005-0000-0000-0000FE230000}"/>
    <cellStyle name="20% - Accent6 20 3 2" xfId="14988" xr:uid="{00000000-0005-0000-0000-0000FF230000}"/>
    <cellStyle name="20% - Accent6 20 3 2 2" xfId="28537" xr:uid="{00000000-0005-0000-0000-000000240000}"/>
    <cellStyle name="20% - Accent6 20 3 3" xfId="19667" xr:uid="{00000000-0005-0000-0000-000001240000}"/>
    <cellStyle name="20% - Accent6 20 4" xfId="10497" xr:uid="{00000000-0005-0000-0000-000002240000}"/>
    <cellStyle name="20% - Accent6 20 4 2" xfId="24445" xr:uid="{00000000-0005-0000-0000-000003240000}"/>
    <cellStyle name="20% - Accent6 20 5" xfId="19665" xr:uid="{00000000-0005-0000-0000-000004240000}"/>
    <cellStyle name="20% - Accent6 21" xfId="2343" xr:uid="{00000000-0005-0000-0000-000005240000}"/>
    <cellStyle name="20% - Accent6 21 2" xfId="2344" xr:uid="{00000000-0005-0000-0000-000006240000}"/>
    <cellStyle name="20% - Accent6 21 2 2" xfId="12734" xr:uid="{00000000-0005-0000-0000-000007240000}"/>
    <cellStyle name="20% - Accent6 21 2 2 2" xfId="26446" xr:uid="{00000000-0005-0000-0000-000008240000}"/>
    <cellStyle name="20% - Accent6 21 2 3" xfId="19669" xr:uid="{00000000-0005-0000-0000-000009240000}"/>
    <cellStyle name="20% - Accent6 21 3" xfId="2345" xr:uid="{00000000-0005-0000-0000-00000A240000}"/>
    <cellStyle name="20% - Accent6 21 3 2" xfId="14989" xr:uid="{00000000-0005-0000-0000-00000B240000}"/>
    <cellStyle name="20% - Accent6 21 3 2 2" xfId="28538" xr:uid="{00000000-0005-0000-0000-00000C240000}"/>
    <cellStyle name="20% - Accent6 21 3 3" xfId="19670" xr:uid="{00000000-0005-0000-0000-00000D240000}"/>
    <cellStyle name="20% - Accent6 21 4" xfId="10842" xr:uid="{00000000-0005-0000-0000-00000E240000}"/>
    <cellStyle name="20% - Accent6 21 4 2" xfId="24784" xr:uid="{00000000-0005-0000-0000-00000F240000}"/>
    <cellStyle name="20% - Accent6 21 5" xfId="19668" xr:uid="{00000000-0005-0000-0000-000010240000}"/>
    <cellStyle name="20% - Accent6 22" xfId="2346" xr:uid="{00000000-0005-0000-0000-000011240000}"/>
    <cellStyle name="20% - Accent6 22 2" xfId="11733" xr:uid="{00000000-0005-0000-0000-000012240000}"/>
    <cellStyle name="20% - Accent6 22 2 2" xfId="25448" xr:uid="{00000000-0005-0000-0000-000013240000}"/>
    <cellStyle name="20% - Accent6 22 3" xfId="19671" xr:uid="{00000000-0005-0000-0000-000014240000}"/>
    <cellStyle name="20% - Accent6 23" xfId="2347" xr:uid="{00000000-0005-0000-0000-000015240000}"/>
    <cellStyle name="20% - Accent6 23 2" xfId="12465" xr:uid="{00000000-0005-0000-0000-000016240000}"/>
    <cellStyle name="20% - Accent6 23 2 2" xfId="26177" xr:uid="{00000000-0005-0000-0000-000017240000}"/>
    <cellStyle name="20% - Accent6 23 3" xfId="19672" xr:uid="{00000000-0005-0000-0000-000018240000}"/>
    <cellStyle name="20% - Accent6 24" xfId="2348" xr:uid="{00000000-0005-0000-0000-000019240000}"/>
    <cellStyle name="20% - Accent6 24 2" xfId="13372" xr:uid="{00000000-0005-0000-0000-00001A240000}"/>
    <cellStyle name="20% - Accent6 24 2 2" xfId="26921" xr:uid="{00000000-0005-0000-0000-00001B240000}"/>
    <cellStyle name="20% - Accent6 24 3" xfId="19673" xr:uid="{00000000-0005-0000-0000-00001C240000}"/>
    <cellStyle name="20% - Accent6 25" xfId="2349" xr:uid="{00000000-0005-0000-0000-00001D240000}"/>
    <cellStyle name="20% - Accent6 25 2" xfId="13953" xr:uid="{00000000-0005-0000-0000-00001E240000}"/>
    <cellStyle name="20% - Accent6 25 2 2" xfId="27502" xr:uid="{00000000-0005-0000-0000-00001F240000}"/>
    <cellStyle name="20% - Accent6 25 3" xfId="19674" xr:uid="{00000000-0005-0000-0000-000020240000}"/>
    <cellStyle name="20% - Accent6 26" xfId="2350" xr:uid="{00000000-0005-0000-0000-000021240000}"/>
    <cellStyle name="20% - Accent6 26 2" xfId="14946" xr:uid="{00000000-0005-0000-0000-000022240000}"/>
    <cellStyle name="20% - Accent6 26 2 2" xfId="28495" xr:uid="{00000000-0005-0000-0000-000023240000}"/>
    <cellStyle name="20% - Accent6 26 3" xfId="19675" xr:uid="{00000000-0005-0000-0000-000024240000}"/>
    <cellStyle name="20% - Accent6 27" xfId="2351" xr:uid="{00000000-0005-0000-0000-000025240000}"/>
    <cellStyle name="20% - Accent6 27 2" xfId="15830" xr:uid="{00000000-0005-0000-0000-000026240000}"/>
    <cellStyle name="20% - Accent6 27 2 2" xfId="29237" xr:uid="{00000000-0005-0000-0000-000027240000}"/>
    <cellStyle name="20% - Accent6 27 3" xfId="19676" xr:uid="{00000000-0005-0000-0000-000028240000}"/>
    <cellStyle name="20% - Accent6 28" xfId="2352" xr:uid="{00000000-0005-0000-0000-000029240000}"/>
    <cellStyle name="20% - Accent6 28 2" xfId="15839" xr:uid="{00000000-0005-0000-0000-00002A240000}"/>
    <cellStyle name="20% - Accent6 28 2 2" xfId="29246" xr:uid="{00000000-0005-0000-0000-00002B240000}"/>
    <cellStyle name="20% - Accent6 28 3" xfId="19677" xr:uid="{00000000-0005-0000-0000-00002C240000}"/>
    <cellStyle name="20% - Accent6 29" xfId="2353" xr:uid="{00000000-0005-0000-0000-00002D240000}"/>
    <cellStyle name="20% - Accent6 29 2" xfId="9116" xr:uid="{00000000-0005-0000-0000-00002E240000}"/>
    <cellStyle name="20% - Accent6 29 2 2" xfId="23591" xr:uid="{00000000-0005-0000-0000-00002F240000}"/>
    <cellStyle name="20% - Accent6 29 3" xfId="19678" xr:uid="{00000000-0005-0000-0000-000030240000}"/>
    <cellStyle name="20% - Accent6 3" xfId="2354" xr:uid="{00000000-0005-0000-0000-000031240000}"/>
    <cellStyle name="20% - Accent6 3 10" xfId="2355" xr:uid="{00000000-0005-0000-0000-000032240000}"/>
    <cellStyle name="20% - Accent6 3 10 2" xfId="14038" xr:uid="{00000000-0005-0000-0000-000033240000}"/>
    <cellStyle name="20% - Accent6 3 10 2 2" xfId="27587" xr:uid="{00000000-0005-0000-0000-000034240000}"/>
    <cellStyle name="20% - Accent6 3 10 3" xfId="19680" xr:uid="{00000000-0005-0000-0000-000035240000}"/>
    <cellStyle name="20% - Accent6 3 11" xfId="2356" xr:uid="{00000000-0005-0000-0000-000036240000}"/>
    <cellStyle name="20% - Accent6 3 11 2" xfId="14990" xr:uid="{00000000-0005-0000-0000-000037240000}"/>
    <cellStyle name="20% - Accent6 3 11 2 2" xfId="28539" xr:uid="{00000000-0005-0000-0000-000038240000}"/>
    <cellStyle name="20% - Accent6 3 11 3" xfId="19681" xr:uid="{00000000-0005-0000-0000-000039240000}"/>
    <cellStyle name="20% - Accent6 3 12" xfId="2357" xr:uid="{00000000-0005-0000-0000-00003A240000}"/>
    <cellStyle name="20% - Accent6 3 12 2" xfId="15924" xr:uid="{00000000-0005-0000-0000-00003B240000}"/>
    <cellStyle name="20% - Accent6 3 12 2 2" xfId="29331" xr:uid="{00000000-0005-0000-0000-00003C240000}"/>
    <cellStyle name="20% - Accent6 3 12 3" xfId="19682" xr:uid="{00000000-0005-0000-0000-00003D240000}"/>
    <cellStyle name="20% - Accent6 3 13" xfId="9146" xr:uid="{00000000-0005-0000-0000-00003E240000}"/>
    <cellStyle name="20% - Accent6 3 13 2" xfId="23621" xr:uid="{00000000-0005-0000-0000-00003F240000}"/>
    <cellStyle name="20% - Accent6 3 14" xfId="19679" xr:uid="{00000000-0005-0000-0000-000040240000}"/>
    <cellStyle name="20% - Accent6 3 2" xfId="2358" xr:uid="{00000000-0005-0000-0000-000041240000}"/>
    <cellStyle name="20% - Accent6 3 2 10" xfId="2359" xr:uid="{00000000-0005-0000-0000-000042240000}"/>
    <cellStyle name="20% - Accent6 3 2 10 2" xfId="16067" xr:uid="{00000000-0005-0000-0000-000043240000}"/>
    <cellStyle name="20% - Accent6 3 2 10 2 2" xfId="29474" xr:uid="{00000000-0005-0000-0000-000044240000}"/>
    <cellStyle name="20% - Accent6 3 2 10 3" xfId="19684" xr:uid="{00000000-0005-0000-0000-000045240000}"/>
    <cellStyle name="20% - Accent6 3 2 11" xfId="9147" xr:uid="{00000000-0005-0000-0000-000046240000}"/>
    <cellStyle name="20% - Accent6 3 2 11 2" xfId="23622" xr:uid="{00000000-0005-0000-0000-000047240000}"/>
    <cellStyle name="20% - Accent6 3 2 12" xfId="19683" xr:uid="{00000000-0005-0000-0000-000048240000}"/>
    <cellStyle name="20% - Accent6 3 2 2" xfId="2360" xr:uid="{00000000-0005-0000-0000-000049240000}"/>
    <cellStyle name="20% - Accent6 3 2 2 10" xfId="9148" xr:uid="{00000000-0005-0000-0000-00004A240000}"/>
    <cellStyle name="20% - Accent6 3 2 2 10 2" xfId="23623" xr:uid="{00000000-0005-0000-0000-00004B240000}"/>
    <cellStyle name="20% - Accent6 3 2 2 11" xfId="19685" xr:uid="{00000000-0005-0000-0000-00004C240000}"/>
    <cellStyle name="20% - Accent6 3 2 2 2" xfId="2361" xr:uid="{00000000-0005-0000-0000-00004D240000}"/>
    <cellStyle name="20% - Accent6 3 2 2 2 2" xfId="2362" xr:uid="{00000000-0005-0000-0000-00004E240000}"/>
    <cellStyle name="20% - Accent6 3 2 2 2 2 2" xfId="10875" xr:uid="{00000000-0005-0000-0000-00004F240000}"/>
    <cellStyle name="20% - Accent6 3 2 2 2 2 2 2" xfId="24817" xr:uid="{00000000-0005-0000-0000-000050240000}"/>
    <cellStyle name="20% - Accent6 3 2 2 2 2 3" xfId="19687" xr:uid="{00000000-0005-0000-0000-000051240000}"/>
    <cellStyle name="20% - Accent6 3 2 2 2 3" xfId="2363" xr:uid="{00000000-0005-0000-0000-000052240000}"/>
    <cellStyle name="20% - Accent6 3 2 2 2 3 2" xfId="12497" xr:uid="{00000000-0005-0000-0000-000053240000}"/>
    <cellStyle name="20% - Accent6 3 2 2 2 3 2 2" xfId="26209" xr:uid="{00000000-0005-0000-0000-000054240000}"/>
    <cellStyle name="20% - Accent6 3 2 2 2 3 3" xfId="19688" xr:uid="{00000000-0005-0000-0000-000055240000}"/>
    <cellStyle name="20% - Accent6 3 2 2 2 4" xfId="2364" xr:uid="{00000000-0005-0000-0000-000056240000}"/>
    <cellStyle name="20% - Accent6 3 2 2 2 4 2" xfId="14993" xr:uid="{00000000-0005-0000-0000-000057240000}"/>
    <cellStyle name="20% - Accent6 3 2 2 2 4 2 2" xfId="28542" xr:uid="{00000000-0005-0000-0000-000058240000}"/>
    <cellStyle name="20% - Accent6 3 2 2 2 4 3" xfId="19689" xr:uid="{00000000-0005-0000-0000-000059240000}"/>
    <cellStyle name="20% - Accent6 3 2 2 2 5" xfId="2365" xr:uid="{00000000-0005-0000-0000-00005A240000}"/>
    <cellStyle name="20% - Accent6 3 2 2 2 5 2" xfId="16937" xr:uid="{00000000-0005-0000-0000-00005B240000}"/>
    <cellStyle name="20% - Accent6 3 2 2 2 5 2 2" xfId="30344" xr:uid="{00000000-0005-0000-0000-00005C240000}"/>
    <cellStyle name="20% - Accent6 3 2 2 2 5 3" xfId="19690" xr:uid="{00000000-0005-0000-0000-00005D240000}"/>
    <cellStyle name="20% - Accent6 3 2 2 2 6" xfId="9149" xr:uid="{00000000-0005-0000-0000-00005E240000}"/>
    <cellStyle name="20% - Accent6 3 2 2 2 6 2" xfId="23624" xr:uid="{00000000-0005-0000-0000-00005F240000}"/>
    <cellStyle name="20% - Accent6 3 2 2 2 7" xfId="19686" xr:uid="{00000000-0005-0000-0000-000060240000}"/>
    <cellStyle name="20% - Accent6 3 2 2 3" xfId="2366" xr:uid="{00000000-0005-0000-0000-000061240000}"/>
    <cellStyle name="20% - Accent6 3 2 2 3 2" xfId="2367" xr:uid="{00000000-0005-0000-0000-000062240000}"/>
    <cellStyle name="20% - Accent6 3 2 2 3 2 2" xfId="14994" xr:uid="{00000000-0005-0000-0000-000063240000}"/>
    <cellStyle name="20% - Accent6 3 2 2 3 2 2 2" xfId="28543" xr:uid="{00000000-0005-0000-0000-000064240000}"/>
    <cellStyle name="20% - Accent6 3 2 2 3 2 3" xfId="19692" xr:uid="{00000000-0005-0000-0000-000065240000}"/>
    <cellStyle name="20% - Accent6 3 2 2 3 3" xfId="10874" xr:uid="{00000000-0005-0000-0000-000066240000}"/>
    <cellStyle name="20% - Accent6 3 2 2 3 3 2" xfId="24816" xr:uid="{00000000-0005-0000-0000-000067240000}"/>
    <cellStyle name="20% - Accent6 3 2 2 3 4" xfId="19691" xr:uid="{00000000-0005-0000-0000-000068240000}"/>
    <cellStyle name="20% - Accent6 3 2 2 4" xfId="2368" xr:uid="{00000000-0005-0000-0000-000069240000}"/>
    <cellStyle name="20% - Accent6 3 2 2 4 2" xfId="12325" xr:uid="{00000000-0005-0000-0000-00006A240000}"/>
    <cellStyle name="20% - Accent6 3 2 2 4 2 2" xfId="26037" xr:uid="{00000000-0005-0000-0000-00006B240000}"/>
    <cellStyle name="20% - Accent6 3 2 2 4 3" xfId="19693" xr:uid="{00000000-0005-0000-0000-00006C240000}"/>
    <cellStyle name="20% - Accent6 3 2 2 5" xfId="2369" xr:uid="{00000000-0005-0000-0000-00006D240000}"/>
    <cellStyle name="20% - Accent6 3 2 2 5 2" xfId="11836" xr:uid="{00000000-0005-0000-0000-00006E240000}"/>
    <cellStyle name="20% - Accent6 3 2 2 5 2 2" xfId="25551" xr:uid="{00000000-0005-0000-0000-00006F240000}"/>
    <cellStyle name="20% - Accent6 3 2 2 5 3" xfId="19694" xr:uid="{00000000-0005-0000-0000-000070240000}"/>
    <cellStyle name="20% - Accent6 3 2 2 6" xfId="2370" xr:uid="{00000000-0005-0000-0000-000071240000}"/>
    <cellStyle name="20% - Accent6 3 2 2 6 2" xfId="13889" xr:uid="{00000000-0005-0000-0000-000072240000}"/>
    <cellStyle name="20% - Accent6 3 2 2 6 2 2" xfId="27438" xr:uid="{00000000-0005-0000-0000-000073240000}"/>
    <cellStyle name="20% - Accent6 3 2 2 6 3" xfId="19695" xr:uid="{00000000-0005-0000-0000-000074240000}"/>
    <cellStyle name="20% - Accent6 3 2 2 7" xfId="2371" xr:uid="{00000000-0005-0000-0000-000075240000}"/>
    <cellStyle name="20% - Accent6 3 2 2 7 2" xfId="14470" xr:uid="{00000000-0005-0000-0000-000076240000}"/>
    <cellStyle name="20% - Accent6 3 2 2 7 2 2" xfId="28019" xr:uid="{00000000-0005-0000-0000-000077240000}"/>
    <cellStyle name="20% - Accent6 3 2 2 7 3" xfId="19696" xr:uid="{00000000-0005-0000-0000-000078240000}"/>
    <cellStyle name="20% - Accent6 3 2 2 8" xfId="2372" xr:uid="{00000000-0005-0000-0000-000079240000}"/>
    <cellStyle name="20% - Accent6 3 2 2 8 2" xfId="14992" xr:uid="{00000000-0005-0000-0000-00007A240000}"/>
    <cellStyle name="20% - Accent6 3 2 2 8 2 2" xfId="28541" xr:uid="{00000000-0005-0000-0000-00007B240000}"/>
    <cellStyle name="20% - Accent6 3 2 2 8 3" xfId="19697" xr:uid="{00000000-0005-0000-0000-00007C240000}"/>
    <cellStyle name="20% - Accent6 3 2 2 9" xfId="2373" xr:uid="{00000000-0005-0000-0000-00007D240000}"/>
    <cellStyle name="20% - Accent6 3 2 2 9 2" xfId="16356" xr:uid="{00000000-0005-0000-0000-00007E240000}"/>
    <cellStyle name="20% - Accent6 3 2 2 9 2 2" xfId="29763" xr:uid="{00000000-0005-0000-0000-00007F240000}"/>
    <cellStyle name="20% - Accent6 3 2 2 9 3" xfId="19698" xr:uid="{00000000-0005-0000-0000-000080240000}"/>
    <cellStyle name="20% - Accent6 3 2 3" xfId="2374" xr:uid="{00000000-0005-0000-0000-000081240000}"/>
    <cellStyle name="20% - Accent6 3 2 3 2" xfId="2375" xr:uid="{00000000-0005-0000-0000-000082240000}"/>
    <cellStyle name="20% - Accent6 3 2 3 2 2" xfId="10876" xr:uid="{00000000-0005-0000-0000-000083240000}"/>
    <cellStyle name="20% - Accent6 3 2 3 2 2 2" xfId="24818" xr:uid="{00000000-0005-0000-0000-000084240000}"/>
    <cellStyle name="20% - Accent6 3 2 3 2 3" xfId="19700" xr:uid="{00000000-0005-0000-0000-000085240000}"/>
    <cellStyle name="20% - Accent6 3 2 3 3" xfId="2376" xr:uid="{00000000-0005-0000-0000-000086240000}"/>
    <cellStyle name="20% - Accent6 3 2 3 3 2" xfId="11774" xr:uid="{00000000-0005-0000-0000-000087240000}"/>
    <cellStyle name="20% - Accent6 3 2 3 3 2 2" xfId="25489" xr:uid="{00000000-0005-0000-0000-000088240000}"/>
    <cellStyle name="20% - Accent6 3 2 3 3 3" xfId="19701" xr:uid="{00000000-0005-0000-0000-000089240000}"/>
    <cellStyle name="20% - Accent6 3 2 3 4" xfId="2377" xr:uid="{00000000-0005-0000-0000-00008A240000}"/>
    <cellStyle name="20% - Accent6 3 2 3 4 2" xfId="14995" xr:uid="{00000000-0005-0000-0000-00008B240000}"/>
    <cellStyle name="20% - Accent6 3 2 3 4 2 2" xfId="28544" xr:uid="{00000000-0005-0000-0000-00008C240000}"/>
    <cellStyle name="20% - Accent6 3 2 3 4 3" xfId="19702" xr:uid="{00000000-0005-0000-0000-00008D240000}"/>
    <cellStyle name="20% - Accent6 3 2 3 5" xfId="2378" xr:uid="{00000000-0005-0000-0000-00008E240000}"/>
    <cellStyle name="20% - Accent6 3 2 3 5 2" xfId="16648" xr:uid="{00000000-0005-0000-0000-00008F240000}"/>
    <cellStyle name="20% - Accent6 3 2 3 5 2 2" xfId="30055" xr:uid="{00000000-0005-0000-0000-000090240000}"/>
    <cellStyle name="20% - Accent6 3 2 3 5 3" xfId="19703" xr:uid="{00000000-0005-0000-0000-000091240000}"/>
    <cellStyle name="20% - Accent6 3 2 3 6" xfId="9150" xr:uid="{00000000-0005-0000-0000-000092240000}"/>
    <cellStyle name="20% - Accent6 3 2 3 6 2" xfId="23625" xr:uid="{00000000-0005-0000-0000-000093240000}"/>
    <cellStyle name="20% - Accent6 3 2 3 7" xfId="19699" xr:uid="{00000000-0005-0000-0000-000094240000}"/>
    <cellStyle name="20% - Accent6 3 2 4" xfId="2379" xr:uid="{00000000-0005-0000-0000-000095240000}"/>
    <cellStyle name="20% - Accent6 3 2 4 2" xfId="2380" xr:uid="{00000000-0005-0000-0000-000096240000}"/>
    <cellStyle name="20% - Accent6 3 2 4 2 2" xfId="14996" xr:uid="{00000000-0005-0000-0000-000097240000}"/>
    <cellStyle name="20% - Accent6 3 2 4 2 2 2" xfId="28545" xr:uid="{00000000-0005-0000-0000-000098240000}"/>
    <cellStyle name="20% - Accent6 3 2 4 2 3" xfId="19705" xr:uid="{00000000-0005-0000-0000-000099240000}"/>
    <cellStyle name="20% - Accent6 3 2 4 3" xfId="10873" xr:uid="{00000000-0005-0000-0000-00009A240000}"/>
    <cellStyle name="20% - Accent6 3 2 4 3 2" xfId="24815" xr:uid="{00000000-0005-0000-0000-00009B240000}"/>
    <cellStyle name="20% - Accent6 3 2 4 4" xfId="19704" xr:uid="{00000000-0005-0000-0000-00009C240000}"/>
    <cellStyle name="20% - Accent6 3 2 5" xfId="2381" xr:uid="{00000000-0005-0000-0000-00009D240000}"/>
    <cellStyle name="20% - Accent6 3 2 5 2" xfId="12025" xr:uid="{00000000-0005-0000-0000-00009E240000}"/>
    <cellStyle name="20% - Accent6 3 2 5 2 2" xfId="25740" xr:uid="{00000000-0005-0000-0000-00009F240000}"/>
    <cellStyle name="20% - Accent6 3 2 5 3" xfId="19706" xr:uid="{00000000-0005-0000-0000-0000A0240000}"/>
    <cellStyle name="20% - Accent6 3 2 6" xfId="2382" xr:uid="{00000000-0005-0000-0000-0000A1240000}"/>
    <cellStyle name="20% - Accent6 3 2 6 2" xfId="11769" xr:uid="{00000000-0005-0000-0000-0000A2240000}"/>
    <cellStyle name="20% - Accent6 3 2 6 2 2" xfId="25484" xr:uid="{00000000-0005-0000-0000-0000A3240000}"/>
    <cellStyle name="20% - Accent6 3 2 6 3" xfId="19707" xr:uid="{00000000-0005-0000-0000-0000A4240000}"/>
    <cellStyle name="20% - Accent6 3 2 7" xfId="2383" xr:uid="{00000000-0005-0000-0000-0000A5240000}"/>
    <cellStyle name="20% - Accent6 3 2 7 2" xfId="13600" xr:uid="{00000000-0005-0000-0000-0000A6240000}"/>
    <cellStyle name="20% - Accent6 3 2 7 2 2" xfId="27149" xr:uid="{00000000-0005-0000-0000-0000A7240000}"/>
    <cellStyle name="20% - Accent6 3 2 7 3" xfId="19708" xr:uid="{00000000-0005-0000-0000-0000A8240000}"/>
    <cellStyle name="20% - Accent6 3 2 8" xfId="2384" xr:uid="{00000000-0005-0000-0000-0000A9240000}"/>
    <cellStyle name="20% - Accent6 3 2 8 2" xfId="14181" xr:uid="{00000000-0005-0000-0000-0000AA240000}"/>
    <cellStyle name="20% - Accent6 3 2 8 2 2" xfId="27730" xr:uid="{00000000-0005-0000-0000-0000AB240000}"/>
    <cellStyle name="20% - Accent6 3 2 8 3" xfId="19709" xr:uid="{00000000-0005-0000-0000-0000AC240000}"/>
    <cellStyle name="20% - Accent6 3 2 9" xfId="2385" xr:uid="{00000000-0005-0000-0000-0000AD240000}"/>
    <cellStyle name="20% - Accent6 3 2 9 2" xfId="14991" xr:uid="{00000000-0005-0000-0000-0000AE240000}"/>
    <cellStyle name="20% - Accent6 3 2 9 2 2" xfId="28540" xr:uid="{00000000-0005-0000-0000-0000AF240000}"/>
    <cellStyle name="20% - Accent6 3 2 9 3" xfId="19710" xr:uid="{00000000-0005-0000-0000-0000B0240000}"/>
    <cellStyle name="20% - Accent6 3 3" xfId="2386" xr:uid="{00000000-0005-0000-0000-0000B1240000}"/>
    <cellStyle name="20% - Accent6 3 3 10" xfId="9151" xr:uid="{00000000-0005-0000-0000-0000B2240000}"/>
    <cellStyle name="20% - Accent6 3 3 10 2" xfId="23626" xr:uid="{00000000-0005-0000-0000-0000B3240000}"/>
    <cellStyle name="20% - Accent6 3 3 11" xfId="19711" xr:uid="{00000000-0005-0000-0000-0000B4240000}"/>
    <cellStyle name="20% - Accent6 3 3 2" xfId="2387" xr:uid="{00000000-0005-0000-0000-0000B5240000}"/>
    <cellStyle name="20% - Accent6 3 3 2 2" xfId="2388" xr:uid="{00000000-0005-0000-0000-0000B6240000}"/>
    <cellStyle name="20% - Accent6 3 3 2 2 2" xfId="10878" xr:uid="{00000000-0005-0000-0000-0000B7240000}"/>
    <cellStyle name="20% - Accent6 3 3 2 2 2 2" xfId="24820" xr:uid="{00000000-0005-0000-0000-0000B8240000}"/>
    <cellStyle name="20% - Accent6 3 3 2 2 3" xfId="19713" xr:uid="{00000000-0005-0000-0000-0000B9240000}"/>
    <cellStyle name="20% - Accent6 3 3 2 3" xfId="2389" xr:uid="{00000000-0005-0000-0000-0000BA240000}"/>
    <cellStyle name="20% - Accent6 3 3 2 3 2" xfId="12456" xr:uid="{00000000-0005-0000-0000-0000BB240000}"/>
    <cellStyle name="20% - Accent6 3 3 2 3 2 2" xfId="26168" xr:uid="{00000000-0005-0000-0000-0000BC240000}"/>
    <cellStyle name="20% - Accent6 3 3 2 3 3" xfId="19714" xr:uid="{00000000-0005-0000-0000-0000BD240000}"/>
    <cellStyle name="20% - Accent6 3 3 2 4" xfId="2390" xr:uid="{00000000-0005-0000-0000-0000BE240000}"/>
    <cellStyle name="20% - Accent6 3 3 2 4 2" xfId="14998" xr:uid="{00000000-0005-0000-0000-0000BF240000}"/>
    <cellStyle name="20% - Accent6 3 3 2 4 2 2" xfId="28547" xr:uid="{00000000-0005-0000-0000-0000C0240000}"/>
    <cellStyle name="20% - Accent6 3 3 2 4 3" xfId="19715" xr:uid="{00000000-0005-0000-0000-0000C1240000}"/>
    <cellStyle name="20% - Accent6 3 3 2 5" xfId="2391" xr:uid="{00000000-0005-0000-0000-0000C2240000}"/>
    <cellStyle name="20% - Accent6 3 3 2 5 2" xfId="16794" xr:uid="{00000000-0005-0000-0000-0000C3240000}"/>
    <cellStyle name="20% - Accent6 3 3 2 5 2 2" xfId="30201" xr:uid="{00000000-0005-0000-0000-0000C4240000}"/>
    <cellStyle name="20% - Accent6 3 3 2 5 3" xfId="19716" xr:uid="{00000000-0005-0000-0000-0000C5240000}"/>
    <cellStyle name="20% - Accent6 3 3 2 6" xfId="9152" xr:uid="{00000000-0005-0000-0000-0000C6240000}"/>
    <cellStyle name="20% - Accent6 3 3 2 6 2" xfId="23627" xr:uid="{00000000-0005-0000-0000-0000C7240000}"/>
    <cellStyle name="20% - Accent6 3 3 2 7" xfId="19712" xr:uid="{00000000-0005-0000-0000-0000C8240000}"/>
    <cellStyle name="20% - Accent6 3 3 3" xfId="2392" xr:uid="{00000000-0005-0000-0000-0000C9240000}"/>
    <cellStyle name="20% - Accent6 3 3 3 2" xfId="2393" xr:uid="{00000000-0005-0000-0000-0000CA240000}"/>
    <cellStyle name="20% - Accent6 3 3 3 2 2" xfId="14999" xr:uid="{00000000-0005-0000-0000-0000CB240000}"/>
    <cellStyle name="20% - Accent6 3 3 3 2 2 2" xfId="28548" xr:uid="{00000000-0005-0000-0000-0000CC240000}"/>
    <cellStyle name="20% - Accent6 3 3 3 2 3" xfId="19718" xr:uid="{00000000-0005-0000-0000-0000CD240000}"/>
    <cellStyle name="20% - Accent6 3 3 3 3" xfId="10877" xr:uid="{00000000-0005-0000-0000-0000CE240000}"/>
    <cellStyle name="20% - Accent6 3 3 3 3 2" xfId="24819" xr:uid="{00000000-0005-0000-0000-0000CF240000}"/>
    <cellStyle name="20% - Accent6 3 3 3 4" xfId="19717" xr:uid="{00000000-0005-0000-0000-0000D0240000}"/>
    <cellStyle name="20% - Accent6 3 3 4" xfId="2394" xr:uid="{00000000-0005-0000-0000-0000D1240000}"/>
    <cellStyle name="20% - Accent6 3 3 4 2" xfId="12182" xr:uid="{00000000-0005-0000-0000-0000D2240000}"/>
    <cellStyle name="20% - Accent6 3 3 4 2 2" xfId="25894" xr:uid="{00000000-0005-0000-0000-0000D3240000}"/>
    <cellStyle name="20% - Accent6 3 3 4 3" xfId="19719" xr:uid="{00000000-0005-0000-0000-0000D4240000}"/>
    <cellStyle name="20% - Accent6 3 3 5" xfId="2395" xr:uid="{00000000-0005-0000-0000-0000D5240000}"/>
    <cellStyle name="20% - Accent6 3 3 5 2" xfId="12711" xr:uid="{00000000-0005-0000-0000-0000D6240000}"/>
    <cellStyle name="20% - Accent6 3 3 5 2 2" xfId="26423" xr:uid="{00000000-0005-0000-0000-0000D7240000}"/>
    <cellStyle name="20% - Accent6 3 3 5 3" xfId="19720" xr:uid="{00000000-0005-0000-0000-0000D8240000}"/>
    <cellStyle name="20% - Accent6 3 3 6" xfId="2396" xr:uid="{00000000-0005-0000-0000-0000D9240000}"/>
    <cellStyle name="20% - Accent6 3 3 6 2" xfId="13746" xr:uid="{00000000-0005-0000-0000-0000DA240000}"/>
    <cellStyle name="20% - Accent6 3 3 6 2 2" xfId="27295" xr:uid="{00000000-0005-0000-0000-0000DB240000}"/>
    <cellStyle name="20% - Accent6 3 3 6 3" xfId="19721" xr:uid="{00000000-0005-0000-0000-0000DC240000}"/>
    <cellStyle name="20% - Accent6 3 3 7" xfId="2397" xr:uid="{00000000-0005-0000-0000-0000DD240000}"/>
    <cellStyle name="20% - Accent6 3 3 7 2" xfId="14327" xr:uid="{00000000-0005-0000-0000-0000DE240000}"/>
    <cellStyle name="20% - Accent6 3 3 7 2 2" xfId="27876" xr:uid="{00000000-0005-0000-0000-0000DF240000}"/>
    <cellStyle name="20% - Accent6 3 3 7 3" xfId="19722" xr:uid="{00000000-0005-0000-0000-0000E0240000}"/>
    <cellStyle name="20% - Accent6 3 3 8" xfId="2398" xr:uid="{00000000-0005-0000-0000-0000E1240000}"/>
    <cellStyle name="20% - Accent6 3 3 8 2" xfId="14997" xr:uid="{00000000-0005-0000-0000-0000E2240000}"/>
    <cellStyle name="20% - Accent6 3 3 8 2 2" xfId="28546" xr:uid="{00000000-0005-0000-0000-0000E3240000}"/>
    <cellStyle name="20% - Accent6 3 3 8 3" xfId="19723" xr:uid="{00000000-0005-0000-0000-0000E4240000}"/>
    <cellStyle name="20% - Accent6 3 3 9" xfId="2399" xr:uid="{00000000-0005-0000-0000-0000E5240000}"/>
    <cellStyle name="20% - Accent6 3 3 9 2" xfId="16213" xr:uid="{00000000-0005-0000-0000-0000E6240000}"/>
    <cellStyle name="20% - Accent6 3 3 9 2 2" xfId="29620" xr:uid="{00000000-0005-0000-0000-0000E7240000}"/>
    <cellStyle name="20% - Accent6 3 3 9 3" xfId="19724" xr:uid="{00000000-0005-0000-0000-0000E8240000}"/>
    <cellStyle name="20% - Accent6 3 4" xfId="2400" xr:uid="{00000000-0005-0000-0000-0000E9240000}"/>
    <cellStyle name="20% - Accent6 3 4 2" xfId="2401" xr:uid="{00000000-0005-0000-0000-0000EA240000}"/>
    <cellStyle name="20% - Accent6 3 4 2 2" xfId="10879" xr:uid="{00000000-0005-0000-0000-0000EB240000}"/>
    <cellStyle name="20% - Accent6 3 4 2 2 2" xfId="24821" xr:uid="{00000000-0005-0000-0000-0000EC240000}"/>
    <cellStyle name="20% - Accent6 3 4 2 3" xfId="19726" xr:uid="{00000000-0005-0000-0000-0000ED240000}"/>
    <cellStyle name="20% - Accent6 3 4 3" xfId="2402" xr:uid="{00000000-0005-0000-0000-0000EE240000}"/>
    <cellStyle name="20% - Accent6 3 4 3 2" xfId="11826" xr:uid="{00000000-0005-0000-0000-0000EF240000}"/>
    <cellStyle name="20% - Accent6 3 4 3 2 2" xfId="25541" xr:uid="{00000000-0005-0000-0000-0000F0240000}"/>
    <cellStyle name="20% - Accent6 3 4 3 3" xfId="19727" xr:uid="{00000000-0005-0000-0000-0000F1240000}"/>
    <cellStyle name="20% - Accent6 3 4 4" xfId="2403" xr:uid="{00000000-0005-0000-0000-0000F2240000}"/>
    <cellStyle name="20% - Accent6 3 4 4 2" xfId="15000" xr:uid="{00000000-0005-0000-0000-0000F3240000}"/>
    <cellStyle name="20% - Accent6 3 4 4 2 2" xfId="28549" xr:uid="{00000000-0005-0000-0000-0000F4240000}"/>
    <cellStyle name="20% - Accent6 3 4 4 3" xfId="19728" xr:uid="{00000000-0005-0000-0000-0000F5240000}"/>
    <cellStyle name="20% - Accent6 3 4 5" xfId="2404" xr:uid="{00000000-0005-0000-0000-0000F6240000}"/>
    <cellStyle name="20% - Accent6 3 4 5 2" xfId="17141" xr:uid="{00000000-0005-0000-0000-0000F7240000}"/>
    <cellStyle name="20% - Accent6 3 4 5 2 2" xfId="30500" xr:uid="{00000000-0005-0000-0000-0000F8240000}"/>
    <cellStyle name="20% - Accent6 3 4 5 3" xfId="19729" xr:uid="{00000000-0005-0000-0000-0000F9240000}"/>
    <cellStyle name="20% - Accent6 3 4 6" xfId="9153" xr:uid="{00000000-0005-0000-0000-0000FA240000}"/>
    <cellStyle name="20% - Accent6 3 4 6 2" xfId="23628" xr:uid="{00000000-0005-0000-0000-0000FB240000}"/>
    <cellStyle name="20% - Accent6 3 4 7" xfId="19725" xr:uid="{00000000-0005-0000-0000-0000FC240000}"/>
    <cellStyle name="20% - Accent6 3 5" xfId="2405" xr:uid="{00000000-0005-0000-0000-0000FD240000}"/>
    <cellStyle name="20% - Accent6 3 5 2" xfId="2406" xr:uid="{00000000-0005-0000-0000-0000FE240000}"/>
    <cellStyle name="20% - Accent6 3 5 2 2" xfId="10880" xr:uid="{00000000-0005-0000-0000-0000FF240000}"/>
    <cellStyle name="20% - Accent6 3 5 2 2 2" xfId="24822" xr:uid="{00000000-0005-0000-0000-000000250000}"/>
    <cellStyle name="20% - Accent6 3 5 2 3" xfId="19731" xr:uid="{00000000-0005-0000-0000-000001250000}"/>
    <cellStyle name="20% - Accent6 3 5 3" xfId="2407" xr:uid="{00000000-0005-0000-0000-000002250000}"/>
    <cellStyle name="20% - Accent6 3 5 3 2" xfId="12493" xr:uid="{00000000-0005-0000-0000-000003250000}"/>
    <cellStyle name="20% - Accent6 3 5 3 2 2" xfId="26205" xr:uid="{00000000-0005-0000-0000-000004250000}"/>
    <cellStyle name="20% - Accent6 3 5 3 3" xfId="19732" xr:uid="{00000000-0005-0000-0000-000005250000}"/>
    <cellStyle name="20% - Accent6 3 5 4" xfId="2408" xr:uid="{00000000-0005-0000-0000-000006250000}"/>
    <cellStyle name="20% - Accent6 3 5 4 2" xfId="15001" xr:uid="{00000000-0005-0000-0000-000007250000}"/>
    <cellStyle name="20% - Accent6 3 5 4 2 2" xfId="28550" xr:uid="{00000000-0005-0000-0000-000008250000}"/>
    <cellStyle name="20% - Accent6 3 5 4 3" xfId="19733" xr:uid="{00000000-0005-0000-0000-000009250000}"/>
    <cellStyle name="20% - Accent6 3 5 5" xfId="2409" xr:uid="{00000000-0005-0000-0000-00000A250000}"/>
    <cellStyle name="20% - Accent6 3 5 5 2" xfId="17230" xr:uid="{00000000-0005-0000-0000-00000B250000}"/>
    <cellStyle name="20% - Accent6 3 5 5 2 2" xfId="30589" xr:uid="{00000000-0005-0000-0000-00000C250000}"/>
    <cellStyle name="20% - Accent6 3 5 5 3" xfId="19734" xr:uid="{00000000-0005-0000-0000-00000D250000}"/>
    <cellStyle name="20% - Accent6 3 5 6" xfId="9154" xr:uid="{00000000-0005-0000-0000-00000E250000}"/>
    <cellStyle name="20% - Accent6 3 5 6 2" xfId="23629" xr:uid="{00000000-0005-0000-0000-00000F250000}"/>
    <cellStyle name="20% - Accent6 3 5 7" xfId="19730" xr:uid="{00000000-0005-0000-0000-000010250000}"/>
    <cellStyle name="20% - Accent6 3 6" xfId="2410" xr:uid="{00000000-0005-0000-0000-000011250000}"/>
    <cellStyle name="20% - Accent6 3 6 2" xfId="2411" xr:uid="{00000000-0005-0000-0000-000012250000}"/>
    <cellStyle name="20% - Accent6 3 6 2 2" xfId="15002" xr:uid="{00000000-0005-0000-0000-000013250000}"/>
    <cellStyle name="20% - Accent6 3 6 2 2 2" xfId="28551" xr:uid="{00000000-0005-0000-0000-000014250000}"/>
    <cellStyle name="20% - Accent6 3 6 2 3" xfId="19736" xr:uid="{00000000-0005-0000-0000-000015250000}"/>
    <cellStyle name="20% - Accent6 3 6 3" xfId="2412" xr:uid="{00000000-0005-0000-0000-000016250000}"/>
    <cellStyle name="20% - Accent6 3 6 3 2" xfId="16505" xr:uid="{00000000-0005-0000-0000-000017250000}"/>
    <cellStyle name="20% - Accent6 3 6 3 2 2" xfId="29912" xr:uid="{00000000-0005-0000-0000-000018250000}"/>
    <cellStyle name="20% - Accent6 3 6 3 3" xfId="19737" xr:uid="{00000000-0005-0000-0000-000019250000}"/>
    <cellStyle name="20% - Accent6 3 6 4" xfId="10872" xr:uid="{00000000-0005-0000-0000-00001A250000}"/>
    <cellStyle name="20% - Accent6 3 6 4 2" xfId="24814" xr:uid="{00000000-0005-0000-0000-00001B250000}"/>
    <cellStyle name="20% - Accent6 3 6 5" xfId="19735" xr:uid="{00000000-0005-0000-0000-00001C250000}"/>
    <cellStyle name="20% - Accent6 3 7" xfId="2413" xr:uid="{00000000-0005-0000-0000-00001D250000}"/>
    <cellStyle name="20% - Accent6 3 7 2" xfId="11877" xr:uid="{00000000-0005-0000-0000-00001E250000}"/>
    <cellStyle name="20% - Accent6 3 7 2 2" xfId="25592" xr:uid="{00000000-0005-0000-0000-00001F250000}"/>
    <cellStyle name="20% - Accent6 3 7 3" xfId="19738" xr:uid="{00000000-0005-0000-0000-000020250000}"/>
    <cellStyle name="20% - Accent6 3 8" xfId="2414" xr:uid="{00000000-0005-0000-0000-000021250000}"/>
    <cellStyle name="20% - Accent6 3 8 2" xfId="12772" xr:uid="{00000000-0005-0000-0000-000022250000}"/>
    <cellStyle name="20% - Accent6 3 8 2 2" xfId="26484" xr:uid="{00000000-0005-0000-0000-000023250000}"/>
    <cellStyle name="20% - Accent6 3 8 3" xfId="19739" xr:uid="{00000000-0005-0000-0000-000024250000}"/>
    <cellStyle name="20% - Accent6 3 9" xfId="2415" xr:uid="{00000000-0005-0000-0000-000025250000}"/>
    <cellStyle name="20% - Accent6 3 9 2" xfId="13457" xr:uid="{00000000-0005-0000-0000-000026250000}"/>
    <cellStyle name="20% - Accent6 3 9 2 2" xfId="27006" xr:uid="{00000000-0005-0000-0000-000027250000}"/>
    <cellStyle name="20% - Accent6 3 9 3" xfId="19740" xr:uid="{00000000-0005-0000-0000-000028250000}"/>
    <cellStyle name="20% - Accent6 30" xfId="23252" xr:uid="{00000000-0005-0000-0000-000029250000}"/>
    <cellStyle name="20% - Accent6 4" xfId="2416" xr:uid="{00000000-0005-0000-0000-00002A250000}"/>
    <cellStyle name="20% - Accent6 4 10" xfId="2417" xr:uid="{00000000-0005-0000-0000-00002B250000}"/>
    <cellStyle name="20% - Accent6 4 10 2" xfId="15003" xr:uid="{00000000-0005-0000-0000-00002C250000}"/>
    <cellStyle name="20% - Accent6 4 10 2 2" xfId="28552" xr:uid="{00000000-0005-0000-0000-00002D250000}"/>
    <cellStyle name="20% - Accent6 4 10 3" xfId="19742" xr:uid="{00000000-0005-0000-0000-00002E250000}"/>
    <cellStyle name="20% - Accent6 4 11" xfId="2418" xr:uid="{00000000-0005-0000-0000-00002F250000}"/>
    <cellStyle name="20% - Accent6 4 11 2" xfId="15873" xr:uid="{00000000-0005-0000-0000-000030250000}"/>
    <cellStyle name="20% - Accent6 4 11 2 2" xfId="29280" xr:uid="{00000000-0005-0000-0000-000031250000}"/>
    <cellStyle name="20% - Accent6 4 11 3" xfId="19743" xr:uid="{00000000-0005-0000-0000-000032250000}"/>
    <cellStyle name="20% - Accent6 4 12" xfId="9155" xr:uid="{00000000-0005-0000-0000-000033250000}"/>
    <cellStyle name="20% - Accent6 4 12 2" xfId="23630" xr:uid="{00000000-0005-0000-0000-000034250000}"/>
    <cellStyle name="20% - Accent6 4 13" xfId="19741" xr:uid="{00000000-0005-0000-0000-000035250000}"/>
    <cellStyle name="20% - Accent6 4 2" xfId="2419" xr:uid="{00000000-0005-0000-0000-000036250000}"/>
    <cellStyle name="20% - Accent6 4 2 10" xfId="2420" xr:uid="{00000000-0005-0000-0000-000037250000}"/>
    <cellStyle name="20% - Accent6 4 2 10 2" xfId="16016" xr:uid="{00000000-0005-0000-0000-000038250000}"/>
    <cellStyle name="20% - Accent6 4 2 10 2 2" xfId="29423" xr:uid="{00000000-0005-0000-0000-000039250000}"/>
    <cellStyle name="20% - Accent6 4 2 10 3" xfId="19745" xr:uid="{00000000-0005-0000-0000-00003A250000}"/>
    <cellStyle name="20% - Accent6 4 2 11" xfId="9156" xr:uid="{00000000-0005-0000-0000-00003B250000}"/>
    <cellStyle name="20% - Accent6 4 2 11 2" xfId="23631" xr:uid="{00000000-0005-0000-0000-00003C250000}"/>
    <cellStyle name="20% - Accent6 4 2 12" xfId="19744" xr:uid="{00000000-0005-0000-0000-00003D250000}"/>
    <cellStyle name="20% - Accent6 4 2 2" xfId="2421" xr:uid="{00000000-0005-0000-0000-00003E250000}"/>
    <cellStyle name="20% - Accent6 4 2 2 10" xfId="9157" xr:uid="{00000000-0005-0000-0000-00003F250000}"/>
    <cellStyle name="20% - Accent6 4 2 2 10 2" xfId="23632" xr:uid="{00000000-0005-0000-0000-000040250000}"/>
    <cellStyle name="20% - Accent6 4 2 2 11" xfId="19746" xr:uid="{00000000-0005-0000-0000-000041250000}"/>
    <cellStyle name="20% - Accent6 4 2 2 2" xfId="2422" xr:uid="{00000000-0005-0000-0000-000042250000}"/>
    <cellStyle name="20% - Accent6 4 2 2 2 2" xfId="2423" xr:uid="{00000000-0005-0000-0000-000043250000}"/>
    <cellStyle name="20% - Accent6 4 2 2 2 2 2" xfId="10884" xr:uid="{00000000-0005-0000-0000-000044250000}"/>
    <cellStyle name="20% - Accent6 4 2 2 2 2 2 2" xfId="24826" xr:uid="{00000000-0005-0000-0000-000045250000}"/>
    <cellStyle name="20% - Accent6 4 2 2 2 2 3" xfId="19748" xr:uid="{00000000-0005-0000-0000-000046250000}"/>
    <cellStyle name="20% - Accent6 4 2 2 2 3" xfId="2424" xr:uid="{00000000-0005-0000-0000-000047250000}"/>
    <cellStyle name="20% - Accent6 4 2 2 2 3 2" xfId="12486" xr:uid="{00000000-0005-0000-0000-000048250000}"/>
    <cellStyle name="20% - Accent6 4 2 2 2 3 2 2" xfId="26198" xr:uid="{00000000-0005-0000-0000-000049250000}"/>
    <cellStyle name="20% - Accent6 4 2 2 2 3 3" xfId="19749" xr:uid="{00000000-0005-0000-0000-00004A250000}"/>
    <cellStyle name="20% - Accent6 4 2 2 2 4" xfId="2425" xr:uid="{00000000-0005-0000-0000-00004B250000}"/>
    <cellStyle name="20% - Accent6 4 2 2 2 4 2" xfId="15006" xr:uid="{00000000-0005-0000-0000-00004C250000}"/>
    <cellStyle name="20% - Accent6 4 2 2 2 4 2 2" xfId="28555" xr:uid="{00000000-0005-0000-0000-00004D250000}"/>
    <cellStyle name="20% - Accent6 4 2 2 2 4 3" xfId="19750" xr:uid="{00000000-0005-0000-0000-00004E250000}"/>
    <cellStyle name="20% - Accent6 4 2 2 2 5" xfId="2426" xr:uid="{00000000-0005-0000-0000-00004F250000}"/>
    <cellStyle name="20% - Accent6 4 2 2 2 5 2" xfId="16886" xr:uid="{00000000-0005-0000-0000-000050250000}"/>
    <cellStyle name="20% - Accent6 4 2 2 2 5 2 2" xfId="30293" xr:uid="{00000000-0005-0000-0000-000051250000}"/>
    <cellStyle name="20% - Accent6 4 2 2 2 5 3" xfId="19751" xr:uid="{00000000-0005-0000-0000-000052250000}"/>
    <cellStyle name="20% - Accent6 4 2 2 2 6" xfId="9158" xr:uid="{00000000-0005-0000-0000-000053250000}"/>
    <cellStyle name="20% - Accent6 4 2 2 2 6 2" xfId="23633" xr:uid="{00000000-0005-0000-0000-000054250000}"/>
    <cellStyle name="20% - Accent6 4 2 2 2 7" xfId="19747" xr:uid="{00000000-0005-0000-0000-000055250000}"/>
    <cellStyle name="20% - Accent6 4 2 2 3" xfId="2427" xr:uid="{00000000-0005-0000-0000-000056250000}"/>
    <cellStyle name="20% - Accent6 4 2 2 3 2" xfId="2428" xr:uid="{00000000-0005-0000-0000-000057250000}"/>
    <cellStyle name="20% - Accent6 4 2 2 3 2 2" xfId="15007" xr:uid="{00000000-0005-0000-0000-000058250000}"/>
    <cellStyle name="20% - Accent6 4 2 2 3 2 2 2" xfId="28556" xr:uid="{00000000-0005-0000-0000-000059250000}"/>
    <cellStyle name="20% - Accent6 4 2 2 3 2 3" xfId="19753" xr:uid="{00000000-0005-0000-0000-00005A250000}"/>
    <cellStyle name="20% - Accent6 4 2 2 3 3" xfId="10883" xr:uid="{00000000-0005-0000-0000-00005B250000}"/>
    <cellStyle name="20% - Accent6 4 2 2 3 3 2" xfId="24825" xr:uid="{00000000-0005-0000-0000-00005C250000}"/>
    <cellStyle name="20% - Accent6 4 2 2 3 4" xfId="19752" xr:uid="{00000000-0005-0000-0000-00005D250000}"/>
    <cellStyle name="20% - Accent6 4 2 2 4" xfId="2429" xr:uid="{00000000-0005-0000-0000-00005E250000}"/>
    <cellStyle name="20% - Accent6 4 2 2 4 2" xfId="12274" xr:uid="{00000000-0005-0000-0000-00005F250000}"/>
    <cellStyle name="20% - Accent6 4 2 2 4 2 2" xfId="25986" xr:uid="{00000000-0005-0000-0000-000060250000}"/>
    <cellStyle name="20% - Accent6 4 2 2 4 3" xfId="19754" xr:uid="{00000000-0005-0000-0000-000061250000}"/>
    <cellStyle name="20% - Accent6 4 2 2 5" xfId="2430" xr:uid="{00000000-0005-0000-0000-000062250000}"/>
    <cellStyle name="20% - Accent6 4 2 2 5 2" xfId="12463" xr:uid="{00000000-0005-0000-0000-000063250000}"/>
    <cellStyle name="20% - Accent6 4 2 2 5 2 2" xfId="26175" xr:uid="{00000000-0005-0000-0000-000064250000}"/>
    <cellStyle name="20% - Accent6 4 2 2 5 3" xfId="19755" xr:uid="{00000000-0005-0000-0000-000065250000}"/>
    <cellStyle name="20% - Accent6 4 2 2 6" xfId="2431" xr:uid="{00000000-0005-0000-0000-000066250000}"/>
    <cellStyle name="20% - Accent6 4 2 2 6 2" xfId="13838" xr:uid="{00000000-0005-0000-0000-000067250000}"/>
    <cellStyle name="20% - Accent6 4 2 2 6 2 2" xfId="27387" xr:uid="{00000000-0005-0000-0000-000068250000}"/>
    <cellStyle name="20% - Accent6 4 2 2 6 3" xfId="19756" xr:uid="{00000000-0005-0000-0000-000069250000}"/>
    <cellStyle name="20% - Accent6 4 2 2 7" xfId="2432" xr:uid="{00000000-0005-0000-0000-00006A250000}"/>
    <cellStyle name="20% - Accent6 4 2 2 7 2" xfId="14419" xr:uid="{00000000-0005-0000-0000-00006B250000}"/>
    <cellStyle name="20% - Accent6 4 2 2 7 2 2" xfId="27968" xr:uid="{00000000-0005-0000-0000-00006C250000}"/>
    <cellStyle name="20% - Accent6 4 2 2 7 3" xfId="19757" xr:uid="{00000000-0005-0000-0000-00006D250000}"/>
    <cellStyle name="20% - Accent6 4 2 2 8" xfId="2433" xr:uid="{00000000-0005-0000-0000-00006E250000}"/>
    <cellStyle name="20% - Accent6 4 2 2 8 2" xfId="15005" xr:uid="{00000000-0005-0000-0000-00006F250000}"/>
    <cellStyle name="20% - Accent6 4 2 2 8 2 2" xfId="28554" xr:uid="{00000000-0005-0000-0000-000070250000}"/>
    <cellStyle name="20% - Accent6 4 2 2 8 3" xfId="19758" xr:uid="{00000000-0005-0000-0000-000071250000}"/>
    <cellStyle name="20% - Accent6 4 2 2 9" xfId="2434" xr:uid="{00000000-0005-0000-0000-000072250000}"/>
    <cellStyle name="20% - Accent6 4 2 2 9 2" xfId="16305" xr:uid="{00000000-0005-0000-0000-000073250000}"/>
    <cellStyle name="20% - Accent6 4 2 2 9 2 2" xfId="29712" xr:uid="{00000000-0005-0000-0000-000074250000}"/>
    <cellStyle name="20% - Accent6 4 2 2 9 3" xfId="19759" xr:uid="{00000000-0005-0000-0000-000075250000}"/>
    <cellStyle name="20% - Accent6 4 2 3" xfId="2435" xr:uid="{00000000-0005-0000-0000-000076250000}"/>
    <cellStyle name="20% - Accent6 4 2 3 2" xfId="2436" xr:uid="{00000000-0005-0000-0000-000077250000}"/>
    <cellStyle name="20% - Accent6 4 2 3 2 2" xfId="10885" xr:uid="{00000000-0005-0000-0000-000078250000}"/>
    <cellStyle name="20% - Accent6 4 2 3 2 2 2" xfId="24827" xr:uid="{00000000-0005-0000-0000-000079250000}"/>
    <cellStyle name="20% - Accent6 4 2 3 2 3" xfId="19761" xr:uid="{00000000-0005-0000-0000-00007A250000}"/>
    <cellStyle name="20% - Accent6 4 2 3 3" xfId="2437" xr:uid="{00000000-0005-0000-0000-00007B250000}"/>
    <cellStyle name="20% - Accent6 4 2 3 3 2" xfId="12758" xr:uid="{00000000-0005-0000-0000-00007C250000}"/>
    <cellStyle name="20% - Accent6 4 2 3 3 2 2" xfId="26470" xr:uid="{00000000-0005-0000-0000-00007D250000}"/>
    <cellStyle name="20% - Accent6 4 2 3 3 3" xfId="19762" xr:uid="{00000000-0005-0000-0000-00007E250000}"/>
    <cellStyle name="20% - Accent6 4 2 3 4" xfId="2438" xr:uid="{00000000-0005-0000-0000-00007F250000}"/>
    <cellStyle name="20% - Accent6 4 2 3 4 2" xfId="15008" xr:uid="{00000000-0005-0000-0000-000080250000}"/>
    <cellStyle name="20% - Accent6 4 2 3 4 2 2" xfId="28557" xr:uid="{00000000-0005-0000-0000-000081250000}"/>
    <cellStyle name="20% - Accent6 4 2 3 4 3" xfId="19763" xr:uid="{00000000-0005-0000-0000-000082250000}"/>
    <cellStyle name="20% - Accent6 4 2 3 5" xfId="2439" xr:uid="{00000000-0005-0000-0000-000083250000}"/>
    <cellStyle name="20% - Accent6 4 2 3 5 2" xfId="16597" xr:uid="{00000000-0005-0000-0000-000084250000}"/>
    <cellStyle name="20% - Accent6 4 2 3 5 2 2" xfId="30004" xr:uid="{00000000-0005-0000-0000-000085250000}"/>
    <cellStyle name="20% - Accent6 4 2 3 5 3" xfId="19764" xr:uid="{00000000-0005-0000-0000-000086250000}"/>
    <cellStyle name="20% - Accent6 4 2 3 6" xfId="9159" xr:uid="{00000000-0005-0000-0000-000087250000}"/>
    <cellStyle name="20% - Accent6 4 2 3 6 2" xfId="23634" xr:uid="{00000000-0005-0000-0000-000088250000}"/>
    <cellStyle name="20% - Accent6 4 2 3 7" xfId="19760" xr:uid="{00000000-0005-0000-0000-000089250000}"/>
    <cellStyle name="20% - Accent6 4 2 4" xfId="2440" xr:uid="{00000000-0005-0000-0000-00008A250000}"/>
    <cellStyle name="20% - Accent6 4 2 4 2" xfId="2441" xr:uid="{00000000-0005-0000-0000-00008B250000}"/>
    <cellStyle name="20% - Accent6 4 2 4 2 2" xfId="15009" xr:uid="{00000000-0005-0000-0000-00008C250000}"/>
    <cellStyle name="20% - Accent6 4 2 4 2 2 2" xfId="28558" xr:uid="{00000000-0005-0000-0000-00008D250000}"/>
    <cellStyle name="20% - Accent6 4 2 4 2 3" xfId="19766" xr:uid="{00000000-0005-0000-0000-00008E250000}"/>
    <cellStyle name="20% - Accent6 4 2 4 3" xfId="10882" xr:uid="{00000000-0005-0000-0000-00008F250000}"/>
    <cellStyle name="20% - Accent6 4 2 4 3 2" xfId="24824" xr:uid="{00000000-0005-0000-0000-000090250000}"/>
    <cellStyle name="20% - Accent6 4 2 4 4" xfId="19765" xr:uid="{00000000-0005-0000-0000-000091250000}"/>
    <cellStyle name="20% - Accent6 4 2 5" xfId="2442" xr:uid="{00000000-0005-0000-0000-000092250000}"/>
    <cellStyle name="20% - Accent6 4 2 5 2" xfId="11974" xr:uid="{00000000-0005-0000-0000-000093250000}"/>
    <cellStyle name="20% - Accent6 4 2 5 2 2" xfId="25689" xr:uid="{00000000-0005-0000-0000-000094250000}"/>
    <cellStyle name="20% - Accent6 4 2 5 3" xfId="19767" xr:uid="{00000000-0005-0000-0000-000095250000}"/>
    <cellStyle name="20% - Accent6 4 2 6" xfId="2443" xr:uid="{00000000-0005-0000-0000-000096250000}"/>
    <cellStyle name="20% - Accent6 4 2 6 2" xfId="11861" xr:uid="{00000000-0005-0000-0000-000097250000}"/>
    <cellStyle name="20% - Accent6 4 2 6 2 2" xfId="25576" xr:uid="{00000000-0005-0000-0000-000098250000}"/>
    <cellStyle name="20% - Accent6 4 2 6 3" xfId="19768" xr:uid="{00000000-0005-0000-0000-000099250000}"/>
    <cellStyle name="20% - Accent6 4 2 7" xfId="2444" xr:uid="{00000000-0005-0000-0000-00009A250000}"/>
    <cellStyle name="20% - Accent6 4 2 7 2" xfId="13549" xr:uid="{00000000-0005-0000-0000-00009B250000}"/>
    <cellStyle name="20% - Accent6 4 2 7 2 2" xfId="27098" xr:uid="{00000000-0005-0000-0000-00009C250000}"/>
    <cellStyle name="20% - Accent6 4 2 7 3" xfId="19769" xr:uid="{00000000-0005-0000-0000-00009D250000}"/>
    <cellStyle name="20% - Accent6 4 2 8" xfId="2445" xr:uid="{00000000-0005-0000-0000-00009E250000}"/>
    <cellStyle name="20% - Accent6 4 2 8 2" xfId="14130" xr:uid="{00000000-0005-0000-0000-00009F250000}"/>
    <cellStyle name="20% - Accent6 4 2 8 2 2" xfId="27679" xr:uid="{00000000-0005-0000-0000-0000A0250000}"/>
    <cellStyle name="20% - Accent6 4 2 8 3" xfId="19770" xr:uid="{00000000-0005-0000-0000-0000A1250000}"/>
    <cellStyle name="20% - Accent6 4 2 9" xfId="2446" xr:uid="{00000000-0005-0000-0000-0000A2250000}"/>
    <cellStyle name="20% - Accent6 4 2 9 2" xfId="15004" xr:uid="{00000000-0005-0000-0000-0000A3250000}"/>
    <cellStyle name="20% - Accent6 4 2 9 2 2" xfId="28553" xr:uid="{00000000-0005-0000-0000-0000A4250000}"/>
    <cellStyle name="20% - Accent6 4 2 9 3" xfId="19771" xr:uid="{00000000-0005-0000-0000-0000A5250000}"/>
    <cellStyle name="20% - Accent6 4 3" xfId="2447" xr:uid="{00000000-0005-0000-0000-0000A6250000}"/>
    <cellStyle name="20% - Accent6 4 3 10" xfId="9160" xr:uid="{00000000-0005-0000-0000-0000A7250000}"/>
    <cellStyle name="20% - Accent6 4 3 10 2" xfId="23635" xr:uid="{00000000-0005-0000-0000-0000A8250000}"/>
    <cellStyle name="20% - Accent6 4 3 11" xfId="19772" xr:uid="{00000000-0005-0000-0000-0000A9250000}"/>
    <cellStyle name="20% - Accent6 4 3 2" xfId="2448" xr:uid="{00000000-0005-0000-0000-0000AA250000}"/>
    <cellStyle name="20% - Accent6 4 3 2 2" xfId="2449" xr:uid="{00000000-0005-0000-0000-0000AB250000}"/>
    <cellStyle name="20% - Accent6 4 3 2 2 2" xfId="10887" xr:uid="{00000000-0005-0000-0000-0000AC250000}"/>
    <cellStyle name="20% - Accent6 4 3 2 2 2 2" xfId="24829" xr:uid="{00000000-0005-0000-0000-0000AD250000}"/>
    <cellStyle name="20% - Accent6 4 3 2 2 3" xfId="19774" xr:uid="{00000000-0005-0000-0000-0000AE250000}"/>
    <cellStyle name="20% - Accent6 4 3 2 3" xfId="2450" xr:uid="{00000000-0005-0000-0000-0000AF250000}"/>
    <cellStyle name="20% - Accent6 4 3 2 3 2" xfId="12642" xr:uid="{00000000-0005-0000-0000-0000B0250000}"/>
    <cellStyle name="20% - Accent6 4 3 2 3 2 2" xfId="26354" xr:uid="{00000000-0005-0000-0000-0000B1250000}"/>
    <cellStyle name="20% - Accent6 4 3 2 3 3" xfId="19775" xr:uid="{00000000-0005-0000-0000-0000B2250000}"/>
    <cellStyle name="20% - Accent6 4 3 2 4" xfId="2451" xr:uid="{00000000-0005-0000-0000-0000B3250000}"/>
    <cellStyle name="20% - Accent6 4 3 2 4 2" xfId="15011" xr:uid="{00000000-0005-0000-0000-0000B4250000}"/>
    <cellStyle name="20% - Accent6 4 3 2 4 2 2" xfId="28560" xr:uid="{00000000-0005-0000-0000-0000B5250000}"/>
    <cellStyle name="20% - Accent6 4 3 2 4 3" xfId="19776" xr:uid="{00000000-0005-0000-0000-0000B6250000}"/>
    <cellStyle name="20% - Accent6 4 3 2 5" xfId="2452" xr:uid="{00000000-0005-0000-0000-0000B7250000}"/>
    <cellStyle name="20% - Accent6 4 3 2 5 2" xfId="16746" xr:uid="{00000000-0005-0000-0000-0000B8250000}"/>
    <cellStyle name="20% - Accent6 4 3 2 5 2 2" xfId="30153" xr:uid="{00000000-0005-0000-0000-0000B9250000}"/>
    <cellStyle name="20% - Accent6 4 3 2 5 3" xfId="19777" xr:uid="{00000000-0005-0000-0000-0000BA250000}"/>
    <cellStyle name="20% - Accent6 4 3 2 6" xfId="9161" xr:uid="{00000000-0005-0000-0000-0000BB250000}"/>
    <cellStyle name="20% - Accent6 4 3 2 6 2" xfId="23636" xr:uid="{00000000-0005-0000-0000-0000BC250000}"/>
    <cellStyle name="20% - Accent6 4 3 2 7" xfId="19773" xr:uid="{00000000-0005-0000-0000-0000BD250000}"/>
    <cellStyle name="20% - Accent6 4 3 3" xfId="2453" xr:uid="{00000000-0005-0000-0000-0000BE250000}"/>
    <cellStyle name="20% - Accent6 4 3 3 2" xfId="2454" xr:uid="{00000000-0005-0000-0000-0000BF250000}"/>
    <cellStyle name="20% - Accent6 4 3 3 2 2" xfId="15012" xr:uid="{00000000-0005-0000-0000-0000C0250000}"/>
    <cellStyle name="20% - Accent6 4 3 3 2 2 2" xfId="28561" xr:uid="{00000000-0005-0000-0000-0000C1250000}"/>
    <cellStyle name="20% - Accent6 4 3 3 2 3" xfId="19779" xr:uid="{00000000-0005-0000-0000-0000C2250000}"/>
    <cellStyle name="20% - Accent6 4 3 3 3" xfId="10886" xr:uid="{00000000-0005-0000-0000-0000C3250000}"/>
    <cellStyle name="20% - Accent6 4 3 3 3 2" xfId="24828" xr:uid="{00000000-0005-0000-0000-0000C4250000}"/>
    <cellStyle name="20% - Accent6 4 3 3 4" xfId="19778" xr:uid="{00000000-0005-0000-0000-0000C5250000}"/>
    <cellStyle name="20% - Accent6 4 3 4" xfId="2455" xr:uid="{00000000-0005-0000-0000-0000C6250000}"/>
    <cellStyle name="20% - Accent6 4 3 4 2" xfId="12134" xr:uid="{00000000-0005-0000-0000-0000C7250000}"/>
    <cellStyle name="20% - Accent6 4 3 4 2 2" xfId="25846" xr:uid="{00000000-0005-0000-0000-0000C8250000}"/>
    <cellStyle name="20% - Accent6 4 3 4 3" xfId="19780" xr:uid="{00000000-0005-0000-0000-0000C9250000}"/>
    <cellStyle name="20% - Accent6 4 3 5" xfId="2456" xr:uid="{00000000-0005-0000-0000-0000CA250000}"/>
    <cellStyle name="20% - Accent6 4 3 5 2" xfId="11762" xr:uid="{00000000-0005-0000-0000-0000CB250000}"/>
    <cellStyle name="20% - Accent6 4 3 5 2 2" xfId="25477" xr:uid="{00000000-0005-0000-0000-0000CC250000}"/>
    <cellStyle name="20% - Accent6 4 3 5 3" xfId="19781" xr:uid="{00000000-0005-0000-0000-0000CD250000}"/>
    <cellStyle name="20% - Accent6 4 3 6" xfId="2457" xr:uid="{00000000-0005-0000-0000-0000CE250000}"/>
    <cellStyle name="20% - Accent6 4 3 6 2" xfId="13698" xr:uid="{00000000-0005-0000-0000-0000CF250000}"/>
    <cellStyle name="20% - Accent6 4 3 6 2 2" xfId="27247" xr:uid="{00000000-0005-0000-0000-0000D0250000}"/>
    <cellStyle name="20% - Accent6 4 3 6 3" xfId="19782" xr:uid="{00000000-0005-0000-0000-0000D1250000}"/>
    <cellStyle name="20% - Accent6 4 3 7" xfId="2458" xr:uid="{00000000-0005-0000-0000-0000D2250000}"/>
    <cellStyle name="20% - Accent6 4 3 7 2" xfId="14279" xr:uid="{00000000-0005-0000-0000-0000D3250000}"/>
    <cellStyle name="20% - Accent6 4 3 7 2 2" xfId="27828" xr:uid="{00000000-0005-0000-0000-0000D4250000}"/>
    <cellStyle name="20% - Accent6 4 3 7 3" xfId="19783" xr:uid="{00000000-0005-0000-0000-0000D5250000}"/>
    <cellStyle name="20% - Accent6 4 3 8" xfId="2459" xr:uid="{00000000-0005-0000-0000-0000D6250000}"/>
    <cellStyle name="20% - Accent6 4 3 8 2" xfId="15010" xr:uid="{00000000-0005-0000-0000-0000D7250000}"/>
    <cellStyle name="20% - Accent6 4 3 8 2 2" xfId="28559" xr:uid="{00000000-0005-0000-0000-0000D8250000}"/>
    <cellStyle name="20% - Accent6 4 3 8 3" xfId="19784" xr:uid="{00000000-0005-0000-0000-0000D9250000}"/>
    <cellStyle name="20% - Accent6 4 3 9" xfId="2460" xr:uid="{00000000-0005-0000-0000-0000DA250000}"/>
    <cellStyle name="20% - Accent6 4 3 9 2" xfId="16165" xr:uid="{00000000-0005-0000-0000-0000DB250000}"/>
    <cellStyle name="20% - Accent6 4 3 9 2 2" xfId="29572" xr:uid="{00000000-0005-0000-0000-0000DC250000}"/>
    <cellStyle name="20% - Accent6 4 3 9 3" xfId="19785" xr:uid="{00000000-0005-0000-0000-0000DD250000}"/>
    <cellStyle name="20% - Accent6 4 4" xfId="2461" xr:uid="{00000000-0005-0000-0000-0000DE250000}"/>
    <cellStyle name="20% - Accent6 4 4 2" xfId="2462" xr:uid="{00000000-0005-0000-0000-0000DF250000}"/>
    <cellStyle name="20% - Accent6 4 4 2 2" xfId="10888" xr:uid="{00000000-0005-0000-0000-0000E0250000}"/>
    <cellStyle name="20% - Accent6 4 4 2 2 2" xfId="24830" xr:uid="{00000000-0005-0000-0000-0000E1250000}"/>
    <cellStyle name="20% - Accent6 4 4 2 3" xfId="19787" xr:uid="{00000000-0005-0000-0000-0000E2250000}"/>
    <cellStyle name="20% - Accent6 4 4 3" xfId="2463" xr:uid="{00000000-0005-0000-0000-0000E3250000}"/>
    <cellStyle name="20% - Accent6 4 4 3 2" xfId="12643" xr:uid="{00000000-0005-0000-0000-0000E4250000}"/>
    <cellStyle name="20% - Accent6 4 4 3 2 2" xfId="26355" xr:uid="{00000000-0005-0000-0000-0000E5250000}"/>
    <cellStyle name="20% - Accent6 4 4 3 3" xfId="19788" xr:uid="{00000000-0005-0000-0000-0000E6250000}"/>
    <cellStyle name="20% - Accent6 4 4 4" xfId="2464" xr:uid="{00000000-0005-0000-0000-0000E7250000}"/>
    <cellStyle name="20% - Accent6 4 4 4 2" xfId="15013" xr:uid="{00000000-0005-0000-0000-0000E8250000}"/>
    <cellStyle name="20% - Accent6 4 4 4 2 2" xfId="28562" xr:uid="{00000000-0005-0000-0000-0000E9250000}"/>
    <cellStyle name="20% - Accent6 4 4 4 3" xfId="19789" xr:uid="{00000000-0005-0000-0000-0000EA250000}"/>
    <cellStyle name="20% - Accent6 4 4 5" xfId="2465" xr:uid="{00000000-0005-0000-0000-0000EB250000}"/>
    <cellStyle name="20% - Accent6 4 4 5 2" xfId="16454" xr:uid="{00000000-0005-0000-0000-0000EC250000}"/>
    <cellStyle name="20% - Accent6 4 4 5 2 2" xfId="29861" xr:uid="{00000000-0005-0000-0000-0000ED250000}"/>
    <cellStyle name="20% - Accent6 4 4 5 3" xfId="19790" xr:uid="{00000000-0005-0000-0000-0000EE250000}"/>
    <cellStyle name="20% - Accent6 4 4 6" xfId="9162" xr:uid="{00000000-0005-0000-0000-0000EF250000}"/>
    <cellStyle name="20% - Accent6 4 4 6 2" xfId="23637" xr:uid="{00000000-0005-0000-0000-0000F0250000}"/>
    <cellStyle name="20% - Accent6 4 4 7" xfId="19786" xr:uid="{00000000-0005-0000-0000-0000F1250000}"/>
    <cellStyle name="20% - Accent6 4 5" xfId="2466" xr:uid="{00000000-0005-0000-0000-0000F2250000}"/>
    <cellStyle name="20% - Accent6 4 5 2" xfId="2467" xr:uid="{00000000-0005-0000-0000-0000F3250000}"/>
    <cellStyle name="20% - Accent6 4 5 2 2" xfId="15014" xr:uid="{00000000-0005-0000-0000-0000F4250000}"/>
    <cellStyle name="20% - Accent6 4 5 2 2 2" xfId="28563" xr:uid="{00000000-0005-0000-0000-0000F5250000}"/>
    <cellStyle name="20% - Accent6 4 5 2 3" xfId="19792" xr:uid="{00000000-0005-0000-0000-0000F6250000}"/>
    <cellStyle name="20% - Accent6 4 5 3" xfId="10881" xr:uid="{00000000-0005-0000-0000-0000F7250000}"/>
    <cellStyle name="20% - Accent6 4 5 3 2" xfId="24823" xr:uid="{00000000-0005-0000-0000-0000F8250000}"/>
    <cellStyle name="20% - Accent6 4 5 4" xfId="19791" xr:uid="{00000000-0005-0000-0000-0000F9250000}"/>
    <cellStyle name="20% - Accent6 4 6" xfId="2468" xr:uid="{00000000-0005-0000-0000-0000FA250000}"/>
    <cellStyle name="20% - Accent6 4 6 2" xfId="11805" xr:uid="{00000000-0005-0000-0000-0000FB250000}"/>
    <cellStyle name="20% - Accent6 4 6 2 2" xfId="25520" xr:uid="{00000000-0005-0000-0000-0000FC250000}"/>
    <cellStyle name="20% - Accent6 4 6 3" xfId="19793" xr:uid="{00000000-0005-0000-0000-0000FD250000}"/>
    <cellStyle name="20% - Accent6 4 7" xfId="2469" xr:uid="{00000000-0005-0000-0000-0000FE250000}"/>
    <cellStyle name="20% - Accent6 4 7 2" xfId="12674" xr:uid="{00000000-0005-0000-0000-0000FF250000}"/>
    <cellStyle name="20% - Accent6 4 7 2 2" xfId="26386" xr:uid="{00000000-0005-0000-0000-000000260000}"/>
    <cellStyle name="20% - Accent6 4 7 3" xfId="19794" xr:uid="{00000000-0005-0000-0000-000001260000}"/>
    <cellStyle name="20% - Accent6 4 8" xfId="2470" xr:uid="{00000000-0005-0000-0000-000002260000}"/>
    <cellStyle name="20% - Accent6 4 8 2" xfId="13406" xr:uid="{00000000-0005-0000-0000-000003260000}"/>
    <cellStyle name="20% - Accent6 4 8 2 2" xfId="26955" xr:uid="{00000000-0005-0000-0000-000004260000}"/>
    <cellStyle name="20% - Accent6 4 8 3" xfId="19795" xr:uid="{00000000-0005-0000-0000-000005260000}"/>
    <cellStyle name="20% - Accent6 4 9" xfId="2471" xr:uid="{00000000-0005-0000-0000-000006260000}"/>
    <cellStyle name="20% - Accent6 4 9 2" xfId="13987" xr:uid="{00000000-0005-0000-0000-000007260000}"/>
    <cellStyle name="20% - Accent6 4 9 2 2" xfId="27536" xr:uid="{00000000-0005-0000-0000-000008260000}"/>
    <cellStyle name="20% - Accent6 4 9 3" xfId="19796" xr:uid="{00000000-0005-0000-0000-000009260000}"/>
    <cellStyle name="20% - Accent6 5" xfId="2472" xr:uid="{00000000-0005-0000-0000-00000A260000}"/>
    <cellStyle name="20% - Accent6 5 10" xfId="2473" xr:uid="{00000000-0005-0000-0000-00000B260000}"/>
    <cellStyle name="20% - Accent6 5 10 2" xfId="15015" xr:uid="{00000000-0005-0000-0000-00000C260000}"/>
    <cellStyle name="20% - Accent6 5 10 2 2" xfId="28564" xr:uid="{00000000-0005-0000-0000-00000D260000}"/>
    <cellStyle name="20% - Accent6 5 10 3" xfId="19798" xr:uid="{00000000-0005-0000-0000-00000E260000}"/>
    <cellStyle name="20% - Accent6 5 11" xfId="2474" xr:uid="{00000000-0005-0000-0000-00000F260000}"/>
    <cellStyle name="20% - Accent6 5 11 2" xfId="15856" xr:uid="{00000000-0005-0000-0000-000010260000}"/>
    <cellStyle name="20% - Accent6 5 11 2 2" xfId="29263" xr:uid="{00000000-0005-0000-0000-000011260000}"/>
    <cellStyle name="20% - Accent6 5 11 3" xfId="19799" xr:uid="{00000000-0005-0000-0000-000012260000}"/>
    <cellStyle name="20% - Accent6 5 12" xfId="9163" xr:uid="{00000000-0005-0000-0000-000013260000}"/>
    <cellStyle name="20% - Accent6 5 12 2" xfId="23638" xr:uid="{00000000-0005-0000-0000-000014260000}"/>
    <cellStyle name="20% - Accent6 5 13" xfId="19797" xr:uid="{00000000-0005-0000-0000-000015260000}"/>
    <cellStyle name="20% - Accent6 5 2" xfId="2475" xr:uid="{00000000-0005-0000-0000-000016260000}"/>
    <cellStyle name="20% - Accent6 5 2 10" xfId="2476" xr:uid="{00000000-0005-0000-0000-000017260000}"/>
    <cellStyle name="20% - Accent6 5 2 10 2" xfId="15999" xr:uid="{00000000-0005-0000-0000-000018260000}"/>
    <cellStyle name="20% - Accent6 5 2 10 2 2" xfId="29406" xr:uid="{00000000-0005-0000-0000-000019260000}"/>
    <cellStyle name="20% - Accent6 5 2 10 3" xfId="19801" xr:uid="{00000000-0005-0000-0000-00001A260000}"/>
    <cellStyle name="20% - Accent6 5 2 11" xfId="9164" xr:uid="{00000000-0005-0000-0000-00001B260000}"/>
    <cellStyle name="20% - Accent6 5 2 11 2" xfId="23639" xr:uid="{00000000-0005-0000-0000-00001C260000}"/>
    <cellStyle name="20% - Accent6 5 2 12" xfId="19800" xr:uid="{00000000-0005-0000-0000-00001D260000}"/>
    <cellStyle name="20% - Accent6 5 2 2" xfId="2477" xr:uid="{00000000-0005-0000-0000-00001E260000}"/>
    <cellStyle name="20% - Accent6 5 2 2 10" xfId="9165" xr:uid="{00000000-0005-0000-0000-00001F260000}"/>
    <cellStyle name="20% - Accent6 5 2 2 10 2" xfId="23640" xr:uid="{00000000-0005-0000-0000-000020260000}"/>
    <cellStyle name="20% - Accent6 5 2 2 11" xfId="19802" xr:uid="{00000000-0005-0000-0000-000021260000}"/>
    <cellStyle name="20% - Accent6 5 2 2 2" xfId="2478" xr:uid="{00000000-0005-0000-0000-000022260000}"/>
    <cellStyle name="20% - Accent6 5 2 2 2 2" xfId="2479" xr:uid="{00000000-0005-0000-0000-000023260000}"/>
    <cellStyle name="20% - Accent6 5 2 2 2 2 2" xfId="10892" xr:uid="{00000000-0005-0000-0000-000024260000}"/>
    <cellStyle name="20% - Accent6 5 2 2 2 2 2 2" xfId="24834" xr:uid="{00000000-0005-0000-0000-000025260000}"/>
    <cellStyle name="20% - Accent6 5 2 2 2 2 3" xfId="19804" xr:uid="{00000000-0005-0000-0000-000026260000}"/>
    <cellStyle name="20% - Accent6 5 2 2 2 3" xfId="2480" xr:uid="{00000000-0005-0000-0000-000027260000}"/>
    <cellStyle name="20% - Accent6 5 2 2 2 3 2" xfId="12783" xr:uid="{00000000-0005-0000-0000-000028260000}"/>
    <cellStyle name="20% - Accent6 5 2 2 2 3 2 2" xfId="26495" xr:uid="{00000000-0005-0000-0000-000029260000}"/>
    <cellStyle name="20% - Accent6 5 2 2 2 3 3" xfId="19805" xr:uid="{00000000-0005-0000-0000-00002A260000}"/>
    <cellStyle name="20% - Accent6 5 2 2 2 4" xfId="2481" xr:uid="{00000000-0005-0000-0000-00002B260000}"/>
    <cellStyle name="20% - Accent6 5 2 2 2 4 2" xfId="15018" xr:uid="{00000000-0005-0000-0000-00002C260000}"/>
    <cellStyle name="20% - Accent6 5 2 2 2 4 2 2" xfId="28567" xr:uid="{00000000-0005-0000-0000-00002D260000}"/>
    <cellStyle name="20% - Accent6 5 2 2 2 4 3" xfId="19806" xr:uid="{00000000-0005-0000-0000-00002E260000}"/>
    <cellStyle name="20% - Accent6 5 2 2 2 5" xfId="2482" xr:uid="{00000000-0005-0000-0000-00002F260000}"/>
    <cellStyle name="20% - Accent6 5 2 2 2 5 2" xfId="16869" xr:uid="{00000000-0005-0000-0000-000030260000}"/>
    <cellStyle name="20% - Accent6 5 2 2 2 5 2 2" xfId="30276" xr:uid="{00000000-0005-0000-0000-000031260000}"/>
    <cellStyle name="20% - Accent6 5 2 2 2 5 3" xfId="19807" xr:uid="{00000000-0005-0000-0000-000032260000}"/>
    <cellStyle name="20% - Accent6 5 2 2 2 6" xfId="9166" xr:uid="{00000000-0005-0000-0000-000033260000}"/>
    <cellStyle name="20% - Accent6 5 2 2 2 6 2" xfId="23641" xr:uid="{00000000-0005-0000-0000-000034260000}"/>
    <cellStyle name="20% - Accent6 5 2 2 2 7" xfId="19803" xr:uid="{00000000-0005-0000-0000-000035260000}"/>
    <cellStyle name="20% - Accent6 5 2 2 3" xfId="2483" xr:uid="{00000000-0005-0000-0000-000036260000}"/>
    <cellStyle name="20% - Accent6 5 2 2 3 2" xfId="2484" xr:uid="{00000000-0005-0000-0000-000037260000}"/>
    <cellStyle name="20% - Accent6 5 2 2 3 2 2" xfId="15019" xr:uid="{00000000-0005-0000-0000-000038260000}"/>
    <cellStyle name="20% - Accent6 5 2 2 3 2 2 2" xfId="28568" xr:uid="{00000000-0005-0000-0000-000039260000}"/>
    <cellStyle name="20% - Accent6 5 2 2 3 2 3" xfId="19809" xr:uid="{00000000-0005-0000-0000-00003A260000}"/>
    <cellStyle name="20% - Accent6 5 2 2 3 3" xfId="10891" xr:uid="{00000000-0005-0000-0000-00003B260000}"/>
    <cellStyle name="20% - Accent6 5 2 2 3 3 2" xfId="24833" xr:uid="{00000000-0005-0000-0000-00003C260000}"/>
    <cellStyle name="20% - Accent6 5 2 2 3 4" xfId="19808" xr:uid="{00000000-0005-0000-0000-00003D260000}"/>
    <cellStyle name="20% - Accent6 5 2 2 4" xfId="2485" xr:uid="{00000000-0005-0000-0000-00003E260000}"/>
    <cellStyle name="20% - Accent6 5 2 2 4 2" xfId="12257" xr:uid="{00000000-0005-0000-0000-00003F260000}"/>
    <cellStyle name="20% - Accent6 5 2 2 4 2 2" xfId="25969" xr:uid="{00000000-0005-0000-0000-000040260000}"/>
    <cellStyle name="20% - Accent6 5 2 2 4 3" xfId="19810" xr:uid="{00000000-0005-0000-0000-000041260000}"/>
    <cellStyle name="20% - Accent6 5 2 2 5" xfId="2486" xr:uid="{00000000-0005-0000-0000-000042260000}"/>
    <cellStyle name="20% - Accent6 5 2 2 5 2" xfId="12787" xr:uid="{00000000-0005-0000-0000-000043260000}"/>
    <cellStyle name="20% - Accent6 5 2 2 5 2 2" xfId="26499" xr:uid="{00000000-0005-0000-0000-000044260000}"/>
    <cellStyle name="20% - Accent6 5 2 2 5 3" xfId="19811" xr:uid="{00000000-0005-0000-0000-000045260000}"/>
    <cellStyle name="20% - Accent6 5 2 2 6" xfId="2487" xr:uid="{00000000-0005-0000-0000-000046260000}"/>
    <cellStyle name="20% - Accent6 5 2 2 6 2" xfId="13821" xr:uid="{00000000-0005-0000-0000-000047260000}"/>
    <cellStyle name="20% - Accent6 5 2 2 6 2 2" xfId="27370" xr:uid="{00000000-0005-0000-0000-000048260000}"/>
    <cellStyle name="20% - Accent6 5 2 2 6 3" xfId="19812" xr:uid="{00000000-0005-0000-0000-000049260000}"/>
    <cellStyle name="20% - Accent6 5 2 2 7" xfId="2488" xr:uid="{00000000-0005-0000-0000-00004A260000}"/>
    <cellStyle name="20% - Accent6 5 2 2 7 2" xfId="14402" xr:uid="{00000000-0005-0000-0000-00004B260000}"/>
    <cellStyle name="20% - Accent6 5 2 2 7 2 2" xfId="27951" xr:uid="{00000000-0005-0000-0000-00004C260000}"/>
    <cellStyle name="20% - Accent6 5 2 2 7 3" xfId="19813" xr:uid="{00000000-0005-0000-0000-00004D260000}"/>
    <cellStyle name="20% - Accent6 5 2 2 8" xfId="2489" xr:uid="{00000000-0005-0000-0000-00004E260000}"/>
    <cellStyle name="20% - Accent6 5 2 2 8 2" xfId="15017" xr:uid="{00000000-0005-0000-0000-00004F260000}"/>
    <cellStyle name="20% - Accent6 5 2 2 8 2 2" xfId="28566" xr:uid="{00000000-0005-0000-0000-000050260000}"/>
    <cellStyle name="20% - Accent6 5 2 2 8 3" xfId="19814" xr:uid="{00000000-0005-0000-0000-000051260000}"/>
    <cellStyle name="20% - Accent6 5 2 2 9" xfId="2490" xr:uid="{00000000-0005-0000-0000-000052260000}"/>
    <cellStyle name="20% - Accent6 5 2 2 9 2" xfId="16288" xr:uid="{00000000-0005-0000-0000-000053260000}"/>
    <cellStyle name="20% - Accent6 5 2 2 9 2 2" xfId="29695" xr:uid="{00000000-0005-0000-0000-000054260000}"/>
    <cellStyle name="20% - Accent6 5 2 2 9 3" xfId="19815" xr:uid="{00000000-0005-0000-0000-000055260000}"/>
    <cellStyle name="20% - Accent6 5 2 3" xfId="2491" xr:uid="{00000000-0005-0000-0000-000056260000}"/>
    <cellStyle name="20% - Accent6 5 2 3 2" xfId="2492" xr:uid="{00000000-0005-0000-0000-000057260000}"/>
    <cellStyle name="20% - Accent6 5 2 3 2 2" xfId="10893" xr:uid="{00000000-0005-0000-0000-000058260000}"/>
    <cellStyle name="20% - Accent6 5 2 3 2 2 2" xfId="24835" xr:uid="{00000000-0005-0000-0000-000059260000}"/>
    <cellStyle name="20% - Accent6 5 2 3 2 3" xfId="19817" xr:uid="{00000000-0005-0000-0000-00005A260000}"/>
    <cellStyle name="20% - Accent6 5 2 3 3" xfId="2493" xr:uid="{00000000-0005-0000-0000-00005B260000}"/>
    <cellStyle name="20% - Accent6 5 2 3 3 2" xfId="12724" xr:uid="{00000000-0005-0000-0000-00005C260000}"/>
    <cellStyle name="20% - Accent6 5 2 3 3 2 2" xfId="26436" xr:uid="{00000000-0005-0000-0000-00005D260000}"/>
    <cellStyle name="20% - Accent6 5 2 3 3 3" xfId="19818" xr:uid="{00000000-0005-0000-0000-00005E260000}"/>
    <cellStyle name="20% - Accent6 5 2 3 4" xfId="2494" xr:uid="{00000000-0005-0000-0000-00005F260000}"/>
    <cellStyle name="20% - Accent6 5 2 3 4 2" xfId="15020" xr:uid="{00000000-0005-0000-0000-000060260000}"/>
    <cellStyle name="20% - Accent6 5 2 3 4 2 2" xfId="28569" xr:uid="{00000000-0005-0000-0000-000061260000}"/>
    <cellStyle name="20% - Accent6 5 2 3 4 3" xfId="19819" xr:uid="{00000000-0005-0000-0000-000062260000}"/>
    <cellStyle name="20% - Accent6 5 2 3 5" xfId="2495" xr:uid="{00000000-0005-0000-0000-000063260000}"/>
    <cellStyle name="20% - Accent6 5 2 3 5 2" xfId="16580" xr:uid="{00000000-0005-0000-0000-000064260000}"/>
    <cellStyle name="20% - Accent6 5 2 3 5 2 2" xfId="29987" xr:uid="{00000000-0005-0000-0000-000065260000}"/>
    <cellStyle name="20% - Accent6 5 2 3 5 3" xfId="19820" xr:uid="{00000000-0005-0000-0000-000066260000}"/>
    <cellStyle name="20% - Accent6 5 2 3 6" xfId="9167" xr:uid="{00000000-0005-0000-0000-000067260000}"/>
    <cellStyle name="20% - Accent6 5 2 3 6 2" xfId="23642" xr:uid="{00000000-0005-0000-0000-000068260000}"/>
    <cellStyle name="20% - Accent6 5 2 3 7" xfId="19816" xr:uid="{00000000-0005-0000-0000-000069260000}"/>
    <cellStyle name="20% - Accent6 5 2 4" xfId="2496" xr:uid="{00000000-0005-0000-0000-00006A260000}"/>
    <cellStyle name="20% - Accent6 5 2 4 2" xfId="2497" xr:uid="{00000000-0005-0000-0000-00006B260000}"/>
    <cellStyle name="20% - Accent6 5 2 4 2 2" xfId="15021" xr:uid="{00000000-0005-0000-0000-00006C260000}"/>
    <cellStyle name="20% - Accent6 5 2 4 2 2 2" xfId="28570" xr:uid="{00000000-0005-0000-0000-00006D260000}"/>
    <cellStyle name="20% - Accent6 5 2 4 2 3" xfId="19822" xr:uid="{00000000-0005-0000-0000-00006E260000}"/>
    <cellStyle name="20% - Accent6 5 2 4 3" xfId="10890" xr:uid="{00000000-0005-0000-0000-00006F260000}"/>
    <cellStyle name="20% - Accent6 5 2 4 3 2" xfId="24832" xr:uid="{00000000-0005-0000-0000-000070260000}"/>
    <cellStyle name="20% - Accent6 5 2 4 4" xfId="19821" xr:uid="{00000000-0005-0000-0000-000071260000}"/>
    <cellStyle name="20% - Accent6 5 2 5" xfId="2498" xr:uid="{00000000-0005-0000-0000-000072260000}"/>
    <cellStyle name="20% - Accent6 5 2 5 2" xfId="11957" xr:uid="{00000000-0005-0000-0000-000073260000}"/>
    <cellStyle name="20% - Accent6 5 2 5 2 2" xfId="25672" xr:uid="{00000000-0005-0000-0000-000074260000}"/>
    <cellStyle name="20% - Accent6 5 2 5 3" xfId="19823" xr:uid="{00000000-0005-0000-0000-000075260000}"/>
    <cellStyle name="20% - Accent6 5 2 6" xfId="2499" xr:uid="{00000000-0005-0000-0000-000076260000}"/>
    <cellStyle name="20% - Accent6 5 2 6 2" xfId="11756" xr:uid="{00000000-0005-0000-0000-000077260000}"/>
    <cellStyle name="20% - Accent6 5 2 6 2 2" xfId="25471" xr:uid="{00000000-0005-0000-0000-000078260000}"/>
    <cellStyle name="20% - Accent6 5 2 6 3" xfId="19824" xr:uid="{00000000-0005-0000-0000-000079260000}"/>
    <cellStyle name="20% - Accent6 5 2 7" xfId="2500" xr:uid="{00000000-0005-0000-0000-00007A260000}"/>
    <cellStyle name="20% - Accent6 5 2 7 2" xfId="13532" xr:uid="{00000000-0005-0000-0000-00007B260000}"/>
    <cellStyle name="20% - Accent6 5 2 7 2 2" xfId="27081" xr:uid="{00000000-0005-0000-0000-00007C260000}"/>
    <cellStyle name="20% - Accent6 5 2 7 3" xfId="19825" xr:uid="{00000000-0005-0000-0000-00007D260000}"/>
    <cellStyle name="20% - Accent6 5 2 8" xfId="2501" xr:uid="{00000000-0005-0000-0000-00007E260000}"/>
    <cellStyle name="20% - Accent6 5 2 8 2" xfId="14113" xr:uid="{00000000-0005-0000-0000-00007F260000}"/>
    <cellStyle name="20% - Accent6 5 2 8 2 2" xfId="27662" xr:uid="{00000000-0005-0000-0000-000080260000}"/>
    <cellStyle name="20% - Accent6 5 2 8 3" xfId="19826" xr:uid="{00000000-0005-0000-0000-000081260000}"/>
    <cellStyle name="20% - Accent6 5 2 9" xfId="2502" xr:uid="{00000000-0005-0000-0000-000082260000}"/>
    <cellStyle name="20% - Accent6 5 2 9 2" xfId="15016" xr:uid="{00000000-0005-0000-0000-000083260000}"/>
    <cellStyle name="20% - Accent6 5 2 9 2 2" xfId="28565" xr:uid="{00000000-0005-0000-0000-000084260000}"/>
    <cellStyle name="20% - Accent6 5 2 9 3" xfId="19827" xr:uid="{00000000-0005-0000-0000-000085260000}"/>
    <cellStyle name="20% - Accent6 5 3" xfId="2503" xr:uid="{00000000-0005-0000-0000-000086260000}"/>
    <cellStyle name="20% - Accent6 5 3 10" xfId="9168" xr:uid="{00000000-0005-0000-0000-000087260000}"/>
    <cellStyle name="20% - Accent6 5 3 10 2" xfId="23643" xr:uid="{00000000-0005-0000-0000-000088260000}"/>
    <cellStyle name="20% - Accent6 5 3 11" xfId="19828" xr:uid="{00000000-0005-0000-0000-000089260000}"/>
    <cellStyle name="20% - Accent6 5 3 2" xfId="2504" xr:uid="{00000000-0005-0000-0000-00008A260000}"/>
    <cellStyle name="20% - Accent6 5 3 2 2" xfId="2505" xr:uid="{00000000-0005-0000-0000-00008B260000}"/>
    <cellStyle name="20% - Accent6 5 3 2 2 2" xfId="10895" xr:uid="{00000000-0005-0000-0000-00008C260000}"/>
    <cellStyle name="20% - Accent6 5 3 2 2 2 2" xfId="24837" xr:uid="{00000000-0005-0000-0000-00008D260000}"/>
    <cellStyle name="20% - Accent6 5 3 2 2 3" xfId="19830" xr:uid="{00000000-0005-0000-0000-00008E260000}"/>
    <cellStyle name="20% - Accent6 5 3 2 3" xfId="2506" xr:uid="{00000000-0005-0000-0000-00008F260000}"/>
    <cellStyle name="20% - Accent6 5 3 2 3 2" xfId="12551" xr:uid="{00000000-0005-0000-0000-000090260000}"/>
    <cellStyle name="20% - Accent6 5 3 2 3 2 2" xfId="26263" xr:uid="{00000000-0005-0000-0000-000091260000}"/>
    <cellStyle name="20% - Accent6 5 3 2 3 3" xfId="19831" xr:uid="{00000000-0005-0000-0000-000092260000}"/>
    <cellStyle name="20% - Accent6 5 3 2 4" xfId="2507" xr:uid="{00000000-0005-0000-0000-000093260000}"/>
    <cellStyle name="20% - Accent6 5 3 2 4 2" xfId="15023" xr:uid="{00000000-0005-0000-0000-000094260000}"/>
    <cellStyle name="20% - Accent6 5 3 2 4 2 2" xfId="28572" xr:uid="{00000000-0005-0000-0000-000095260000}"/>
    <cellStyle name="20% - Accent6 5 3 2 4 3" xfId="19832" xr:uid="{00000000-0005-0000-0000-000096260000}"/>
    <cellStyle name="20% - Accent6 5 3 2 5" xfId="2508" xr:uid="{00000000-0005-0000-0000-000097260000}"/>
    <cellStyle name="20% - Accent6 5 3 2 5 2" xfId="16729" xr:uid="{00000000-0005-0000-0000-000098260000}"/>
    <cellStyle name="20% - Accent6 5 3 2 5 2 2" xfId="30136" xr:uid="{00000000-0005-0000-0000-000099260000}"/>
    <cellStyle name="20% - Accent6 5 3 2 5 3" xfId="19833" xr:uid="{00000000-0005-0000-0000-00009A260000}"/>
    <cellStyle name="20% - Accent6 5 3 2 6" xfId="9169" xr:uid="{00000000-0005-0000-0000-00009B260000}"/>
    <cellStyle name="20% - Accent6 5 3 2 6 2" xfId="23644" xr:uid="{00000000-0005-0000-0000-00009C260000}"/>
    <cellStyle name="20% - Accent6 5 3 2 7" xfId="19829" xr:uid="{00000000-0005-0000-0000-00009D260000}"/>
    <cellStyle name="20% - Accent6 5 3 3" xfId="2509" xr:uid="{00000000-0005-0000-0000-00009E260000}"/>
    <cellStyle name="20% - Accent6 5 3 3 2" xfId="2510" xr:uid="{00000000-0005-0000-0000-00009F260000}"/>
    <cellStyle name="20% - Accent6 5 3 3 2 2" xfId="15024" xr:uid="{00000000-0005-0000-0000-0000A0260000}"/>
    <cellStyle name="20% - Accent6 5 3 3 2 2 2" xfId="28573" xr:uid="{00000000-0005-0000-0000-0000A1260000}"/>
    <cellStyle name="20% - Accent6 5 3 3 2 3" xfId="19835" xr:uid="{00000000-0005-0000-0000-0000A2260000}"/>
    <cellStyle name="20% - Accent6 5 3 3 3" xfId="10894" xr:uid="{00000000-0005-0000-0000-0000A3260000}"/>
    <cellStyle name="20% - Accent6 5 3 3 3 2" xfId="24836" xr:uid="{00000000-0005-0000-0000-0000A4260000}"/>
    <cellStyle name="20% - Accent6 5 3 3 4" xfId="19834" xr:uid="{00000000-0005-0000-0000-0000A5260000}"/>
    <cellStyle name="20% - Accent6 5 3 4" xfId="2511" xr:uid="{00000000-0005-0000-0000-0000A6260000}"/>
    <cellStyle name="20% - Accent6 5 3 4 2" xfId="12117" xr:uid="{00000000-0005-0000-0000-0000A7260000}"/>
    <cellStyle name="20% - Accent6 5 3 4 2 2" xfId="25829" xr:uid="{00000000-0005-0000-0000-0000A8260000}"/>
    <cellStyle name="20% - Accent6 5 3 4 3" xfId="19836" xr:uid="{00000000-0005-0000-0000-0000A9260000}"/>
    <cellStyle name="20% - Accent6 5 3 5" xfId="2512" xr:uid="{00000000-0005-0000-0000-0000AA260000}"/>
    <cellStyle name="20% - Accent6 5 3 5 2" xfId="12795" xr:uid="{00000000-0005-0000-0000-0000AB260000}"/>
    <cellStyle name="20% - Accent6 5 3 5 2 2" xfId="26507" xr:uid="{00000000-0005-0000-0000-0000AC260000}"/>
    <cellStyle name="20% - Accent6 5 3 5 3" xfId="19837" xr:uid="{00000000-0005-0000-0000-0000AD260000}"/>
    <cellStyle name="20% - Accent6 5 3 6" xfId="2513" xr:uid="{00000000-0005-0000-0000-0000AE260000}"/>
    <cellStyle name="20% - Accent6 5 3 6 2" xfId="13681" xr:uid="{00000000-0005-0000-0000-0000AF260000}"/>
    <cellStyle name="20% - Accent6 5 3 6 2 2" xfId="27230" xr:uid="{00000000-0005-0000-0000-0000B0260000}"/>
    <cellStyle name="20% - Accent6 5 3 6 3" xfId="19838" xr:uid="{00000000-0005-0000-0000-0000B1260000}"/>
    <cellStyle name="20% - Accent6 5 3 7" xfId="2514" xr:uid="{00000000-0005-0000-0000-0000B2260000}"/>
    <cellStyle name="20% - Accent6 5 3 7 2" xfId="14262" xr:uid="{00000000-0005-0000-0000-0000B3260000}"/>
    <cellStyle name="20% - Accent6 5 3 7 2 2" xfId="27811" xr:uid="{00000000-0005-0000-0000-0000B4260000}"/>
    <cellStyle name="20% - Accent6 5 3 7 3" xfId="19839" xr:uid="{00000000-0005-0000-0000-0000B5260000}"/>
    <cellStyle name="20% - Accent6 5 3 8" xfId="2515" xr:uid="{00000000-0005-0000-0000-0000B6260000}"/>
    <cellStyle name="20% - Accent6 5 3 8 2" xfId="15022" xr:uid="{00000000-0005-0000-0000-0000B7260000}"/>
    <cellStyle name="20% - Accent6 5 3 8 2 2" xfId="28571" xr:uid="{00000000-0005-0000-0000-0000B8260000}"/>
    <cellStyle name="20% - Accent6 5 3 8 3" xfId="19840" xr:uid="{00000000-0005-0000-0000-0000B9260000}"/>
    <cellStyle name="20% - Accent6 5 3 9" xfId="2516" xr:uid="{00000000-0005-0000-0000-0000BA260000}"/>
    <cellStyle name="20% - Accent6 5 3 9 2" xfId="16148" xr:uid="{00000000-0005-0000-0000-0000BB260000}"/>
    <cellStyle name="20% - Accent6 5 3 9 2 2" xfId="29555" xr:uid="{00000000-0005-0000-0000-0000BC260000}"/>
    <cellStyle name="20% - Accent6 5 3 9 3" xfId="19841" xr:uid="{00000000-0005-0000-0000-0000BD260000}"/>
    <cellStyle name="20% - Accent6 5 4" xfId="2517" xr:uid="{00000000-0005-0000-0000-0000BE260000}"/>
    <cellStyle name="20% - Accent6 5 4 2" xfId="2518" xr:uid="{00000000-0005-0000-0000-0000BF260000}"/>
    <cellStyle name="20% - Accent6 5 4 2 2" xfId="10896" xr:uid="{00000000-0005-0000-0000-0000C0260000}"/>
    <cellStyle name="20% - Accent6 5 4 2 2 2" xfId="24838" xr:uid="{00000000-0005-0000-0000-0000C1260000}"/>
    <cellStyle name="20% - Accent6 5 4 2 3" xfId="19843" xr:uid="{00000000-0005-0000-0000-0000C2260000}"/>
    <cellStyle name="20% - Accent6 5 4 3" xfId="2519" xr:uid="{00000000-0005-0000-0000-0000C3260000}"/>
    <cellStyle name="20% - Accent6 5 4 3 2" xfId="12105" xr:uid="{00000000-0005-0000-0000-0000C4260000}"/>
    <cellStyle name="20% - Accent6 5 4 3 2 2" xfId="25817" xr:uid="{00000000-0005-0000-0000-0000C5260000}"/>
    <cellStyle name="20% - Accent6 5 4 3 3" xfId="19844" xr:uid="{00000000-0005-0000-0000-0000C6260000}"/>
    <cellStyle name="20% - Accent6 5 4 4" xfId="2520" xr:uid="{00000000-0005-0000-0000-0000C7260000}"/>
    <cellStyle name="20% - Accent6 5 4 4 2" xfId="15025" xr:uid="{00000000-0005-0000-0000-0000C8260000}"/>
    <cellStyle name="20% - Accent6 5 4 4 2 2" xfId="28574" xr:uid="{00000000-0005-0000-0000-0000C9260000}"/>
    <cellStyle name="20% - Accent6 5 4 4 3" xfId="19845" xr:uid="{00000000-0005-0000-0000-0000CA260000}"/>
    <cellStyle name="20% - Accent6 5 4 5" xfId="2521" xr:uid="{00000000-0005-0000-0000-0000CB260000}"/>
    <cellStyle name="20% - Accent6 5 4 5 2" xfId="16437" xr:uid="{00000000-0005-0000-0000-0000CC260000}"/>
    <cellStyle name="20% - Accent6 5 4 5 2 2" xfId="29844" xr:uid="{00000000-0005-0000-0000-0000CD260000}"/>
    <cellStyle name="20% - Accent6 5 4 5 3" xfId="19846" xr:uid="{00000000-0005-0000-0000-0000CE260000}"/>
    <cellStyle name="20% - Accent6 5 4 6" xfId="9170" xr:uid="{00000000-0005-0000-0000-0000CF260000}"/>
    <cellStyle name="20% - Accent6 5 4 6 2" xfId="23645" xr:uid="{00000000-0005-0000-0000-0000D0260000}"/>
    <cellStyle name="20% - Accent6 5 4 7" xfId="19842" xr:uid="{00000000-0005-0000-0000-0000D1260000}"/>
    <cellStyle name="20% - Accent6 5 5" xfId="2522" xr:uid="{00000000-0005-0000-0000-0000D2260000}"/>
    <cellStyle name="20% - Accent6 5 5 2" xfId="2523" xr:uid="{00000000-0005-0000-0000-0000D3260000}"/>
    <cellStyle name="20% - Accent6 5 5 2 2" xfId="15026" xr:uid="{00000000-0005-0000-0000-0000D4260000}"/>
    <cellStyle name="20% - Accent6 5 5 2 2 2" xfId="28575" xr:uid="{00000000-0005-0000-0000-0000D5260000}"/>
    <cellStyle name="20% - Accent6 5 5 2 3" xfId="19848" xr:uid="{00000000-0005-0000-0000-0000D6260000}"/>
    <cellStyle name="20% - Accent6 5 5 3" xfId="10889" xr:uid="{00000000-0005-0000-0000-0000D7260000}"/>
    <cellStyle name="20% - Accent6 5 5 3 2" xfId="24831" xr:uid="{00000000-0005-0000-0000-0000D8260000}"/>
    <cellStyle name="20% - Accent6 5 5 4" xfId="19847" xr:uid="{00000000-0005-0000-0000-0000D9260000}"/>
    <cellStyle name="20% - Accent6 5 6" xfId="2524" xr:uid="{00000000-0005-0000-0000-0000DA260000}"/>
    <cellStyle name="20% - Accent6 5 6 2" xfId="11788" xr:uid="{00000000-0005-0000-0000-0000DB260000}"/>
    <cellStyle name="20% - Accent6 5 6 2 2" xfId="25503" xr:uid="{00000000-0005-0000-0000-0000DC260000}"/>
    <cellStyle name="20% - Accent6 5 6 3" xfId="19849" xr:uid="{00000000-0005-0000-0000-0000DD260000}"/>
    <cellStyle name="20% - Accent6 5 7" xfId="2525" xr:uid="{00000000-0005-0000-0000-0000DE260000}"/>
    <cellStyle name="20% - Accent6 5 7 2" xfId="12548" xr:uid="{00000000-0005-0000-0000-0000DF260000}"/>
    <cellStyle name="20% - Accent6 5 7 2 2" xfId="26260" xr:uid="{00000000-0005-0000-0000-0000E0260000}"/>
    <cellStyle name="20% - Accent6 5 7 3" xfId="19850" xr:uid="{00000000-0005-0000-0000-0000E1260000}"/>
    <cellStyle name="20% - Accent6 5 8" xfId="2526" xr:uid="{00000000-0005-0000-0000-0000E2260000}"/>
    <cellStyle name="20% - Accent6 5 8 2" xfId="13389" xr:uid="{00000000-0005-0000-0000-0000E3260000}"/>
    <cellStyle name="20% - Accent6 5 8 2 2" xfId="26938" xr:uid="{00000000-0005-0000-0000-0000E4260000}"/>
    <cellStyle name="20% - Accent6 5 8 3" xfId="19851" xr:uid="{00000000-0005-0000-0000-0000E5260000}"/>
    <cellStyle name="20% - Accent6 5 9" xfId="2527" xr:uid="{00000000-0005-0000-0000-0000E6260000}"/>
    <cellStyle name="20% - Accent6 5 9 2" xfId="13970" xr:uid="{00000000-0005-0000-0000-0000E7260000}"/>
    <cellStyle name="20% - Accent6 5 9 2 2" xfId="27519" xr:uid="{00000000-0005-0000-0000-0000E8260000}"/>
    <cellStyle name="20% - Accent6 5 9 3" xfId="19852" xr:uid="{00000000-0005-0000-0000-0000E9260000}"/>
    <cellStyle name="20% - Accent6 6" xfId="2528" xr:uid="{00000000-0005-0000-0000-0000EA260000}"/>
    <cellStyle name="20% - Accent6 6 10" xfId="2529" xr:uid="{00000000-0005-0000-0000-0000EB260000}"/>
    <cellStyle name="20% - Accent6 6 10 2" xfId="15027" xr:uid="{00000000-0005-0000-0000-0000EC260000}"/>
    <cellStyle name="20% - Accent6 6 10 2 2" xfId="28576" xr:uid="{00000000-0005-0000-0000-0000ED260000}"/>
    <cellStyle name="20% - Accent6 6 10 3" xfId="19854" xr:uid="{00000000-0005-0000-0000-0000EE260000}"/>
    <cellStyle name="20% - Accent6 6 11" xfId="2530" xr:uid="{00000000-0005-0000-0000-0000EF260000}"/>
    <cellStyle name="20% - Accent6 6 11 2" xfId="15962" xr:uid="{00000000-0005-0000-0000-0000F0260000}"/>
    <cellStyle name="20% - Accent6 6 11 2 2" xfId="29369" xr:uid="{00000000-0005-0000-0000-0000F1260000}"/>
    <cellStyle name="20% - Accent6 6 11 3" xfId="19855" xr:uid="{00000000-0005-0000-0000-0000F2260000}"/>
    <cellStyle name="20% - Accent6 6 12" xfId="9171" xr:uid="{00000000-0005-0000-0000-0000F3260000}"/>
    <cellStyle name="20% - Accent6 6 12 2" xfId="23646" xr:uid="{00000000-0005-0000-0000-0000F4260000}"/>
    <cellStyle name="20% - Accent6 6 13" xfId="19853" xr:uid="{00000000-0005-0000-0000-0000F5260000}"/>
    <cellStyle name="20% - Accent6 6 2" xfId="2531" xr:uid="{00000000-0005-0000-0000-0000F6260000}"/>
    <cellStyle name="20% - Accent6 6 2 10" xfId="2532" xr:uid="{00000000-0005-0000-0000-0000F7260000}"/>
    <cellStyle name="20% - Accent6 6 2 10 2" xfId="16105" xr:uid="{00000000-0005-0000-0000-0000F8260000}"/>
    <cellStyle name="20% - Accent6 6 2 10 2 2" xfId="29512" xr:uid="{00000000-0005-0000-0000-0000F9260000}"/>
    <cellStyle name="20% - Accent6 6 2 10 3" xfId="19857" xr:uid="{00000000-0005-0000-0000-0000FA260000}"/>
    <cellStyle name="20% - Accent6 6 2 11" xfId="9172" xr:uid="{00000000-0005-0000-0000-0000FB260000}"/>
    <cellStyle name="20% - Accent6 6 2 11 2" xfId="23647" xr:uid="{00000000-0005-0000-0000-0000FC260000}"/>
    <cellStyle name="20% - Accent6 6 2 12" xfId="19856" xr:uid="{00000000-0005-0000-0000-0000FD260000}"/>
    <cellStyle name="20% - Accent6 6 2 2" xfId="2533" xr:uid="{00000000-0005-0000-0000-0000FE260000}"/>
    <cellStyle name="20% - Accent6 6 2 2 10" xfId="9173" xr:uid="{00000000-0005-0000-0000-0000FF260000}"/>
    <cellStyle name="20% - Accent6 6 2 2 10 2" xfId="23648" xr:uid="{00000000-0005-0000-0000-000000270000}"/>
    <cellStyle name="20% - Accent6 6 2 2 11" xfId="19858" xr:uid="{00000000-0005-0000-0000-000001270000}"/>
    <cellStyle name="20% - Accent6 6 2 2 2" xfId="2534" xr:uid="{00000000-0005-0000-0000-000002270000}"/>
    <cellStyle name="20% - Accent6 6 2 2 2 2" xfId="2535" xr:uid="{00000000-0005-0000-0000-000003270000}"/>
    <cellStyle name="20% - Accent6 6 2 2 2 2 2" xfId="10900" xr:uid="{00000000-0005-0000-0000-000004270000}"/>
    <cellStyle name="20% - Accent6 6 2 2 2 2 2 2" xfId="24842" xr:uid="{00000000-0005-0000-0000-000005270000}"/>
    <cellStyle name="20% - Accent6 6 2 2 2 2 3" xfId="19860" xr:uid="{00000000-0005-0000-0000-000006270000}"/>
    <cellStyle name="20% - Accent6 6 2 2 2 3" xfId="2536" xr:uid="{00000000-0005-0000-0000-000007270000}"/>
    <cellStyle name="20% - Accent6 6 2 2 2 3 2" xfId="12782" xr:uid="{00000000-0005-0000-0000-000008270000}"/>
    <cellStyle name="20% - Accent6 6 2 2 2 3 2 2" xfId="26494" xr:uid="{00000000-0005-0000-0000-000009270000}"/>
    <cellStyle name="20% - Accent6 6 2 2 2 3 3" xfId="19861" xr:uid="{00000000-0005-0000-0000-00000A270000}"/>
    <cellStyle name="20% - Accent6 6 2 2 2 4" xfId="2537" xr:uid="{00000000-0005-0000-0000-00000B270000}"/>
    <cellStyle name="20% - Accent6 6 2 2 2 4 2" xfId="15030" xr:uid="{00000000-0005-0000-0000-00000C270000}"/>
    <cellStyle name="20% - Accent6 6 2 2 2 4 2 2" xfId="28579" xr:uid="{00000000-0005-0000-0000-00000D270000}"/>
    <cellStyle name="20% - Accent6 6 2 2 2 4 3" xfId="19862" xr:uid="{00000000-0005-0000-0000-00000E270000}"/>
    <cellStyle name="20% - Accent6 6 2 2 2 5" xfId="2538" xr:uid="{00000000-0005-0000-0000-00000F270000}"/>
    <cellStyle name="20% - Accent6 6 2 2 2 5 2" xfId="16975" xr:uid="{00000000-0005-0000-0000-000010270000}"/>
    <cellStyle name="20% - Accent6 6 2 2 2 5 2 2" xfId="30382" xr:uid="{00000000-0005-0000-0000-000011270000}"/>
    <cellStyle name="20% - Accent6 6 2 2 2 5 3" xfId="19863" xr:uid="{00000000-0005-0000-0000-000012270000}"/>
    <cellStyle name="20% - Accent6 6 2 2 2 6" xfId="9174" xr:uid="{00000000-0005-0000-0000-000013270000}"/>
    <cellStyle name="20% - Accent6 6 2 2 2 6 2" xfId="23649" xr:uid="{00000000-0005-0000-0000-000014270000}"/>
    <cellStyle name="20% - Accent6 6 2 2 2 7" xfId="19859" xr:uid="{00000000-0005-0000-0000-000015270000}"/>
    <cellStyle name="20% - Accent6 6 2 2 3" xfId="2539" xr:uid="{00000000-0005-0000-0000-000016270000}"/>
    <cellStyle name="20% - Accent6 6 2 2 3 2" xfId="2540" xr:uid="{00000000-0005-0000-0000-000017270000}"/>
    <cellStyle name="20% - Accent6 6 2 2 3 2 2" xfId="15031" xr:uid="{00000000-0005-0000-0000-000018270000}"/>
    <cellStyle name="20% - Accent6 6 2 2 3 2 2 2" xfId="28580" xr:uid="{00000000-0005-0000-0000-000019270000}"/>
    <cellStyle name="20% - Accent6 6 2 2 3 2 3" xfId="19865" xr:uid="{00000000-0005-0000-0000-00001A270000}"/>
    <cellStyle name="20% - Accent6 6 2 2 3 3" xfId="10899" xr:uid="{00000000-0005-0000-0000-00001B270000}"/>
    <cellStyle name="20% - Accent6 6 2 2 3 3 2" xfId="24841" xr:uid="{00000000-0005-0000-0000-00001C270000}"/>
    <cellStyle name="20% - Accent6 6 2 2 3 4" xfId="19864" xr:uid="{00000000-0005-0000-0000-00001D270000}"/>
    <cellStyle name="20% - Accent6 6 2 2 4" xfId="2541" xr:uid="{00000000-0005-0000-0000-00001E270000}"/>
    <cellStyle name="20% - Accent6 6 2 2 4 2" xfId="12363" xr:uid="{00000000-0005-0000-0000-00001F270000}"/>
    <cellStyle name="20% - Accent6 6 2 2 4 2 2" xfId="26075" xr:uid="{00000000-0005-0000-0000-000020270000}"/>
    <cellStyle name="20% - Accent6 6 2 2 4 3" xfId="19866" xr:uid="{00000000-0005-0000-0000-000021270000}"/>
    <cellStyle name="20% - Accent6 6 2 2 5" xfId="2542" xr:uid="{00000000-0005-0000-0000-000022270000}"/>
    <cellStyle name="20% - Accent6 6 2 2 5 2" xfId="12690" xr:uid="{00000000-0005-0000-0000-000023270000}"/>
    <cellStyle name="20% - Accent6 6 2 2 5 2 2" xfId="26402" xr:uid="{00000000-0005-0000-0000-000024270000}"/>
    <cellStyle name="20% - Accent6 6 2 2 5 3" xfId="19867" xr:uid="{00000000-0005-0000-0000-000025270000}"/>
    <cellStyle name="20% - Accent6 6 2 2 6" xfId="2543" xr:uid="{00000000-0005-0000-0000-000026270000}"/>
    <cellStyle name="20% - Accent6 6 2 2 6 2" xfId="13927" xr:uid="{00000000-0005-0000-0000-000027270000}"/>
    <cellStyle name="20% - Accent6 6 2 2 6 2 2" xfId="27476" xr:uid="{00000000-0005-0000-0000-000028270000}"/>
    <cellStyle name="20% - Accent6 6 2 2 6 3" xfId="19868" xr:uid="{00000000-0005-0000-0000-000029270000}"/>
    <cellStyle name="20% - Accent6 6 2 2 7" xfId="2544" xr:uid="{00000000-0005-0000-0000-00002A270000}"/>
    <cellStyle name="20% - Accent6 6 2 2 7 2" xfId="14508" xr:uid="{00000000-0005-0000-0000-00002B270000}"/>
    <cellStyle name="20% - Accent6 6 2 2 7 2 2" xfId="28057" xr:uid="{00000000-0005-0000-0000-00002C270000}"/>
    <cellStyle name="20% - Accent6 6 2 2 7 3" xfId="19869" xr:uid="{00000000-0005-0000-0000-00002D270000}"/>
    <cellStyle name="20% - Accent6 6 2 2 8" xfId="2545" xr:uid="{00000000-0005-0000-0000-00002E270000}"/>
    <cellStyle name="20% - Accent6 6 2 2 8 2" xfId="15029" xr:uid="{00000000-0005-0000-0000-00002F270000}"/>
    <cellStyle name="20% - Accent6 6 2 2 8 2 2" xfId="28578" xr:uid="{00000000-0005-0000-0000-000030270000}"/>
    <cellStyle name="20% - Accent6 6 2 2 8 3" xfId="19870" xr:uid="{00000000-0005-0000-0000-000031270000}"/>
    <cellStyle name="20% - Accent6 6 2 2 9" xfId="2546" xr:uid="{00000000-0005-0000-0000-000032270000}"/>
    <cellStyle name="20% - Accent6 6 2 2 9 2" xfId="16394" xr:uid="{00000000-0005-0000-0000-000033270000}"/>
    <cellStyle name="20% - Accent6 6 2 2 9 2 2" xfId="29801" xr:uid="{00000000-0005-0000-0000-000034270000}"/>
    <cellStyle name="20% - Accent6 6 2 2 9 3" xfId="19871" xr:uid="{00000000-0005-0000-0000-000035270000}"/>
    <cellStyle name="20% - Accent6 6 2 3" xfId="2547" xr:uid="{00000000-0005-0000-0000-000036270000}"/>
    <cellStyle name="20% - Accent6 6 2 3 2" xfId="2548" xr:uid="{00000000-0005-0000-0000-000037270000}"/>
    <cellStyle name="20% - Accent6 6 2 3 2 2" xfId="10901" xr:uid="{00000000-0005-0000-0000-000038270000}"/>
    <cellStyle name="20% - Accent6 6 2 3 2 2 2" xfId="24843" xr:uid="{00000000-0005-0000-0000-000039270000}"/>
    <cellStyle name="20% - Accent6 6 2 3 2 3" xfId="19873" xr:uid="{00000000-0005-0000-0000-00003A270000}"/>
    <cellStyle name="20% - Accent6 6 2 3 3" xfId="2549" xr:uid="{00000000-0005-0000-0000-00003B270000}"/>
    <cellStyle name="20% - Accent6 6 2 3 3 2" xfId="12697" xr:uid="{00000000-0005-0000-0000-00003C270000}"/>
    <cellStyle name="20% - Accent6 6 2 3 3 2 2" xfId="26409" xr:uid="{00000000-0005-0000-0000-00003D270000}"/>
    <cellStyle name="20% - Accent6 6 2 3 3 3" xfId="19874" xr:uid="{00000000-0005-0000-0000-00003E270000}"/>
    <cellStyle name="20% - Accent6 6 2 3 4" xfId="2550" xr:uid="{00000000-0005-0000-0000-00003F270000}"/>
    <cellStyle name="20% - Accent6 6 2 3 4 2" xfId="15032" xr:uid="{00000000-0005-0000-0000-000040270000}"/>
    <cellStyle name="20% - Accent6 6 2 3 4 2 2" xfId="28581" xr:uid="{00000000-0005-0000-0000-000041270000}"/>
    <cellStyle name="20% - Accent6 6 2 3 4 3" xfId="19875" xr:uid="{00000000-0005-0000-0000-000042270000}"/>
    <cellStyle name="20% - Accent6 6 2 3 5" xfId="2551" xr:uid="{00000000-0005-0000-0000-000043270000}"/>
    <cellStyle name="20% - Accent6 6 2 3 5 2" xfId="16686" xr:uid="{00000000-0005-0000-0000-000044270000}"/>
    <cellStyle name="20% - Accent6 6 2 3 5 2 2" xfId="30093" xr:uid="{00000000-0005-0000-0000-000045270000}"/>
    <cellStyle name="20% - Accent6 6 2 3 5 3" xfId="19876" xr:uid="{00000000-0005-0000-0000-000046270000}"/>
    <cellStyle name="20% - Accent6 6 2 3 6" xfId="9175" xr:uid="{00000000-0005-0000-0000-000047270000}"/>
    <cellStyle name="20% - Accent6 6 2 3 6 2" xfId="23650" xr:uid="{00000000-0005-0000-0000-000048270000}"/>
    <cellStyle name="20% - Accent6 6 2 3 7" xfId="19872" xr:uid="{00000000-0005-0000-0000-000049270000}"/>
    <cellStyle name="20% - Accent6 6 2 4" xfId="2552" xr:uid="{00000000-0005-0000-0000-00004A270000}"/>
    <cellStyle name="20% - Accent6 6 2 4 2" xfId="2553" xr:uid="{00000000-0005-0000-0000-00004B270000}"/>
    <cellStyle name="20% - Accent6 6 2 4 2 2" xfId="15033" xr:uid="{00000000-0005-0000-0000-00004C270000}"/>
    <cellStyle name="20% - Accent6 6 2 4 2 2 2" xfId="28582" xr:uid="{00000000-0005-0000-0000-00004D270000}"/>
    <cellStyle name="20% - Accent6 6 2 4 2 3" xfId="19878" xr:uid="{00000000-0005-0000-0000-00004E270000}"/>
    <cellStyle name="20% - Accent6 6 2 4 3" xfId="10898" xr:uid="{00000000-0005-0000-0000-00004F270000}"/>
    <cellStyle name="20% - Accent6 6 2 4 3 2" xfId="24840" xr:uid="{00000000-0005-0000-0000-000050270000}"/>
    <cellStyle name="20% - Accent6 6 2 4 4" xfId="19877" xr:uid="{00000000-0005-0000-0000-000051270000}"/>
    <cellStyle name="20% - Accent6 6 2 5" xfId="2554" xr:uid="{00000000-0005-0000-0000-000052270000}"/>
    <cellStyle name="20% - Accent6 6 2 5 2" xfId="12063" xr:uid="{00000000-0005-0000-0000-000053270000}"/>
    <cellStyle name="20% - Accent6 6 2 5 2 2" xfId="25778" xr:uid="{00000000-0005-0000-0000-000054270000}"/>
    <cellStyle name="20% - Accent6 6 2 5 3" xfId="19879" xr:uid="{00000000-0005-0000-0000-000055270000}"/>
    <cellStyle name="20% - Accent6 6 2 6" xfId="2555" xr:uid="{00000000-0005-0000-0000-000056270000}"/>
    <cellStyle name="20% - Accent6 6 2 6 2" xfId="12650" xr:uid="{00000000-0005-0000-0000-000057270000}"/>
    <cellStyle name="20% - Accent6 6 2 6 2 2" xfId="26362" xr:uid="{00000000-0005-0000-0000-000058270000}"/>
    <cellStyle name="20% - Accent6 6 2 6 3" xfId="19880" xr:uid="{00000000-0005-0000-0000-000059270000}"/>
    <cellStyle name="20% - Accent6 6 2 7" xfId="2556" xr:uid="{00000000-0005-0000-0000-00005A270000}"/>
    <cellStyle name="20% - Accent6 6 2 7 2" xfId="13638" xr:uid="{00000000-0005-0000-0000-00005B270000}"/>
    <cellStyle name="20% - Accent6 6 2 7 2 2" xfId="27187" xr:uid="{00000000-0005-0000-0000-00005C270000}"/>
    <cellStyle name="20% - Accent6 6 2 7 3" xfId="19881" xr:uid="{00000000-0005-0000-0000-00005D270000}"/>
    <cellStyle name="20% - Accent6 6 2 8" xfId="2557" xr:uid="{00000000-0005-0000-0000-00005E270000}"/>
    <cellStyle name="20% - Accent6 6 2 8 2" xfId="14219" xr:uid="{00000000-0005-0000-0000-00005F270000}"/>
    <cellStyle name="20% - Accent6 6 2 8 2 2" xfId="27768" xr:uid="{00000000-0005-0000-0000-000060270000}"/>
    <cellStyle name="20% - Accent6 6 2 8 3" xfId="19882" xr:uid="{00000000-0005-0000-0000-000061270000}"/>
    <cellStyle name="20% - Accent6 6 2 9" xfId="2558" xr:uid="{00000000-0005-0000-0000-000062270000}"/>
    <cellStyle name="20% - Accent6 6 2 9 2" xfId="15028" xr:uid="{00000000-0005-0000-0000-000063270000}"/>
    <cellStyle name="20% - Accent6 6 2 9 2 2" xfId="28577" xr:uid="{00000000-0005-0000-0000-000064270000}"/>
    <cellStyle name="20% - Accent6 6 2 9 3" xfId="19883" xr:uid="{00000000-0005-0000-0000-000065270000}"/>
    <cellStyle name="20% - Accent6 6 3" xfId="2559" xr:uid="{00000000-0005-0000-0000-000066270000}"/>
    <cellStyle name="20% - Accent6 6 3 10" xfId="9176" xr:uid="{00000000-0005-0000-0000-000067270000}"/>
    <cellStyle name="20% - Accent6 6 3 10 2" xfId="23651" xr:uid="{00000000-0005-0000-0000-000068270000}"/>
    <cellStyle name="20% - Accent6 6 3 11" xfId="19884" xr:uid="{00000000-0005-0000-0000-000069270000}"/>
    <cellStyle name="20% - Accent6 6 3 2" xfId="2560" xr:uid="{00000000-0005-0000-0000-00006A270000}"/>
    <cellStyle name="20% - Accent6 6 3 2 2" xfId="2561" xr:uid="{00000000-0005-0000-0000-00006B270000}"/>
    <cellStyle name="20% - Accent6 6 3 2 2 2" xfId="10903" xr:uid="{00000000-0005-0000-0000-00006C270000}"/>
    <cellStyle name="20% - Accent6 6 3 2 2 2 2" xfId="24845" xr:uid="{00000000-0005-0000-0000-00006D270000}"/>
    <cellStyle name="20% - Accent6 6 3 2 2 3" xfId="19886" xr:uid="{00000000-0005-0000-0000-00006E270000}"/>
    <cellStyle name="20% - Accent6 6 3 2 3" xfId="2562" xr:uid="{00000000-0005-0000-0000-00006F270000}"/>
    <cellStyle name="20% - Accent6 6 3 2 3 2" xfId="12656" xr:uid="{00000000-0005-0000-0000-000070270000}"/>
    <cellStyle name="20% - Accent6 6 3 2 3 2 2" xfId="26368" xr:uid="{00000000-0005-0000-0000-000071270000}"/>
    <cellStyle name="20% - Accent6 6 3 2 3 3" xfId="19887" xr:uid="{00000000-0005-0000-0000-000072270000}"/>
    <cellStyle name="20% - Accent6 6 3 2 4" xfId="2563" xr:uid="{00000000-0005-0000-0000-000073270000}"/>
    <cellStyle name="20% - Accent6 6 3 2 4 2" xfId="15035" xr:uid="{00000000-0005-0000-0000-000074270000}"/>
    <cellStyle name="20% - Accent6 6 3 2 4 2 2" xfId="28584" xr:uid="{00000000-0005-0000-0000-000075270000}"/>
    <cellStyle name="20% - Accent6 6 3 2 4 3" xfId="19888" xr:uid="{00000000-0005-0000-0000-000076270000}"/>
    <cellStyle name="20% - Accent6 6 3 2 5" xfId="2564" xr:uid="{00000000-0005-0000-0000-000077270000}"/>
    <cellStyle name="20% - Accent6 6 3 2 5 2" xfId="16832" xr:uid="{00000000-0005-0000-0000-000078270000}"/>
    <cellStyle name="20% - Accent6 6 3 2 5 2 2" xfId="30239" xr:uid="{00000000-0005-0000-0000-000079270000}"/>
    <cellStyle name="20% - Accent6 6 3 2 5 3" xfId="19889" xr:uid="{00000000-0005-0000-0000-00007A270000}"/>
    <cellStyle name="20% - Accent6 6 3 2 6" xfId="9177" xr:uid="{00000000-0005-0000-0000-00007B270000}"/>
    <cellStyle name="20% - Accent6 6 3 2 6 2" xfId="23652" xr:uid="{00000000-0005-0000-0000-00007C270000}"/>
    <cellStyle name="20% - Accent6 6 3 2 7" xfId="19885" xr:uid="{00000000-0005-0000-0000-00007D270000}"/>
    <cellStyle name="20% - Accent6 6 3 3" xfId="2565" xr:uid="{00000000-0005-0000-0000-00007E270000}"/>
    <cellStyle name="20% - Accent6 6 3 3 2" xfId="2566" xr:uid="{00000000-0005-0000-0000-00007F270000}"/>
    <cellStyle name="20% - Accent6 6 3 3 2 2" xfId="15036" xr:uid="{00000000-0005-0000-0000-000080270000}"/>
    <cellStyle name="20% - Accent6 6 3 3 2 2 2" xfId="28585" xr:uid="{00000000-0005-0000-0000-000081270000}"/>
    <cellStyle name="20% - Accent6 6 3 3 2 3" xfId="19891" xr:uid="{00000000-0005-0000-0000-000082270000}"/>
    <cellStyle name="20% - Accent6 6 3 3 3" xfId="10902" xr:uid="{00000000-0005-0000-0000-000083270000}"/>
    <cellStyle name="20% - Accent6 6 3 3 3 2" xfId="24844" xr:uid="{00000000-0005-0000-0000-000084270000}"/>
    <cellStyle name="20% - Accent6 6 3 3 4" xfId="19890" xr:uid="{00000000-0005-0000-0000-000085270000}"/>
    <cellStyle name="20% - Accent6 6 3 4" xfId="2567" xr:uid="{00000000-0005-0000-0000-000086270000}"/>
    <cellStyle name="20% - Accent6 6 3 4 2" xfId="12220" xr:uid="{00000000-0005-0000-0000-000087270000}"/>
    <cellStyle name="20% - Accent6 6 3 4 2 2" xfId="25932" xr:uid="{00000000-0005-0000-0000-000088270000}"/>
    <cellStyle name="20% - Accent6 6 3 4 3" xfId="19892" xr:uid="{00000000-0005-0000-0000-000089270000}"/>
    <cellStyle name="20% - Accent6 6 3 5" xfId="2568" xr:uid="{00000000-0005-0000-0000-00008A270000}"/>
    <cellStyle name="20% - Accent6 6 3 5 2" xfId="12620" xr:uid="{00000000-0005-0000-0000-00008B270000}"/>
    <cellStyle name="20% - Accent6 6 3 5 2 2" xfId="26332" xr:uid="{00000000-0005-0000-0000-00008C270000}"/>
    <cellStyle name="20% - Accent6 6 3 5 3" xfId="19893" xr:uid="{00000000-0005-0000-0000-00008D270000}"/>
    <cellStyle name="20% - Accent6 6 3 6" xfId="2569" xr:uid="{00000000-0005-0000-0000-00008E270000}"/>
    <cellStyle name="20% - Accent6 6 3 6 2" xfId="13784" xr:uid="{00000000-0005-0000-0000-00008F270000}"/>
    <cellStyle name="20% - Accent6 6 3 6 2 2" xfId="27333" xr:uid="{00000000-0005-0000-0000-000090270000}"/>
    <cellStyle name="20% - Accent6 6 3 6 3" xfId="19894" xr:uid="{00000000-0005-0000-0000-000091270000}"/>
    <cellStyle name="20% - Accent6 6 3 7" xfId="2570" xr:uid="{00000000-0005-0000-0000-000092270000}"/>
    <cellStyle name="20% - Accent6 6 3 7 2" xfId="14365" xr:uid="{00000000-0005-0000-0000-000093270000}"/>
    <cellStyle name="20% - Accent6 6 3 7 2 2" xfId="27914" xr:uid="{00000000-0005-0000-0000-000094270000}"/>
    <cellStyle name="20% - Accent6 6 3 7 3" xfId="19895" xr:uid="{00000000-0005-0000-0000-000095270000}"/>
    <cellStyle name="20% - Accent6 6 3 8" xfId="2571" xr:uid="{00000000-0005-0000-0000-000096270000}"/>
    <cellStyle name="20% - Accent6 6 3 8 2" xfId="15034" xr:uid="{00000000-0005-0000-0000-000097270000}"/>
    <cellStyle name="20% - Accent6 6 3 8 2 2" xfId="28583" xr:uid="{00000000-0005-0000-0000-000098270000}"/>
    <cellStyle name="20% - Accent6 6 3 8 3" xfId="19896" xr:uid="{00000000-0005-0000-0000-000099270000}"/>
    <cellStyle name="20% - Accent6 6 3 9" xfId="2572" xr:uid="{00000000-0005-0000-0000-00009A270000}"/>
    <cellStyle name="20% - Accent6 6 3 9 2" xfId="16251" xr:uid="{00000000-0005-0000-0000-00009B270000}"/>
    <cellStyle name="20% - Accent6 6 3 9 2 2" xfId="29658" xr:uid="{00000000-0005-0000-0000-00009C270000}"/>
    <cellStyle name="20% - Accent6 6 3 9 3" xfId="19897" xr:uid="{00000000-0005-0000-0000-00009D270000}"/>
    <cellStyle name="20% - Accent6 6 4" xfId="2573" xr:uid="{00000000-0005-0000-0000-00009E270000}"/>
    <cellStyle name="20% - Accent6 6 4 2" xfId="2574" xr:uid="{00000000-0005-0000-0000-00009F270000}"/>
    <cellStyle name="20% - Accent6 6 4 2 2" xfId="10904" xr:uid="{00000000-0005-0000-0000-0000A0270000}"/>
    <cellStyle name="20% - Accent6 6 4 2 2 2" xfId="24846" xr:uid="{00000000-0005-0000-0000-0000A1270000}"/>
    <cellStyle name="20% - Accent6 6 4 2 3" xfId="19899" xr:uid="{00000000-0005-0000-0000-0000A2270000}"/>
    <cellStyle name="20% - Accent6 6 4 3" xfId="2575" xr:uid="{00000000-0005-0000-0000-0000A3270000}"/>
    <cellStyle name="20% - Accent6 6 4 3 2" xfId="12696" xr:uid="{00000000-0005-0000-0000-0000A4270000}"/>
    <cellStyle name="20% - Accent6 6 4 3 2 2" xfId="26408" xr:uid="{00000000-0005-0000-0000-0000A5270000}"/>
    <cellStyle name="20% - Accent6 6 4 3 3" xfId="19900" xr:uid="{00000000-0005-0000-0000-0000A6270000}"/>
    <cellStyle name="20% - Accent6 6 4 4" xfId="2576" xr:uid="{00000000-0005-0000-0000-0000A7270000}"/>
    <cellStyle name="20% - Accent6 6 4 4 2" xfId="15037" xr:uid="{00000000-0005-0000-0000-0000A8270000}"/>
    <cellStyle name="20% - Accent6 6 4 4 2 2" xfId="28586" xr:uid="{00000000-0005-0000-0000-0000A9270000}"/>
    <cellStyle name="20% - Accent6 6 4 4 3" xfId="19901" xr:uid="{00000000-0005-0000-0000-0000AA270000}"/>
    <cellStyle name="20% - Accent6 6 4 5" xfId="2577" xr:uid="{00000000-0005-0000-0000-0000AB270000}"/>
    <cellStyle name="20% - Accent6 6 4 5 2" xfId="16543" xr:uid="{00000000-0005-0000-0000-0000AC270000}"/>
    <cellStyle name="20% - Accent6 6 4 5 2 2" xfId="29950" xr:uid="{00000000-0005-0000-0000-0000AD270000}"/>
    <cellStyle name="20% - Accent6 6 4 5 3" xfId="19902" xr:uid="{00000000-0005-0000-0000-0000AE270000}"/>
    <cellStyle name="20% - Accent6 6 4 6" xfId="9178" xr:uid="{00000000-0005-0000-0000-0000AF270000}"/>
    <cellStyle name="20% - Accent6 6 4 6 2" xfId="23653" xr:uid="{00000000-0005-0000-0000-0000B0270000}"/>
    <cellStyle name="20% - Accent6 6 4 7" xfId="19898" xr:uid="{00000000-0005-0000-0000-0000B1270000}"/>
    <cellStyle name="20% - Accent6 6 5" xfId="2578" xr:uid="{00000000-0005-0000-0000-0000B2270000}"/>
    <cellStyle name="20% - Accent6 6 5 2" xfId="2579" xr:uid="{00000000-0005-0000-0000-0000B3270000}"/>
    <cellStyle name="20% - Accent6 6 5 2 2" xfId="15038" xr:uid="{00000000-0005-0000-0000-0000B4270000}"/>
    <cellStyle name="20% - Accent6 6 5 2 2 2" xfId="28587" xr:uid="{00000000-0005-0000-0000-0000B5270000}"/>
    <cellStyle name="20% - Accent6 6 5 2 3" xfId="19904" xr:uid="{00000000-0005-0000-0000-0000B6270000}"/>
    <cellStyle name="20% - Accent6 6 5 3" xfId="10897" xr:uid="{00000000-0005-0000-0000-0000B7270000}"/>
    <cellStyle name="20% - Accent6 6 5 3 2" xfId="24839" xr:uid="{00000000-0005-0000-0000-0000B8270000}"/>
    <cellStyle name="20% - Accent6 6 5 4" xfId="19903" xr:uid="{00000000-0005-0000-0000-0000B9270000}"/>
    <cellStyle name="20% - Accent6 6 6" xfId="2580" xr:uid="{00000000-0005-0000-0000-0000BA270000}"/>
    <cellStyle name="20% - Accent6 6 6 2" xfId="11918" xr:uid="{00000000-0005-0000-0000-0000BB270000}"/>
    <cellStyle name="20% - Accent6 6 6 2 2" xfId="25633" xr:uid="{00000000-0005-0000-0000-0000BC270000}"/>
    <cellStyle name="20% - Accent6 6 6 3" xfId="19905" xr:uid="{00000000-0005-0000-0000-0000BD270000}"/>
    <cellStyle name="20% - Accent6 6 7" xfId="2581" xr:uid="{00000000-0005-0000-0000-0000BE270000}"/>
    <cellStyle name="20% - Accent6 6 7 2" xfId="12557" xr:uid="{00000000-0005-0000-0000-0000BF270000}"/>
    <cellStyle name="20% - Accent6 6 7 2 2" xfId="26269" xr:uid="{00000000-0005-0000-0000-0000C0270000}"/>
    <cellStyle name="20% - Accent6 6 7 3" xfId="19906" xr:uid="{00000000-0005-0000-0000-0000C1270000}"/>
    <cellStyle name="20% - Accent6 6 8" xfId="2582" xr:uid="{00000000-0005-0000-0000-0000C2270000}"/>
    <cellStyle name="20% - Accent6 6 8 2" xfId="13495" xr:uid="{00000000-0005-0000-0000-0000C3270000}"/>
    <cellStyle name="20% - Accent6 6 8 2 2" xfId="27044" xr:uid="{00000000-0005-0000-0000-0000C4270000}"/>
    <cellStyle name="20% - Accent6 6 8 3" xfId="19907" xr:uid="{00000000-0005-0000-0000-0000C5270000}"/>
    <cellStyle name="20% - Accent6 6 9" xfId="2583" xr:uid="{00000000-0005-0000-0000-0000C6270000}"/>
    <cellStyle name="20% - Accent6 6 9 2" xfId="14076" xr:uid="{00000000-0005-0000-0000-0000C7270000}"/>
    <cellStyle name="20% - Accent6 6 9 2 2" xfId="27625" xr:uid="{00000000-0005-0000-0000-0000C8270000}"/>
    <cellStyle name="20% - Accent6 6 9 3" xfId="19908" xr:uid="{00000000-0005-0000-0000-0000C9270000}"/>
    <cellStyle name="20% - Accent6 7" xfId="2584" xr:uid="{00000000-0005-0000-0000-0000CA270000}"/>
    <cellStyle name="20% - Accent6 7 10" xfId="2585" xr:uid="{00000000-0005-0000-0000-0000CB270000}"/>
    <cellStyle name="20% - Accent6 7 10 2" xfId="15987" xr:uid="{00000000-0005-0000-0000-0000CC270000}"/>
    <cellStyle name="20% - Accent6 7 10 2 2" xfId="29394" xr:uid="{00000000-0005-0000-0000-0000CD270000}"/>
    <cellStyle name="20% - Accent6 7 10 3" xfId="19910" xr:uid="{00000000-0005-0000-0000-0000CE270000}"/>
    <cellStyle name="20% - Accent6 7 11" xfId="9179" xr:uid="{00000000-0005-0000-0000-0000CF270000}"/>
    <cellStyle name="20% - Accent6 7 11 2" xfId="23654" xr:uid="{00000000-0005-0000-0000-0000D0270000}"/>
    <cellStyle name="20% - Accent6 7 12" xfId="19909" xr:uid="{00000000-0005-0000-0000-0000D1270000}"/>
    <cellStyle name="20% - Accent6 7 2" xfId="2586" xr:uid="{00000000-0005-0000-0000-0000D2270000}"/>
    <cellStyle name="20% - Accent6 7 2 10" xfId="9180" xr:uid="{00000000-0005-0000-0000-0000D3270000}"/>
    <cellStyle name="20% - Accent6 7 2 10 2" xfId="23655" xr:uid="{00000000-0005-0000-0000-0000D4270000}"/>
    <cellStyle name="20% - Accent6 7 2 11" xfId="19911" xr:uid="{00000000-0005-0000-0000-0000D5270000}"/>
    <cellStyle name="20% - Accent6 7 2 2" xfId="2587" xr:uid="{00000000-0005-0000-0000-0000D6270000}"/>
    <cellStyle name="20% - Accent6 7 2 2 2" xfId="2588" xr:uid="{00000000-0005-0000-0000-0000D7270000}"/>
    <cellStyle name="20% - Accent6 7 2 2 2 2" xfId="10907" xr:uid="{00000000-0005-0000-0000-0000D8270000}"/>
    <cellStyle name="20% - Accent6 7 2 2 2 2 2" xfId="24849" xr:uid="{00000000-0005-0000-0000-0000D9270000}"/>
    <cellStyle name="20% - Accent6 7 2 2 2 3" xfId="19913" xr:uid="{00000000-0005-0000-0000-0000DA270000}"/>
    <cellStyle name="20% - Accent6 7 2 2 3" xfId="2589" xr:uid="{00000000-0005-0000-0000-0000DB270000}"/>
    <cellStyle name="20% - Accent6 7 2 2 3 2" xfId="11843" xr:uid="{00000000-0005-0000-0000-0000DC270000}"/>
    <cellStyle name="20% - Accent6 7 2 2 3 2 2" xfId="25558" xr:uid="{00000000-0005-0000-0000-0000DD270000}"/>
    <cellStyle name="20% - Accent6 7 2 2 3 3" xfId="19914" xr:uid="{00000000-0005-0000-0000-0000DE270000}"/>
    <cellStyle name="20% - Accent6 7 2 2 4" xfId="2590" xr:uid="{00000000-0005-0000-0000-0000DF270000}"/>
    <cellStyle name="20% - Accent6 7 2 2 4 2" xfId="15041" xr:uid="{00000000-0005-0000-0000-0000E0270000}"/>
    <cellStyle name="20% - Accent6 7 2 2 4 2 2" xfId="28590" xr:uid="{00000000-0005-0000-0000-0000E1270000}"/>
    <cellStyle name="20% - Accent6 7 2 2 4 3" xfId="19915" xr:uid="{00000000-0005-0000-0000-0000E2270000}"/>
    <cellStyle name="20% - Accent6 7 2 2 5" xfId="2591" xr:uid="{00000000-0005-0000-0000-0000E3270000}"/>
    <cellStyle name="20% - Accent6 7 2 2 5 2" xfId="16857" xr:uid="{00000000-0005-0000-0000-0000E4270000}"/>
    <cellStyle name="20% - Accent6 7 2 2 5 2 2" xfId="30264" xr:uid="{00000000-0005-0000-0000-0000E5270000}"/>
    <cellStyle name="20% - Accent6 7 2 2 5 3" xfId="19916" xr:uid="{00000000-0005-0000-0000-0000E6270000}"/>
    <cellStyle name="20% - Accent6 7 2 2 6" xfId="9181" xr:uid="{00000000-0005-0000-0000-0000E7270000}"/>
    <cellStyle name="20% - Accent6 7 2 2 6 2" xfId="23656" xr:uid="{00000000-0005-0000-0000-0000E8270000}"/>
    <cellStyle name="20% - Accent6 7 2 2 7" xfId="19912" xr:uid="{00000000-0005-0000-0000-0000E9270000}"/>
    <cellStyle name="20% - Accent6 7 2 3" xfId="2592" xr:uid="{00000000-0005-0000-0000-0000EA270000}"/>
    <cellStyle name="20% - Accent6 7 2 3 2" xfId="2593" xr:uid="{00000000-0005-0000-0000-0000EB270000}"/>
    <cellStyle name="20% - Accent6 7 2 3 2 2" xfId="15042" xr:uid="{00000000-0005-0000-0000-0000EC270000}"/>
    <cellStyle name="20% - Accent6 7 2 3 2 2 2" xfId="28591" xr:uid="{00000000-0005-0000-0000-0000ED270000}"/>
    <cellStyle name="20% - Accent6 7 2 3 2 3" xfId="19918" xr:uid="{00000000-0005-0000-0000-0000EE270000}"/>
    <cellStyle name="20% - Accent6 7 2 3 3" xfId="10906" xr:uid="{00000000-0005-0000-0000-0000EF270000}"/>
    <cellStyle name="20% - Accent6 7 2 3 3 2" xfId="24848" xr:uid="{00000000-0005-0000-0000-0000F0270000}"/>
    <cellStyle name="20% - Accent6 7 2 3 4" xfId="19917" xr:uid="{00000000-0005-0000-0000-0000F1270000}"/>
    <cellStyle name="20% - Accent6 7 2 4" xfId="2594" xr:uid="{00000000-0005-0000-0000-0000F2270000}"/>
    <cellStyle name="20% - Accent6 7 2 4 2" xfId="12245" xr:uid="{00000000-0005-0000-0000-0000F3270000}"/>
    <cellStyle name="20% - Accent6 7 2 4 2 2" xfId="25957" xr:uid="{00000000-0005-0000-0000-0000F4270000}"/>
    <cellStyle name="20% - Accent6 7 2 4 3" xfId="19919" xr:uid="{00000000-0005-0000-0000-0000F5270000}"/>
    <cellStyle name="20% - Accent6 7 2 5" xfId="2595" xr:uid="{00000000-0005-0000-0000-0000F6270000}"/>
    <cellStyle name="20% - Accent6 7 2 5 2" xfId="12748" xr:uid="{00000000-0005-0000-0000-0000F7270000}"/>
    <cellStyle name="20% - Accent6 7 2 5 2 2" xfId="26460" xr:uid="{00000000-0005-0000-0000-0000F8270000}"/>
    <cellStyle name="20% - Accent6 7 2 5 3" xfId="19920" xr:uid="{00000000-0005-0000-0000-0000F9270000}"/>
    <cellStyle name="20% - Accent6 7 2 6" xfId="2596" xr:uid="{00000000-0005-0000-0000-0000FA270000}"/>
    <cellStyle name="20% - Accent6 7 2 6 2" xfId="13809" xr:uid="{00000000-0005-0000-0000-0000FB270000}"/>
    <cellStyle name="20% - Accent6 7 2 6 2 2" xfId="27358" xr:uid="{00000000-0005-0000-0000-0000FC270000}"/>
    <cellStyle name="20% - Accent6 7 2 6 3" xfId="19921" xr:uid="{00000000-0005-0000-0000-0000FD270000}"/>
    <cellStyle name="20% - Accent6 7 2 7" xfId="2597" xr:uid="{00000000-0005-0000-0000-0000FE270000}"/>
    <cellStyle name="20% - Accent6 7 2 7 2" xfId="14390" xr:uid="{00000000-0005-0000-0000-0000FF270000}"/>
    <cellStyle name="20% - Accent6 7 2 7 2 2" xfId="27939" xr:uid="{00000000-0005-0000-0000-000000280000}"/>
    <cellStyle name="20% - Accent6 7 2 7 3" xfId="19922" xr:uid="{00000000-0005-0000-0000-000001280000}"/>
    <cellStyle name="20% - Accent6 7 2 8" xfId="2598" xr:uid="{00000000-0005-0000-0000-000002280000}"/>
    <cellStyle name="20% - Accent6 7 2 8 2" xfId="15040" xr:uid="{00000000-0005-0000-0000-000003280000}"/>
    <cellStyle name="20% - Accent6 7 2 8 2 2" xfId="28589" xr:uid="{00000000-0005-0000-0000-000004280000}"/>
    <cellStyle name="20% - Accent6 7 2 8 3" xfId="19923" xr:uid="{00000000-0005-0000-0000-000005280000}"/>
    <cellStyle name="20% - Accent6 7 2 9" xfId="2599" xr:uid="{00000000-0005-0000-0000-000006280000}"/>
    <cellStyle name="20% - Accent6 7 2 9 2" xfId="16276" xr:uid="{00000000-0005-0000-0000-000007280000}"/>
    <cellStyle name="20% - Accent6 7 2 9 2 2" xfId="29683" xr:uid="{00000000-0005-0000-0000-000008280000}"/>
    <cellStyle name="20% - Accent6 7 2 9 3" xfId="19924" xr:uid="{00000000-0005-0000-0000-000009280000}"/>
    <cellStyle name="20% - Accent6 7 3" xfId="2600" xr:uid="{00000000-0005-0000-0000-00000A280000}"/>
    <cellStyle name="20% - Accent6 7 3 2" xfId="2601" xr:uid="{00000000-0005-0000-0000-00000B280000}"/>
    <cellStyle name="20% - Accent6 7 3 2 2" xfId="10908" xr:uid="{00000000-0005-0000-0000-00000C280000}"/>
    <cellStyle name="20% - Accent6 7 3 2 2 2" xfId="24850" xr:uid="{00000000-0005-0000-0000-00000D280000}"/>
    <cellStyle name="20% - Accent6 7 3 2 3" xfId="19926" xr:uid="{00000000-0005-0000-0000-00000E280000}"/>
    <cellStyle name="20% - Accent6 7 3 3" xfId="2602" xr:uid="{00000000-0005-0000-0000-00000F280000}"/>
    <cellStyle name="20% - Accent6 7 3 3 2" xfId="12708" xr:uid="{00000000-0005-0000-0000-000010280000}"/>
    <cellStyle name="20% - Accent6 7 3 3 2 2" xfId="26420" xr:uid="{00000000-0005-0000-0000-000011280000}"/>
    <cellStyle name="20% - Accent6 7 3 3 3" xfId="19927" xr:uid="{00000000-0005-0000-0000-000012280000}"/>
    <cellStyle name="20% - Accent6 7 3 4" xfId="2603" xr:uid="{00000000-0005-0000-0000-000013280000}"/>
    <cellStyle name="20% - Accent6 7 3 4 2" xfId="15043" xr:uid="{00000000-0005-0000-0000-000014280000}"/>
    <cellStyle name="20% - Accent6 7 3 4 2 2" xfId="28592" xr:uid="{00000000-0005-0000-0000-000015280000}"/>
    <cellStyle name="20% - Accent6 7 3 4 3" xfId="19928" xr:uid="{00000000-0005-0000-0000-000016280000}"/>
    <cellStyle name="20% - Accent6 7 3 5" xfId="2604" xr:uid="{00000000-0005-0000-0000-000017280000}"/>
    <cellStyle name="20% - Accent6 7 3 5 2" xfId="16568" xr:uid="{00000000-0005-0000-0000-000018280000}"/>
    <cellStyle name="20% - Accent6 7 3 5 2 2" xfId="29975" xr:uid="{00000000-0005-0000-0000-000019280000}"/>
    <cellStyle name="20% - Accent6 7 3 5 3" xfId="19929" xr:uid="{00000000-0005-0000-0000-00001A280000}"/>
    <cellStyle name="20% - Accent6 7 3 6" xfId="9182" xr:uid="{00000000-0005-0000-0000-00001B280000}"/>
    <cellStyle name="20% - Accent6 7 3 6 2" xfId="23657" xr:uid="{00000000-0005-0000-0000-00001C280000}"/>
    <cellStyle name="20% - Accent6 7 3 7" xfId="19925" xr:uid="{00000000-0005-0000-0000-00001D280000}"/>
    <cellStyle name="20% - Accent6 7 4" xfId="2605" xr:uid="{00000000-0005-0000-0000-00001E280000}"/>
    <cellStyle name="20% - Accent6 7 4 2" xfId="2606" xr:uid="{00000000-0005-0000-0000-00001F280000}"/>
    <cellStyle name="20% - Accent6 7 4 2 2" xfId="15044" xr:uid="{00000000-0005-0000-0000-000020280000}"/>
    <cellStyle name="20% - Accent6 7 4 2 2 2" xfId="28593" xr:uid="{00000000-0005-0000-0000-000021280000}"/>
    <cellStyle name="20% - Accent6 7 4 2 3" xfId="19931" xr:uid="{00000000-0005-0000-0000-000022280000}"/>
    <cellStyle name="20% - Accent6 7 4 3" xfId="10905" xr:uid="{00000000-0005-0000-0000-000023280000}"/>
    <cellStyle name="20% - Accent6 7 4 3 2" xfId="24847" xr:uid="{00000000-0005-0000-0000-000024280000}"/>
    <cellStyle name="20% - Accent6 7 4 4" xfId="19930" xr:uid="{00000000-0005-0000-0000-000025280000}"/>
    <cellStyle name="20% - Accent6 7 5" xfId="2607" xr:uid="{00000000-0005-0000-0000-000026280000}"/>
    <cellStyle name="20% - Accent6 7 5 2" xfId="11943" xr:uid="{00000000-0005-0000-0000-000027280000}"/>
    <cellStyle name="20% - Accent6 7 5 2 2" xfId="25658" xr:uid="{00000000-0005-0000-0000-000028280000}"/>
    <cellStyle name="20% - Accent6 7 5 3" xfId="19932" xr:uid="{00000000-0005-0000-0000-000029280000}"/>
    <cellStyle name="20% - Accent6 7 6" xfId="2608" xr:uid="{00000000-0005-0000-0000-00002A280000}"/>
    <cellStyle name="20% - Accent6 7 6 2" xfId="12543" xr:uid="{00000000-0005-0000-0000-00002B280000}"/>
    <cellStyle name="20% - Accent6 7 6 2 2" xfId="26255" xr:uid="{00000000-0005-0000-0000-00002C280000}"/>
    <cellStyle name="20% - Accent6 7 6 3" xfId="19933" xr:uid="{00000000-0005-0000-0000-00002D280000}"/>
    <cellStyle name="20% - Accent6 7 7" xfId="2609" xr:uid="{00000000-0005-0000-0000-00002E280000}"/>
    <cellStyle name="20% - Accent6 7 7 2" xfId="13520" xr:uid="{00000000-0005-0000-0000-00002F280000}"/>
    <cellStyle name="20% - Accent6 7 7 2 2" xfId="27069" xr:uid="{00000000-0005-0000-0000-000030280000}"/>
    <cellStyle name="20% - Accent6 7 7 3" xfId="19934" xr:uid="{00000000-0005-0000-0000-000031280000}"/>
    <cellStyle name="20% - Accent6 7 8" xfId="2610" xr:uid="{00000000-0005-0000-0000-000032280000}"/>
    <cellStyle name="20% - Accent6 7 8 2" xfId="14101" xr:uid="{00000000-0005-0000-0000-000033280000}"/>
    <cellStyle name="20% - Accent6 7 8 2 2" xfId="27650" xr:uid="{00000000-0005-0000-0000-000034280000}"/>
    <cellStyle name="20% - Accent6 7 8 3" xfId="19935" xr:uid="{00000000-0005-0000-0000-000035280000}"/>
    <cellStyle name="20% - Accent6 7 9" xfId="2611" xr:uid="{00000000-0005-0000-0000-000036280000}"/>
    <cellStyle name="20% - Accent6 7 9 2" xfId="15039" xr:uid="{00000000-0005-0000-0000-000037280000}"/>
    <cellStyle name="20% - Accent6 7 9 2 2" xfId="28588" xr:uid="{00000000-0005-0000-0000-000038280000}"/>
    <cellStyle name="20% - Accent6 7 9 3" xfId="19936" xr:uid="{00000000-0005-0000-0000-000039280000}"/>
    <cellStyle name="20% - Accent6 8" xfId="2612" xr:uid="{00000000-0005-0000-0000-00003A280000}"/>
    <cellStyle name="20% - Accent6 8 10" xfId="9183" xr:uid="{00000000-0005-0000-0000-00003B280000}"/>
    <cellStyle name="20% - Accent6 8 10 2" xfId="23658" xr:uid="{00000000-0005-0000-0000-00003C280000}"/>
    <cellStyle name="20% - Accent6 8 11" xfId="19937" xr:uid="{00000000-0005-0000-0000-00003D280000}"/>
    <cellStyle name="20% - Accent6 8 2" xfId="2613" xr:uid="{00000000-0005-0000-0000-00003E280000}"/>
    <cellStyle name="20% - Accent6 8 2 2" xfId="2614" xr:uid="{00000000-0005-0000-0000-00003F280000}"/>
    <cellStyle name="20% - Accent6 8 2 2 2" xfId="10910" xr:uid="{00000000-0005-0000-0000-000040280000}"/>
    <cellStyle name="20% - Accent6 8 2 2 2 2" xfId="24852" xr:uid="{00000000-0005-0000-0000-000041280000}"/>
    <cellStyle name="20% - Accent6 8 2 2 3" xfId="19939" xr:uid="{00000000-0005-0000-0000-000042280000}"/>
    <cellStyle name="20% - Accent6 8 2 3" xfId="2615" xr:uid="{00000000-0005-0000-0000-000043280000}"/>
    <cellStyle name="20% - Accent6 8 2 3 2" xfId="11863" xr:uid="{00000000-0005-0000-0000-000044280000}"/>
    <cellStyle name="20% - Accent6 8 2 3 2 2" xfId="25578" xr:uid="{00000000-0005-0000-0000-000045280000}"/>
    <cellStyle name="20% - Accent6 8 2 3 3" xfId="19940" xr:uid="{00000000-0005-0000-0000-000046280000}"/>
    <cellStyle name="20% - Accent6 8 2 4" xfId="2616" xr:uid="{00000000-0005-0000-0000-000047280000}"/>
    <cellStyle name="20% - Accent6 8 2 4 2" xfId="15046" xr:uid="{00000000-0005-0000-0000-000048280000}"/>
    <cellStyle name="20% - Accent6 8 2 4 2 2" xfId="28595" xr:uid="{00000000-0005-0000-0000-000049280000}"/>
    <cellStyle name="20% - Accent6 8 2 4 3" xfId="19941" xr:uid="{00000000-0005-0000-0000-00004A280000}"/>
    <cellStyle name="20% - Accent6 8 2 5" xfId="2617" xr:uid="{00000000-0005-0000-0000-00004B280000}"/>
    <cellStyle name="20% - Accent6 8 2 5 2" xfId="16706" xr:uid="{00000000-0005-0000-0000-00004C280000}"/>
    <cellStyle name="20% - Accent6 8 2 5 2 2" xfId="30113" xr:uid="{00000000-0005-0000-0000-00004D280000}"/>
    <cellStyle name="20% - Accent6 8 2 5 3" xfId="19942" xr:uid="{00000000-0005-0000-0000-00004E280000}"/>
    <cellStyle name="20% - Accent6 8 2 6" xfId="9184" xr:uid="{00000000-0005-0000-0000-00004F280000}"/>
    <cellStyle name="20% - Accent6 8 2 6 2" xfId="23659" xr:uid="{00000000-0005-0000-0000-000050280000}"/>
    <cellStyle name="20% - Accent6 8 2 7" xfId="19938" xr:uid="{00000000-0005-0000-0000-000051280000}"/>
    <cellStyle name="20% - Accent6 8 3" xfId="2618" xr:uid="{00000000-0005-0000-0000-000052280000}"/>
    <cellStyle name="20% - Accent6 8 3 2" xfId="2619" xr:uid="{00000000-0005-0000-0000-000053280000}"/>
    <cellStyle name="20% - Accent6 8 3 2 2" xfId="15047" xr:uid="{00000000-0005-0000-0000-000054280000}"/>
    <cellStyle name="20% - Accent6 8 3 2 2 2" xfId="28596" xr:uid="{00000000-0005-0000-0000-000055280000}"/>
    <cellStyle name="20% - Accent6 8 3 2 3" xfId="19944" xr:uid="{00000000-0005-0000-0000-000056280000}"/>
    <cellStyle name="20% - Accent6 8 3 3" xfId="10909" xr:uid="{00000000-0005-0000-0000-000057280000}"/>
    <cellStyle name="20% - Accent6 8 3 3 2" xfId="24851" xr:uid="{00000000-0005-0000-0000-000058280000}"/>
    <cellStyle name="20% - Accent6 8 3 4" xfId="19943" xr:uid="{00000000-0005-0000-0000-000059280000}"/>
    <cellStyle name="20% - Accent6 8 4" xfId="2620" xr:uid="{00000000-0005-0000-0000-00005A280000}"/>
    <cellStyle name="20% - Accent6 8 4 2" xfId="12084" xr:uid="{00000000-0005-0000-0000-00005B280000}"/>
    <cellStyle name="20% - Accent6 8 4 2 2" xfId="25798" xr:uid="{00000000-0005-0000-0000-00005C280000}"/>
    <cellStyle name="20% - Accent6 8 4 3" xfId="19945" xr:uid="{00000000-0005-0000-0000-00005D280000}"/>
    <cellStyle name="20% - Accent6 8 5" xfId="2621" xr:uid="{00000000-0005-0000-0000-00005E280000}"/>
    <cellStyle name="20% - Accent6 8 5 2" xfId="12694" xr:uid="{00000000-0005-0000-0000-00005F280000}"/>
    <cellStyle name="20% - Accent6 8 5 2 2" xfId="26406" xr:uid="{00000000-0005-0000-0000-000060280000}"/>
    <cellStyle name="20% - Accent6 8 5 3" xfId="19946" xr:uid="{00000000-0005-0000-0000-000061280000}"/>
    <cellStyle name="20% - Accent6 8 6" xfId="2622" xr:uid="{00000000-0005-0000-0000-000062280000}"/>
    <cellStyle name="20% - Accent6 8 6 2" xfId="13658" xr:uid="{00000000-0005-0000-0000-000063280000}"/>
    <cellStyle name="20% - Accent6 8 6 2 2" xfId="27207" xr:uid="{00000000-0005-0000-0000-000064280000}"/>
    <cellStyle name="20% - Accent6 8 6 3" xfId="19947" xr:uid="{00000000-0005-0000-0000-000065280000}"/>
    <cellStyle name="20% - Accent6 8 7" xfId="2623" xr:uid="{00000000-0005-0000-0000-000066280000}"/>
    <cellStyle name="20% - Accent6 8 7 2" xfId="14239" xr:uid="{00000000-0005-0000-0000-000067280000}"/>
    <cellStyle name="20% - Accent6 8 7 2 2" xfId="27788" xr:uid="{00000000-0005-0000-0000-000068280000}"/>
    <cellStyle name="20% - Accent6 8 7 3" xfId="19948" xr:uid="{00000000-0005-0000-0000-000069280000}"/>
    <cellStyle name="20% - Accent6 8 8" xfId="2624" xr:uid="{00000000-0005-0000-0000-00006A280000}"/>
    <cellStyle name="20% - Accent6 8 8 2" xfId="15045" xr:uid="{00000000-0005-0000-0000-00006B280000}"/>
    <cellStyle name="20% - Accent6 8 8 2 2" xfId="28594" xr:uid="{00000000-0005-0000-0000-00006C280000}"/>
    <cellStyle name="20% - Accent6 8 8 3" xfId="19949" xr:uid="{00000000-0005-0000-0000-00006D280000}"/>
    <cellStyle name="20% - Accent6 8 9" xfId="2625" xr:uid="{00000000-0005-0000-0000-00006E280000}"/>
    <cellStyle name="20% - Accent6 8 9 2" xfId="16125" xr:uid="{00000000-0005-0000-0000-00006F280000}"/>
    <cellStyle name="20% - Accent6 8 9 2 2" xfId="29532" xr:uid="{00000000-0005-0000-0000-000070280000}"/>
    <cellStyle name="20% - Accent6 8 9 3" xfId="19950" xr:uid="{00000000-0005-0000-0000-000071280000}"/>
    <cellStyle name="20% - Accent6 9" xfId="2626" xr:uid="{00000000-0005-0000-0000-000072280000}"/>
    <cellStyle name="20% - Accent6 9 2" xfId="2627" xr:uid="{00000000-0005-0000-0000-000073280000}"/>
    <cellStyle name="20% - Accent6 9 2 2" xfId="10911" xr:uid="{00000000-0005-0000-0000-000074280000}"/>
    <cellStyle name="20% - Accent6 9 2 2 2" xfId="24853" xr:uid="{00000000-0005-0000-0000-000075280000}"/>
    <cellStyle name="20% - Accent6 9 2 3" xfId="19952" xr:uid="{00000000-0005-0000-0000-000076280000}"/>
    <cellStyle name="20% - Accent6 9 3" xfId="2628" xr:uid="{00000000-0005-0000-0000-000077280000}"/>
    <cellStyle name="20% - Accent6 9 3 2" xfId="12567" xr:uid="{00000000-0005-0000-0000-000078280000}"/>
    <cellStyle name="20% - Accent6 9 3 2 2" xfId="26279" xr:uid="{00000000-0005-0000-0000-000079280000}"/>
    <cellStyle name="20% - Accent6 9 3 3" xfId="19953" xr:uid="{00000000-0005-0000-0000-00007A280000}"/>
    <cellStyle name="20% - Accent6 9 4" xfId="2629" xr:uid="{00000000-0005-0000-0000-00007B280000}"/>
    <cellStyle name="20% - Accent6 9 4 2" xfId="15048" xr:uid="{00000000-0005-0000-0000-00007C280000}"/>
    <cellStyle name="20% - Accent6 9 4 2 2" xfId="28597" xr:uid="{00000000-0005-0000-0000-00007D280000}"/>
    <cellStyle name="20% - Accent6 9 4 3" xfId="19954" xr:uid="{00000000-0005-0000-0000-00007E280000}"/>
    <cellStyle name="20% - Accent6 9 5" xfId="2630" xr:uid="{00000000-0005-0000-0000-00007F280000}"/>
    <cellStyle name="20% - Accent6 9 5 2" xfId="17090" xr:uid="{00000000-0005-0000-0000-000080280000}"/>
    <cellStyle name="20% - Accent6 9 5 2 2" xfId="30449" xr:uid="{00000000-0005-0000-0000-000081280000}"/>
    <cellStyle name="20% - Accent6 9 5 3" xfId="19955" xr:uid="{00000000-0005-0000-0000-000082280000}"/>
    <cellStyle name="20% - Accent6 9 6" xfId="9185" xr:uid="{00000000-0005-0000-0000-000083280000}"/>
    <cellStyle name="20% - Accent6 9 6 2" xfId="23660" xr:uid="{00000000-0005-0000-0000-000084280000}"/>
    <cellStyle name="20% - Accent6 9 7" xfId="19951" xr:uid="{00000000-0005-0000-0000-000085280000}"/>
    <cellStyle name="40% - Accent1" xfId="19" builtinId="31" customBuiltin="1"/>
    <cellStyle name="40% - Accent1 10" xfId="2631" xr:uid="{00000000-0005-0000-0000-000087280000}"/>
    <cellStyle name="40% - Accent1 10 2" xfId="2632" xr:uid="{00000000-0005-0000-0000-000088280000}"/>
    <cellStyle name="40% - Accent1 10 2 2" xfId="2633" xr:uid="{00000000-0005-0000-0000-000089280000}"/>
    <cellStyle name="40% - Accent1 10 2 2 2" xfId="11845" xr:uid="{00000000-0005-0000-0000-00008A280000}"/>
    <cellStyle name="40% - Accent1 10 2 2 2 2" xfId="25560" xr:uid="{00000000-0005-0000-0000-00008B280000}"/>
    <cellStyle name="40% - Accent1 10 2 2 3" xfId="19958" xr:uid="{00000000-0005-0000-0000-00008C280000}"/>
    <cellStyle name="40% - Accent1 10 2 3" xfId="2634" xr:uid="{00000000-0005-0000-0000-00008D280000}"/>
    <cellStyle name="40% - Accent1 10 2 3 2" xfId="15051" xr:uid="{00000000-0005-0000-0000-00008E280000}"/>
    <cellStyle name="40% - Accent1 10 2 3 2 2" xfId="28600" xr:uid="{00000000-0005-0000-0000-00008F280000}"/>
    <cellStyle name="40% - Accent1 10 2 3 3" xfId="19959" xr:uid="{00000000-0005-0000-0000-000090280000}"/>
    <cellStyle name="40% - Accent1 10 2 4" xfId="10913" xr:uid="{00000000-0005-0000-0000-000091280000}"/>
    <cellStyle name="40% - Accent1 10 2 4 2" xfId="24855" xr:uid="{00000000-0005-0000-0000-000092280000}"/>
    <cellStyle name="40% - Accent1 10 2 5" xfId="19957" xr:uid="{00000000-0005-0000-0000-000093280000}"/>
    <cellStyle name="40% - Accent1 10 3" xfId="2635" xr:uid="{00000000-0005-0000-0000-000094280000}"/>
    <cellStyle name="40% - Accent1 10 3 2" xfId="12646" xr:uid="{00000000-0005-0000-0000-000095280000}"/>
    <cellStyle name="40% - Accent1 10 3 2 2" xfId="26358" xr:uid="{00000000-0005-0000-0000-000096280000}"/>
    <cellStyle name="40% - Accent1 10 3 3" xfId="19960" xr:uid="{00000000-0005-0000-0000-000097280000}"/>
    <cellStyle name="40% - Accent1 10 4" xfId="2636" xr:uid="{00000000-0005-0000-0000-000098280000}"/>
    <cellStyle name="40% - Accent1 10 4 2" xfId="15050" xr:uid="{00000000-0005-0000-0000-000099280000}"/>
    <cellStyle name="40% - Accent1 10 4 2 2" xfId="28599" xr:uid="{00000000-0005-0000-0000-00009A280000}"/>
    <cellStyle name="40% - Accent1 10 4 3" xfId="19961" xr:uid="{00000000-0005-0000-0000-00009B280000}"/>
    <cellStyle name="40% - Accent1 10 5" xfId="2637" xr:uid="{00000000-0005-0000-0000-00009C280000}"/>
    <cellStyle name="40% - Accent1 10 5 2" xfId="17180" xr:uid="{00000000-0005-0000-0000-00009D280000}"/>
    <cellStyle name="40% - Accent1 10 5 2 2" xfId="30539" xr:uid="{00000000-0005-0000-0000-00009E280000}"/>
    <cellStyle name="40% - Accent1 10 5 3" xfId="19962" xr:uid="{00000000-0005-0000-0000-00009F280000}"/>
    <cellStyle name="40% - Accent1 10 6" xfId="9187" xr:uid="{00000000-0005-0000-0000-0000A0280000}"/>
    <cellStyle name="40% - Accent1 10 6 2" xfId="23662" xr:uid="{00000000-0005-0000-0000-0000A1280000}"/>
    <cellStyle name="40% - Accent1 10 7" xfId="19956" xr:uid="{00000000-0005-0000-0000-0000A2280000}"/>
    <cellStyle name="40% - Accent1 11" xfId="2638" xr:uid="{00000000-0005-0000-0000-0000A3280000}"/>
    <cellStyle name="40% - Accent1 11 2" xfId="2639" xr:uid="{00000000-0005-0000-0000-0000A4280000}"/>
    <cellStyle name="40% - Accent1 11 2 2" xfId="10914" xr:uid="{00000000-0005-0000-0000-0000A5280000}"/>
    <cellStyle name="40% - Accent1 11 2 2 2" xfId="24856" xr:uid="{00000000-0005-0000-0000-0000A6280000}"/>
    <cellStyle name="40% - Accent1 11 2 3" xfId="19964" xr:uid="{00000000-0005-0000-0000-0000A7280000}"/>
    <cellStyle name="40% - Accent1 11 3" xfId="2640" xr:uid="{00000000-0005-0000-0000-0000A8280000}"/>
    <cellStyle name="40% - Accent1 11 3 2" xfId="12385" xr:uid="{00000000-0005-0000-0000-0000A9280000}"/>
    <cellStyle name="40% - Accent1 11 3 2 2" xfId="26097" xr:uid="{00000000-0005-0000-0000-0000AA280000}"/>
    <cellStyle name="40% - Accent1 11 3 3" xfId="19965" xr:uid="{00000000-0005-0000-0000-0000AB280000}"/>
    <cellStyle name="40% - Accent1 11 4" xfId="2641" xr:uid="{00000000-0005-0000-0000-0000AC280000}"/>
    <cellStyle name="40% - Accent1 11 4 2" xfId="15052" xr:uid="{00000000-0005-0000-0000-0000AD280000}"/>
    <cellStyle name="40% - Accent1 11 4 2 2" xfId="28601" xr:uid="{00000000-0005-0000-0000-0000AE280000}"/>
    <cellStyle name="40% - Accent1 11 4 3" xfId="19966" xr:uid="{00000000-0005-0000-0000-0000AF280000}"/>
    <cellStyle name="40% - Accent1 11 5" xfId="2642" xr:uid="{00000000-0005-0000-0000-0000B0280000}"/>
    <cellStyle name="40% - Accent1 11 5 2" xfId="17269" xr:uid="{00000000-0005-0000-0000-0000B1280000}"/>
    <cellStyle name="40% - Accent1 11 5 2 2" xfId="30628" xr:uid="{00000000-0005-0000-0000-0000B2280000}"/>
    <cellStyle name="40% - Accent1 11 5 3" xfId="19967" xr:uid="{00000000-0005-0000-0000-0000B3280000}"/>
    <cellStyle name="40% - Accent1 11 6" xfId="9188" xr:uid="{00000000-0005-0000-0000-0000B4280000}"/>
    <cellStyle name="40% - Accent1 11 6 2" xfId="23663" xr:uid="{00000000-0005-0000-0000-0000B5280000}"/>
    <cellStyle name="40% - Accent1 11 7" xfId="19963" xr:uid="{00000000-0005-0000-0000-0000B6280000}"/>
    <cellStyle name="40% - Accent1 12" xfId="2643" xr:uid="{00000000-0005-0000-0000-0000B7280000}"/>
    <cellStyle name="40% - Accent1 12 2" xfId="2644" xr:uid="{00000000-0005-0000-0000-0000B8280000}"/>
    <cellStyle name="40% - Accent1 12 2 2" xfId="2645" xr:uid="{00000000-0005-0000-0000-0000B9280000}"/>
    <cellStyle name="40% - Accent1 12 2 2 2" xfId="10916" xr:uid="{00000000-0005-0000-0000-0000BA280000}"/>
    <cellStyle name="40% - Accent1 12 2 2 2 2" xfId="24858" xr:uid="{00000000-0005-0000-0000-0000BB280000}"/>
    <cellStyle name="40% - Accent1 12 2 2 3" xfId="19970" xr:uid="{00000000-0005-0000-0000-0000BC280000}"/>
    <cellStyle name="40% - Accent1 12 2 3" xfId="2646" xr:uid="{00000000-0005-0000-0000-0000BD280000}"/>
    <cellStyle name="40% - Accent1 12 2 3 2" xfId="12764" xr:uid="{00000000-0005-0000-0000-0000BE280000}"/>
    <cellStyle name="40% - Accent1 12 2 3 2 2" xfId="26476" xr:uid="{00000000-0005-0000-0000-0000BF280000}"/>
    <cellStyle name="40% - Accent1 12 2 3 3" xfId="19971" xr:uid="{00000000-0005-0000-0000-0000C0280000}"/>
    <cellStyle name="40% - Accent1 12 2 4" xfId="2647" xr:uid="{00000000-0005-0000-0000-0000C1280000}"/>
    <cellStyle name="40% - Accent1 12 2 4 2" xfId="15054" xr:uid="{00000000-0005-0000-0000-0000C2280000}"/>
    <cellStyle name="40% - Accent1 12 2 4 2 2" xfId="28603" xr:uid="{00000000-0005-0000-0000-0000C3280000}"/>
    <cellStyle name="40% - Accent1 12 2 4 3" xfId="19972" xr:uid="{00000000-0005-0000-0000-0000C4280000}"/>
    <cellStyle name="40% - Accent1 12 2 5" xfId="9190" xr:uid="{00000000-0005-0000-0000-0000C5280000}"/>
    <cellStyle name="40% - Accent1 12 2 5 2" xfId="23665" xr:uid="{00000000-0005-0000-0000-0000C6280000}"/>
    <cellStyle name="40% - Accent1 12 2 6" xfId="19969" xr:uid="{00000000-0005-0000-0000-0000C7280000}"/>
    <cellStyle name="40% - Accent1 12 3" xfId="2648" xr:uid="{00000000-0005-0000-0000-0000C8280000}"/>
    <cellStyle name="40% - Accent1 12 3 2" xfId="10915" xr:uid="{00000000-0005-0000-0000-0000C9280000}"/>
    <cellStyle name="40% - Accent1 12 3 2 2" xfId="24857" xr:uid="{00000000-0005-0000-0000-0000CA280000}"/>
    <cellStyle name="40% - Accent1 12 3 3" xfId="19973" xr:uid="{00000000-0005-0000-0000-0000CB280000}"/>
    <cellStyle name="40% - Accent1 12 4" xfId="2649" xr:uid="{00000000-0005-0000-0000-0000CC280000}"/>
    <cellStyle name="40% - Accent1 12 4 2" xfId="11742" xr:uid="{00000000-0005-0000-0000-0000CD280000}"/>
    <cellStyle name="40% - Accent1 12 4 2 2" xfId="25457" xr:uid="{00000000-0005-0000-0000-0000CE280000}"/>
    <cellStyle name="40% - Accent1 12 4 3" xfId="19974" xr:uid="{00000000-0005-0000-0000-0000CF280000}"/>
    <cellStyle name="40% - Accent1 12 5" xfId="2650" xr:uid="{00000000-0005-0000-0000-0000D0280000}"/>
    <cellStyle name="40% - Accent1 12 5 2" xfId="15053" xr:uid="{00000000-0005-0000-0000-0000D1280000}"/>
    <cellStyle name="40% - Accent1 12 5 2 2" xfId="28602" xr:uid="{00000000-0005-0000-0000-0000D2280000}"/>
    <cellStyle name="40% - Accent1 12 5 3" xfId="19975" xr:uid="{00000000-0005-0000-0000-0000D3280000}"/>
    <cellStyle name="40% - Accent1 12 6" xfId="2651" xr:uid="{00000000-0005-0000-0000-0000D4280000}"/>
    <cellStyle name="40% - Accent1 12 6 2" xfId="16421" xr:uid="{00000000-0005-0000-0000-0000D5280000}"/>
    <cellStyle name="40% - Accent1 12 6 2 2" xfId="29828" xr:uid="{00000000-0005-0000-0000-0000D6280000}"/>
    <cellStyle name="40% - Accent1 12 6 3" xfId="19976" xr:uid="{00000000-0005-0000-0000-0000D7280000}"/>
    <cellStyle name="40% - Accent1 12 7" xfId="9189" xr:uid="{00000000-0005-0000-0000-0000D8280000}"/>
    <cellStyle name="40% - Accent1 12 7 2" xfId="23664" xr:uid="{00000000-0005-0000-0000-0000D9280000}"/>
    <cellStyle name="40% - Accent1 12 8" xfId="19968" xr:uid="{00000000-0005-0000-0000-0000DA280000}"/>
    <cellStyle name="40% - Accent1 13" xfId="2652" xr:uid="{00000000-0005-0000-0000-0000DB280000}"/>
    <cellStyle name="40% - Accent1 13 2" xfId="2653" xr:uid="{00000000-0005-0000-0000-0000DC280000}"/>
    <cellStyle name="40% - Accent1 13 2 2" xfId="10917" xr:uid="{00000000-0005-0000-0000-0000DD280000}"/>
    <cellStyle name="40% - Accent1 13 2 2 2" xfId="24859" xr:uid="{00000000-0005-0000-0000-0000DE280000}"/>
    <cellStyle name="40% - Accent1 13 2 3" xfId="19978" xr:uid="{00000000-0005-0000-0000-0000DF280000}"/>
    <cellStyle name="40% - Accent1 13 3" xfId="2654" xr:uid="{00000000-0005-0000-0000-0000E0280000}"/>
    <cellStyle name="40% - Accent1 13 3 2" xfId="11755" xr:uid="{00000000-0005-0000-0000-0000E1280000}"/>
    <cellStyle name="40% - Accent1 13 3 2 2" xfId="25470" xr:uid="{00000000-0005-0000-0000-0000E2280000}"/>
    <cellStyle name="40% - Accent1 13 3 3" xfId="19979" xr:uid="{00000000-0005-0000-0000-0000E3280000}"/>
    <cellStyle name="40% - Accent1 13 4" xfId="2655" xr:uid="{00000000-0005-0000-0000-0000E4280000}"/>
    <cellStyle name="40% - Accent1 13 4 2" xfId="15055" xr:uid="{00000000-0005-0000-0000-0000E5280000}"/>
    <cellStyle name="40% - Accent1 13 4 2 2" xfId="28604" xr:uid="{00000000-0005-0000-0000-0000E6280000}"/>
    <cellStyle name="40% - Accent1 13 4 3" xfId="19980" xr:uid="{00000000-0005-0000-0000-0000E7280000}"/>
    <cellStyle name="40% - Accent1 13 5" xfId="9191" xr:uid="{00000000-0005-0000-0000-0000E8280000}"/>
    <cellStyle name="40% - Accent1 13 5 2" xfId="23666" xr:uid="{00000000-0005-0000-0000-0000E9280000}"/>
    <cellStyle name="40% - Accent1 13 6" xfId="19977" xr:uid="{00000000-0005-0000-0000-0000EA280000}"/>
    <cellStyle name="40% - Accent1 14" xfId="2656" xr:uid="{00000000-0005-0000-0000-0000EB280000}"/>
    <cellStyle name="40% - Accent1 14 2" xfId="2657" xr:uid="{00000000-0005-0000-0000-0000EC280000}"/>
    <cellStyle name="40% - Accent1 14 2 2" xfId="10918" xr:uid="{00000000-0005-0000-0000-0000ED280000}"/>
    <cellStyle name="40% - Accent1 14 2 2 2" xfId="24860" xr:uid="{00000000-0005-0000-0000-0000EE280000}"/>
    <cellStyle name="40% - Accent1 14 2 3" xfId="19982" xr:uid="{00000000-0005-0000-0000-0000EF280000}"/>
    <cellStyle name="40% - Accent1 14 3" xfId="2658" xr:uid="{00000000-0005-0000-0000-0000F0280000}"/>
    <cellStyle name="40% - Accent1 14 3 2" xfId="12678" xr:uid="{00000000-0005-0000-0000-0000F1280000}"/>
    <cellStyle name="40% - Accent1 14 3 2 2" xfId="26390" xr:uid="{00000000-0005-0000-0000-0000F2280000}"/>
    <cellStyle name="40% - Accent1 14 3 3" xfId="19983" xr:uid="{00000000-0005-0000-0000-0000F3280000}"/>
    <cellStyle name="40% - Accent1 14 4" xfId="2659" xr:uid="{00000000-0005-0000-0000-0000F4280000}"/>
    <cellStyle name="40% - Accent1 14 4 2" xfId="15056" xr:uid="{00000000-0005-0000-0000-0000F5280000}"/>
    <cellStyle name="40% - Accent1 14 4 2 2" xfId="28605" xr:uid="{00000000-0005-0000-0000-0000F6280000}"/>
    <cellStyle name="40% - Accent1 14 4 3" xfId="19984" xr:uid="{00000000-0005-0000-0000-0000F7280000}"/>
    <cellStyle name="40% - Accent1 14 5" xfId="9192" xr:uid="{00000000-0005-0000-0000-0000F8280000}"/>
    <cellStyle name="40% - Accent1 14 5 2" xfId="23667" xr:uid="{00000000-0005-0000-0000-0000F9280000}"/>
    <cellStyle name="40% - Accent1 14 6" xfId="19981" xr:uid="{00000000-0005-0000-0000-0000FA280000}"/>
    <cellStyle name="40% - Accent1 15" xfId="2660" xr:uid="{00000000-0005-0000-0000-0000FB280000}"/>
    <cellStyle name="40% - Accent1 15 2" xfId="2661" xr:uid="{00000000-0005-0000-0000-0000FC280000}"/>
    <cellStyle name="40% - Accent1 15 2 2" xfId="10919" xr:uid="{00000000-0005-0000-0000-0000FD280000}"/>
    <cellStyle name="40% - Accent1 15 2 2 2" xfId="24861" xr:uid="{00000000-0005-0000-0000-0000FE280000}"/>
    <cellStyle name="40% - Accent1 15 2 3" xfId="19986" xr:uid="{00000000-0005-0000-0000-0000FF280000}"/>
    <cellStyle name="40% - Accent1 15 3" xfId="2662" xr:uid="{00000000-0005-0000-0000-000000290000}"/>
    <cellStyle name="40% - Accent1 15 3 2" xfId="12673" xr:uid="{00000000-0005-0000-0000-000001290000}"/>
    <cellStyle name="40% - Accent1 15 3 2 2" xfId="26385" xr:uid="{00000000-0005-0000-0000-000002290000}"/>
    <cellStyle name="40% - Accent1 15 3 3" xfId="19987" xr:uid="{00000000-0005-0000-0000-000003290000}"/>
    <cellStyle name="40% - Accent1 15 4" xfId="2663" xr:uid="{00000000-0005-0000-0000-000004290000}"/>
    <cellStyle name="40% - Accent1 15 4 2" xfId="15057" xr:uid="{00000000-0005-0000-0000-000005290000}"/>
    <cellStyle name="40% - Accent1 15 4 2 2" xfId="28606" xr:uid="{00000000-0005-0000-0000-000006290000}"/>
    <cellStyle name="40% - Accent1 15 4 3" xfId="19988" xr:uid="{00000000-0005-0000-0000-000007290000}"/>
    <cellStyle name="40% - Accent1 15 5" xfId="9193" xr:uid="{00000000-0005-0000-0000-000008290000}"/>
    <cellStyle name="40% - Accent1 15 5 2" xfId="23668" xr:uid="{00000000-0005-0000-0000-000009290000}"/>
    <cellStyle name="40% - Accent1 15 6" xfId="19985" xr:uid="{00000000-0005-0000-0000-00000A290000}"/>
    <cellStyle name="40% - Accent1 16" xfId="2664" xr:uid="{00000000-0005-0000-0000-00000B290000}"/>
    <cellStyle name="40% - Accent1 16 2" xfId="2665" xr:uid="{00000000-0005-0000-0000-00000C290000}"/>
    <cellStyle name="40% - Accent1 16 2 2" xfId="10920" xr:uid="{00000000-0005-0000-0000-00000D290000}"/>
    <cellStyle name="40% - Accent1 16 2 2 2" xfId="24862" xr:uid="{00000000-0005-0000-0000-00000E290000}"/>
    <cellStyle name="40% - Accent1 16 2 3" xfId="19990" xr:uid="{00000000-0005-0000-0000-00000F290000}"/>
    <cellStyle name="40% - Accent1 16 3" xfId="2666" xr:uid="{00000000-0005-0000-0000-000010290000}"/>
    <cellStyle name="40% - Accent1 16 3 2" xfId="12615" xr:uid="{00000000-0005-0000-0000-000011290000}"/>
    <cellStyle name="40% - Accent1 16 3 2 2" xfId="26327" xr:uid="{00000000-0005-0000-0000-000012290000}"/>
    <cellStyle name="40% - Accent1 16 3 3" xfId="19991" xr:uid="{00000000-0005-0000-0000-000013290000}"/>
    <cellStyle name="40% - Accent1 16 4" xfId="2667" xr:uid="{00000000-0005-0000-0000-000014290000}"/>
    <cellStyle name="40% - Accent1 16 4 2" xfId="15058" xr:uid="{00000000-0005-0000-0000-000015290000}"/>
    <cellStyle name="40% - Accent1 16 4 2 2" xfId="28607" xr:uid="{00000000-0005-0000-0000-000016290000}"/>
    <cellStyle name="40% - Accent1 16 4 3" xfId="19992" xr:uid="{00000000-0005-0000-0000-000017290000}"/>
    <cellStyle name="40% - Accent1 16 5" xfId="9194" xr:uid="{00000000-0005-0000-0000-000018290000}"/>
    <cellStyle name="40% - Accent1 16 5 2" xfId="23669" xr:uid="{00000000-0005-0000-0000-000019290000}"/>
    <cellStyle name="40% - Accent1 16 6" xfId="19989" xr:uid="{00000000-0005-0000-0000-00001A290000}"/>
    <cellStyle name="40% - Accent1 17" xfId="2668" xr:uid="{00000000-0005-0000-0000-00001B290000}"/>
    <cellStyle name="40% - Accent1 17 2" xfId="2669" xr:uid="{00000000-0005-0000-0000-00001C290000}"/>
    <cellStyle name="40% - Accent1 17 2 2" xfId="10921" xr:uid="{00000000-0005-0000-0000-00001D290000}"/>
    <cellStyle name="40% - Accent1 17 2 2 2" xfId="24863" xr:uid="{00000000-0005-0000-0000-00001E290000}"/>
    <cellStyle name="40% - Accent1 17 2 3" xfId="19994" xr:uid="{00000000-0005-0000-0000-00001F290000}"/>
    <cellStyle name="40% - Accent1 17 3" xfId="2670" xr:uid="{00000000-0005-0000-0000-000020290000}"/>
    <cellStyle name="40% - Accent1 17 3 2" xfId="11948" xr:uid="{00000000-0005-0000-0000-000021290000}"/>
    <cellStyle name="40% - Accent1 17 3 2 2" xfId="25663" xr:uid="{00000000-0005-0000-0000-000022290000}"/>
    <cellStyle name="40% - Accent1 17 3 3" xfId="19995" xr:uid="{00000000-0005-0000-0000-000023290000}"/>
    <cellStyle name="40% - Accent1 17 4" xfId="2671" xr:uid="{00000000-0005-0000-0000-000024290000}"/>
    <cellStyle name="40% - Accent1 17 4 2" xfId="15059" xr:uid="{00000000-0005-0000-0000-000025290000}"/>
    <cellStyle name="40% - Accent1 17 4 2 2" xfId="28608" xr:uid="{00000000-0005-0000-0000-000026290000}"/>
    <cellStyle name="40% - Accent1 17 4 3" xfId="19996" xr:uid="{00000000-0005-0000-0000-000027290000}"/>
    <cellStyle name="40% - Accent1 17 5" xfId="9195" xr:uid="{00000000-0005-0000-0000-000028290000}"/>
    <cellStyle name="40% - Accent1 17 5 2" xfId="23670" xr:uid="{00000000-0005-0000-0000-000029290000}"/>
    <cellStyle name="40% - Accent1 17 6" xfId="19993" xr:uid="{00000000-0005-0000-0000-00002A290000}"/>
    <cellStyle name="40% - Accent1 18" xfId="2672" xr:uid="{00000000-0005-0000-0000-00002B290000}"/>
    <cellStyle name="40% - Accent1 18 2" xfId="2673" xr:uid="{00000000-0005-0000-0000-00002C290000}"/>
    <cellStyle name="40% - Accent1 18 2 2" xfId="10922" xr:uid="{00000000-0005-0000-0000-00002D290000}"/>
    <cellStyle name="40% - Accent1 18 2 2 2" xfId="24864" xr:uid="{00000000-0005-0000-0000-00002E290000}"/>
    <cellStyle name="40% - Accent1 18 2 3" xfId="19998" xr:uid="{00000000-0005-0000-0000-00002F290000}"/>
    <cellStyle name="40% - Accent1 18 3" xfId="2674" xr:uid="{00000000-0005-0000-0000-000030290000}"/>
    <cellStyle name="40% - Accent1 18 3 2" xfId="12657" xr:uid="{00000000-0005-0000-0000-000031290000}"/>
    <cellStyle name="40% - Accent1 18 3 2 2" xfId="26369" xr:uid="{00000000-0005-0000-0000-000032290000}"/>
    <cellStyle name="40% - Accent1 18 3 3" xfId="19999" xr:uid="{00000000-0005-0000-0000-000033290000}"/>
    <cellStyle name="40% - Accent1 18 4" xfId="2675" xr:uid="{00000000-0005-0000-0000-000034290000}"/>
    <cellStyle name="40% - Accent1 18 4 2" xfId="15060" xr:uid="{00000000-0005-0000-0000-000035290000}"/>
    <cellStyle name="40% - Accent1 18 4 2 2" xfId="28609" xr:uid="{00000000-0005-0000-0000-000036290000}"/>
    <cellStyle name="40% - Accent1 18 4 3" xfId="20000" xr:uid="{00000000-0005-0000-0000-000037290000}"/>
    <cellStyle name="40% - Accent1 18 5" xfId="9196" xr:uid="{00000000-0005-0000-0000-000038290000}"/>
    <cellStyle name="40% - Accent1 18 5 2" xfId="23671" xr:uid="{00000000-0005-0000-0000-000039290000}"/>
    <cellStyle name="40% - Accent1 18 6" xfId="19997" xr:uid="{00000000-0005-0000-0000-00003A290000}"/>
    <cellStyle name="40% - Accent1 19" xfId="2676" xr:uid="{00000000-0005-0000-0000-00003B290000}"/>
    <cellStyle name="40% - Accent1 19 2" xfId="2677" xr:uid="{00000000-0005-0000-0000-00003C290000}"/>
    <cellStyle name="40% - Accent1 19 2 2" xfId="11705" xr:uid="{00000000-0005-0000-0000-00003D290000}"/>
    <cellStyle name="40% - Accent1 19 2 2 2" xfId="25425" xr:uid="{00000000-0005-0000-0000-00003E290000}"/>
    <cellStyle name="40% - Accent1 19 2 3" xfId="20002" xr:uid="{00000000-0005-0000-0000-00003F290000}"/>
    <cellStyle name="40% - Accent1 19 3" xfId="2678" xr:uid="{00000000-0005-0000-0000-000040290000}"/>
    <cellStyle name="40% - Accent1 19 3 2" xfId="12448" xr:uid="{00000000-0005-0000-0000-000041290000}"/>
    <cellStyle name="40% - Accent1 19 3 2 2" xfId="26160" xr:uid="{00000000-0005-0000-0000-000042290000}"/>
    <cellStyle name="40% - Accent1 19 3 3" xfId="20003" xr:uid="{00000000-0005-0000-0000-000043290000}"/>
    <cellStyle name="40% - Accent1 19 4" xfId="2679" xr:uid="{00000000-0005-0000-0000-000044290000}"/>
    <cellStyle name="40% - Accent1 19 4 2" xfId="15061" xr:uid="{00000000-0005-0000-0000-000045290000}"/>
    <cellStyle name="40% - Accent1 19 4 2 2" xfId="28610" xr:uid="{00000000-0005-0000-0000-000046290000}"/>
    <cellStyle name="40% - Accent1 19 4 3" xfId="20004" xr:uid="{00000000-0005-0000-0000-000047290000}"/>
    <cellStyle name="40% - Accent1 19 5" xfId="10457" xr:uid="{00000000-0005-0000-0000-000048290000}"/>
    <cellStyle name="40% - Accent1 19 5 2" xfId="24416" xr:uid="{00000000-0005-0000-0000-000049290000}"/>
    <cellStyle name="40% - Accent1 19 6" xfId="20001" xr:uid="{00000000-0005-0000-0000-00004A290000}"/>
    <cellStyle name="40% - Accent1 2" xfId="2680" xr:uid="{00000000-0005-0000-0000-00004B290000}"/>
    <cellStyle name="40% - Accent1 2 10" xfId="2681" xr:uid="{00000000-0005-0000-0000-00004C290000}"/>
    <cellStyle name="40% - Accent1 2 10 2" xfId="2682" xr:uid="{00000000-0005-0000-0000-00004D290000}"/>
    <cellStyle name="40% - Accent1 2 10 2 2" xfId="15063" xr:uid="{00000000-0005-0000-0000-00004E290000}"/>
    <cellStyle name="40% - Accent1 2 10 2 2 2" xfId="28612" xr:uid="{00000000-0005-0000-0000-00004F290000}"/>
    <cellStyle name="40% - Accent1 2 10 2 3" xfId="20007" xr:uid="{00000000-0005-0000-0000-000050290000}"/>
    <cellStyle name="40% - Accent1 2 10 3" xfId="11825" xr:uid="{00000000-0005-0000-0000-000051290000}"/>
    <cellStyle name="40% - Accent1 2 10 3 2" xfId="25540" xr:uid="{00000000-0005-0000-0000-000052290000}"/>
    <cellStyle name="40% - Accent1 2 10 4" xfId="20006" xr:uid="{00000000-0005-0000-0000-000053290000}"/>
    <cellStyle name="40% - Accent1 2 11" xfId="2683" xr:uid="{00000000-0005-0000-0000-000054290000}"/>
    <cellStyle name="40% - Accent1 2 11 2" xfId="12665" xr:uid="{00000000-0005-0000-0000-000055290000}"/>
    <cellStyle name="40% - Accent1 2 11 2 2" xfId="26377" xr:uid="{00000000-0005-0000-0000-000056290000}"/>
    <cellStyle name="40% - Accent1 2 11 3" xfId="20008" xr:uid="{00000000-0005-0000-0000-000057290000}"/>
    <cellStyle name="40% - Accent1 2 12" xfId="2684" xr:uid="{00000000-0005-0000-0000-000058290000}"/>
    <cellStyle name="40% - Accent1 2 12 2" xfId="13425" xr:uid="{00000000-0005-0000-0000-000059290000}"/>
    <cellStyle name="40% - Accent1 2 12 2 2" xfId="26974" xr:uid="{00000000-0005-0000-0000-00005A290000}"/>
    <cellStyle name="40% - Accent1 2 12 3" xfId="20009" xr:uid="{00000000-0005-0000-0000-00005B290000}"/>
    <cellStyle name="40% - Accent1 2 13" xfId="2685" xr:uid="{00000000-0005-0000-0000-00005C290000}"/>
    <cellStyle name="40% - Accent1 2 13 2" xfId="14006" xr:uid="{00000000-0005-0000-0000-00005D290000}"/>
    <cellStyle name="40% - Accent1 2 13 2 2" xfId="27555" xr:uid="{00000000-0005-0000-0000-00005E290000}"/>
    <cellStyle name="40% - Accent1 2 13 3" xfId="20010" xr:uid="{00000000-0005-0000-0000-00005F290000}"/>
    <cellStyle name="40% - Accent1 2 14" xfId="2686" xr:uid="{00000000-0005-0000-0000-000060290000}"/>
    <cellStyle name="40% - Accent1 2 14 2" xfId="15062" xr:uid="{00000000-0005-0000-0000-000061290000}"/>
    <cellStyle name="40% - Accent1 2 14 2 2" xfId="28611" xr:uid="{00000000-0005-0000-0000-000062290000}"/>
    <cellStyle name="40% - Accent1 2 14 3" xfId="20011" xr:uid="{00000000-0005-0000-0000-000063290000}"/>
    <cellStyle name="40% - Accent1 2 15" xfId="2687" xr:uid="{00000000-0005-0000-0000-000064290000}"/>
    <cellStyle name="40% - Accent1 2 15 2" xfId="15892" xr:uid="{00000000-0005-0000-0000-000065290000}"/>
    <cellStyle name="40% - Accent1 2 15 2 2" xfId="29299" xr:uid="{00000000-0005-0000-0000-000066290000}"/>
    <cellStyle name="40% - Accent1 2 15 3" xfId="20012" xr:uid="{00000000-0005-0000-0000-000067290000}"/>
    <cellStyle name="40% - Accent1 2 16" xfId="9197" xr:uid="{00000000-0005-0000-0000-000068290000}"/>
    <cellStyle name="40% - Accent1 2 16 2" xfId="23672" xr:uid="{00000000-0005-0000-0000-000069290000}"/>
    <cellStyle name="40% - Accent1 2 17" xfId="20005" xr:uid="{00000000-0005-0000-0000-00006A290000}"/>
    <cellStyle name="40% - Accent1 2 2" xfId="2688" xr:uid="{00000000-0005-0000-0000-00006B290000}"/>
    <cellStyle name="40% - Accent1 2 2 10" xfId="2689" xr:uid="{00000000-0005-0000-0000-00006C290000}"/>
    <cellStyle name="40% - Accent1 2 2 10 2" xfId="15064" xr:uid="{00000000-0005-0000-0000-00006D290000}"/>
    <cellStyle name="40% - Accent1 2 2 10 2 2" xfId="28613" xr:uid="{00000000-0005-0000-0000-00006E290000}"/>
    <cellStyle name="40% - Accent1 2 2 10 3" xfId="20014" xr:uid="{00000000-0005-0000-0000-00006F290000}"/>
    <cellStyle name="40% - Accent1 2 2 11" xfId="2690" xr:uid="{00000000-0005-0000-0000-000070290000}"/>
    <cellStyle name="40% - Accent1 2 2 11 2" xfId="15938" xr:uid="{00000000-0005-0000-0000-000071290000}"/>
    <cellStyle name="40% - Accent1 2 2 11 2 2" xfId="29345" xr:uid="{00000000-0005-0000-0000-000072290000}"/>
    <cellStyle name="40% - Accent1 2 2 11 3" xfId="20015" xr:uid="{00000000-0005-0000-0000-000073290000}"/>
    <cellStyle name="40% - Accent1 2 2 12" xfId="9198" xr:uid="{00000000-0005-0000-0000-000074290000}"/>
    <cellStyle name="40% - Accent1 2 2 12 2" xfId="23673" xr:uid="{00000000-0005-0000-0000-000075290000}"/>
    <cellStyle name="40% - Accent1 2 2 13" xfId="20013" xr:uid="{00000000-0005-0000-0000-000076290000}"/>
    <cellStyle name="40% - Accent1 2 2 2" xfId="2691" xr:uid="{00000000-0005-0000-0000-000077290000}"/>
    <cellStyle name="40% - Accent1 2 2 2 10" xfId="2692" xr:uid="{00000000-0005-0000-0000-000078290000}"/>
    <cellStyle name="40% - Accent1 2 2 2 10 2" xfId="16081" xr:uid="{00000000-0005-0000-0000-000079290000}"/>
    <cellStyle name="40% - Accent1 2 2 2 10 2 2" xfId="29488" xr:uid="{00000000-0005-0000-0000-00007A290000}"/>
    <cellStyle name="40% - Accent1 2 2 2 10 3" xfId="20017" xr:uid="{00000000-0005-0000-0000-00007B290000}"/>
    <cellStyle name="40% - Accent1 2 2 2 11" xfId="9199" xr:uid="{00000000-0005-0000-0000-00007C290000}"/>
    <cellStyle name="40% - Accent1 2 2 2 11 2" xfId="23674" xr:uid="{00000000-0005-0000-0000-00007D290000}"/>
    <cellStyle name="40% - Accent1 2 2 2 12" xfId="20016" xr:uid="{00000000-0005-0000-0000-00007E290000}"/>
    <cellStyle name="40% - Accent1 2 2 2 2" xfId="2693" xr:uid="{00000000-0005-0000-0000-00007F290000}"/>
    <cellStyle name="40% - Accent1 2 2 2 2 10" xfId="9200" xr:uid="{00000000-0005-0000-0000-000080290000}"/>
    <cellStyle name="40% - Accent1 2 2 2 2 10 2" xfId="23675" xr:uid="{00000000-0005-0000-0000-000081290000}"/>
    <cellStyle name="40% - Accent1 2 2 2 2 11" xfId="20018" xr:uid="{00000000-0005-0000-0000-000082290000}"/>
    <cellStyle name="40% - Accent1 2 2 2 2 2" xfId="2694" xr:uid="{00000000-0005-0000-0000-000083290000}"/>
    <cellStyle name="40% - Accent1 2 2 2 2 2 2" xfId="2695" xr:uid="{00000000-0005-0000-0000-000084290000}"/>
    <cellStyle name="40% - Accent1 2 2 2 2 2 2 2" xfId="10927" xr:uid="{00000000-0005-0000-0000-000085290000}"/>
    <cellStyle name="40% - Accent1 2 2 2 2 2 2 2 2" xfId="24869" xr:uid="{00000000-0005-0000-0000-000086290000}"/>
    <cellStyle name="40% - Accent1 2 2 2 2 2 2 3" xfId="20020" xr:uid="{00000000-0005-0000-0000-000087290000}"/>
    <cellStyle name="40% - Accent1 2 2 2 2 2 3" xfId="2696" xr:uid="{00000000-0005-0000-0000-000088290000}"/>
    <cellStyle name="40% - Accent1 2 2 2 2 2 3 2" xfId="12536" xr:uid="{00000000-0005-0000-0000-000089290000}"/>
    <cellStyle name="40% - Accent1 2 2 2 2 2 3 2 2" xfId="26248" xr:uid="{00000000-0005-0000-0000-00008A290000}"/>
    <cellStyle name="40% - Accent1 2 2 2 2 2 3 3" xfId="20021" xr:uid="{00000000-0005-0000-0000-00008B290000}"/>
    <cellStyle name="40% - Accent1 2 2 2 2 2 4" xfId="2697" xr:uid="{00000000-0005-0000-0000-00008C290000}"/>
    <cellStyle name="40% - Accent1 2 2 2 2 2 4 2" xfId="15067" xr:uid="{00000000-0005-0000-0000-00008D290000}"/>
    <cellStyle name="40% - Accent1 2 2 2 2 2 4 2 2" xfId="28616" xr:uid="{00000000-0005-0000-0000-00008E290000}"/>
    <cellStyle name="40% - Accent1 2 2 2 2 2 4 3" xfId="20022" xr:uid="{00000000-0005-0000-0000-00008F290000}"/>
    <cellStyle name="40% - Accent1 2 2 2 2 2 5" xfId="2698" xr:uid="{00000000-0005-0000-0000-000090290000}"/>
    <cellStyle name="40% - Accent1 2 2 2 2 2 5 2" xfId="16951" xr:uid="{00000000-0005-0000-0000-000091290000}"/>
    <cellStyle name="40% - Accent1 2 2 2 2 2 5 2 2" xfId="30358" xr:uid="{00000000-0005-0000-0000-000092290000}"/>
    <cellStyle name="40% - Accent1 2 2 2 2 2 5 3" xfId="20023" xr:uid="{00000000-0005-0000-0000-000093290000}"/>
    <cellStyle name="40% - Accent1 2 2 2 2 2 6" xfId="9201" xr:uid="{00000000-0005-0000-0000-000094290000}"/>
    <cellStyle name="40% - Accent1 2 2 2 2 2 6 2" xfId="23676" xr:uid="{00000000-0005-0000-0000-000095290000}"/>
    <cellStyle name="40% - Accent1 2 2 2 2 2 7" xfId="20019" xr:uid="{00000000-0005-0000-0000-000096290000}"/>
    <cellStyle name="40% - Accent1 2 2 2 2 3" xfId="2699" xr:uid="{00000000-0005-0000-0000-000097290000}"/>
    <cellStyle name="40% - Accent1 2 2 2 2 3 2" xfId="2700" xr:uid="{00000000-0005-0000-0000-000098290000}"/>
    <cellStyle name="40% - Accent1 2 2 2 2 3 2 2" xfId="15068" xr:uid="{00000000-0005-0000-0000-000099290000}"/>
    <cellStyle name="40% - Accent1 2 2 2 2 3 2 2 2" xfId="28617" xr:uid="{00000000-0005-0000-0000-00009A290000}"/>
    <cellStyle name="40% - Accent1 2 2 2 2 3 2 3" xfId="20025" xr:uid="{00000000-0005-0000-0000-00009B290000}"/>
    <cellStyle name="40% - Accent1 2 2 2 2 3 3" xfId="10926" xr:uid="{00000000-0005-0000-0000-00009C290000}"/>
    <cellStyle name="40% - Accent1 2 2 2 2 3 3 2" xfId="24868" xr:uid="{00000000-0005-0000-0000-00009D290000}"/>
    <cellStyle name="40% - Accent1 2 2 2 2 3 4" xfId="20024" xr:uid="{00000000-0005-0000-0000-00009E290000}"/>
    <cellStyle name="40% - Accent1 2 2 2 2 4" xfId="2701" xr:uid="{00000000-0005-0000-0000-00009F290000}"/>
    <cellStyle name="40% - Accent1 2 2 2 2 4 2" xfId="12339" xr:uid="{00000000-0005-0000-0000-0000A0290000}"/>
    <cellStyle name="40% - Accent1 2 2 2 2 4 2 2" xfId="26051" xr:uid="{00000000-0005-0000-0000-0000A1290000}"/>
    <cellStyle name="40% - Accent1 2 2 2 2 4 3" xfId="20026" xr:uid="{00000000-0005-0000-0000-0000A2290000}"/>
    <cellStyle name="40% - Accent1 2 2 2 2 5" xfId="2702" xr:uid="{00000000-0005-0000-0000-0000A3290000}"/>
    <cellStyle name="40% - Accent1 2 2 2 2 5 2" xfId="12587" xr:uid="{00000000-0005-0000-0000-0000A4290000}"/>
    <cellStyle name="40% - Accent1 2 2 2 2 5 2 2" xfId="26299" xr:uid="{00000000-0005-0000-0000-0000A5290000}"/>
    <cellStyle name="40% - Accent1 2 2 2 2 5 3" xfId="20027" xr:uid="{00000000-0005-0000-0000-0000A6290000}"/>
    <cellStyle name="40% - Accent1 2 2 2 2 6" xfId="2703" xr:uid="{00000000-0005-0000-0000-0000A7290000}"/>
    <cellStyle name="40% - Accent1 2 2 2 2 6 2" xfId="13903" xr:uid="{00000000-0005-0000-0000-0000A8290000}"/>
    <cellStyle name="40% - Accent1 2 2 2 2 6 2 2" xfId="27452" xr:uid="{00000000-0005-0000-0000-0000A9290000}"/>
    <cellStyle name="40% - Accent1 2 2 2 2 6 3" xfId="20028" xr:uid="{00000000-0005-0000-0000-0000AA290000}"/>
    <cellStyle name="40% - Accent1 2 2 2 2 7" xfId="2704" xr:uid="{00000000-0005-0000-0000-0000AB290000}"/>
    <cellStyle name="40% - Accent1 2 2 2 2 7 2" xfId="14484" xr:uid="{00000000-0005-0000-0000-0000AC290000}"/>
    <cellStyle name="40% - Accent1 2 2 2 2 7 2 2" xfId="28033" xr:uid="{00000000-0005-0000-0000-0000AD290000}"/>
    <cellStyle name="40% - Accent1 2 2 2 2 7 3" xfId="20029" xr:uid="{00000000-0005-0000-0000-0000AE290000}"/>
    <cellStyle name="40% - Accent1 2 2 2 2 8" xfId="2705" xr:uid="{00000000-0005-0000-0000-0000AF290000}"/>
    <cellStyle name="40% - Accent1 2 2 2 2 8 2" xfId="15066" xr:uid="{00000000-0005-0000-0000-0000B0290000}"/>
    <cellStyle name="40% - Accent1 2 2 2 2 8 2 2" xfId="28615" xr:uid="{00000000-0005-0000-0000-0000B1290000}"/>
    <cellStyle name="40% - Accent1 2 2 2 2 8 3" xfId="20030" xr:uid="{00000000-0005-0000-0000-0000B2290000}"/>
    <cellStyle name="40% - Accent1 2 2 2 2 9" xfId="2706" xr:uid="{00000000-0005-0000-0000-0000B3290000}"/>
    <cellStyle name="40% - Accent1 2 2 2 2 9 2" xfId="16370" xr:uid="{00000000-0005-0000-0000-0000B4290000}"/>
    <cellStyle name="40% - Accent1 2 2 2 2 9 2 2" xfId="29777" xr:uid="{00000000-0005-0000-0000-0000B5290000}"/>
    <cellStyle name="40% - Accent1 2 2 2 2 9 3" xfId="20031" xr:uid="{00000000-0005-0000-0000-0000B6290000}"/>
    <cellStyle name="40% - Accent1 2 2 2 3" xfId="2707" xr:uid="{00000000-0005-0000-0000-0000B7290000}"/>
    <cellStyle name="40% - Accent1 2 2 2 3 2" xfId="2708" xr:uid="{00000000-0005-0000-0000-0000B8290000}"/>
    <cellStyle name="40% - Accent1 2 2 2 3 2 2" xfId="10928" xr:uid="{00000000-0005-0000-0000-0000B9290000}"/>
    <cellStyle name="40% - Accent1 2 2 2 3 2 2 2" xfId="24870" xr:uid="{00000000-0005-0000-0000-0000BA290000}"/>
    <cellStyle name="40% - Accent1 2 2 2 3 2 3" xfId="20033" xr:uid="{00000000-0005-0000-0000-0000BB290000}"/>
    <cellStyle name="40% - Accent1 2 2 2 3 3" xfId="2709" xr:uid="{00000000-0005-0000-0000-0000BC290000}"/>
    <cellStyle name="40% - Accent1 2 2 2 3 3 2" xfId="12731" xr:uid="{00000000-0005-0000-0000-0000BD290000}"/>
    <cellStyle name="40% - Accent1 2 2 2 3 3 2 2" xfId="26443" xr:uid="{00000000-0005-0000-0000-0000BE290000}"/>
    <cellStyle name="40% - Accent1 2 2 2 3 3 3" xfId="20034" xr:uid="{00000000-0005-0000-0000-0000BF290000}"/>
    <cellStyle name="40% - Accent1 2 2 2 3 4" xfId="2710" xr:uid="{00000000-0005-0000-0000-0000C0290000}"/>
    <cellStyle name="40% - Accent1 2 2 2 3 4 2" xfId="15069" xr:uid="{00000000-0005-0000-0000-0000C1290000}"/>
    <cellStyle name="40% - Accent1 2 2 2 3 4 2 2" xfId="28618" xr:uid="{00000000-0005-0000-0000-0000C2290000}"/>
    <cellStyle name="40% - Accent1 2 2 2 3 4 3" xfId="20035" xr:uid="{00000000-0005-0000-0000-0000C3290000}"/>
    <cellStyle name="40% - Accent1 2 2 2 3 5" xfId="2711" xr:uid="{00000000-0005-0000-0000-0000C4290000}"/>
    <cellStyle name="40% - Accent1 2 2 2 3 5 2" xfId="16662" xr:uid="{00000000-0005-0000-0000-0000C5290000}"/>
    <cellStyle name="40% - Accent1 2 2 2 3 5 2 2" xfId="30069" xr:uid="{00000000-0005-0000-0000-0000C6290000}"/>
    <cellStyle name="40% - Accent1 2 2 2 3 5 3" xfId="20036" xr:uid="{00000000-0005-0000-0000-0000C7290000}"/>
    <cellStyle name="40% - Accent1 2 2 2 3 6" xfId="9202" xr:uid="{00000000-0005-0000-0000-0000C8290000}"/>
    <cellStyle name="40% - Accent1 2 2 2 3 6 2" xfId="23677" xr:uid="{00000000-0005-0000-0000-0000C9290000}"/>
    <cellStyle name="40% - Accent1 2 2 2 3 7" xfId="20032" xr:uid="{00000000-0005-0000-0000-0000CA290000}"/>
    <cellStyle name="40% - Accent1 2 2 2 4" xfId="2712" xr:uid="{00000000-0005-0000-0000-0000CB290000}"/>
    <cellStyle name="40% - Accent1 2 2 2 4 2" xfId="2713" xr:uid="{00000000-0005-0000-0000-0000CC290000}"/>
    <cellStyle name="40% - Accent1 2 2 2 4 2 2" xfId="15070" xr:uid="{00000000-0005-0000-0000-0000CD290000}"/>
    <cellStyle name="40% - Accent1 2 2 2 4 2 2 2" xfId="28619" xr:uid="{00000000-0005-0000-0000-0000CE290000}"/>
    <cellStyle name="40% - Accent1 2 2 2 4 2 3" xfId="20038" xr:uid="{00000000-0005-0000-0000-0000CF290000}"/>
    <cellStyle name="40% - Accent1 2 2 2 4 3" xfId="10925" xr:uid="{00000000-0005-0000-0000-0000D0290000}"/>
    <cellStyle name="40% - Accent1 2 2 2 4 3 2" xfId="24867" xr:uid="{00000000-0005-0000-0000-0000D1290000}"/>
    <cellStyle name="40% - Accent1 2 2 2 4 4" xfId="20037" xr:uid="{00000000-0005-0000-0000-0000D2290000}"/>
    <cellStyle name="40% - Accent1 2 2 2 5" xfId="2714" xr:uid="{00000000-0005-0000-0000-0000D3290000}"/>
    <cellStyle name="40% - Accent1 2 2 2 5 2" xfId="12039" xr:uid="{00000000-0005-0000-0000-0000D4290000}"/>
    <cellStyle name="40% - Accent1 2 2 2 5 2 2" xfId="25754" xr:uid="{00000000-0005-0000-0000-0000D5290000}"/>
    <cellStyle name="40% - Accent1 2 2 2 5 3" xfId="20039" xr:uid="{00000000-0005-0000-0000-0000D6290000}"/>
    <cellStyle name="40% - Accent1 2 2 2 6" xfId="2715" xr:uid="{00000000-0005-0000-0000-0000D7290000}"/>
    <cellStyle name="40% - Accent1 2 2 2 6 2" xfId="12474" xr:uid="{00000000-0005-0000-0000-0000D8290000}"/>
    <cellStyle name="40% - Accent1 2 2 2 6 2 2" xfId="26186" xr:uid="{00000000-0005-0000-0000-0000D9290000}"/>
    <cellStyle name="40% - Accent1 2 2 2 6 3" xfId="20040" xr:uid="{00000000-0005-0000-0000-0000DA290000}"/>
    <cellStyle name="40% - Accent1 2 2 2 7" xfId="2716" xr:uid="{00000000-0005-0000-0000-0000DB290000}"/>
    <cellStyle name="40% - Accent1 2 2 2 7 2" xfId="13614" xr:uid="{00000000-0005-0000-0000-0000DC290000}"/>
    <cellStyle name="40% - Accent1 2 2 2 7 2 2" xfId="27163" xr:uid="{00000000-0005-0000-0000-0000DD290000}"/>
    <cellStyle name="40% - Accent1 2 2 2 7 3" xfId="20041" xr:uid="{00000000-0005-0000-0000-0000DE290000}"/>
    <cellStyle name="40% - Accent1 2 2 2 8" xfId="2717" xr:uid="{00000000-0005-0000-0000-0000DF290000}"/>
    <cellStyle name="40% - Accent1 2 2 2 8 2" xfId="14195" xr:uid="{00000000-0005-0000-0000-0000E0290000}"/>
    <cellStyle name="40% - Accent1 2 2 2 8 2 2" xfId="27744" xr:uid="{00000000-0005-0000-0000-0000E1290000}"/>
    <cellStyle name="40% - Accent1 2 2 2 8 3" xfId="20042" xr:uid="{00000000-0005-0000-0000-0000E2290000}"/>
    <cellStyle name="40% - Accent1 2 2 2 9" xfId="2718" xr:uid="{00000000-0005-0000-0000-0000E3290000}"/>
    <cellStyle name="40% - Accent1 2 2 2 9 2" xfId="15065" xr:uid="{00000000-0005-0000-0000-0000E4290000}"/>
    <cellStyle name="40% - Accent1 2 2 2 9 2 2" xfId="28614" xr:uid="{00000000-0005-0000-0000-0000E5290000}"/>
    <cellStyle name="40% - Accent1 2 2 2 9 3" xfId="20043" xr:uid="{00000000-0005-0000-0000-0000E6290000}"/>
    <cellStyle name="40% - Accent1 2 2 3" xfId="2719" xr:uid="{00000000-0005-0000-0000-0000E7290000}"/>
    <cellStyle name="40% - Accent1 2 2 3 10" xfId="9203" xr:uid="{00000000-0005-0000-0000-0000E8290000}"/>
    <cellStyle name="40% - Accent1 2 2 3 10 2" xfId="23678" xr:uid="{00000000-0005-0000-0000-0000E9290000}"/>
    <cellStyle name="40% - Accent1 2 2 3 11" xfId="20044" xr:uid="{00000000-0005-0000-0000-0000EA290000}"/>
    <cellStyle name="40% - Accent1 2 2 3 2" xfId="2720" xr:uid="{00000000-0005-0000-0000-0000EB290000}"/>
    <cellStyle name="40% - Accent1 2 2 3 2 2" xfId="2721" xr:uid="{00000000-0005-0000-0000-0000EC290000}"/>
    <cellStyle name="40% - Accent1 2 2 3 2 2 2" xfId="10930" xr:uid="{00000000-0005-0000-0000-0000ED290000}"/>
    <cellStyle name="40% - Accent1 2 2 3 2 2 2 2" xfId="24872" xr:uid="{00000000-0005-0000-0000-0000EE290000}"/>
    <cellStyle name="40% - Accent1 2 2 3 2 2 3" xfId="20046" xr:uid="{00000000-0005-0000-0000-0000EF290000}"/>
    <cellStyle name="40% - Accent1 2 2 3 2 3" xfId="2722" xr:uid="{00000000-0005-0000-0000-0000F0290000}"/>
    <cellStyle name="40% - Accent1 2 2 3 2 3 2" xfId="12648" xr:uid="{00000000-0005-0000-0000-0000F1290000}"/>
    <cellStyle name="40% - Accent1 2 2 3 2 3 2 2" xfId="26360" xr:uid="{00000000-0005-0000-0000-0000F2290000}"/>
    <cellStyle name="40% - Accent1 2 2 3 2 3 3" xfId="20047" xr:uid="{00000000-0005-0000-0000-0000F3290000}"/>
    <cellStyle name="40% - Accent1 2 2 3 2 4" xfId="2723" xr:uid="{00000000-0005-0000-0000-0000F4290000}"/>
    <cellStyle name="40% - Accent1 2 2 3 2 4 2" xfId="15072" xr:uid="{00000000-0005-0000-0000-0000F5290000}"/>
    <cellStyle name="40% - Accent1 2 2 3 2 4 2 2" xfId="28621" xr:uid="{00000000-0005-0000-0000-0000F6290000}"/>
    <cellStyle name="40% - Accent1 2 2 3 2 4 3" xfId="20048" xr:uid="{00000000-0005-0000-0000-0000F7290000}"/>
    <cellStyle name="40% - Accent1 2 2 3 2 5" xfId="2724" xr:uid="{00000000-0005-0000-0000-0000F8290000}"/>
    <cellStyle name="40% - Accent1 2 2 3 2 5 2" xfId="16808" xr:uid="{00000000-0005-0000-0000-0000F9290000}"/>
    <cellStyle name="40% - Accent1 2 2 3 2 5 2 2" xfId="30215" xr:uid="{00000000-0005-0000-0000-0000FA290000}"/>
    <cellStyle name="40% - Accent1 2 2 3 2 5 3" xfId="20049" xr:uid="{00000000-0005-0000-0000-0000FB290000}"/>
    <cellStyle name="40% - Accent1 2 2 3 2 6" xfId="9204" xr:uid="{00000000-0005-0000-0000-0000FC290000}"/>
    <cellStyle name="40% - Accent1 2 2 3 2 6 2" xfId="23679" xr:uid="{00000000-0005-0000-0000-0000FD290000}"/>
    <cellStyle name="40% - Accent1 2 2 3 2 7" xfId="20045" xr:uid="{00000000-0005-0000-0000-0000FE290000}"/>
    <cellStyle name="40% - Accent1 2 2 3 3" xfId="2725" xr:uid="{00000000-0005-0000-0000-0000FF290000}"/>
    <cellStyle name="40% - Accent1 2 2 3 3 2" xfId="2726" xr:uid="{00000000-0005-0000-0000-0000002A0000}"/>
    <cellStyle name="40% - Accent1 2 2 3 3 2 2" xfId="15073" xr:uid="{00000000-0005-0000-0000-0000012A0000}"/>
    <cellStyle name="40% - Accent1 2 2 3 3 2 2 2" xfId="28622" xr:uid="{00000000-0005-0000-0000-0000022A0000}"/>
    <cellStyle name="40% - Accent1 2 2 3 3 2 3" xfId="20051" xr:uid="{00000000-0005-0000-0000-0000032A0000}"/>
    <cellStyle name="40% - Accent1 2 2 3 3 3" xfId="10929" xr:uid="{00000000-0005-0000-0000-0000042A0000}"/>
    <cellStyle name="40% - Accent1 2 2 3 3 3 2" xfId="24871" xr:uid="{00000000-0005-0000-0000-0000052A0000}"/>
    <cellStyle name="40% - Accent1 2 2 3 3 4" xfId="20050" xr:uid="{00000000-0005-0000-0000-0000062A0000}"/>
    <cellStyle name="40% - Accent1 2 2 3 4" xfId="2727" xr:uid="{00000000-0005-0000-0000-0000072A0000}"/>
    <cellStyle name="40% - Accent1 2 2 3 4 2" xfId="12196" xr:uid="{00000000-0005-0000-0000-0000082A0000}"/>
    <cellStyle name="40% - Accent1 2 2 3 4 2 2" xfId="25908" xr:uid="{00000000-0005-0000-0000-0000092A0000}"/>
    <cellStyle name="40% - Accent1 2 2 3 4 3" xfId="20052" xr:uid="{00000000-0005-0000-0000-00000A2A0000}"/>
    <cellStyle name="40% - Accent1 2 2 3 5" xfId="2728" xr:uid="{00000000-0005-0000-0000-00000B2A0000}"/>
    <cellStyle name="40% - Accent1 2 2 3 5 2" xfId="11779" xr:uid="{00000000-0005-0000-0000-00000C2A0000}"/>
    <cellStyle name="40% - Accent1 2 2 3 5 2 2" xfId="25494" xr:uid="{00000000-0005-0000-0000-00000D2A0000}"/>
    <cellStyle name="40% - Accent1 2 2 3 5 3" xfId="20053" xr:uid="{00000000-0005-0000-0000-00000E2A0000}"/>
    <cellStyle name="40% - Accent1 2 2 3 6" xfId="2729" xr:uid="{00000000-0005-0000-0000-00000F2A0000}"/>
    <cellStyle name="40% - Accent1 2 2 3 6 2" xfId="13760" xr:uid="{00000000-0005-0000-0000-0000102A0000}"/>
    <cellStyle name="40% - Accent1 2 2 3 6 2 2" xfId="27309" xr:uid="{00000000-0005-0000-0000-0000112A0000}"/>
    <cellStyle name="40% - Accent1 2 2 3 6 3" xfId="20054" xr:uid="{00000000-0005-0000-0000-0000122A0000}"/>
    <cellStyle name="40% - Accent1 2 2 3 7" xfId="2730" xr:uid="{00000000-0005-0000-0000-0000132A0000}"/>
    <cellStyle name="40% - Accent1 2 2 3 7 2" xfId="14341" xr:uid="{00000000-0005-0000-0000-0000142A0000}"/>
    <cellStyle name="40% - Accent1 2 2 3 7 2 2" xfId="27890" xr:uid="{00000000-0005-0000-0000-0000152A0000}"/>
    <cellStyle name="40% - Accent1 2 2 3 7 3" xfId="20055" xr:uid="{00000000-0005-0000-0000-0000162A0000}"/>
    <cellStyle name="40% - Accent1 2 2 3 8" xfId="2731" xr:uid="{00000000-0005-0000-0000-0000172A0000}"/>
    <cellStyle name="40% - Accent1 2 2 3 8 2" xfId="15071" xr:uid="{00000000-0005-0000-0000-0000182A0000}"/>
    <cellStyle name="40% - Accent1 2 2 3 8 2 2" xfId="28620" xr:uid="{00000000-0005-0000-0000-0000192A0000}"/>
    <cellStyle name="40% - Accent1 2 2 3 8 3" xfId="20056" xr:uid="{00000000-0005-0000-0000-00001A2A0000}"/>
    <cellStyle name="40% - Accent1 2 2 3 9" xfId="2732" xr:uid="{00000000-0005-0000-0000-00001B2A0000}"/>
    <cellStyle name="40% - Accent1 2 2 3 9 2" xfId="16227" xr:uid="{00000000-0005-0000-0000-00001C2A0000}"/>
    <cellStyle name="40% - Accent1 2 2 3 9 2 2" xfId="29634" xr:uid="{00000000-0005-0000-0000-00001D2A0000}"/>
    <cellStyle name="40% - Accent1 2 2 3 9 3" xfId="20057" xr:uid="{00000000-0005-0000-0000-00001E2A0000}"/>
    <cellStyle name="40% - Accent1 2 2 4" xfId="2733" xr:uid="{00000000-0005-0000-0000-00001F2A0000}"/>
    <cellStyle name="40% - Accent1 2 2 4 2" xfId="2734" xr:uid="{00000000-0005-0000-0000-0000202A0000}"/>
    <cellStyle name="40% - Accent1 2 2 4 2 2" xfId="10931" xr:uid="{00000000-0005-0000-0000-0000212A0000}"/>
    <cellStyle name="40% - Accent1 2 2 4 2 2 2" xfId="24873" xr:uid="{00000000-0005-0000-0000-0000222A0000}"/>
    <cellStyle name="40% - Accent1 2 2 4 2 3" xfId="20059" xr:uid="{00000000-0005-0000-0000-0000232A0000}"/>
    <cellStyle name="40% - Accent1 2 2 4 3" xfId="2735" xr:uid="{00000000-0005-0000-0000-0000242A0000}"/>
    <cellStyle name="40% - Accent1 2 2 4 3 2" xfId="11858" xr:uid="{00000000-0005-0000-0000-0000252A0000}"/>
    <cellStyle name="40% - Accent1 2 2 4 3 2 2" xfId="25573" xr:uid="{00000000-0005-0000-0000-0000262A0000}"/>
    <cellStyle name="40% - Accent1 2 2 4 3 3" xfId="20060" xr:uid="{00000000-0005-0000-0000-0000272A0000}"/>
    <cellStyle name="40% - Accent1 2 2 4 4" xfId="2736" xr:uid="{00000000-0005-0000-0000-0000282A0000}"/>
    <cellStyle name="40% - Accent1 2 2 4 4 2" xfId="15074" xr:uid="{00000000-0005-0000-0000-0000292A0000}"/>
    <cellStyle name="40% - Accent1 2 2 4 4 2 2" xfId="28623" xr:uid="{00000000-0005-0000-0000-00002A2A0000}"/>
    <cellStyle name="40% - Accent1 2 2 4 4 3" xfId="20061" xr:uid="{00000000-0005-0000-0000-00002B2A0000}"/>
    <cellStyle name="40% - Accent1 2 2 4 5" xfId="2737" xr:uid="{00000000-0005-0000-0000-00002C2A0000}"/>
    <cellStyle name="40% - Accent1 2 2 4 5 2" xfId="17155" xr:uid="{00000000-0005-0000-0000-00002D2A0000}"/>
    <cellStyle name="40% - Accent1 2 2 4 5 2 2" xfId="30514" xr:uid="{00000000-0005-0000-0000-00002E2A0000}"/>
    <cellStyle name="40% - Accent1 2 2 4 5 3" xfId="20062" xr:uid="{00000000-0005-0000-0000-00002F2A0000}"/>
    <cellStyle name="40% - Accent1 2 2 4 6" xfId="9205" xr:uid="{00000000-0005-0000-0000-0000302A0000}"/>
    <cellStyle name="40% - Accent1 2 2 4 6 2" xfId="23680" xr:uid="{00000000-0005-0000-0000-0000312A0000}"/>
    <cellStyle name="40% - Accent1 2 2 4 7" xfId="20058" xr:uid="{00000000-0005-0000-0000-0000322A0000}"/>
    <cellStyle name="40% - Accent1 2 2 5" xfId="2738" xr:uid="{00000000-0005-0000-0000-0000332A0000}"/>
    <cellStyle name="40% - Accent1 2 2 5 2" xfId="2739" xr:uid="{00000000-0005-0000-0000-0000342A0000}"/>
    <cellStyle name="40% - Accent1 2 2 5 2 2" xfId="15075" xr:uid="{00000000-0005-0000-0000-0000352A0000}"/>
    <cellStyle name="40% - Accent1 2 2 5 2 2 2" xfId="28624" xr:uid="{00000000-0005-0000-0000-0000362A0000}"/>
    <cellStyle name="40% - Accent1 2 2 5 2 3" xfId="20064" xr:uid="{00000000-0005-0000-0000-0000372A0000}"/>
    <cellStyle name="40% - Accent1 2 2 5 3" xfId="2740" xr:uid="{00000000-0005-0000-0000-0000382A0000}"/>
    <cellStyle name="40% - Accent1 2 2 5 3 2" xfId="17244" xr:uid="{00000000-0005-0000-0000-0000392A0000}"/>
    <cellStyle name="40% - Accent1 2 2 5 3 2 2" xfId="30603" xr:uid="{00000000-0005-0000-0000-00003A2A0000}"/>
    <cellStyle name="40% - Accent1 2 2 5 3 3" xfId="20065" xr:uid="{00000000-0005-0000-0000-00003B2A0000}"/>
    <cellStyle name="40% - Accent1 2 2 5 4" xfId="10924" xr:uid="{00000000-0005-0000-0000-00003C2A0000}"/>
    <cellStyle name="40% - Accent1 2 2 5 4 2" xfId="24866" xr:uid="{00000000-0005-0000-0000-00003D2A0000}"/>
    <cellStyle name="40% - Accent1 2 2 5 5" xfId="20063" xr:uid="{00000000-0005-0000-0000-00003E2A0000}"/>
    <cellStyle name="40% - Accent1 2 2 6" xfId="2741" xr:uid="{00000000-0005-0000-0000-00003F2A0000}"/>
    <cellStyle name="40% - Accent1 2 2 6 2" xfId="2742" xr:uid="{00000000-0005-0000-0000-0000402A0000}"/>
    <cellStyle name="40% - Accent1 2 2 6 2 2" xfId="16519" xr:uid="{00000000-0005-0000-0000-0000412A0000}"/>
    <cellStyle name="40% - Accent1 2 2 6 2 2 2" xfId="29926" xr:uid="{00000000-0005-0000-0000-0000422A0000}"/>
    <cellStyle name="40% - Accent1 2 2 6 2 3" xfId="20067" xr:uid="{00000000-0005-0000-0000-0000432A0000}"/>
    <cellStyle name="40% - Accent1 2 2 6 3" xfId="11894" xr:uid="{00000000-0005-0000-0000-0000442A0000}"/>
    <cellStyle name="40% - Accent1 2 2 6 3 2" xfId="25609" xr:uid="{00000000-0005-0000-0000-0000452A0000}"/>
    <cellStyle name="40% - Accent1 2 2 6 4" xfId="20066" xr:uid="{00000000-0005-0000-0000-0000462A0000}"/>
    <cellStyle name="40% - Accent1 2 2 7" xfId="2743" xr:uid="{00000000-0005-0000-0000-0000472A0000}"/>
    <cellStyle name="40% - Accent1 2 2 7 2" xfId="11859" xr:uid="{00000000-0005-0000-0000-0000482A0000}"/>
    <cellStyle name="40% - Accent1 2 2 7 2 2" xfId="25574" xr:uid="{00000000-0005-0000-0000-0000492A0000}"/>
    <cellStyle name="40% - Accent1 2 2 7 3" xfId="20068" xr:uid="{00000000-0005-0000-0000-00004A2A0000}"/>
    <cellStyle name="40% - Accent1 2 2 8" xfId="2744" xr:uid="{00000000-0005-0000-0000-00004B2A0000}"/>
    <cellStyle name="40% - Accent1 2 2 8 2" xfId="13471" xr:uid="{00000000-0005-0000-0000-00004C2A0000}"/>
    <cellStyle name="40% - Accent1 2 2 8 2 2" xfId="27020" xr:uid="{00000000-0005-0000-0000-00004D2A0000}"/>
    <cellStyle name="40% - Accent1 2 2 8 3" xfId="20069" xr:uid="{00000000-0005-0000-0000-00004E2A0000}"/>
    <cellStyle name="40% - Accent1 2 2 9" xfId="2745" xr:uid="{00000000-0005-0000-0000-00004F2A0000}"/>
    <cellStyle name="40% - Accent1 2 2 9 2" xfId="14052" xr:uid="{00000000-0005-0000-0000-0000502A0000}"/>
    <cellStyle name="40% - Accent1 2 2 9 2 2" xfId="27601" xr:uid="{00000000-0005-0000-0000-0000512A0000}"/>
    <cellStyle name="40% - Accent1 2 2 9 3" xfId="20070" xr:uid="{00000000-0005-0000-0000-0000522A0000}"/>
    <cellStyle name="40% - Accent1 2 3" xfId="2746" xr:uid="{00000000-0005-0000-0000-0000532A0000}"/>
    <cellStyle name="40% - Accent1 2 3 10" xfId="2747" xr:uid="{00000000-0005-0000-0000-0000542A0000}"/>
    <cellStyle name="40% - Accent1 2 3 10 2" xfId="16035" xr:uid="{00000000-0005-0000-0000-0000552A0000}"/>
    <cellStyle name="40% - Accent1 2 3 10 2 2" xfId="29442" xr:uid="{00000000-0005-0000-0000-0000562A0000}"/>
    <cellStyle name="40% - Accent1 2 3 10 3" xfId="20072" xr:uid="{00000000-0005-0000-0000-0000572A0000}"/>
    <cellStyle name="40% - Accent1 2 3 11" xfId="9206" xr:uid="{00000000-0005-0000-0000-0000582A0000}"/>
    <cellStyle name="40% - Accent1 2 3 11 2" xfId="23681" xr:uid="{00000000-0005-0000-0000-0000592A0000}"/>
    <cellStyle name="40% - Accent1 2 3 12" xfId="20071" xr:uid="{00000000-0005-0000-0000-00005A2A0000}"/>
    <cellStyle name="40% - Accent1 2 3 2" xfId="2748" xr:uid="{00000000-0005-0000-0000-00005B2A0000}"/>
    <cellStyle name="40% - Accent1 2 3 2 10" xfId="9207" xr:uid="{00000000-0005-0000-0000-00005C2A0000}"/>
    <cellStyle name="40% - Accent1 2 3 2 10 2" xfId="23682" xr:uid="{00000000-0005-0000-0000-00005D2A0000}"/>
    <cellStyle name="40% - Accent1 2 3 2 11" xfId="20073" xr:uid="{00000000-0005-0000-0000-00005E2A0000}"/>
    <cellStyle name="40% - Accent1 2 3 2 2" xfId="2749" xr:uid="{00000000-0005-0000-0000-00005F2A0000}"/>
    <cellStyle name="40% - Accent1 2 3 2 2 2" xfId="2750" xr:uid="{00000000-0005-0000-0000-0000602A0000}"/>
    <cellStyle name="40% - Accent1 2 3 2 2 2 2" xfId="10934" xr:uid="{00000000-0005-0000-0000-0000612A0000}"/>
    <cellStyle name="40% - Accent1 2 3 2 2 2 2 2" xfId="24876" xr:uid="{00000000-0005-0000-0000-0000622A0000}"/>
    <cellStyle name="40% - Accent1 2 3 2 2 2 3" xfId="20075" xr:uid="{00000000-0005-0000-0000-0000632A0000}"/>
    <cellStyle name="40% - Accent1 2 3 2 2 3" xfId="2751" xr:uid="{00000000-0005-0000-0000-0000642A0000}"/>
    <cellStyle name="40% - Accent1 2 3 2 2 3 2" xfId="11781" xr:uid="{00000000-0005-0000-0000-0000652A0000}"/>
    <cellStyle name="40% - Accent1 2 3 2 2 3 2 2" xfId="25496" xr:uid="{00000000-0005-0000-0000-0000662A0000}"/>
    <cellStyle name="40% - Accent1 2 3 2 2 3 3" xfId="20076" xr:uid="{00000000-0005-0000-0000-0000672A0000}"/>
    <cellStyle name="40% - Accent1 2 3 2 2 4" xfId="2752" xr:uid="{00000000-0005-0000-0000-0000682A0000}"/>
    <cellStyle name="40% - Accent1 2 3 2 2 4 2" xfId="15078" xr:uid="{00000000-0005-0000-0000-0000692A0000}"/>
    <cellStyle name="40% - Accent1 2 3 2 2 4 2 2" xfId="28627" xr:uid="{00000000-0005-0000-0000-00006A2A0000}"/>
    <cellStyle name="40% - Accent1 2 3 2 2 4 3" xfId="20077" xr:uid="{00000000-0005-0000-0000-00006B2A0000}"/>
    <cellStyle name="40% - Accent1 2 3 2 2 5" xfId="2753" xr:uid="{00000000-0005-0000-0000-00006C2A0000}"/>
    <cellStyle name="40% - Accent1 2 3 2 2 5 2" xfId="16905" xr:uid="{00000000-0005-0000-0000-00006D2A0000}"/>
    <cellStyle name="40% - Accent1 2 3 2 2 5 2 2" xfId="30312" xr:uid="{00000000-0005-0000-0000-00006E2A0000}"/>
    <cellStyle name="40% - Accent1 2 3 2 2 5 3" xfId="20078" xr:uid="{00000000-0005-0000-0000-00006F2A0000}"/>
    <cellStyle name="40% - Accent1 2 3 2 2 6" xfId="9208" xr:uid="{00000000-0005-0000-0000-0000702A0000}"/>
    <cellStyle name="40% - Accent1 2 3 2 2 6 2" xfId="23683" xr:uid="{00000000-0005-0000-0000-0000712A0000}"/>
    <cellStyle name="40% - Accent1 2 3 2 2 7" xfId="20074" xr:uid="{00000000-0005-0000-0000-0000722A0000}"/>
    <cellStyle name="40% - Accent1 2 3 2 3" xfId="2754" xr:uid="{00000000-0005-0000-0000-0000732A0000}"/>
    <cellStyle name="40% - Accent1 2 3 2 3 2" xfId="2755" xr:uid="{00000000-0005-0000-0000-0000742A0000}"/>
    <cellStyle name="40% - Accent1 2 3 2 3 2 2" xfId="15079" xr:uid="{00000000-0005-0000-0000-0000752A0000}"/>
    <cellStyle name="40% - Accent1 2 3 2 3 2 2 2" xfId="28628" xr:uid="{00000000-0005-0000-0000-0000762A0000}"/>
    <cellStyle name="40% - Accent1 2 3 2 3 2 3" xfId="20080" xr:uid="{00000000-0005-0000-0000-0000772A0000}"/>
    <cellStyle name="40% - Accent1 2 3 2 3 3" xfId="10933" xr:uid="{00000000-0005-0000-0000-0000782A0000}"/>
    <cellStyle name="40% - Accent1 2 3 2 3 3 2" xfId="24875" xr:uid="{00000000-0005-0000-0000-0000792A0000}"/>
    <cellStyle name="40% - Accent1 2 3 2 3 4" xfId="20079" xr:uid="{00000000-0005-0000-0000-00007A2A0000}"/>
    <cellStyle name="40% - Accent1 2 3 2 4" xfId="2756" xr:uid="{00000000-0005-0000-0000-00007B2A0000}"/>
    <cellStyle name="40% - Accent1 2 3 2 4 2" xfId="12293" xr:uid="{00000000-0005-0000-0000-00007C2A0000}"/>
    <cellStyle name="40% - Accent1 2 3 2 4 2 2" xfId="26005" xr:uid="{00000000-0005-0000-0000-00007D2A0000}"/>
    <cellStyle name="40% - Accent1 2 3 2 4 3" xfId="20081" xr:uid="{00000000-0005-0000-0000-00007E2A0000}"/>
    <cellStyle name="40% - Accent1 2 3 2 5" xfId="2757" xr:uid="{00000000-0005-0000-0000-00007F2A0000}"/>
    <cellStyle name="40% - Accent1 2 3 2 5 2" xfId="12605" xr:uid="{00000000-0005-0000-0000-0000802A0000}"/>
    <cellStyle name="40% - Accent1 2 3 2 5 2 2" xfId="26317" xr:uid="{00000000-0005-0000-0000-0000812A0000}"/>
    <cellStyle name="40% - Accent1 2 3 2 5 3" xfId="20082" xr:uid="{00000000-0005-0000-0000-0000822A0000}"/>
    <cellStyle name="40% - Accent1 2 3 2 6" xfId="2758" xr:uid="{00000000-0005-0000-0000-0000832A0000}"/>
    <cellStyle name="40% - Accent1 2 3 2 6 2" xfId="13857" xr:uid="{00000000-0005-0000-0000-0000842A0000}"/>
    <cellStyle name="40% - Accent1 2 3 2 6 2 2" xfId="27406" xr:uid="{00000000-0005-0000-0000-0000852A0000}"/>
    <cellStyle name="40% - Accent1 2 3 2 6 3" xfId="20083" xr:uid="{00000000-0005-0000-0000-0000862A0000}"/>
    <cellStyle name="40% - Accent1 2 3 2 7" xfId="2759" xr:uid="{00000000-0005-0000-0000-0000872A0000}"/>
    <cellStyle name="40% - Accent1 2 3 2 7 2" xfId="14438" xr:uid="{00000000-0005-0000-0000-0000882A0000}"/>
    <cellStyle name="40% - Accent1 2 3 2 7 2 2" xfId="27987" xr:uid="{00000000-0005-0000-0000-0000892A0000}"/>
    <cellStyle name="40% - Accent1 2 3 2 7 3" xfId="20084" xr:uid="{00000000-0005-0000-0000-00008A2A0000}"/>
    <cellStyle name="40% - Accent1 2 3 2 8" xfId="2760" xr:uid="{00000000-0005-0000-0000-00008B2A0000}"/>
    <cellStyle name="40% - Accent1 2 3 2 8 2" xfId="15077" xr:uid="{00000000-0005-0000-0000-00008C2A0000}"/>
    <cellStyle name="40% - Accent1 2 3 2 8 2 2" xfId="28626" xr:uid="{00000000-0005-0000-0000-00008D2A0000}"/>
    <cellStyle name="40% - Accent1 2 3 2 8 3" xfId="20085" xr:uid="{00000000-0005-0000-0000-00008E2A0000}"/>
    <cellStyle name="40% - Accent1 2 3 2 9" xfId="2761" xr:uid="{00000000-0005-0000-0000-00008F2A0000}"/>
    <cellStyle name="40% - Accent1 2 3 2 9 2" xfId="16324" xr:uid="{00000000-0005-0000-0000-0000902A0000}"/>
    <cellStyle name="40% - Accent1 2 3 2 9 2 2" xfId="29731" xr:uid="{00000000-0005-0000-0000-0000912A0000}"/>
    <cellStyle name="40% - Accent1 2 3 2 9 3" xfId="20086" xr:uid="{00000000-0005-0000-0000-0000922A0000}"/>
    <cellStyle name="40% - Accent1 2 3 3" xfId="2762" xr:uid="{00000000-0005-0000-0000-0000932A0000}"/>
    <cellStyle name="40% - Accent1 2 3 3 2" xfId="2763" xr:uid="{00000000-0005-0000-0000-0000942A0000}"/>
    <cellStyle name="40% - Accent1 2 3 3 2 2" xfId="10935" xr:uid="{00000000-0005-0000-0000-0000952A0000}"/>
    <cellStyle name="40% - Accent1 2 3 3 2 2 2" xfId="24877" xr:uid="{00000000-0005-0000-0000-0000962A0000}"/>
    <cellStyle name="40% - Accent1 2 3 3 2 3" xfId="20088" xr:uid="{00000000-0005-0000-0000-0000972A0000}"/>
    <cellStyle name="40% - Accent1 2 3 3 3" xfId="2764" xr:uid="{00000000-0005-0000-0000-0000982A0000}"/>
    <cellStyle name="40% - Accent1 2 3 3 3 2" xfId="12576" xr:uid="{00000000-0005-0000-0000-0000992A0000}"/>
    <cellStyle name="40% - Accent1 2 3 3 3 2 2" xfId="26288" xr:uid="{00000000-0005-0000-0000-00009A2A0000}"/>
    <cellStyle name="40% - Accent1 2 3 3 3 3" xfId="20089" xr:uid="{00000000-0005-0000-0000-00009B2A0000}"/>
    <cellStyle name="40% - Accent1 2 3 3 4" xfId="2765" xr:uid="{00000000-0005-0000-0000-00009C2A0000}"/>
    <cellStyle name="40% - Accent1 2 3 3 4 2" xfId="15080" xr:uid="{00000000-0005-0000-0000-00009D2A0000}"/>
    <cellStyle name="40% - Accent1 2 3 3 4 2 2" xfId="28629" xr:uid="{00000000-0005-0000-0000-00009E2A0000}"/>
    <cellStyle name="40% - Accent1 2 3 3 4 3" xfId="20090" xr:uid="{00000000-0005-0000-0000-00009F2A0000}"/>
    <cellStyle name="40% - Accent1 2 3 3 5" xfId="2766" xr:uid="{00000000-0005-0000-0000-0000A02A0000}"/>
    <cellStyle name="40% - Accent1 2 3 3 5 2" xfId="16616" xr:uid="{00000000-0005-0000-0000-0000A12A0000}"/>
    <cellStyle name="40% - Accent1 2 3 3 5 2 2" xfId="30023" xr:uid="{00000000-0005-0000-0000-0000A22A0000}"/>
    <cellStyle name="40% - Accent1 2 3 3 5 3" xfId="20091" xr:uid="{00000000-0005-0000-0000-0000A32A0000}"/>
    <cellStyle name="40% - Accent1 2 3 3 6" xfId="9209" xr:uid="{00000000-0005-0000-0000-0000A42A0000}"/>
    <cellStyle name="40% - Accent1 2 3 3 6 2" xfId="23684" xr:uid="{00000000-0005-0000-0000-0000A52A0000}"/>
    <cellStyle name="40% - Accent1 2 3 3 7" xfId="20087" xr:uid="{00000000-0005-0000-0000-0000A62A0000}"/>
    <cellStyle name="40% - Accent1 2 3 4" xfId="2767" xr:uid="{00000000-0005-0000-0000-0000A72A0000}"/>
    <cellStyle name="40% - Accent1 2 3 4 2" xfId="2768" xr:uid="{00000000-0005-0000-0000-0000A82A0000}"/>
    <cellStyle name="40% - Accent1 2 3 4 2 2" xfId="15081" xr:uid="{00000000-0005-0000-0000-0000A92A0000}"/>
    <cellStyle name="40% - Accent1 2 3 4 2 2 2" xfId="28630" xr:uid="{00000000-0005-0000-0000-0000AA2A0000}"/>
    <cellStyle name="40% - Accent1 2 3 4 2 3" xfId="20093" xr:uid="{00000000-0005-0000-0000-0000AB2A0000}"/>
    <cellStyle name="40% - Accent1 2 3 4 3" xfId="10932" xr:uid="{00000000-0005-0000-0000-0000AC2A0000}"/>
    <cellStyle name="40% - Accent1 2 3 4 3 2" xfId="24874" xr:uid="{00000000-0005-0000-0000-0000AD2A0000}"/>
    <cellStyle name="40% - Accent1 2 3 4 4" xfId="20092" xr:uid="{00000000-0005-0000-0000-0000AE2A0000}"/>
    <cellStyle name="40% - Accent1 2 3 5" xfId="2769" xr:uid="{00000000-0005-0000-0000-0000AF2A0000}"/>
    <cellStyle name="40% - Accent1 2 3 5 2" xfId="11993" xr:uid="{00000000-0005-0000-0000-0000B02A0000}"/>
    <cellStyle name="40% - Accent1 2 3 5 2 2" xfId="25708" xr:uid="{00000000-0005-0000-0000-0000B12A0000}"/>
    <cellStyle name="40% - Accent1 2 3 5 3" xfId="20094" xr:uid="{00000000-0005-0000-0000-0000B22A0000}"/>
    <cellStyle name="40% - Accent1 2 3 6" xfId="2770" xr:uid="{00000000-0005-0000-0000-0000B32A0000}"/>
    <cellStyle name="40% - Accent1 2 3 6 2" xfId="12098" xr:uid="{00000000-0005-0000-0000-0000B42A0000}"/>
    <cellStyle name="40% - Accent1 2 3 6 2 2" xfId="25810" xr:uid="{00000000-0005-0000-0000-0000B52A0000}"/>
    <cellStyle name="40% - Accent1 2 3 6 3" xfId="20095" xr:uid="{00000000-0005-0000-0000-0000B62A0000}"/>
    <cellStyle name="40% - Accent1 2 3 7" xfId="2771" xr:uid="{00000000-0005-0000-0000-0000B72A0000}"/>
    <cellStyle name="40% - Accent1 2 3 7 2" xfId="13568" xr:uid="{00000000-0005-0000-0000-0000B82A0000}"/>
    <cellStyle name="40% - Accent1 2 3 7 2 2" xfId="27117" xr:uid="{00000000-0005-0000-0000-0000B92A0000}"/>
    <cellStyle name="40% - Accent1 2 3 7 3" xfId="20096" xr:uid="{00000000-0005-0000-0000-0000BA2A0000}"/>
    <cellStyle name="40% - Accent1 2 3 8" xfId="2772" xr:uid="{00000000-0005-0000-0000-0000BB2A0000}"/>
    <cellStyle name="40% - Accent1 2 3 8 2" xfId="14149" xr:uid="{00000000-0005-0000-0000-0000BC2A0000}"/>
    <cellStyle name="40% - Accent1 2 3 8 2 2" xfId="27698" xr:uid="{00000000-0005-0000-0000-0000BD2A0000}"/>
    <cellStyle name="40% - Accent1 2 3 8 3" xfId="20097" xr:uid="{00000000-0005-0000-0000-0000BE2A0000}"/>
    <cellStyle name="40% - Accent1 2 3 9" xfId="2773" xr:uid="{00000000-0005-0000-0000-0000BF2A0000}"/>
    <cellStyle name="40% - Accent1 2 3 9 2" xfId="15076" xr:uid="{00000000-0005-0000-0000-0000C02A0000}"/>
    <cellStyle name="40% - Accent1 2 3 9 2 2" xfId="28625" xr:uid="{00000000-0005-0000-0000-0000C12A0000}"/>
    <cellStyle name="40% - Accent1 2 3 9 3" xfId="20098" xr:uid="{00000000-0005-0000-0000-0000C22A0000}"/>
    <cellStyle name="40% - Accent1 2 4" xfId="2774" xr:uid="{00000000-0005-0000-0000-0000C32A0000}"/>
    <cellStyle name="40% - Accent1 2 4 10" xfId="9210" xr:uid="{00000000-0005-0000-0000-0000C42A0000}"/>
    <cellStyle name="40% - Accent1 2 4 10 2" xfId="23685" xr:uid="{00000000-0005-0000-0000-0000C52A0000}"/>
    <cellStyle name="40% - Accent1 2 4 11" xfId="20099" xr:uid="{00000000-0005-0000-0000-0000C62A0000}"/>
    <cellStyle name="40% - Accent1 2 4 2" xfId="2775" xr:uid="{00000000-0005-0000-0000-0000C72A0000}"/>
    <cellStyle name="40% - Accent1 2 4 2 2" xfId="2776" xr:uid="{00000000-0005-0000-0000-0000C82A0000}"/>
    <cellStyle name="40% - Accent1 2 4 2 2 2" xfId="10937" xr:uid="{00000000-0005-0000-0000-0000C92A0000}"/>
    <cellStyle name="40% - Accent1 2 4 2 2 2 2" xfId="24879" xr:uid="{00000000-0005-0000-0000-0000CA2A0000}"/>
    <cellStyle name="40% - Accent1 2 4 2 2 3" xfId="20101" xr:uid="{00000000-0005-0000-0000-0000CB2A0000}"/>
    <cellStyle name="40% - Accent1 2 4 2 3" xfId="2777" xr:uid="{00000000-0005-0000-0000-0000CC2A0000}"/>
    <cellStyle name="40% - Accent1 2 4 2 3 2" xfId="12588" xr:uid="{00000000-0005-0000-0000-0000CD2A0000}"/>
    <cellStyle name="40% - Accent1 2 4 2 3 2 2" xfId="26300" xr:uid="{00000000-0005-0000-0000-0000CE2A0000}"/>
    <cellStyle name="40% - Accent1 2 4 2 3 3" xfId="20102" xr:uid="{00000000-0005-0000-0000-0000CF2A0000}"/>
    <cellStyle name="40% - Accent1 2 4 2 4" xfId="2778" xr:uid="{00000000-0005-0000-0000-0000D02A0000}"/>
    <cellStyle name="40% - Accent1 2 4 2 4 2" xfId="15083" xr:uid="{00000000-0005-0000-0000-0000D12A0000}"/>
    <cellStyle name="40% - Accent1 2 4 2 4 2 2" xfId="28632" xr:uid="{00000000-0005-0000-0000-0000D22A0000}"/>
    <cellStyle name="40% - Accent1 2 4 2 4 3" xfId="20103" xr:uid="{00000000-0005-0000-0000-0000D32A0000}"/>
    <cellStyle name="40% - Accent1 2 4 2 5" xfId="2779" xr:uid="{00000000-0005-0000-0000-0000D42A0000}"/>
    <cellStyle name="40% - Accent1 2 4 2 5 2" xfId="16762" xr:uid="{00000000-0005-0000-0000-0000D52A0000}"/>
    <cellStyle name="40% - Accent1 2 4 2 5 2 2" xfId="30169" xr:uid="{00000000-0005-0000-0000-0000D62A0000}"/>
    <cellStyle name="40% - Accent1 2 4 2 5 3" xfId="20104" xr:uid="{00000000-0005-0000-0000-0000D72A0000}"/>
    <cellStyle name="40% - Accent1 2 4 2 6" xfId="9211" xr:uid="{00000000-0005-0000-0000-0000D82A0000}"/>
    <cellStyle name="40% - Accent1 2 4 2 6 2" xfId="23686" xr:uid="{00000000-0005-0000-0000-0000D92A0000}"/>
    <cellStyle name="40% - Accent1 2 4 2 7" xfId="20100" xr:uid="{00000000-0005-0000-0000-0000DA2A0000}"/>
    <cellStyle name="40% - Accent1 2 4 3" xfId="2780" xr:uid="{00000000-0005-0000-0000-0000DB2A0000}"/>
    <cellStyle name="40% - Accent1 2 4 3 2" xfId="2781" xr:uid="{00000000-0005-0000-0000-0000DC2A0000}"/>
    <cellStyle name="40% - Accent1 2 4 3 2 2" xfId="15084" xr:uid="{00000000-0005-0000-0000-0000DD2A0000}"/>
    <cellStyle name="40% - Accent1 2 4 3 2 2 2" xfId="28633" xr:uid="{00000000-0005-0000-0000-0000DE2A0000}"/>
    <cellStyle name="40% - Accent1 2 4 3 2 3" xfId="20106" xr:uid="{00000000-0005-0000-0000-0000DF2A0000}"/>
    <cellStyle name="40% - Accent1 2 4 3 3" xfId="10936" xr:uid="{00000000-0005-0000-0000-0000E02A0000}"/>
    <cellStyle name="40% - Accent1 2 4 3 3 2" xfId="24878" xr:uid="{00000000-0005-0000-0000-0000E12A0000}"/>
    <cellStyle name="40% - Accent1 2 4 3 4" xfId="20105" xr:uid="{00000000-0005-0000-0000-0000E22A0000}"/>
    <cellStyle name="40% - Accent1 2 4 4" xfId="2782" xr:uid="{00000000-0005-0000-0000-0000E32A0000}"/>
    <cellStyle name="40% - Accent1 2 4 4 2" xfId="12150" xr:uid="{00000000-0005-0000-0000-0000E42A0000}"/>
    <cellStyle name="40% - Accent1 2 4 4 2 2" xfId="25862" xr:uid="{00000000-0005-0000-0000-0000E52A0000}"/>
    <cellStyle name="40% - Accent1 2 4 4 3" xfId="20107" xr:uid="{00000000-0005-0000-0000-0000E62A0000}"/>
    <cellStyle name="40% - Accent1 2 4 5" xfId="2783" xr:uid="{00000000-0005-0000-0000-0000E72A0000}"/>
    <cellStyle name="40% - Accent1 2 4 5 2" xfId="12785" xr:uid="{00000000-0005-0000-0000-0000E82A0000}"/>
    <cellStyle name="40% - Accent1 2 4 5 2 2" xfId="26497" xr:uid="{00000000-0005-0000-0000-0000E92A0000}"/>
    <cellStyle name="40% - Accent1 2 4 5 3" xfId="20108" xr:uid="{00000000-0005-0000-0000-0000EA2A0000}"/>
    <cellStyle name="40% - Accent1 2 4 6" xfId="2784" xr:uid="{00000000-0005-0000-0000-0000EB2A0000}"/>
    <cellStyle name="40% - Accent1 2 4 6 2" xfId="13714" xr:uid="{00000000-0005-0000-0000-0000EC2A0000}"/>
    <cellStyle name="40% - Accent1 2 4 6 2 2" xfId="27263" xr:uid="{00000000-0005-0000-0000-0000ED2A0000}"/>
    <cellStyle name="40% - Accent1 2 4 6 3" xfId="20109" xr:uid="{00000000-0005-0000-0000-0000EE2A0000}"/>
    <cellStyle name="40% - Accent1 2 4 7" xfId="2785" xr:uid="{00000000-0005-0000-0000-0000EF2A0000}"/>
    <cellStyle name="40% - Accent1 2 4 7 2" xfId="14295" xr:uid="{00000000-0005-0000-0000-0000F02A0000}"/>
    <cellStyle name="40% - Accent1 2 4 7 2 2" xfId="27844" xr:uid="{00000000-0005-0000-0000-0000F12A0000}"/>
    <cellStyle name="40% - Accent1 2 4 7 3" xfId="20110" xr:uid="{00000000-0005-0000-0000-0000F22A0000}"/>
    <cellStyle name="40% - Accent1 2 4 8" xfId="2786" xr:uid="{00000000-0005-0000-0000-0000F32A0000}"/>
    <cellStyle name="40% - Accent1 2 4 8 2" xfId="15082" xr:uid="{00000000-0005-0000-0000-0000F42A0000}"/>
    <cellStyle name="40% - Accent1 2 4 8 2 2" xfId="28631" xr:uid="{00000000-0005-0000-0000-0000F52A0000}"/>
    <cellStyle name="40% - Accent1 2 4 8 3" xfId="20111" xr:uid="{00000000-0005-0000-0000-0000F62A0000}"/>
    <cellStyle name="40% - Accent1 2 4 9" xfId="2787" xr:uid="{00000000-0005-0000-0000-0000F72A0000}"/>
    <cellStyle name="40% - Accent1 2 4 9 2" xfId="16181" xr:uid="{00000000-0005-0000-0000-0000F82A0000}"/>
    <cellStyle name="40% - Accent1 2 4 9 2 2" xfId="29588" xr:uid="{00000000-0005-0000-0000-0000F92A0000}"/>
    <cellStyle name="40% - Accent1 2 4 9 3" xfId="20112" xr:uid="{00000000-0005-0000-0000-0000FA2A0000}"/>
    <cellStyle name="40% - Accent1 2 5" xfId="2788" xr:uid="{00000000-0005-0000-0000-0000FB2A0000}"/>
    <cellStyle name="40% - Accent1 2 5 2" xfId="2789" xr:uid="{00000000-0005-0000-0000-0000FC2A0000}"/>
    <cellStyle name="40% - Accent1 2 5 2 2" xfId="2790" xr:uid="{00000000-0005-0000-0000-0000FD2A0000}"/>
    <cellStyle name="40% - Accent1 2 5 2 2 2" xfId="10939" xr:uid="{00000000-0005-0000-0000-0000FE2A0000}"/>
    <cellStyle name="40% - Accent1 2 5 2 2 2 2" xfId="24881" xr:uid="{00000000-0005-0000-0000-0000FF2A0000}"/>
    <cellStyle name="40% - Accent1 2 5 2 2 3" xfId="20115" xr:uid="{00000000-0005-0000-0000-0000002B0000}"/>
    <cellStyle name="40% - Accent1 2 5 2 3" xfId="2791" xr:uid="{00000000-0005-0000-0000-0000012B0000}"/>
    <cellStyle name="40% - Accent1 2 5 2 3 2" xfId="11761" xr:uid="{00000000-0005-0000-0000-0000022B0000}"/>
    <cellStyle name="40% - Accent1 2 5 2 3 2 2" xfId="25476" xr:uid="{00000000-0005-0000-0000-0000032B0000}"/>
    <cellStyle name="40% - Accent1 2 5 2 3 3" xfId="20116" xr:uid="{00000000-0005-0000-0000-0000042B0000}"/>
    <cellStyle name="40% - Accent1 2 5 2 4" xfId="2792" xr:uid="{00000000-0005-0000-0000-0000052B0000}"/>
    <cellStyle name="40% - Accent1 2 5 2 4 2" xfId="15086" xr:uid="{00000000-0005-0000-0000-0000062B0000}"/>
    <cellStyle name="40% - Accent1 2 5 2 4 2 2" xfId="28635" xr:uid="{00000000-0005-0000-0000-0000072B0000}"/>
    <cellStyle name="40% - Accent1 2 5 2 4 3" xfId="20117" xr:uid="{00000000-0005-0000-0000-0000082B0000}"/>
    <cellStyle name="40% - Accent1 2 5 2 5" xfId="9213" xr:uid="{00000000-0005-0000-0000-0000092B0000}"/>
    <cellStyle name="40% - Accent1 2 5 2 5 2" xfId="23688" xr:uid="{00000000-0005-0000-0000-00000A2B0000}"/>
    <cellStyle name="40% - Accent1 2 5 2 6" xfId="20114" xr:uid="{00000000-0005-0000-0000-00000B2B0000}"/>
    <cellStyle name="40% - Accent1 2 5 3" xfId="2793" xr:uid="{00000000-0005-0000-0000-00000C2B0000}"/>
    <cellStyle name="40% - Accent1 2 5 3 2" xfId="10938" xr:uid="{00000000-0005-0000-0000-00000D2B0000}"/>
    <cellStyle name="40% - Accent1 2 5 3 2 2" xfId="24880" xr:uid="{00000000-0005-0000-0000-00000E2B0000}"/>
    <cellStyle name="40% - Accent1 2 5 3 3" xfId="20118" xr:uid="{00000000-0005-0000-0000-00000F2B0000}"/>
    <cellStyle name="40% - Accent1 2 5 4" xfId="2794" xr:uid="{00000000-0005-0000-0000-0000102B0000}"/>
    <cellStyle name="40% - Accent1 2 5 4 2" xfId="12387" xr:uid="{00000000-0005-0000-0000-0000112B0000}"/>
    <cellStyle name="40% - Accent1 2 5 4 2 2" xfId="26099" xr:uid="{00000000-0005-0000-0000-0000122B0000}"/>
    <cellStyle name="40% - Accent1 2 5 4 3" xfId="20119" xr:uid="{00000000-0005-0000-0000-0000132B0000}"/>
    <cellStyle name="40% - Accent1 2 5 5" xfId="2795" xr:uid="{00000000-0005-0000-0000-0000142B0000}"/>
    <cellStyle name="40% - Accent1 2 5 5 2" xfId="15085" xr:uid="{00000000-0005-0000-0000-0000152B0000}"/>
    <cellStyle name="40% - Accent1 2 5 5 2 2" xfId="28634" xr:uid="{00000000-0005-0000-0000-0000162B0000}"/>
    <cellStyle name="40% - Accent1 2 5 5 3" xfId="20120" xr:uid="{00000000-0005-0000-0000-0000172B0000}"/>
    <cellStyle name="40% - Accent1 2 5 6" xfId="2796" xr:uid="{00000000-0005-0000-0000-0000182B0000}"/>
    <cellStyle name="40% - Accent1 2 5 6 2" xfId="17002" xr:uid="{00000000-0005-0000-0000-0000192B0000}"/>
    <cellStyle name="40% - Accent1 2 5 6 2 2" xfId="30409" xr:uid="{00000000-0005-0000-0000-00001A2B0000}"/>
    <cellStyle name="40% - Accent1 2 5 6 3" xfId="20121" xr:uid="{00000000-0005-0000-0000-00001B2B0000}"/>
    <cellStyle name="40% - Accent1 2 5 7" xfId="9212" xr:uid="{00000000-0005-0000-0000-00001C2B0000}"/>
    <cellStyle name="40% - Accent1 2 5 7 2" xfId="23687" xr:uid="{00000000-0005-0000-0000-00001D2B0000}"/>
    <cellStyle name="40% - Accent1 2 5 8" xfId="20113" xr:uid="{00000000-0005-0000-0000-00001E2B0000}"/>
    <cellStyle name="40% - Accent1 2 6" xfId="2797" xr:uid="{00000000-0005-0000-0000-00001F2B0000}"/>
    <cellStyle name="40% - Accent1 2 6 2" xfId="2798" xr:uid="{00000000-0005-0000-0000-0000202B0000}"/>
    <cellStyle name="40% - Accent1 2 6 2 2" xfId="10940" xr:uid="{00000000-0005-0000-0000-0000212B0000}"/>
    <cellStyle name="40% - Accent1 2 6 2 2 2" xfId="24882" xr:uid="{00000000-0005-0000-0000-0000222B0000}"/>
    <cellStyle name="40% - Accent1 2 6 2 3" xfId="20123" xr:uid="{00000000-0005-0000-0000-0000232B0000}"/>
    <cellStyle name="40% - Accent1 2 6 3" xfId="2799" xr:uid="{00000000-0005-0000-0000-0000242B0000}"/>
    <cellStyle name="40% - Accent1 2 6 3 2" xfId="12504" xr:uid="{00000000-0005-0000-0000-0000252B0000}"/>
    <cellStyle name="40% - Accent1 2 6 3 2 2" xfId="26216" xr:uid="{00000000-0005-0000-0000-0000262B0000}"/>
    <cellStyle name="40% - Accent1 2 6 3 3" xfId="20124" xr:uid="{00000000-0005-0000-0000-0000272B0000}"/>
    <cellStyle name="40% - Accent1 2 6 4" xfId="2800" xr:uid="{00000000-0005-0000-0000-0000282B0000}"/>
    <cellStyle name="40% - Accent1 2 6 4 2" xfId="15087" xr:uid="{00000000-0005-0000-0000-0000292B0000}"/>
    <cellStyle name="40% - Accent1 2 6 4 2 2" xfId="28636" xr:uid="{00000000-0005-0000-0000-00002A2B0000}"/>
    <cellStyle name="40% - Accent1 2 6 4 3" xfId="20125" xr:uid="{00000000-0005-0000-0000-00002B2B0000}"/>
    <cellStyle name="40% - Accent1 2 6 5" xfId="2801" xr:uid="{00000000-0005-0000-0000-00002C2B0000}"/>
    <cellStyle name="40% - Accent1 2 6 5 2" xfId="17109" xr:uid="{00000000-0005-0000-0000-00002D2B0000}"/>
    <cellStyle name="40% - Accent1 2 6 5 2 2" xfId="30468" xr:uid="{00000000-0005-0000-0000-00002E2B0000}"/>
    <cellStyle name="40% - Accent1 2 6 5 3" xfId="20126" xr:uid="{00000000-0005-0000-0000-00002F2B0000}"/>
    <cellStyle name="40% - Accent1 2 6 6" xfId="9214" xr:uid="{00000000-0005-0000-0000-0000302B0000}"/>
    <cellStyle name="40% - Accent1 2 6 6 2" xfId="23689" xr:uid="{00000000-0005-0000-0000-0000312B0000}"/>
    <cellStyle name="40% - Accent1 2 6 7" xfId="20122" xr:uid="{00000000-0005-0000-0000-0000322B0000}"/>
    <cellStyle name="40% - Accent1 2 7" xfId="2802" xr:uid="{00000000-0005-0000-0000-0000332B0000}"/>
    <cellStyle name="40% - Accent1 2 7 2" xfId="2803" xr:uid="{00000000-0005-0000-0000-0000342B0000}"/>
    <cellStyle name="40% - Accent1 2 7 2 2" xfId="10941" xr:uid="{00000000-0005-0000-0000-0000352B0000}"/>
    <cellStyle name="40% - Accent1 2 7 2 2 2" xfId="24883" xr:uid="{00000000-0005-0000-0000-0000362B0000}"/>
    <cellStyle name="40% - Accent1 2 7 2 3" xfId="20128" xr:uid="{00000000-0005-0000-0000-0000372B0000}"/>
    <cellStyle name="40% - Accent1 2 7 3" xfId="2804" xr:uid="{00000000-0005-0000-0000-0000382B0000}"/>
    <cellStyle name="40% - Accent1 2 7 3 2" xfId="12500" xr:uid="{00000000-0005-0000-0000-0000392B0000}"/>
    <cellStyle name="40% - Accent1 2 7 3 2 2" xfId="26212" xr:uid="{00000000-0005-0000-0000-00003A2B0000}"/>
    <cellStyle name="40% - Accent1 2 7 3 3" xfId="20129" xr:uid="{00000000-0005-0000-0000-00003B2B0000}"/>
    <cellStyle name="40% - Accent1 2 7 4" xfId="2805" xr:uid="{00000000-0005-0000-0000-00003C2B0000}"/>
    <cellStyle name="40% - Accent1 2 7 4 2" xfId="15088" xr:uid="{00000000-0005-0000-0000-00003D2B0000}"/>
    <cellStyle name="40% - Accent1 2 7 4 2 2" xfId="28637" xr:uid="{00000000-0005-0000-0000-00003E2B0000}"/>
    <cellStyle name="40% - Accent1 2 7 4 3" xfId="20130" xr:uid="{00000000-0005-0000-0000-00003F2B0000}"/>
    <cellStyle name="40% - Accent1 2 7 5" xfId="2806" xr:uid="{00000000-0005-0000-0000-0000402B0000}"/>
    <cellStyle name="40% - Accent1 2 7 5 2" xfId="17198" xr:uid="{00000000-0005-0000-0000-0000412B0000}"/>
    <cellStyle name="40% - Accent1 2 7 5 2 2" xfId="30557" xr:uid="{00000000-0005-0000-0000-0000422B0000}"/>
    <cellStyle name="40% - Accent1 2 7 5 3" xfId="20131" xr:uid="{00000000-0005-0000-0000-0000432B0000}"/>
    <cellStyle name="40% - Accent1 2 7 6" xfId="9215" xr:uid="{00000000-0005-0000-0000-0000442B0000}"/>
    <cellStyle name="40% - Accent1 2 7 6 2" xfId="23690" xr:uid="{00000000-0005-0000-0000-0000452B0000}"/>
    <cellStyle name="40% - Accent1 2 7 7" xfId="20127" xr:uid="{00000000-0005-0000-0000-0000462B0000}"/>
    <cellStyle name="40% - Accent1 2 8" xfId="2807" xr:uid="{00000000-0005-0000-0000-0000472B0000}"/>
    <cellStyle name="40% - Accent1 2 8 2" xfId="2808" xr:uid="{00000000-0005-0000-0000-0000482B0000}"/>
    <cellStyle name="40% - Accent1 2 8 2 2" xfId="12653" xr:uid="{00000000-0005-0000-0000-0000492B0000}"/>
    <cellStyle name="40% - Accent1 2 8 2 2 2" xfId="26365" xr:uid="{00000000-0005-0000-0000-00004A2B0000}"/>
    <cellStyle name="40% - Accent1 2 8 2 3" xfId="20133" xr:uid="{00000000-0005-0000-0000-00004B2B0000}"/>
    <cellStyle name="40% - Accent1 2 8 3" xfId="2809" xr:uid="{00000000-0005-0000-0000-00004C2B0000}"/>
    <cellStyle name="40% - Accent1 2 8 3 2" xfId="15089" xr:uid="{00000000-0005-0000-0000-00004D2B0000}"/>
    <cellStyle name="40% - Accent1 2 8 3 2 2" xfId="28638" xr:uid="{00000000-0005-0000-0000-00004E2B0000}"/>
    <cellStyle name="40% - Accent1 2 8 3 3" xfId="20134" xr:uid="{00000000-0005-0000-0000-00004F2B0000}"/>
    <cellStyle name="40% - Accent1 2 8 4" xfId="2810" xr:uid="{00000000-0005-0000-0000-0000502B0000}"/>
    <cellStyle name="40% - Accent1 2 8 4 2" xfId="16473" xr:uid="{00000000-0005-0000-0000-0000512B0000}"/>
    <cellStyle name="40% - Accent1 2 8 4 2 2" xfId="29880" xr:uid="{00000000-0005-0000-0000-0000522B0000}"/>
    <cellStyle name="40% - Accent1 2 8 4 3" xfId="20135" xr:uid="{00000000-0005-0000-0000-0000532B0000}"/>
    <cellStyle name="40% - Accent1 2 8 5" xfId="10523" xr:uid="{00000000-0005-0000-0000-0000542B0000}"/>
    <cellStyle name="40% - Accent1 2 8 5 2" xfId="24465" xr:uid="{00000000-0005-0000-0000-0000552B0000}"/>
    <cellStyle name="40% - Accent1 2 8 6" xfId="20132" xr:uid="{00000000-0005-0000-0000-0000562B0000}"/>
    <cellStyle name="40% - Accent1 2 9" xfId="2811" xr:uid="{00000000-0005-0000-0000-0000572B0000}"/>
    <cellStyle name="40% - Accent1 2 9 2" xfId="2812" xr:uid="{00000000-0005-0000-0000-0000582B0000}"/>
    <cellStyle name="40% - Accent1 2 9 2 2" xfId="11754" xr:uid="{00000000-0005-0000-0000-0000592B0000}"/>
    <cellStyle name="40% - Accent1 2 9 2 2 2" xfId="25469" xr:uid="{00000000-0005-0000-0000-00005A2B0000}"/>
    <cellStyle name="40% - Accent1 2 9 2 3" xfId="20137" xr:uid="{00000000-0005-0000-0000-00005B2B0000}"/>
    <cellStyle name="40% - Accent1 2 9 3" xfId="2813" xr:uid="{00000000-0005-0000-0000-00005C2B0000}"/>
    <cellStyle name="40% - Accent1 2 9 3 2" xfId="15090" xr:uid="{00000000-0005-0000-0000-00005D2B0000}"/>
    <cellStyle name="40% - Accent1 2 9 3 2 2" xfId="28639" xr:uid="{00000000-0005-0000-0000-00005E2B0000}"/>
    <cellStyle name="40% - Accent1 2 9 3 3" xfId="20138" xr:uid="{00000000-0005-0000-0000-00005F2B0000}"/>
    <cellStyle name="40% - Accent1 2 9 4" xfId="10923" xr:uid="{00000000-0005-0000-0000-0000602B0000}"/>
    <cellStyle name="40% - Accent1 2 9 4 2" xfId="24865" xr:uid="{00000000-0005-0000-0000-0000612B0000}"/>
    <cellStyle name="40% - Accent1 2 9 5" xfId="20136" xr:uid="{00000000-0005-0000-0000-0000622B0000}"/>
    <cellStyle name="40% - Accent1 20" xfId="2814" xr:uid="{00000000-0005-0000-0000-0000632B0000}"/>
    <cellStyle name="40% - Accent1 20 2" xfId="2815" xr:uid="{00000000-0005-0000-0000-0000642B0000}"/>
    <cellStyle name="40% - Accent1 20 2 2" xfId="12475" xr:uid="{00000000-0005-0000-0000-0000652B0000}"/>
    <cellStyle name="40% - Accent1 20 2 2 2" xfId="26187" xr:uid="{00000000-0005-0000-0000-0000662B0000}"/>
    <cellStyle name="40% - Accent1 20 2 3" xfId="20140" xr:uid="{00000000-0005-0000-0000-0000672B0000}"/>
    <cellStyle name="40% - Accent1 20 3" xfId="2816" xr:uid="{00000000-0005-0000-0000-0000682B0000}"/>
    <cellStyle name="40% - Accent1 20 3 2" xfId="15091" xr:uid="{00000000-0005-0000-0000-0000692B0000}"/>
    <cellStyle name="40% - Accent1 20 3 2 2" xfId="28640" xr:uid="{00000000-0005-0000-0000-00006A2B0000}"/>
    <cellStyle name="40% - Accent1 20 3 3" xfId="20141" xr:uid="{00000000-0005-0000-0000-00006B2B0000}"/>
    <cellStyle name="40% - Accent1 20 4" xfId="10498" xr:uid="{00000000-0005-0000-0000-00006C2B0000}"/>
    <cellStyle name="40% - Accent1 20 4 2" xfId="24446" xr:uid="{00000000-0005-0000-0000-00006D2B0000}"/>
    <cellStyle name="40% - Accent1 20 5" xfId="20139" xr:uid="{00000000-0005-0000-0000-00006E2B0000}"/>
    <cellStyle name="40% - Accent1 21" xfId="2817" xr:uid="{00000000-0005-0000-0000-00006F2B0000}"/>
    <cellStyle name="40% - Accent1 21 2" xfId="2818" xr:uid="{00000000-0005-0000-0000-0000702B0000}"/>
    <cellStyle name="40% - Accent1 21 2 2" xfId="12476" xr:uid="{00000000-0005-0000-0000-0000712B0000}"/>
    <cellStyle name="40% - Accent1 21 2 2 2" xfId="26188" xr:uid="{00000000-0005-0000-0000-0000722B0000}"/>
    <cellStyle name="40% - Accent1 21 2 3" xfId="20143" xr:uid="{00000000-0005-0000-0000-0000732B0000}"/>
    <cellStyle name="40% - Accent1 21 3" xfId="2819" xr:uid="{00000000-0005-0000-0000-0000742B0000}"/>
    <cellStyle name="40% - Accent1 21 3 2" xfId="15092" xr:uid="{00000000-0005-0000-0000-0000752B0000}"/>
    <cellStyle name="40% - Accent1 21 3 2 2" xfId="28641" xr:uid="{00000000-0005-0000-0000-0000762B0000}"/>
    <cellStyle name="40% - Accent1 21 3 3" xfId="20144" xr:uid="{00000000-0005-0000-0000-0000772B0000}"/>
    <cellStyle name="40% - Accent1 21 4" xfId="10912" xr:uid="{00000000-0005-0000-0000-0000782B0000}"/>
    <cellStyle name="40% - Accent1 21 4 2" xfId="24854" xr:uid="{00000000-0005-0000-0000-0000792B0000}"/>
    <cellStyle name="40% - Accent1 21 5" xfId="20142" xr:uid="{00000000-0005-0000-0000-00007A2B0000}"/>
    <cellStyle name="40% - Accent1 22" xfId="2820" xr:uid="{00000000-0005-0000-0000-00007B2B0000}"/>
    <cellStyle name="40% - Accent1 22 2" xfId="11734" xr:uid="{00000000-0005-0000-0000-00007C2B0000}"/>
    <cellStyle name="40% - Accent1 22 2 2" xfId="25449" xr:uid="{00000000-0005-0000-0000-00007D2B0000}"/>
    <cellStyle name="40% - Accent1 22 3" xfId="20145" xr:uid="{00000000-0005-0000-0000-00007E2B0000}"/>
    <cellStyle name="40% - Accent1 23" xfId="2821" xr:uid="{00000000-0005-0000-0000-00007F2B0000}"/>
    <cellStyle name="40% - Accent1 23 2" xfId="12701" xr:uid="{00000000-0005-0000-0000-0000802B0000}"/>
    <cellStyle name="40% - Accent1 23 2 2" xfId="26413" xr:uid="{00000000-0005-0000-0000-0000812B0000}"/>
    <cellStyle name="40% - Accent1 23 3" xfId="20146" xr:uid="{00000000-0005-0000-0000-0000822B0000}"/>
    <cellStyle name="40% - Accent1 24" xfId="2822" xr:uid="{00000000-0005-0000-0000-0000832B0000}"/>
    <cellStyle name="40% - Accent1 24 2" xfId="13373" xr:uid="{00000000-0005-0000-0000-0000842B0000}"/>
    <cellStyle name="40% - Accent1 24 2 2" xfId="26922" xr:uid="{00000000-0005-0000-0000-0000852B0000}"/>
    <cellStyle name="40% - Accent1 24 3" xfId="20147" xr:uid="{00000000-0005-0000-0000-0000862B0000}"/>
    <cellStyle name="40% - Accent1 25" xfId="2823" xr:uid="{00000000-0005-0000-0000-0000872B0000}"/>
    <cellStyle name="40% - Accent1 25 2" xfId="13954" xr:uid="{00000000-0005-0000-0000-0000882B0000}"/>
    <cellStyle name="40% - Accent1 25 2 2" xfId="27503" xr:uid="{00000000-0005-0000-0000-0000892B0000}"/>
    <cellStyle name="40% - Accent1 25 3" xfId="20148" xr:uid="{00000000-0005-0000-0000-00008A2B0000}"/>
    <cellStyle name="40% - Accent1 26" xfId="2824" xr:uid="{00000000-0005-0000-0000-00008B2B0000}"/>
    <cellStyle name="40% - Accent1 26 2" xfId="15049" xr:uid="{00000000-0005-0000-0000-00008C2B0000}"/>
    <cellStyle name="40% - Accent1 26 2 2" xfId="28598" xr:uid="{00000000-0005-0000-0000-00008D2B0000}"/>
    <cellStyle name="40% - Accent1 26 3" xfId="20149" xr:uid="{00000000-0005-0000-0000-00008E2B0000}"/>
    <cellStyle name="40% - Accent1 27" xfId="2825" xr:uid="{00000000-0005-0000-0000-00008F2B0000}"/>
    <cellStyle name="40% - Accent1 27 2" xfId="15824" xr:uid="{00000000-0005-0000-0000-0000902B0000}"/>
    <cellStyle name="40% - Accent1 27 2 2" xfId="29231" xr:uid="{00000000-0005-0000-0000-0000912B0000}"/>
    <cellStyle name="40% - Accent1 27 3" xfId="20150" xr:uid="{00000000-0005-0000-0000-0000922B0000}"/>
    <cellStyle name="40% - Accent1 28" xfId="2826" xr:uid="{00000000-0005-0000-0000-0000932B0000}"/>
    <cellStyle name="40% - Accent1 28 2" xfId="15840" xr:uid="{00000000-0005-0000-0000-0000942B0000}"/>
    <cellStyle name="40% - Accent1 28 2 2" xfId="29247" xr:uid="{00000000-0005-0000-0000-0000952B0000}"/>
    <cellStyle name="40% - Accent1 28 3" xfId="20151" xr:uid="{00000000-0005-0000-0000-0000962B0000}"/>
    <cellStyle name="40% - Accent1 29" xfId="2827" xr:uid="{00000000-0005-0000-0000-0000972B0000}"/>
    <cellStyle name="40% - Accent1 29 2" xfId="9186" xr:uid="{00000000-0005-0000-0000-0000982B0000}"/>
    <cellStyle name="40% - Accent1 29 2 2" xfId="23661" xr:uid="{00000000-0005-0000-0000-0000992B0000}"/>
    <cellStyle name="40% - Accent1 29 3" xfId="20152" xr:uid="{00000000-0005-0000-0000-00009A2B0000}"/>
    <cellStyle name="40% - Accent1 3" xfId="2828" xr:uid="{00000000-0005-0000-0000-00009B2B0000}"/>
    <cellStyle name="40% - Accent1 3 10" xfId="2829" xr:uid="{00000000-0005-0000-0000-00009C2B0000}"/>
    <cellStyle name="40% - Accent1 3 10 2" xfId="14029" xr:uid="{00000000-0005-0000-0000-00009D2B0000}"/>
    <cellStyle name="40% - Accent1 3 10 2 2" xfId="27578" xr:uid="{00000000-0005-0000-0000-00009E2B0000}"/>
    <cellStyle name="40% - Accent1 3 10 3" xfId="20154" xr:uid="{00000000-0005-0000-0000-00009F2B0000}"/>
    <cellStyle name="40% - Accent1 3 11" xfId="2830" xr:uid="{00000000-0005-0000-0000-0000A02B0000}"/>
    <cellStyle name="40% - Accent1 3 11 2" xfId="15093" xr:uid="{00000000-0005-0000-0000-0000A12B0000}"/>
    <cellStyle name="40% - Accent1 3 11 2 2" xfId="28642" xr:uid="{00000000-0005-0000-0000-0000A22B0000}"/>
    <cellStyle name="40% - Accent1 3 11 3" xfId="20155" xr:uid="{00000000-0005-0000-0000-0000A32B0000}"/>
    <cellStyle name="40% - Accent1 3 12" xfId="2831" xr:uid="{00000000-0005-0000-0000-0000A42B0000}"/>
    <cellStyle name="40% - Accent1 3 12 2" xfId="15915" xr:uid="{00000000-0005-0000-0000-0000A52B0000}"/>
    <cellStyle name="40% - Accent1 3 12 2 2" xfId="29322" xr:uid="{00000000-0005-0000-0000-0000A62B0000}"/>
    <cellStyle name="40% - Accent1 3 12 3" xfId="20156" xr:uid="{00000000-0005-0000-0000-0000A72B0000}"/>
    <cellStyle name="40% - Accent1 3 13" xfId="9216" xr:uid="{00000000-0005-0000-0000-0000A82B0000}"/>
    <cellStyle name="40% - Accent1 3 13 2" xfId="23691" xr:uid="{00000000-0005-0000-0000-0000A92B0000}"/>
    <cellStyle name="40% - Accent1 3 14" xfId="20153" xr:uid="{00000000-0005-0000-0000-0000AA2B0000}"/>
    <cellStyle name="40% - Accent1 3 2" xfId="2832" xr:uid="{00000000-0005-0000-0000-0000AB2B0000}"/>
    <cellStyle name="40% - Accent1 3 2 10" xfId="2833" xr:uid="{00000000-0005-0000-0000-0000AC2B0000}"/>
    <cellStyle name="40% - Accent1 3 2 10 2" xfId="16058" xr:uid="{00000000-0005-0000-0000-0000AD2B0000}"/>
    <cellStyle name="40% - Accent1 3 2 10 2 2" xfId="29465" xr:uid="{00000000-0005-0000-0000-0000AE2B0000}"/>
    <cellStyle name="40% - Accent1 3 2 10 3" xfId="20158" xr:uid="{00000000-0005-0000-0000-0000AF2B0000}"/>
    <cellStyle name="40% - Accent1 3 2 11" xfId="9217" xr:uid="{00000000-0005-0000-0000-0000B02B0000}"/>
    <cellStyle name="40% - Accent1 3 2 11 2" xfId="23692" xr:uid="{00000000-0005-0000-0000-0000B12B0000}"/>
    <cellStyle name="40% - Accent1 3 2 12" xfId="20157" xr:uid="{00000000-0005-0000-0000-0000B22B0000}"/>
    <cellStyle name="40% - Accent1 3 2 2" xfId="2834" xr:uid="{00000000-0005-0000-0000-0000B32B0000}"/>
    <cellStyle name="40% - Accent1 3 2 2 10" xfId="9218" xr:uid="{00000000-0005-0000-0000-0000B42B0000}"/>
    <cellStyle name="40% - Accent1 3 2 2 10 2" xfId="23693" xr:uid="{00000000-0005-0000-0000-0000B52B0000}"/>
    <cellStyle name="40% - Accent1 3 2 2 11" xfId="20159" xr:uid="{00000000-0005-0000-0000-0000B62B0000}"/>
    <cellStyle name="40% - Accent1 3 2 2 2" xfId="2835" xr:uid="{00000000-0005-0000-0000-0000B72B0000}"/>
    <cellStyle name="40% - Accent1 3 2 2 2 2" xfId="2836" xr:uid="{00000000-0005-0000-0000-0000B82B0000}"/>
    <cellStyle name="40% - Accent1 3 2 2 2 2 2" xfId="10945" xr:uid="{00000000-0005-0000-0000-0000B92B0000}"/>
    <cellStyle name="40% - Accent1 3 2 2 2 2 2 2" xfId="24887" xr:uid="{00000000-0005-0000-0000-0000BA2B0000}"/>
    <cellStyle name="40% - Accent1 3 2 2 2 2 3" xfId="20161" xr:uid="{00000000-0005-0000-0000-0000BB2B0000}"/>
    <cellStyle name="40% - Accent1 3 2 2 2 3" xfId="2837" xr:uid="{00000000-0005-0000-0000-0000BC2B0000}"/>
    <cellStyle name="40% - Accent1 3 2 2 2 3 2" xfId="12770" xr:uid="{00000000-0005-0000-0000-0000BD2B0000}"/>
    <cellStyle name="40% - Accent1 3 2 2 2 3 2 2" xfId="26482" xr:uid="{00000000-0005-0000-0000-0000BE2B0000}"/>
    <cellStyle name="40% - Accent1 3 2 2 2 3 3" xfId="20162" xr:uid="{00000000-0005-0000-0000-0000BF2B0000}"/>
    <cellStyle name="40% - Accent1 3 2 2 2 4" xfId="2838" xr:uid="{00000000-0005-0000-0000-0000C02B0000}"/>
    <cellStyle name="40% - Accent1 3 2 2 2 4 2" xfId="15096" xr:uid="{00000000-0005-0000-0000-0000C12B0000}"/>
    <cellStyle name="40% - Accent1 3 2 2 2 4 2 2" xfId="28645" xr:uid="{00000000-0005-0000-0000-0000C22B0000}"/>
    <cellStyle name="40% - Accent1 3 2 2 2 4 3" xfId="20163" xr:uid="{00000000-0005-0000-0000-0000C32B0000}"/>
    <cellStyle name="40% - Accent1 3 2 2 2 5" xfId="2839" xr:uid="{00000000-0005-0000-0000-0000C42B0000}"/>
    <cellStyle name="40% - Accent1 3 2 2 2 5 2" xfId="16928" xr:uid="{00000000-0005-0000-0000-0000C52B0000}"/>
    <cellStyle name="40% - Accent1 3 2 2 2 5 2 2" xfId="30335" xr:uid="{00000000-0005-0000-0000-0000C62B0000}"/>
    <cellStyle name="40% - Accent1 3 2 2 2 5 3" xfId="20164" xr:uid="{00000000-0005-0000-0000-0000C72B0000}"/>
    <cellStyle name="40% - Accent1 3 2 2 2 6" xfId="9219" xr:uid="{00000000-0005-0000-0000-0000C82B0000}"/>
    <cellStyle name="40% - Accent1 3 2 2 2 6 2" xfId="23694" xr:uid="{00000000-0005-0000-0000-0000C92B0000}"/>
    <cellStyle name="40% - Accent1 3 2 2 2 7" xfId="20160" xr:uid="{00000000-0005-0000-0000-0000CA2B0000}"/>
    <cellStyle name="40% - Accent1 3 2 2 3" xfId="2840" xr:uid="{00000000-0005-0000-0000-0000CB2B0000}"/>
    <cellStyle name="40% - Accent1 3 2 2 3 2" xfId="2841" xr:uid="{00000000-0005-0000-0000-0000CC2B0000}"/>
    <cellStyle name="40% - Accent1 3 2 2 3 2 2" xfId="15097" xr:uid="{00000000-0005-0000-0000-0000CD2B0000}"/>
    <cellStyle name="40% - Accent1 3 2 2 3 2 2 2" xfId="28646" xr:uid="{00000000-0005-0000-0000-0000CE2B0000}"/>
    <cellStyle name="40% - Accent1 3 2 2 3 2 3" xfId="20166" xr:uid="{00000000-0005-0000-0000-0000CF2B0000}"/>
    <cellStyle name="40% - Accent1 3 2 2 3 3" xfId="10944" xr:uid="{00000000-0005-0000-0000-0000D02B0000}"/>
    <cellStyle name="40% - Accent1 3 2 2 3 3 2" xfId="24886" xr:uid="{00000000-0005-0000-0000-0000D12B0000}"/>
    <cellStyle name="40% - Accent1 3 2 2 3 4" xfId="20165" xr:uid="{00000000-0005-0000-0000-0000D22B0000}"/>
    <cellStyle name="40% - Accent1 3 2 2 4" xfId="2842" xr:uid="{00000000-0005-0000-0000-0000D32B0000}"/>
    <cellStyle name="40% - Accent1 3 2 2 4 2" xfId="12316" xr:uid="{00000000-0005-0000-0000-0000D42B0000}"/>
    <cellStyle name="40% - Accent1 3 2 2 4 2 2" xfId="26028" xr:uid="{00000000-0005-0000-0000-0000D52B0000}"/>
    <cellStyle name="40% - Accent1 3 2 2 4 3" xfId="20167" xr:uid="{00000000-0005-0000-0000-0000D62B0000}"/>
    <cellStyle name="40% - Accent1 3 2 2 5" xfId="2843" xr:uid="{00000000-0005-0000-0000-0000D72B0000}"/>
    <cellStyle name="40% - Accent1 3 2 2 5 2" xfId="12732" xr:uid="{00000000-0005-0000-0000-0000D82B0000}"/>
    <cellStyle name="40% - Accent1 3 2 2 5 2 2" xfId="26444" xr:uid="{00000000-0005-0000-0000-0000D92B0000}"/>
    <cellStyle name="40% - Accent1 3 2 2 5 3" xfId="20168" xr:uid="{00000000-0005-0000-0000-0000DA2B0000}"/>
    <cellStyle name="40% - Accent1 3 2 2 6" xfId="2844" xr:uid="{00000000-0005-0000-0000-0000DB2B0000}"/>
    <cellStyle name="40% - Accent1 3 2 2 6 2" xfId="13880" xr:uid="{00000000-0005-0000-0000-0000DC2B0000}"/>
    <cellStyle name="40% - Accent1 3 2 2 6 2 2" xfId="27429" xr:uid="{00000000-0005-0000-0000-0000DD2B0000}"/>
    <cellStyle name="40% - Accent1 3 2 2 6 3" xfId="20169" xr:uid="{00000000-0005-0000-0000-0000DE2B0000}"/>
    <cellStyle name="40% - Accent1 3 2 2 7" xfId="2845" xr:uid="{00000000-0005-0000-0000-0000DF2B0000}"/>
    <cellStyle name="40% - Accent1 3 2 2 7 2" xfId="14461" xr:uid="{00000000-0005-0000-0000-0000E02B0000}"/>
    <cellStyle name="40% - Accent1 3 2 2 7 2 2" xfId="28010" xr:uid="{00000000-0005-0000-0000-0000E12B0000}"/>
    <cellStyle name="40% - Accent1 3 2 2 7 3" xfId="20170" xr:uid="{00000000-0005-0000-0000-0000E22B0000}"/>
    <cellStyle name="40% - Accent1 3 2 2 8" xfId="2846" xr:uid="{00000000-0005-0000-0000-0000E32B0000}"/>
    <cellStyle name="40% - Accent1 3 2 2 8 2" xfId="15095" xr:uid="{00000000-0005-0000-0000-0000E42B0000}"/>
    <cellStyle name="40% - Accent1 3 2 2 8 2 2" xfId="28644" xr:uid="{00000000-0005-0000-0000-0000E52B0000}"/>
    <cellStyle name="40% - Accent1 3 2 2 8 3" xfId="20171" xr:uid="{00000000-0005-0000-0000-0000E62B0000}"/>
    <cellStyle name="40% - Accent1 3 2 2 9" xfId="2847" xr:uid="{00000000-0005-0000-0000-0000E72B0000}"/>
    <cellStyle name="40% - Accent1 3 2 2 9 2" xfId="16347" xr:uid="{00000000-0005-0000-0000-0000E82B0000}"/>
    <cellStyle name="40% - Accent1 3 2 2 9 2 2" xfId="29754" xr:uid="{00000000-0005-0000-0000-0000E92B0000}"/>
    <cellStyle name="40% - Accent1 3 2 2 9 3" xfId="20172" xr:uid="{00000000-0005-0000-0000-0000EA2B0000}"/>
    <cellStyle name="40% - Accent1 3 2 3" xfId="2848" xr:uid="{00000000-0005-0000-0000-0000EB2B0000}"/>
    <cellStyle name="40% - Accent1 3 2 3 2" xfId="2849" xr:uid="{00000000-0005-0000-0000-0000EC2B0000}"/>
    <cellStyle name="40% - Accent1 3 2 3 2 2" xfId="10946" xr:uid="{00000000-0005-0000-0000-0000ED2B0000}"/>
    <cellStyle name="40% - Accent1 3 2 3 2 2 2" xfId="24888" xr:uid="{00000000-0005-0000-0000-0000EE2B0000}"/>
    <cellStyle name="40% - Accent1 3 2 3 2 3" xfId="20174" xr:uid="{00000000-0005-0000-0000-0000EF2B0000}"/>
    <cellStyle name="40% - Accent1 3 2 3 3" xfId="2850" xr:uid="{00000000-0005-0000-0000-0000F02B0000}"/>
    <cellStyle name="40% - Accent1 3 2 3 3 2" xfId="12741" xr:uid="{00000000-0005-0000-0000-0000F12B0000}"/>
    <cellStyle name="40% - Accent1 3 2 3 3 2 2" xfId="26453" xr:uid="{00000000-0005-0000-0000-0000F22B0000}"/>
    <cellStyle name="40% - Accent1 3 2 3 3 3" xfId="20175" xr:uid="{00000000-0005-0000-0000-0000F32B0000}"/>
    <cellStyle name="40% - Accent1 3 2 3 4" xfId="2851" xr:uid="{00000000-0005-0000-0000-0000F42B0000}"/>
    <cellStyle name="40% - Accent1 3 2 3 4 2" xfId="15098" xr:uid="{00000000-0005-0000-0000-0000F52B0000}"/>
    <cellStyle name="40% - Accent1 3 2 3 4 2 2" xfId="28647" xr:uid="{00000000-0005-0000-0000-0000F62B0000}"/>
    <cellStyle name="40% - Accent1 3 2 3 4 3" xfId="20176" xr:uid="{00000000-0005-0000-0000-0000F72B0000}"/>
    <cellStyle name="40% - Accent1 3 2 3 5" xfId="2852" xr:uid="{00000000-0005-0000-0000-0000F82B0000}"/>
    <cellStyle name="40% - Accent1 3 2 3 5 2" xfId="16639" xr:uid="{00000000-0005-0000-0000-0000F92B0000}"/>
    <cellStyle name="40% - Accent1 3 2 3 5 2 2" xfId="30046" xr:uid="{00000000-0005-0000-0000-0000FA2B0000}"/>
    <cellStyle name="40% - Accent1 3 2 3 5 3" xfId="20177" xr:uid="{00000000-0005-0000-0000-0000FB2B0000}"/>
    <cellStyle name="40% - Accent1 3 2 3 6" xfId="9220" xr:uid="{00000000-0005-0000-0000-0000FC2B0000}"/>
    <cellStyle name="40% - Accent1 3 2 3 6 2" xfId="23695" xr:uid="{00000000-0005-0000-0000-0000FD2B0000}"/>
    <cellStyle name="40% - Accent1 3 2 3 7" xfId="20173" xr:uid="{00000000-0005-0000-0000-0000FE2B0000}"/>
    <cellStyle name="40% - Accent1 3 2 4" xfId="2853" xr:uid="{00000000-0005-0000-0000-0000FF2B0000}"/>
    <cellStyle name="40% - Accent1 3 2 4 2" xfId="2854" xr:uid="{00000000-0005-0000-0000-0000002C0000}"/>
    <cellStyle name="40% - Accent1 3 2 4 2 2" xfId="15099" xr:uid="{00000000-0005-0000-0000-0000012C0000}"/>
    <cellStyle name="40% - Accent1 3 2 4 2 2 2" xfId="28648" xr:uid="{00000000-0005-0000-0000-0000022C0000}"/>
    <cellStyle name="40% - Accent1 3 2 4 2 3" xfId="20179" xr:uid="{00000000-0005-0000-0000-0000032C0000}"/>
    <cellStyle name="40% - Accent1 3 2 4 3" xfId="10943" xr:uid="{00000000-0005-0000-0000-0000042C0000}"/>
    <cellStyle name="40% - Accent1 3 2 4 3 2" xfId="24885" xr:uid="{00000000-0005-0000-0000-0000052C0000}"/>
    <cellStyle name="40% - Accent1 3 2 4 4" xfId="20178" xr:uid="{00000000-0005-0000-0000-0000062C0000}"/>
    <cellStyle name="40% - Accent1 3 2 5" xfId="2855" xr:uid="{00000000-0005-0000-0000-0000072C0000}"/>
    <cellStyle name="40% - Accent1 3 2 5 2" xfId="12016" xr:uid="{00000000-0005-0000-0000-0000082C0000}"/>
    <cellStyle name="40% - Accent1 3 2 5 2 2" xfId="25731" xr:uid="{00000000-0005-0000-0000-0000092C0000}"/>
    <cellStyle name="40% - Accent1 3 2 5 3" xfId="20180" xr:uid="{00000000-0005-0000-0000-00000A2C0000}"/>
    <cellStyle name="40% - Accent1 3 2 6" xfId="2856" xr:uid="{00000000-0005-0000-0000-00000B2C0000}"/>
    <cellStyle name="40% - Accent1 3 2 6 2" xfId="11882" xr:uid="{00000000-0005-0000-0000-00000C2C0000}"/>
    <cellStyle name="40% - Accent1 3 2 6 2 2" xfId="25597" xr:uid="{00000000-0005-0000-0000-00000D2C0000}"/>
    <cellStyle name="40% - Accent1 3 2 6 3" xfId="20181" xr:uid="{00000000-0005-0000-0000-00000E2C0000}"/>
    <cellStyle name="40% - Accent1 3 2 7" xfId="2857" xr:uid="{00000000-0005-0000-0000-00000F2C0000}"/>
    <cellStyle name="40% - Accent1 3 2 7 2" xfId="13591" xr:uid="{00000000-0005-0000-0000-0000102C0000}"/>
    <cellStyle name="40% - Accent1 3 2 7 2 2" xfId="27140" xr:uid="{00000000-0005-0000-0000-0000112C0000}"/>
    <cellStyle name="40% - Accent1 3 2 7 3" xfId="20182" xr:uid="{00000000-0005-0000-0000-0000122C0000}"/>
    <cellStyle name="40% - Accent1 3 2 8" xfId="2858" xr:uid="{00000000-0005-0000-0000-0000132C0000}"/>
    <cellStyle name="40% - Accent1 3 2 8 2" xfId="14172" xr:uid="{00000000-0005-0000-0000-0000142C0000}"/>
    <cellStyle name="40% - Accent1 3 2 8 2 2" xfId="27721" xr:uid="{00000000-0005-0000-0000-0000152C0000}"/>
    <cellStyle name="40% - Accent1 3 2 8 3" xfId="20183" xr:uid="{00000000-0005-0000-0000-0000162C0000}"/>
    <cellStyle name="40% - Accent1 3 2 9" xfId="2859" xr:uid="{00000000-0005-0000-0000-0000172C0000}"/>
    <cellStyle name="40% - Accent1 3 2 9 2" xfId="15094" xr:uid="{00000000-0005-0000-0000-0000182C0000}"/>
    <cellStyle name="40% - Accent1 3 2 9 2 2" xfId="28643" xr:uid="{00000000-0005-0000-0000-0000192C0000}"/>
    <cellStyle name="40% - Accent1 3 2 9 3" xfId="20184" xr:uid="{00000000-0005-0000-0000-00001A2C0000}"/>
    <cellStyle name="40% - Accent1 3 3" xfId="2860" xr:uid="{00000000-0005-0000-0000-00001B2C0000}"/>
    <cellStyle name="40% - Accent1 3 3 10" xfId="9221" xr:uid="{00000000-0005-0000-0000-00001C2C0000}"/>
    <cellStyle name="40% - Accent1 3 3 10 2" xfId="23696" xr:uid="{00000000-0005-0000-0000-00001D2C0000}"/>
    <cellStyle name="40% - Accent1 3 3 11" xfId="20185" xr:uid="{00000000-0005-0000-0000-00001E2C0000}"/>
    <cellStyle name="40% - Accent1 3 3 2" xfId="2861" xr:uid="{00000000-0005-0000-0000-00001F2C0000}"/>
    <cellStyle name="40% - Accent1 3 3 2 2" xfId="2862" xr:uid="{00000000-0005-0000-0000-0000202C0000}"/>
    <cellStyle name="40% - Accent1 3 3 2 2 2" xfId="10948" xr:uid="{00000000-0005-0000-0000-0000212C0000}"/>
    <cellStyle name="40% - Accent1 3 3 2 2 2 2" xfId="24890" xr:uid="{00000000-0005-0000-0000-0000222C0000}"/>
    <cellStyle name="40% - Accent1 3 3 2 2 3" xfId="20187" xr:uid="{00000000-0005-0000-0000-0000232C0000}"/>
    <cellStyle name="40% - Accent1 3 3 2 3" xfId="2863" xr:uid="{00000000-0005-0000-0000-0000242C0000}"/>
    <cellStyle name="40% - Accent1 3 3 2 3 2" xfId="12449" xr:uid="{00000000-0005-0000-0000-0000252C0000}"/>
    <cellStyle name="40% - Accent1 3 3 2 3 2 2" xfId="26161" xr:uid="{00000000-0005-0000-0000-0000262C0000}"/>
    <cellStyle name="40% - Accent1 3 3 2 3 3" xfId="20188" xr:uid="{00000000-0005-0000-0000-0000272C0000}"/>
    <cellStyle name="40% - Accent1 3 3 2 4" xfId="2864" xr:uid="{00000000-0005-0000-0000-0000282C0000}"/>
    <cellStyle name="40% - Accent1 3 3 2 4 2" xfId="15101" xr:uid="{00000000-0005-0000-0000-0000292C0000}"/>
    <cellStyle name="40% - Accent1 3 3 2 4 2 2" xfId="28650" xr:uid="{00000000-0005-0000-0000-00002A2C0000}"/>
    <cellStyle name="40% - Accent1 3 3 2 4 3" xfId="20189" xr:uid="{00000000-0005-0000-0000-00002B2C0000}"/>
    <cellStyle name="40% - Accent1 3 3 2 5" xfId="2865" xr:uid="{00000000-0005-0000-0000-00002C2C0000}"/>
    <cellStyle name="40% - Accent1 3 3 2 5 2" xfId="16785" xr:uid="{00000000-0005-0000-0000-00002D2C0000}"/>
    <cellStyle name="40% - Accent1 3 3 2 5 2 2" xfId="30192" xr:uid="{00000000-0005-0000-0000-00002E2C0000}"/>
    <cellStyle name="40% - Accent1 3 3 2 5 3" xfId="20190" xr:uid="{00000000-0005-0000-0000-00002F2C0000}"/>
    <cellStyle name="40% - Accent1 3 3 2 6" xfId="9222" xr:uid="{00000000-0005-0000-0000-0000302C0000}"/>
    <cellStyle name="40% - Accent1 3 3 2 6 2" xfId="23697" xr:uid="{00000000-0005-0000-0000-0000312C0000}"/>
    <cellStyle name="40% - Accent1 3 3 2 7" xfId="20186" xr:uid="{00000000-0005-0000-0000-0000322C0000}"/>
    <cellStyle name="40% - Accent1 3 3 3" xfId="2866" xr:uid="{00000000-0005-0000-0000-0000332C0000}"/>
    <cellStyle name="40% - Accent1 3 3 3 2" xfId="2867" xr:uid="{00000000-0005-0000-0000-0000342C0000}"/>
    <cellStyle name="40% - Accent1 3 3 3 2 2" xfId="15102" xr:uid="{00000000-0005-0000-0000-0000352C0000}"/>
    <cellStyle name="40% - Accent1 3 3 3 2 2 2" xfId="28651" xr:uid="{00000000-0005-0000-0000-0000362C0000}"/>
    <cellStyle name="40% - Accent1 3 3 3 2 3" xfId="20192" xr:uid="{00000000-0005-0000-0000-0000372C0000}"/>
    <cellStyle name="40% - Accent1 3 3 3 3" xfId="10947" xr:uid="{00000000-0005-0000-0000-0000382C0000}"/>
    <cellStyle name="40% - Accent1 3 3 3 3 2" xfId="24889" xr:uid="{00000000-0005-0000-0000-0000392C0000}"/>
    <cellStyle name="40% - Accent1 3 3 3 4" xfId="20191" xr:uid="{00000000-0005-0000-0000-00003A2C0000}"/>
    <cellStyle name="40% - Accent1 3 3 4" xfId="2868" xr:uid="{00000000-0005-0000-0000-00003B2C0000}"/>
    <cellStyle name="40% - Accent1 3 3 4 2" xfId="12173" xr:uid="{00000000-0005-0000-0000-00003C2C0000}"/>
    <cellStyle name="40% - Accent1 3 3 4 2 2" xfId="25885" xr:uid="{00000000-0005-0000-0000-00003D2C0000}"/>
    <cellStyle name="40% - Accent1 3 3 4 3" xfId="20193" xr:uid="{00000000-0005-0000-0000-00003E2C0000}"/>
    <cellStyle name="40% - Accent1 3 3 5" xfId="2869" xr:uid="{00000000-0005-0000-0000-00003F2C0000}"/>
    <cellStyle name="40% - Accent1 3 3 5 2" xfId="12685" xr:uid="{00000000-0005-0000-0000-0000402C0000}"/>
    <cellStyle name="40% - Accent1 3 3 5 2 2" xfId="26397" xr:uid="{00000000-0005-0000-0000-0000412C0000}"/>
    <cellStyle name="40% - Accent1 3 3 5 3" xfId="20194" xr:uid="{00000000-0005-0000-0000-0000422C0000}"/>
    <cellStyle name="40% - Accent1 3 3 6" xfId="2870" xr:uid="{00000000-0005-0000-0000-0000432C0000}"/>
    <cellStyle name="40% - Accent1 3 3 6 2" xfId="13737" xr:uid="{00000000-0005-0000-0000-0000442C0000}"/>
    <cellStyle name="40% - Accent1 3 3 6 2 2" xfId="27286" xr:uid="{00000000-0005-0000-0000-0000452C0000}"/>
    <cellStyle name="40% - Accent1 3 3 6 3" xfId="20195" xr:uid="{00000000-0005-0000-0000-0000462C0000}"/>
    <cellStyle name="40% - Accent1 3 3 7" xfId="2871" xr:uid="{00000000-0005-0000-0000-0000472C0000}"/>
    <cellStyle name="40% - Accent1 3 3 7 2" xfId="14318" xr:uid="{00000000-0005-0000-0000-0000482C0000}"/>
    <cellStyle name="40% - Accent1 3 3 7 2 2" xfId="27867" xr:uid="{00000000-0005-0000-0000-0000492C0000}"/>
    <cellStyle name="40% - Accent1 3 3 7 3" xfId="20196" xr:uid="{00000000-0005-0000-0000-00004A2C0000}"/>
    <cellStyle name="40% - Accent1 3 3 8" xfId="2872" xr:uid="{00000000-0005-0000-0000-00004B2C0000}"/>
    <cellStyle name="40% - Accent1 3 3 8 2" xfId="15100" xr:uid="{00000000-0005-0000-0000-00004C2C0000}"/>
    <cellStyle name="40% - Accent1 3 3 8 2 2" xfId="28649" xr:uid="{00000000-0005-0000-0000-00004D2C0000}"/>
    <cellStyle name="40% - Accent1 3 3 8 3" xfId="20197" xr:uid="{00000000-0005-0000-0000-00004E2C0000}"/>
    <cellStyle name="40% - Accent1 3 3 9" xfId="2873" xr:uid="{00000000-0005-0000-0000-00004F2C0000}"/>
    <cellStyle name="40% - Accent1 3 3 9 2" xfId="16204" xr:uid="{00000000-0005-0000-0000-0000502C0000}"/>
    <cellStyle name="40% - Accent1 3 3 9 2 2" xfId="29611" xr:uid="{00000000-0005-0000-0000-0000512C0000}"/>
    <cellStyle name="40% - Accent1 3 3 9 3" xfId="20198" xr:uid="{00000000-0005-0000-0000-0000522C0000}"/>
    <cellStyle name="40% - Accent1 3 4" xfId="2874" xr:uid="{00000000-0005-0000-0000-0000532C0000}"/>
    <cellStyle name="40% - Accent1 3 4 2" xfId="2875" xr:uid="{00000000-0005-0000-0000-0000542C0000}"/>
    <cellStyle name="40% - Accent1 3 4 2 2" xfId="10949" xr:uid="{00000000-0005-0000-0000-0000552C0000}"/>
    <cellStyle name="40% - Accent1 3 4 2 2 2" xfId="24891" xr:uid="{00000000-0005-0000-0000-0000562C0000}"/>
    <cellStyle name="40% - Accent1 3 4 2 3" xfId="20200" xr:uid="{00000000-0005-0000-0000-0000572C0000}"/>
    <cellStyle name="40% - Accent1 3 4 3" xfId="2876" xr:uid="{00000000-0005-0000-0000-0000582C0000}"/>
    <cellStyle name="40% - Accent1 3 4 3 2" xfId="12578" xr:uid="{00000000-0005-0000-0000-0000592C0000}"/>
    <cellStyle name="40% - Accent1 3 4 3 2 2" xfId="26290" xr:uid="{00000000-0005-0000-0000-00005A2C0000}"/>
    <cellStyle name="40% - Accent1 3 4 3 3" xfId="20201" xr:uid="{00000000-0005-0000-0000-00005B2C0000}"/>
    <cellStyle name="40% - Accent1 3 4 4" xfId="2877" xr:uid="{00000000-0005-0000-0000-00005C2C0000}"/>
    <cellStyle name="40% - Accent1 3 4 4 2" xfId="15103" xr:uid="{00000000-0005-0000-0000-00005D2C0000}"/>
    <cellStyle name="40% - Accent1 3 4 4 2 2" xfId="28652" xr:uid="{00000000-0005-0000-0000-00005E2C0000}"/>
    <cellStyle name="40% - Accent1 3 4 4 3" xfId="20202" xr:uid="{00000000-0005-0000-0000-00005F2C0000}"/>
    <cellStyle name="40% - Accent1 3 4 5" xfId="2878" xr:uid="{00000000-0005-0000-0000-0000602C0000}"/>
    <cellStyle name="40% - Accent1 3 4 5 2" xfId="17132" xr:uid="{00000000-0005-0000-0000-0000612C0000}"/>
    <cellStyle name="40% - Accent1 3 4 5 2 2" xfId="30491" xr:uid="{00000000-0005-0000-0000-0000622C0000}"/>
    <cellStyle name="40% - Accent1 3 4 5 3" xfId="20203" xr:uid="{00000000-0005-0000-0000-0000632C0000}"/>
    <cellStyle name="40% - Accent1 3 4 6" xfId="9223" xr:uid="{00000000-0005-0000-0000-0000642C0000}"/>
    <cellStyle name="40% - Accent1 3 4 6 2" xfId="23698" xr:uid="{00000000-0005-0000-0000-0000652C0000}"/>
    <cellStyle name="40% - Accent1 3 4 7" xfId="20199" xr:uid="{00000000-0005-0000-0000-0000662C0000}"/>
    <cellStyle name="40% - Accent1 3 5" xfId="2879" xr:uid="{00000000-0005-0000-0000-0000672C0000}"/>
    <cellStyle name="40% - Accent1 3 5 2" xfId="2880" xr:uid="{00000000-0005-0000-0000-0000682C0000}"/>
    <cellStyle name="40% - Accent1 3 5 2 2" xfId="10950" xr:uid="{00000000-0005-0000-0000-0000692C0000}"/>
    <cellStyle name="40% - Accent1 3 5 2 2 2" xfId="24892" xr:uid="{00000000-0005-0000-0000-00006A2C0000}"/>
    <cellStyle name="40% - Accent1 3 5 2 3" xfId="20205" xr:uid="{00000000-0005-0000-0000-00006B2C0000}"/>
    <cellStyle name="40% - Accent1 3 5 3" xfId="2881" xr:uid="{00000000-0005-0000-0000-00006C2C0000}"/>
    <cellStyle name="40% - Accent1 3 5 3 2" xfId="12399" xr:uid="{00000000-0005-0000-0000-00006D2C0000}"/>
    <cellStyle name="40% - Accent1 3 5 3 2 2" xfId="26111" xr:uid="{00000000-0005-0000-0000-00006E2C0000}"/>
    <cellStyle name="40% - Accent1 3 5 3 3" xfId="20206" xr:uid="{00000000-0005-0000-0000-00006F2C0000}"/>
    <cellStyle name="40% - Accent1 3 5 4" xfId="2882" xr:uid="{00000000-0005-0000-0000-0000702C0000}"/>
    <cellStyle name="40% - Accent1 3 5 4 2" xfId="15104" xr:uid="{00000000-0005-0000-0000-0000712C0000}"/>
    <cellStyle name="40% - Accent1 3 5 4 2 2" xfId="28653" xr:uid="{00000000-0005-0000-0000-0000722C0000}"/>
    <cellStyle name="40% - Accent1 3 5 4 3" xfId="20207" xr:uid="{00000000-0005-0000-0000-0000732C0000}"/>
    <cellStyle name="40% - Accent1 3 5 5" xfId="2883" xr:uid="{00000000-0005-0000-0000-0000742C0000}"/>
    <cellStyle name="40% - Accent1 3 5 5 2" xfId="17221" xr:uid="{00000000-0005-0000-0000-0000752C0000}"/>
    <cellStyle name="40% - Accent1 3 5 5 2 2" xfId="30580" xr:uid="{00000000-0005-0000-0000-0000762C0000}"/>
    <cellStyle name="40% - Accent1 3 5 5 3" xfId="20208" xr:uid="{00000000-0005-0000-0000-0000772C0000}"/>
    <cellStyle name="40% - Accent1 3 5 6" xfId="9224" xr:uid="{00000000-0005-0000-0000-0000782C0000}"/>
    <cellStyle name="40% - Accent1 3 5 6 2" xfId="23699" xr:uid="{00000000-0005-0000-0000-0000792C0000}"/>
    <cellStyle name="40% - Accent1 3 5 7" xfId="20204" xr:uid="{00000000-0005-0000-0000-00007A2C0000}"/>
    <cellStyle name="40% - Accent1 3 6" xfId="2884" xr:uid="{00000000-0005-0000-0000-00007B2C0000}"/>
    <cellStyle name="40% - Accent1 3 6 2" xfId="2885" xr:uid="{00000000-0005-0000-0000-00007C2C0000}"/>
    <cellStyle name="40% - Accent1 3 6 2 2" xfId="15105" xr:uid="{00000000-0005-0000-0000-00007D2C0000}"/>
    <cellStyle name="40% - Accent1 3 6 2 2 2" xfId="28654" xr:uid="{00000000-0005-0000-0000-00007E2C0000}"/>
    <cellStyle name="40% - Accent1 3 6 2 3" xfId="20210" xr:uid="{00000000-0005-0000-0000-00007F2C0000}"/>
    <cellStyle name="40% - Accent1 3 6 3" xfId="2886" xr:uid="{00000000-0005-0000-0000-0000802C0000}"/>
    <cellStyle name="40% - Accent1 3 6 3 2" xfId="16496" xr:uid="{00000000-0005-0000-0000-0000812C0000}"/>
    <cellStyle name="40% - Accent1 3 6 3 2 2" xfId="29903" xr:uid="{00000000-0005-0000-0000-0000822C0000}"/>
    <cellStyle name="40% - Accent1 3 6 3 3" xfId="20211" xr:uid="{00000000-0005-0000-0000-0000832C0000}"/>
    <cellStyle name="40% - Accent1 3 6 4" xfId="10942" xr:uid="{00000000-0005-0000-0000-0000842C0000}"/>
    <cellStyle name="40% - Accent1 3 6 4 2" xfId="24884" xr:uid="{00000000-0005-0000-0000-0000852C0000}"/>
    <cellStyle name="40% - Accent1 3 6 5" xfId="20209" xr:uid="{00000000-0005-0000-0000-0000862C0000}"/>
    <cellStyle name="40% - Accent1 3 7" xfId="2887" xr:uid="{00000000-0005-0000-0000-0000872C0000}"/>
    <cellStyle name="40% - Accent1 3 7 2" xfId="11868" xr:uid="{00000000-0005-0000-0000-0000882C0000}"/>
    <cellStyle name="40% - Accent1 3 7 2 2" xfId="25583" xr:uid="{00000000-0005-0000-0000-0000892C0000}"/>
    <cellStyle name="40% - Accent1 3 7 3" xfId="20212" xr:uid="{00000000-0005-0000-0000-00008A2C0000}"/>
    <cellStyle name="40% - Accent1 3 8" xfId="2888" xr:uid="{00000000-0005-0000-0000-00008B2C0000}"/>
    <cellStyle name="40% - Accent1 3 8 2" xfId="11745" xr:uid="{00000000-0005-0000-0000-00008C2C0000}"/>
    <cellStyle name="40% - Accent1 3 8 2 2" xfId="25460" xr:uid="{00000000-0005-0000-0000-00008D2C0000}"/>
    <cellStyle name="40% - Accent1 3 8 3" xfId="20213" xr:uid="{00000000-0005-0000-0000-00008E2C0000}"/>
    <cellStyle name="40% - Accent1 3 9" xfId="2889" xr:uid="{00000000-0005-0000-0000-00008F2C0000}"/>
    <cellStyle name="40% - Accent1 3 9 2" xfId="13448" xr:uid="{00000000-0005-0000-0000-0000902C0000}"/>
    <cellStyle name="40% - Accent1 3 9 2 2" xfId="26997" xr:uid="{00000000-0005-0000-0000-0000912C0000}"/>
    <cellStyle name="40% - Accent1 3 9 3" xfId="20214" xr:uid="{00000000-0005-0000-0000-0000922C0000}"/>
    <cellStyle name="40% - Accent1 30" xfId="23236" xr:uid="{00000000-0005-0000-0000-0000932C0000}"/>
    <cellStyle name="40% - Accent1 4" xfId="2890" xr:uid="{00000000-0005-0000-0000-0000942C0000}"/>
    <cellStyle name="40% - Accent1 4 10" xfId="2891" xr:uid="{00000000-0005-0000-0000-0000952C0000}"/>
    <cellStyle name="40% - Accent1 4 10 2" xfId="15106" xr:uid="{00000000-0005-0000-0000-0000962C0000}"/>
    <cellStyle name="40% - Accent1 4 10 2 2" xfId="28655" xr:uid="{00000000-0005-0000-0000-0000972C0000}"/>
    <cellStyle name="40% - Accent1 4 10 3" xfId="20216" xr:uid="{00000000-0005-0000-0000-0000982C0000}"/>
    <cellStyle name="40% - Accent1 4 11" xfId="2892" xr:uid="{00000000-0005-0000-0000-0000992C0000}"/>
    <cellStyle name="40% - Accent1 4 11 2" xfId="15874" xr:uid="{00000000-0005-0000-0000-00009A2C0000}"/>
    <cellStyle name="40% - Accent1 4 11 2 2" xfId="29281" xr:uid="{00000000-0005-0000-0000-00009B2C0000}"/>
    <cellStyle name="40% - Accent1 4 11 3" xfId="20217" xr:uid="{00000000-0005-0000-0000-00009C2C0000}"/>
    <cellStyle name="40% - Accent1 4 12" xfId="9225" xr:uid="{00000000-0005-0000-0000-00009D2C0000}"/>
    <cellStyle name="40% - Accent1 4 12 2" xfId="23700" xr:uid="{00000000-0005-0000-0000-00009E2C0000}"/>
    <cellStyle name="40% - Accent1 4 13" xfId="20215" xr:uid="{00000000-0005-0000-0000-00009F2C0000}"/>
    <cellStyle name="40% - Accent1 4 2" xfId="2893" xr:uid="{00000000-0005-0000-0000-0000A02C0000}"/>
    <cellStyle name="40% - Accent1 4 2 10" xfId="2894" xr:uid="{00000000-0005-0000-0000-0000A12C0000}"/>
    <cellStyle name="40% - Accent1 4 2 10 2" xfId="16017" xr:uid="{00000000-0005-0000-0000-0000A22C0000}"/>
    <cellStyle name="40% - Accent1 4 2 10 2 2" xfId="29424" xr:uid="{00000000-0005-0000-0000-0000A32C0000}"/>
    <cellStyle name="40% - Accent1 4 2 10 3" xfId="20219" xr:uid="{00000000-0005-0000-0000-0000A42C0000}"/>
    <cellStyle name="40% - Accent1 4 2 11" xfId="9226" xr:uid="{00000000-0005-0000-0000-0000A52C0000}"/>
    <cellStyle name="40% - Accent1 4 2 11 2" xfId="23701" xr:uid="{00000000-0005-0000-0000-0000A62C0000}"/>
    <cellStyle name="40% - Accent1 4 2 12" xfId="20218" xr:uid="{00000000-0005-0000-0000-0000A72C0000}"/>
    <cellStyle name="40% - Accent1 4 2 2" xfId="2895" xr:uid="{00000000-0005-0000-0000-0000A82C0000}"/>
    <cellStyle name="40% - Accent1 4 2 2 10" xfId="9227" xr:uid="{00000000-0005-0000-0000-0000A92C0000}"/>
    <cellStyle name="40% - Accent1 4 2 2 10 2" xfId="23702" xr:uid="{00000000-0005-0000-0000-0000AA2C0000}"/>
    <cellStyle name="40% - Accent1 4 2 2 11" xfId="20220" xr:uid="{00000000-0005-0000-0000-0000AB2C0000}"/>
    <cellStyle name="40% - Accent1 4 2 2 2" xfId="2896" xr:uid="{00000000-0005-0000-0000-0000AC2C0000}"/>
    <cellStyle name="40% - Accent1 4 2 2 2 2" xfId="2897" xr:uid="{00000000-0005-0000-0000-0000AD2C0000}"/>
    <cellStyle name="40% - Accent1 4 2 2 2 2 2" xfId="10954" xr:uid="{00000000-0005-0000-0000-0000AE2C0000}"/>
    <cellStyle name="40% - Accent1 4 2 2 2 2 2 2" xfId="24896" xr:uid="{00000000-0005-0000-0000-0000AF2C0000}"/>
    <cellStyle name="40% - Accent1 4 2 2 2 2 3" xfId="20222" xr:uid="{00000000-0005-0000-0000-0000B02C0000}"/>
    <cellStyle name="40% - Accent1 4 2 2 2 3" xfId="2898" xr:uid="{00000000-0005-0000-0000-0000B12C0000}"/>
    <cellStyle name="40% - Accent1 4 2 2 2 3 2" xfId="12508" xr:uid="{00000000-0005-0000-0000-0000B22C0000}"/>
    <cellStyle name="40% - Accent1 4 2 2 2 3 2 2" xfId="26220" xr:uid="{00000000-0005-0000-0000-0000B32C0000}"/>
    <cellStyle name="40% - Accent1 4 2 2 2 3 3" xfId="20223" xr:uid="{00000000-0005-0000-0000-0000B42C0000}"/>
    <cellStyle name="40% - Accent1 4 2 2 2 4" xfId="2899" xr:uid="{00000000-0005-0000-0000-0000B52C0000}"/>
    <cellStyle name="40% - Accent1 4 2 2 2 4 2" xfId="15109" xr:uid="{00000000-0005-0000-0000-0000B62C0000}"/>
    <cellStyle name="40% - Accent1 4 2 2 2 4 2 2" xfId="28658" xr:uid="{00000000-0005-0000-0000-0000B72C0000}"/>
    <cellStyle name="40% - Accent1 4 2 2 2 4 3" xfId="20224" xr:uid="{00000000-0005-0000-0000-0000B82C0000}"/>
    <cellStyle name="40% - Accent1 4 2 2 2 5" xfId="2900" xr:uid="{00000000-0005-0000-0000-0000B92C0000}"/>
    <cellStyle name="40% - Accent1 4 2 2 2 5 2" xfId="16887" xr:uid="{00000000-0005-0000-0000-0000BA2C0000}"/>
    <cellStyle name="40% - Accent1 4 2 2 2 5 2 2" xfId="30294" xr:uid="{00000000-0005-0000-0000-0000BB2C0000}"/>
    <cellStyle name="40% - Accent1 4 2 2 2 5 3" xfId="20225" xr:uid="{00000000-0005-0000-0000-0000BC2C0000}"/>
    <cellStyle name="40% - Accent1 4 2 2 2 6" xfId="9228" xr:uid="{00000000-0005-0000-0000-0000BD2C0000}"/>
    <cellStyle name="40% - Accent1 4 2 2 2 6 2" xfId="23703" xr:uid="{00000000-0005-0000-0000-0000BE2C0000}"/>
    <cellStyle name="40% - Accent1 4 2 2 2 7" xfId="20221" xr:uid="{00000000-0005-0000-0000-0000BF2C0000}"/>
    <cellStyle name="40% - Accent1 4 2 2 3" xfId="2901" xr:uid="{00000000-0005-0000-0000-0000C02C0000}"/>
    <cellStyle name="40% - Accent1 4 2 2 3 2" xfId="2902" xr:uid="{00000000-0005-0000-0000-0000C12C0000}"/>
    <cellStyle name="40% - Accent1 4 2 2 3 2 2" xfId="15110" xr:uid="{00000000-0005-0000-0000-0000C22C0000}"/>
    <cellStyle name="40% - Accent1 4 2 2 3 2 2 2" xfId="28659" xr:uid="{00000000-0005-0000-0000-0000C32C0000}"/>
    <cellStyle name="40% - Accent1 4 2 2 3 2 3" xfId="20227" xr:uid="{00000000-0005-0000-0000-0000C42C0000}"/>
    <cellStyle name="40% - Accent1 4 2 2 3 3" xfId="10953" xr:uid="{00000000-0005-0000-0000-0000C52C0000}"/>
    <cellStyle name="40% - Accent1 4 2 2 3 3 2" xfId="24895" xr:uid="{00000000-0005-0000-0000-0000C62C0000}"/>
    <cellStyle name="40% - Accent1 4 2 2 3 4" xfId="20226" xr:uid="{00000000-0005-0000-0000-0000C72C0000}"/>
    <cellStyle name="40% - Accent1 4 2 2 4" xfId="2903" xr:uid="{00000000-0005-0000-0000-0000C82C0000}"/>
    <cellStyle name="40% - Accent1 4 2 2 4 2" xfId="12275" xr:uid="{00000000-0005-0000-0000-0000C92C0000}"/>
    <cellStyle name="40% - Accent1 4 2 2 4 2 2" xfId="25987" xr:uid="{00000000-0005-0000-0000-0000CA2C0000}"/>
    <cellStyle name="40% - Accent1 4 2 2 4 3" xfId="20228" xr:uid="{00000000-0005-0000-0000-0000CB2C0000}"/>
    <cellStyle name="40% - Accent1 4 2 2 5" xfId="2904" xr:uid="{00000000-0005-0000-0000-0000CC2C0000}"/>
    <cellStyle name="40% - Accent1 4 2 2 5 2" xfId="11776" xr:uid="{00000000-0005-0000-0000-0000CD2C0000}"/>
    <cellStyle name="40% - Accent1 4 2 2 5 2 2" xfId="25491" xr:uid="{00000000-0005-0000-0000-0000CE2C0000}"/>
    <cellStyle name="40% - Accent1 4 2 2 5 3" xfId="20229" xr:uid="{00000000-0005-0000-0000-0000CF2C0000}"/>
    <cellStyle name="40% - Accent1 4 2 2 6" xfId="2905" xr:uid="{00000000-0005-0000-0000-0000D02C0000}"/>
    <cellStyle name="40% - Accent1 4 2 2 6 2" xfId="13839" xr:uid="{00000000-0005-0000-0000-0000D12C0000}"/>
    <cellStyle name="40% - Accent1 4 2 2 6 2 2" xfId="27388" xr:uid="{00000000-0005-0000-0000-0000D22C0000}"/>
    <cellStyle name="40% - Accent1 4 2 2 6 3" xfId="20230" xr:uid="{00000000-0005-0000-0000-0000D32C0000}"/>
    <cellStyle name="40% - Accent1 4 2 2 7" xfId="2906" xr:uid="{00000000-0005-0000-0000-0000D42C0000}"/>
    <cellStyle name="40% - Accent1 4 2 2 7 2" xfId="14420" xr:uid="{00000000-0005-0000-0000-0000D52C0000}"/>
    <cellStyle name="40% - Accent1 4 2 2 7 2 2" xfId="27969" xr:uid="{00000000-0005-0000-0000-0000D62C0000}"/>
    <cellStyle name="40% - Accent1 4 2 2 7 3" xfId="20231" xr:uid="{00000000-0005-0000-0000-0000D72C0000}"/>
    <cellStyle name="40% - Accent1 4 2 2 8" xfId="2907" xr:uid="{00000000-0005-0000-0000-0000D82C0000}"/>
    <cellStyle name="40% - Accent1 4 2 2 8 2" xfId="15108" xr:uid="{00000000-0005-0000-0000-0000D92C0000}"/>
    <cellStyle name="40% - Accent1 4 2 2 8 2 2" xfId="28657" xr:uid="{00000000-0005-0000-0000-0000DA2C0000}"/>
    <cellStyle name="40% - Accent1 4 2 2 8 3" xfId="20232" xr:uid="{00000000-0005-0000-0000-0000DB2C0000}"/>
    <cellStyle name="40% - Accent1 4 2 2 9" xfId="2908" xr:uid="{00000000-0005-0000-0000-0000DC2C0000}"/>
    <cellStyle name="40% - Accent1 4 2 2 9 2" xfId="16306" xr:uid="{00000000-0005-0000-0000-0000DD2C0000}"/>
    <cellStyle name="40% - Accent1 4 2 2 9 2 2" xfId="29713" xr:uid="{00000000-0005-0000-0000-0000DE2C0000}"/>
    <cellStyle name="40% - Accent1 4 2 2 9 3" xfId="20233" xr:uid="{00000000-0005-0000-0000-0000DF2C0000}"/>
    <cellStyle name="40% - Accent1 4 2 3" xfId="2909" xr:uid="{00000000-0005-0000-0000-0000E02C0000}"/>
    <cellStyle name="40% - Accent1 4 2 3 2" xfId="2910" xr:uid="{00000000-0005-0000-0000-0000E12C0000}"/>
    <cellStyle name="40% - Accent1 4 2 3 2 2" xfId="10955" xr:uid="{00000000-0005-0000-0000-0000E22C0000}"/>
    <cellStyle name="40% - Accent1 4 2 3 2 2 2" xfId="24897" xr:uid="{00000000-0005-0000-0000-0000E32C0000}"/>
    <cellStyle name="40% - Accent1 4 2 3 2 3" xfId="20235" xr:uid="{00000000-0005-0000-0000-0000E42C0000}"/>
    <cellStyle name="40% - Accent1 4 2 3 3" xfId="2911" xr:uid="{00000000-0005-0000-0000-0000E52C0000}"/>
    <cellStyle name="40% - Accent1 4 2 3 3 2" xfId="12432" xr:uid="{00000000-0005-0000-0000-0000E62C0000}"/>
    <cellStyle name="40% - Accent1 4 2 3 3 2 2" xfId="26144" xr:uid="{00000000-0005-0000-0000-0000E72C0000}"/>
    <cellStyle name="40% - Accent1 4 2 3 3 3" xfId="20236" xr:uid="{00000000-0005-0000-0000-0000E82C0000}"/>
    <cellStyle name="40% - Accent1 4 2 3 4" xfId="2912" xr:uid="{00000000-0005-0000-0000-0000E92C0000}"/>
    <cellStyle name="40% - Accent1 4 2 3 4 2" xfId="15111" xr:uid="{00000000-0005-0000-0000-0000EA2C0000}"/>
    <cellStyle name="40% - Accent1 4 2 3 4 2 2" xfId="28660" xr:uid="{00000000-0005-0000-0000-0000EB2C0000}"/>
    <cellStyle name="40% - Accent1 4 2 3 4 3" xfId="20237" xr:uid="{00000000-0005-0000-0000-0000EC2C0000}"/>
    <cellStyle name="40% - Accent1 4 2 3 5" xfId="2913" xr:uid="{00000000-0005-0000-0000-0000ED2C0000}"/>
    <cellStyle name="40% - Accent1 4 2 3 5 2" xfId="16598" xr:uid="{00000000-0005-0000-0000-0000EE2C0000}"/>
    <cellStyle name="40% - Accent1 4 2 3 5 2 2" xfId="30005" xr:uid="{00000000-0005-0000-0000-0000EF2C0000}"/>
    <cellStyle name="40% - Accent1 4 2 3 5 3" xfId="20238" xr:uid="{00000000-0005-0000-0000-0000F02C0000}"/>
    <cellStyle name="40% - Accent1 4 2 3 6" xfId="9229" xr:uid="{00000000-0005-0000-0000-0000F12C0000}"/>
    <cellStyle name="40% - Accent1 4 2 3 6 2" xfId="23704" xr:uid="{00000000-0005-0000-0000-0000F22C0000}"/>
    <cellStyle name="40% - Accent1 4 2 3 7" xfId="20234" xr:uid="{00000000-0005-0000-0000-0000F32C0000}"/>
    <cellStyle name="40% - Accent1 4 2 4" xfId="2914" xr:uid="{00000000-0005-0000-0000-0000F42C0000}"/>
    <cellStyle name="40% - Accent1 4 2 4 2" xfId="2915" xr:uid="{00000000-0005-0000-0000-0000F52C0000}"/>
    <cellStyle name="40% - Accent1 4 2 4 2 2" xfId="15112" xr:uid="{00000000-0005-0000-0000-0000F62C0000}"/>
    <cellStyle name="40% - Accent1 4 2 4 2 2 2" xfId="28661" xr:uid="{00000000-0005-0000-0000-0000F72C0000}"/>
    <cellStyle name="40% - Accent1 4 2 4 2 3" xfId="20240" xr:uid="{00000000-0005-0000-0000-0000F82C0000}"/>
    <cellStyle name="40% - Accent1 4 2 4 3" xfId="10952" xr:uid="{00000000-0005-0000-0000-0000F92C0000}"/>
    <cellStyle name="40% - Accent1 4 2 4 3 2" xfId="24894" xr:uid="{00000000-0005-0000-0000-0000FA2C0000}"/>
    <cellStyle name="40% - Accent1 4 2 4 4" xfId="20239" xr:uid="{00000000-0005-0000-0000-0000FB2C0000}"/>
    <cellStyle name="40% - Accent1 4 2 5" xfId="2916" xr:uid="{00000000-0005-0000-0000-0000FC2C0000}"/>
    <cellStyle name="40% - Accent1 4 2 5 2" xfId="11975" xr:uid="{00000000-0005-0000-0000-0000FD2C0000}"/>
    <cellStyle name="40% - Accent1 4 2 5 2 2" xfId="25690" xr:uid="{00000000-0005-0000-0000-0000FE2C0000}"/>
    <cellStyle name="40% - Accent1 4 2 5 3" xfId="20241" xr:uid="{00000000-0005-0000-0000-0000FF2C0000}"/>
    <cellStyle name="40% - Accent1 4 2 6" xfId="2917" xr:uid="{00000000-0005-0000-0000-0000002D0000}"/>
    <cellStyle name="40% - Accent1 4 2 6 2" xfId="12425" xr:uid="{00000000-0005-0000-0000-0000012D0000}"/>
    <cellStyle name="40% - Accent1 4 2 6 2 2" xfId="26137" xr:uid="{00000000-0005-0000-0000-0000022D0000}"/>
    <cellStyle name="40% - Accent1 4 2 6 3" xfId="20242" xr:uid="{00000000-0005-0000-0000-0000032D0000}"/>
    <cellStyle name="40% - Accent1 4 2 7" xfId="2918" xr:uid="{00000000-0005-0000-0000-0000042D0000}"/>
    <cellStyle name="40% - Accent1 4 2 7 2" xfId="13550" xr:uid="{00000000-0005-0000-0000-0000052D0000}"/>
    <cellStyle name="40% - Accent1 4 2 7 2 2" xfId="27099" xr:uid="{00000000-0005-0000-0000-0000062D0000}"/>
    <cellStyle name="40% - Accent1 4 2 7 3" xfId="20243" xr:uid="{00000000-0005-0000-0000-0000072D0000}"/>
    <cellStyle name="40% - Accent1 4 2 8" xfId="2919" xr:uid="{00000000-0005-0000-0000-0000082D0000}"/>
    <cellStyle name="40% - Accent1 4 2 8 2" xfId="14131" xr:uid="{00000000-0005-0000-0000-0000092D0000}"/>
    <cellStyle name="40% - Accent1 4 2 8 2 2" xfId="27680" xr:uid="{00000000-0005-0000-0000-00000A2D0000}"/>
    <cellStyle name="40% - Accent1 4 2 8 3" xfId="20244" xr:uid="{00000000-0005-0000-0000-00000B2D0000}"/>
    <cellStyle name="40% - Accent1 4 2 9" xfId="2920" xr:uid="{00000000-0005-0000-0000-00000C2D0000}"/>
    <cellStyle name="40% - Accent1 4 2 9 2" xfId="15107" xr:uid="{00000000-0005-0000-0000-00000D2D0000}"/>
    <cellStyle name="40% - Accent1 4 2 9 2 2" xfId="28656" xr:uid="{00000000-0005-0000-0000-00000E2D0000}"/>
    <cellStyle name="40% - Accent1 4 2 9 3" xfId="20245" xr:uid="{00000000-0005-0000-0000-00000F2D0000}"/>
    <cellStyle name="40% - Accent1 4 3" xfId="2921" xr:uid="{00000000-0005-0000-0000-0000102D0000}"/>
    <cellStyle name="40% - Accent1 4 3 10" xfId="9230" xr:uid="{00000000-0005-0000-0000-0000112D0000}"/>
    <cellStyle name="40% - Accent1 4 3 10 2" xfId="23705" xr:uid="{00000000-0005-0000-0000-0000122D0000}"/>
    <cellStyle name="40% - Accent1 4 3 11" xfId="20246" xr:uid="{00000000-0005-0000-0000-0000132D0000}"/>
    <cellStyle name="40% - Accent1 4 3 2" xfId="2922" xr:uid="{00000000-0005-0000-0000-0000142D0000}"/>
    <cellStyle name="40% - Accent1 4 3 2 2" xfId="2923" xr:uid="{00000000-0005-0000-0000-0000152D0000}"/>
    <cellStyle name="40% - Accent1 4 3 2 2 2" xfId="10957" xr:uid="{00000000-0005-0000-0000-0000162D0000}"/>
    <cellStyle name="40% - Accent1 4 3 2 2 2 2" xfId="24899" xr:uid="{00000000-0005-0000-0000-0000172D0000}"/>
    <cellStyle name="40% - Accent1 4 3 2 2 3" xfId="20248" xr:uid="{00000000-0005-0000-0000-0000182D0000}"/>
    <cellStyle name="40% - Accent1 4 3 2 3" xfId="2924" xr:uid="{00000000-0005-0000-0000-0000192D0000}"/>
    <cellStyle name="40% - Accent1 4 3 2 3 2" xfId="12467" xr:uid="{00000000-0005-0000-0000-00001A2D0000}"/>
    <cellStyle name="40% - Accent1 4 3 2 3 2 2" xfId="26179" xr:uid="{00000000-0005-0000-0000-00001B2D0000}"/>
    <cellStyle name="40% - Accent1 4 3 2 3 3" xfId="20249" xr:uid="{00000000-0005-0000-0000-00001C2D0000}"/>
    <cellStyle name="40% - Accent1 4 3 2 4" xfId="2925" xr:uid="{00000000-0005-0000-0000-00001D2D0000}"/>
    <cellStyle name="40% - Accent1 4 3 2 4 2" xfId="15114" xr:uid="{00000000-0005-0000-0000-00001E2D0000}"/>
    <cellStyle name="40% - Accent1 4 3 2 4 2 2" xfId="28663" xr:uid="{00000000-0005-0000-0000-00001F2D0000}"/>
    <cellStyle name="40% - Accent1 4 3 2 4 3" xfId="20250" xr:uid="{00000000-0005-0000-0000-0000202D0000}"/>
    <cellStyle name="40% - Accent1 4 3 2 5" xfId="2926" xr:uid="{00000000-0005-0000-0000-0000212D0000}"/>
    <cellStyle name="40% - Accent1 4 3 2 5 2" xfId="16747" xr:uid="{00000000-0005-0000-0000-0000222D0000}"/>
    <cellStyle name="40% - Accent1 4 3 2 5 2 2" xfId="30154" xr:uid="{00000000-0005-0000-0000-0000232D0000}"/>
    <cellStyle name="40% - Accent1 4 3 2 5 3" xfId="20251" xr:uid="{00000000-0005-0000-0000-0000242D0000}"/>
    <cellStyle name="40% - Accent1 4 3 2 6" xfId="9231" xr:uid="{00000000-0005-0000-0000-0000252D0000}"/>
    <cellStyle name="40% - Accent1 4 3 2 6 2" xfId="23706" xr:uid="{00000000-0005-0000-0000-0000262D0000}"/>
    <cellStyle name="40% - Accent1 4 3 2 7" xfId="20247" xr:uid="{00000000-0005-0000-0000-0000272D0000}"/>
    <cellStyle name="40% - Accent1 4 3 3" xfId="2927" xr:uid="{00000000-0005-0000-0000-0000282D0000}"/>
    <cellStyle name="40% - Accent1 4 3 3 2" xfId="2928" xr:uid="{00000000-0005-0000-0000-0000292D0000}"/>
    <cellStyle name="40% - Accent1 4 3 3 2 2" xfId="15115" xr:uid="{00000000-0005-0000-0000-00002A2D0000}"/>
    <cellStyle name="40% - Accent1 4 3 3 2 2 2" xfId="28664" xr:uid="{00000000-0005-0000-0000-00002B2D0000}"/>
    <cellStyle name="40% - Accent1 4 3 3 2 3" xfId="20253" xr:uid="{00000000-0005-0000-0000-00002C2D0000}"/>
    <cellStyle name="40% - Accent1 4 3 3 3" xfId="10956" xr:uid="{00000000-0005-0000-0000-00002D2D0000}"/>
    <cellStyle name="40% - Accent1 4 3 3 3 2" xfId="24898" xr:uid="{00000000-0005-0000-0000-00002E2D0000}"/>
    <cellStyle name="40% - Accent1 4 3 3 4" xfId="20252" xr:uid="{00000000-0005-0000-0000-00002F2D0000}"/>
    <cellStyle name="40% - Accent1 4 3 4" xfId="2929" xr:uid="{00000000-0005-0000-0000-0000302D0000}"/>
    <cellStyle name="40% - Accent1 4 3 4 2" xfId="12135" xr:uid="{00000000-0005-0000-0000-0000312D0000}"/>
    <cellStyle name="40% - Accent1 4 3 4 2 2" xfId="25847" xr:uid="{00000000-0005-0000-0000-0000322D0000}"/>
    <cellStyle name="40% - Accent1 4 3 4 3" xfId="20254" xr:uid="{00000000-0005-0000-0000-0000332D0000}"/>
    <cellStyle name="40% - Accent1 4 3 5" xfId="2930" xr:uid="{00000000-0005-0000-0000-0000342D0000}"/>
    <cellStyle name="40% - Accent1 4 3 5 2" xfId="12585" xr:uid="{00000000-0005-0000-0000-0000352D0000}"/>
    <cellStyle name="40% - Accent1 4 3 5 2 2" xfId="26297" xr:uid="{00000000-0005-0000-0000-0000362D0000}"/>
    <cellStyle name="40% - Accent1 4 3 5 3" xfId="20255" xr:uid="{00000000-0005-0000-0000-0000372D0000}"/>
    <cellStyle name="40% - Accent1 4 3 6" xfId="2931" xr:uid="{00000000-0005-0000-0000-0000382D0000}"/>
    <cellStyle name="40% - Accent1 4 3 6 2" xfId="13699" xr:uid="{00000000-0005-0000-0000-0000392D0000}"/>
    <cellStyle name="40% - Accent1 4 3 6 2 2" xfId="27248" xr:uid="{00000000-0005-0000-0000-00003A2D0000}"/>
    <cellStyle name="40% - Accent1 4 3 6 3" xfId="20256" xr:uid="{00000000-0005-0000-0000-00003B2D0000}"/>
    <cellStyle name="40% - Accent1 4 3 7" xfId="2932" xr:uid="{00000000-0005-0000-0000-00003C2D0000}"/>
    <cellStyle name="40% - Accent1 4 3 7 2" xfId="14280" xr:uid="{00000000-0005-0000-0000-00003D2D0000}"/>
    <cellStyle name="40% - Accent1 4 3 7 2 2" xfId="27829" xr:uid="{00000000-0005-0000-0000-00003E2D0000}"/>
    <cellStyle name="40% - Accent1 4 3 7 3" xfId="20257" xr:uid="{00000000-0005-0000-0000-00003F2D0000}"/>
    <cellStyle name="40% - Accent1 4 3 8" xfId="2933" xr:uid="{00000000-0005-0000-0000-0000402D0000}"/>
    <cellStyle name="40% - Accent1 4 3 8 2" xfId="15113" xr:uid="{00000000-0005-0000-0000-0000412D0000}"/>
    <cellStyle name="40% - Accent1 4 3 8 2 2" xfId="28662" xr:uid="{00000000-0005-0000-0000-0000422D0000}"/>
    <cellStyle name="40% - Accent1 4 3 8 3" xfId="20258" xr:uid="{00000000-0005-0000-0000-0000432D0000}"/>
    <cellStyle name="40% - Accent1 4 3 9" xfId="2934" xr:uid="{00000000-0005-0000-0000-0000442D0000}"/>
    <cellStyle name="40% - Accent1 4 3 9 2" xfId="16166" xr:uid="{00000000-0005-0000-0000-0000452D0000}"/>
    <cellStyle name="40% - Accent1 4 3 9 2 2" xfId="29573" xr:uid="{00000000-0005-0000-0000-0000462D0000}"/>
    <cellStyle name="40% - Accent1 4 3 9 3" xfId="20259" xr:uid="{00000000-0005-0000-0000-0000472D0000}"/>
    <cellStyle name="40% - Accent1 4 4" xfId="2935" xr:uid="{00000000-0005-0000-0000-0000482D0000}"/>
    <cellStyle name="40% - Accent1 4 4 2" xfId="2936" xr:uid="{00000000-0005-0000-0000-0000492D0000}"/>
    <cellStyle name="40% - Accent1 4 4 2 2" xfId="10958" xr:uid="{00000000-0005-0000-0000-00004A2D0000}"/>
    <cellStyle name="40% - Accent1 4 4 2 2 2" xfId="24900" xr:uid="{00000000-0005-0000-0000-00004B2D0000}"/>
    <cellStyle name="40% - Accent1 4 4 2 3" xfId="20261" xr:uid="{00000000-0005-0000-0000-00004C2D0000}"/>
    <cellStyle name="40% - Accent1 4 4 3" xfId="2937" xr:uid="{00000000-0005-0000-0000-00004D2D0000}"/>
    <cellStyle name="40% - Accent1 4 4 3 2" xfId="12452" xr:uid="{00000000-0005-0000-0000-00004E2D0000}"/>
    <cellStyle name="40% - Accent1 4 4 3 2 2" xfId="26164" xr:uid="{00000000-0005-0000-0000-00004F2D0000}"/>
    <cellStyle name="40% - Accent1 4 4 3 3" xfId="20262" xr:uid="{00000000-0005-0000-0000-0000502D0000}"/>
    <cellStyle name="40% - Accent1 4 4 4" xfId="2938" xr:uid="{00000000-0005-0000-0000-0000512D0000}"/>
    <cellStyle name="40% - Accent1 4 4 4 2" xfId="15116" xr:uid="{00000000-0005-0000-0000-0000522D0000}"/>
    <cellStyle name="40% - Accent1 4 4 4 2 2" xfId="28665" xr:uid="{00000000-0005-0000-0000-0000532D0000}"/>
    <cellStyle name="40% - Accent1 4 4 4 3" xfId="20263" xr:uid="{00000000-0005-0000-0000-0000542D0000}"/>
    <cellStyle name="40% - Accent1 4 4 5" xfId="2939" xr:uid="{00000000-0005-0000-0000-0000552D0000}"/>
    <cellStyle name="40% - Accent1 4 4 5 2" xfId="16455" xr:uid="{00000000-0005-0000-0000-0000562D0000}"/>
    <cellStyle name="40% - Accent1 4 4 5 2 2" xfId="29862" xr:uid="{00000000-0005-0000-0000-0000572D0000}"/>
    <cellStyle name="40% - Accent1 4 4 5 3" xfId="20264" xr:uid="{00000000-0005-0000-0000-0000582D0000}"/>
    <cellStyle name="40% - Accent1 4 4 6" xfId="9232" xr:uid="{00000000-0005-0000-0000-0000592D0000}"/>
    <cellStyle name="40% - Accent1 4 4 6 2" xfId="23707" xr:uid="{00000000-0005-0000-0000-00005A2D0000}"/>
    <cellStyle name="40% - Accent1 4 4 7" xfId="20260" xr:uid="{00000000-0005-0000-0000-00005B2D0000}"/>
    <cellStyle name="40% - Accent1 4 5" xfId="2940" xr:uid="{00000000-0005-0000-0000-00005C2D0000}"/>
    <cellStyle name="40% - Accent1 4 5 2" xfId="2941" xr:uid="{00000000-0005-0000-0000-00005D2D0000}"/>
    <cellStyle name="40% - Accent1 4 5 2 2" xfId="15117" xr:uid="{00000000-0005-0000-0000-00005E2D0000}"/>
    <cellStyle name="40% - Accent1 4 5 2 2 2" xfId="28666" xr:uid="{00000000-0005-0000-0000-00005F2D0000}"/>
    <cellStyle name="40% - Accent1 4 5 2 3" xfId="20266" xr:uid="{00000000-0005-0000-0000-0000602D0000}"/>
    <cellStyle name="40% - Accent1 4 5 3" xfId="10951" xr:uid="{00000000-0005-0000-0000-0000612D0000}"/>
    <cellStyle name="40% - Accent1 4 5 3 2" xfId="24893" xr:uid="{00000000-0005-0000-0000-0000622D0000}"/>
    <cellStyle name="40% - Accent1 4 5 4" xfId="20265" xr:uid="{00000000-0005-0000-0000-0000632D0000}"/>
    <cellStyle name="40% - Accent1 4 6" xfId="2942" xr:uid="{00000000-0005-0000-0000-0000642D0000}"/>
    <cellStyle name="40% - Accent1 4 6 2" xfId="11806" xr:uid="{00000000-0005-0000-0000-0000652D0000}"/>
    <cellStyle name="40% - Accent1 4 6 2 2" xfId="25521" xr:uid="{00000000-0005-0000-0000-0000662D0000}"/>
    <cellStyle name="40% - Accent1 4 6 3" xfId="20267" xr:uid="{00000000-0005-0000-0000-0000672D0000}"/>
    <cellStyle name="40% - Accent1 4 7" xfId="2943" xr:uid="{00000000-0005-0000-0000-0000682D0000}"/>
    <cellStyle name="40% - Accent1 4 7 2" xfId="12638" xr:uid="{00000000-0005-0000-0000-0000692D0000}"/>
    <cellStyle name="40% - Accent1 4 7 2 2" xfId="26350" xr:uid="{00000000-0005-0000-0000-00006A2D0000}"/>
    <cellStyle name="40% - Accent1 4 7 3" xfId="20268" xr:uid="{00000000-0005-0000-0000-00006B2D0000}"/>
    <cellStyle name="40% - Accent1 4 8" xfId="2944" xr:uid="{00000000-0005-0000-0000-00006C2D0000}"/>
    <cellStyle name="40% - Accent1 4 8 2" xfId="13407" xr:uid="{00000000-0005-0000-0000-00006D2D0000}"/>
    <cellStyle name="40% - Accent1 4 8 2 2" xfId="26956" xr:uid="{00000000-0005-0000-0000-00006E2D0000}"/>
    <cellStyle name="40% - Accent1 4 8 3" xfId="20269" xr:uid="{00000000-0005-0000-0000-00006F2D0000}"/>
    <cellStyle name="40% - Accent1 4 9" xfId="2945" xr:uid="{00000000-0005-0000-0000-0000702D0000}"/>
    <cellStyle name="40% - Accent1 4 9 2" xfId="13988" xr:uid="{00000000-0005-0000-0000-0000712D0000}"/>
    <cellStyle name="40% - Accent1 4 9 2 2" xfId="27537" xr:uid="{00000000-0005-0000-0000-0000722D0000}"/>
    <cellStyle name="40% - Accent1 4 9 3" xfId="20270" xr:uid="{00000000-0005-0000-0000-0000732D0000}"/>
    <cellStyle name="40% - Accent1 5" xfId="2946" xr:uid="{00000000-0005-0000-0000-0000742D0000}"/>
    <cellStyle name="40% - Accent1 5 10" xfId="2947" xr:uid="{00000000-0005-0000-0000-0000752D0000}"/>
    <cellStyle name="40% - Accent1 5 10 2" xfId="15118" xr:uid="{00000000-0005-0000-0000-0000762D0000}"/>
    <cellStyle name="40% - Accent1 5 10 2 2" xfId="28667" xr:uid="{00000000-0005-0000-0000-0000772D0000}"/>
    <cellStyle name="40% - Accent1 5 10 3" xfId="20272" xr:uid="{00000000-0005-0000-0000-0000782D0000}"/>
    <cellStyle name="40% - Accent1 5 11" xfId="2948" xr:uid="{00000000-0005-0000-0000-0000792D0000}"/>
    <cellStyle name="40% - Accent1 5 11 2" xfId="15857" xr:uid="{00000000-0005-0000-0000-00007A2D0000}"/>
    <cellStyle name="40% - Accent1 5 11 2 2" xfId="29264" xr:uid="{00000000-0005-0000-0000-00007B2D0000}"/>
    <cellStyle name="40% - Accent1 5 11 3" xfId="20273" xr:uid="{00000000-0005-0000-0000-00007C2D0000}"/>
    <cellStyle name="40% - Accent1 5 12" xfId="9233" xr:uid="{00000000-0005-0000-0000-00007D2D0000}"/>
    <cellStyle name="40% - Accent1 5 12 2" xfId="23708" xr:uid="{00000000-0005-0000-0000-00007E2D0000}"/>
    <cellStyle name="40% - Accent1 5 13" xfId="20271" xr:uid="{00000000-0005-0000-0000-00007F2D0000}"/>
    <cellStyle name="40% - Accent1 5 2" xfId="2949" xr:uid="{00000000-0005-0000-0000-0000802D0000}"/>
    <cellStyle name="40% - Accent1 5 2 10" xfId="2950" xr:uid="{00000000-0005-0000-0000-0000812D0000}"/>
    <cellStyle name="40% - Accent1 5 2 10 2" xfId="16000" xr:uid="{00000000-0005-0000-0000-0000822D0000}"/>
    <cellStyle name="40% - Accent1 5 2 10 2 2" xfId="29407" xr:uid="{00000000-0005-0000-0000-0000832D0000}"/>
    <cellStyle name="40% - Accent1 5 2 10 3" xfId="20275" xr:uid="{00000000-0005-0000-0000-0000842D0000}"/>
    <cellStyle name="40% - Accent1 5 2 11" xfId="9234" xr:uid="{00000000-0005-0000-0000-0000852D0000}"/>
    <cellStyle name="40% - Accent1 5 2 11 2" xfId="23709" xr:uid="{00000000-0005-0000-0000-0000862D0000}"/>
    <cellStyle name="40% - Accent1 5 2 12" xfId="20274" xr:uid="{00000000-0005-0000-0000-0000872D0000}"/>
    <cellStyle name="40% - Accent1 5 2 2" xfId="2951" xr:uid="{00000000-0005-0000-0000-0000882D0000}"/>
    <cellStyle name="40% - Accent1 5 2 2 10" xfId="9235" xr:uid="{00000000-0005-0000-0000-0000892D0000}"/>
    <cellStyle name="40% - Accent1 5 2 2 10 2" xfId="23710" xr:uid="{00000000-0005-0000-0000-00008A2D0000}"/>
    <cellStyle name="40% - Accent1 5 2 2 11" xfId="20276" xr:uid="{00000000-0005-0000-0000-00008B2D0000}"/>
    <cellStyle name="40% - Accent1 5 2 2 2" xfId="2952" xr:uid="{00000000-0005-0000-0000-00008C2D0000}"/>
    <cellStyle name="40% - Accent1 5 2 2 2 2" xfId="2953" xr:uid="{00000000-0005-0000-0000-00008D2D0000}"/>
    <cellStyle name="40% - Accent1 5 2 2 2 2 2" xfId="10962" xr:uid="{00000000-0005-0000-0000-00008E2D0000}"/>
    <cellStyle name="40% - Accent1 5 2 2 2 2 2 2" xfId="24904" xr:uid="{00000000-0005-0000-0000-00008F2D0000}"/>
    <cellStyle name="40% - Accent1 5 2 2 2 2 3" xfId="20278" xr:uid="{00000000-0005-0000-0000-0000902D0000}"/>
    <cellStyle name="40% - Accent1 5 2 2 2 3" xfId="2954" xr:uid="{00000000-0005-0000-0000-0000912D0000}"/>
    <cellStyle name="40% - Accent1 5 2 2 2 3 2" xfId="12506" xr:uid="{00000000-0005-0000-0000-0000922D0000}"/>
    <cellStyle name="40% - Accent1 5 2 2 2 3 2 2" xfId="26218" xr:uid="{00000000-0005-0000-0000-0000932D0000}"/>
    <cellStyle name="40% - Accent1 5 2 2 2 3 3" xfId="20279" xr:uid="{00000000-0005-0000-0000-0000942D0000}"/>
    <cellStyle name="40% - Accent1 5 2 2 2 4" xfId="2955" xr:uid="{00000000-0005-0000-0000-0000952D0000}"/>
    <cellStyle name="40% - Accent1 5 2 2 2 4 2" xfId="15121" xr:uid="{00000000-0005-0000-0000-0000962D0000}"/>
    <cellStyle name="40% - Accent1 5 2 2 2 4 2 2" xfId="28670" xr:uid="{00000000-0005-0000-0000-0000972D0000}"/>
    <cellStyle name="40% - Accent1 5 2 2 2 4 3" xfId="20280" xr:uid="{00000000-0005-0000-0000-0000982D0000}"/>
    <cellStyle name="40% - Accent1 5 2 2 2 5" xfId="2956" xr:uid="{00000000-0005-0000-0000-0000992D0000}"/>
    <cellStyle name="40% - Accent1 5 2 2 2 5 2" xfId="16870" xr:uid="{00000000-0005-0000-0000-00009A2D0000}"/>
    <cellStyle name="40% - Accent1 5 2 2 2 5 2 2" xfId="30277" xr:uid="{00000000-0005-0000-0000-00009B2D0000}"/>
    <cellStyle name="40% - Accent1 5 2 2 2 5 3" xfId="20281" xr:uid="{00000000-0005-0000-0000-00009C2D0000}"/>
    <cellStyle name="40% - Accent1 5 2 2 2 6" xfId="9236" xr:uid="{00000000-0005-0000-0000-00009D2D0000}"/>
    <cellStyle name="40% - Accent1 5 2 2 2 6 2" xfId="23711" xr:uid="{00000000-0005-0000-0000-00009E2D0000}"/>
    <cellStyle name="40% - Accent1 5 2 2 2 7" xfId="20277" xr:uid="{00000000-0005-0000-0000-00009F2D0000}"/>
    <cellStyle name="40% - Accent1 5 2 2 3" xfId="2957" xr:uid="{00000000-0005-0000-0000-0000A02D0000}"/>
    <cellStyle name="40% - Accent1 5 2 2 3 2" xfId="2958" xr:uid="{00000000-0005-0000-0000-0000A12D0000}"/>
    <cellStyle name="40% - Accent1 5 2 2 3 2 2" xfId="15122" xr:uid="{00000000-0005-0000-0000-0000A22D0000}"/>
    <cellStyle name="40% - Accent1 5 2 2 3 2 2 2" xfId="28671" xr:uid="{00000000-0005-0000-0000-0000A32D0000}"/>
    <cellStyle name="40% - Accent1 5 2 2 3 2 3" xfId="20283" xr:uid="{00000000-0005-0000-0000-0000A42D0000}"/>
    <cellStyle name="40% - Accent1 5 2 2 3 3" xfId="10961" xr:uid="{00000000-0005-0000-0000-0000A52D0000}"/>
    <cellStyle name="40% - Accent1 5 2 2 3 3 2" xfId="24903" xr:uid="{00000000-0005-0000-0000-0000A62D0000}"/>
    <cellStyle name="40% - Accent1 5 2 2 3 4" xfId="20282" xr:uid="{00000000-0005-0000-0000-0000A72D0000}"/>
    <cellStyle name="40% - Accent1 5 2 2 4" xfId="2959" xr:uid="{00000000-0005-0000-0000-0000A82D0000}"/>
    <cellStyle name="40% - Accent1 5 2 2 4 2" xfId="12258" xr:uid="{00000000-0005-0000-0000-0000A92D0000}"/>
    <cellStyle name="40% - Accent1 5 2 2 4 2 2" xfId="25970" xr:uid="{00000000-0005-0000-0000-0000AA2D0000}"/>
    <cellStyle name="40% - Accent1 5 2 2 4 3" xfId="20284" xr:uid="{00000000-0005-0000-0000-0000AB2D0000}"/>
    <cellStyle name="40% - Accent1 5 2 2 5" xfId="2960" xr:uid="{00000000-0005-0000-0000-0000AC2D0000}"/>
    <cellStyle name="40% - Accent1 5 2 2 5 2" xfId="12458" xr:uid="{00000000-0005-0000-0000-0000AD2D0000}"/>
    <cellStyle name="40% - Accent1 5 2 2 5 2 2" xfId="26170" xr:uid="{00000000-0005-0000-0000-0000AE2D0000}"/>
    <cellStyle name="40% - Accent1 5 2 2 5 3" xfId="20285" xr:uid="{00000000-0005-0000-0000-0000AF2D0000}"/>
    <cellStyle name="40% - Accent1 5 2 2 6" xfId="2961" xr:uid="{00000000-0005-0000-0000-0000B02D0000}"/>
    <cellStyle name="40% - Accent1 5 2 2 6 2" xfId="13822" xr:uid="{00000000-0005-0000-0000-0000B12D0000}"/>
    <cellStyle name="40% - Accent1 5 2 2 6 2 2" xfId="27371" xr:uid="{00000000-0005-0000-0000-0000B22D0000}"/>
    <cellStyle name="40% - Accent1 5 2 2 6 3" xfId="20286" xr:uid="{00000000-0005-0000-0000-0000B32D0000}"/>
    <cellStyle name="40% - Accent1 5 2 2 7" xfId="2962" xr:uid="{00000000-0005-0000-0000-0000B42D0000}"/>
    <cellStyle name="40% - Accent1 5 2 2 7 2" xfId="14403" xr:uid="{00000000-0005-0000-0000-0000B52D0000}"/>
    <cellStyle name="40% - Accent1 5 2 2 7 2 2" xfId="27952" xr:uid="{00000000-0005-0000-0000-0000B62D0000}"/>
    <cellStyle name="40% - Accent1 5 2 2 7 3" xfId="20287" xr:uid="{00000000-0005-0000-0000-0000B72D0000}"/>
    <cellStyle name="40% - Accent1 5 2 2 8" xfId="2963" xr:uid="{00000000-0005-0000-0000-0000B82D0000}"/>
    <cellStyle name="40% - Accent1 5 2 2 8 2" xfId="15120" xr:uid="{00000000-0005-0000-0000-0000B92D0000}"/>
    <cellStyle name="40% - Accent1 5 2 2 8 2 2" xfId="28669" xr:uid="{00000000-0005-0000-0000-0000BA2D0000}"/>
    <cellStyle name="40% - Accent1 5 2 2 8 3" xfId="20288" xr:uid="{00000000-0005-0000-0000-0000BB2D0000}"/>
    <cellStyle name="40% - Accent1 5 2 2 9" xfId="2964" xr:uid="{00000000-0005-0000-0000-0000BC2D0000}"/>
    <cellStyle name="40% - Accent1 5 2 2 9 2" xfId="16289" xr:uid="{00000000-0005-0000-0000-0000BD2D0000}"/>
    <cellStyle name="40% - Accent1 5 2 2 9 2 2" xfId="29696" xr:uid="{00000000-0005-0000-0000-0000BE2D0000}"/>
    <cellStyle name="40% - Accent1 5 2 2 9 3" xfId="20289" xr:uid="{00000000-0005-0000-0000-0000BF2D0000}"/>
    <cellStyle name="40% - Accent1 5 2 3" xfId="2965" xr:uid="{00000000-0005-0000-0000-0000C02D0000}"/>
    <cellStyle name="40% - Accent1 5 2 3 2" xfId="2966" xr:uid="{00000000-0005-0000-0000-0000C12D0000}"/>
    <cellStyle name="40% - Accent1 5 2 3 2 2" xfId="10963" xr:uid="{00000000-0005-0000-0000-0000C22D0000}"/>
    <cellStyle name="40% - Accent1 5 2 3 2 2 2" xfId="24905" xr:uid="{00000000-0005-0000-0000-0000C32D0000}"/>
    <cellStyle name="40% - Accent1 5 2 3 2 3" xfId="20291" xr:uid="{00000000-0005-0000-0000-0000C42D0000}"/>
    <cellStyle name="40% - Accent1 5 2 3 3" xfId="2967" xr:uid="{00000000-0005-0000-0000-0000C52D0000}"/>
    <cellStyle name="40% - Accent1 5 2 3 3 2" xfId="11760" xr:uid="{00000000-0005-0000-0000-0000C62D0000}"/>
    <cellStyle name="40% - Accent1 5 2 3 3 2 2" xfId="25475" xr:uid="{00000000-0005-0000-0000-0000C72D0000}"/>
    <cellStyle name="40% - Accent1 5 2 3 3 3" xfId="20292" xr:uid="{00000000-0005-0000-0000-0000C82D0000}"/>
    <cellStyle name="40% - Accent1 5 2 3 4" xfId="2968" xr:uid="{00000000-0005-0000-0000-0000C92D0000}"/>
    <cellStyle name="40% - Accent1 5 2 3 4 2" xfId="15123" xr:uid="{00000000-0005-0000-0000-0000CA2D0000}"/>
    <cellStyle name="40% - Accent1 5 2 3 4 2 2" xfId="28672" xr:uid="{00000000-0005-0000-0000-0000CB2D0000}"/>
    <cellStyle name="40% - Accent1 5 2 3 4 3" xfId="20293" xr:uid="{00000000-0005-0000-0000-0000CC2D0000}"/>
    <cellStyle name="40% - Accent1 5 2 3 5" xfId="2969" xr:uid="{00000000-0005-0000-0000-0000CD2D0000}"/>
    <cellStyle name="40% - Accent1 5 2 3 5 2" xfId="16581" xr:uid="{00000000-0005-0000-0000-0000CE2D0000}"/>
    <cellStyle name="40% - Accent1 5 2 3 5 2 2" xfId="29988" xr:uid="{00000000-0005-0000-0000-0000CF2D0000}"/>
    <cellStyle name="40% - Accent1 5 2 3 5 3" xfId="20294" xr:uid="{00000000-0005-0000-0000-0000D02D0000}"/>
    <cellStyle name="40% - Accent1 5 2 3 6" xfId="9237" xr:uid="{00000000-0005-0000-0000-0000D12D0000}"/>
    <cellStyle name="40% - Accent1 5 2 3 6 2" xfId="23712" xr:uid="{00000000-0005-0000-0000-0000D22D0000}"/>
    <cellStyle name="40% - Accent1 5 2 3 7" xfId="20290" xr:uid="{00000000-0005-0000-0000-0000D32D0000}"/>
    <cellStyle name="40% - Accent1 5 2 4" xfId="2970" xr:uid="{00000000-0005-0000-0000-0000D42D0000}"/>
    <cellStyle name="40% - Accent1 5 2 4 2" xfId="2971" xr:uid="{00000000-0005-0000-0000-0000D52D0000}"/>
    <cellStyle name="40% - Accent1 5 2 4 2 2" xfId="15124" xr:uid="{00000000-0005-0000-0000-0000D62D0000}"/>
    <cellStyle name="40% - Accent1 5 2 4 2 2 2" xfId="28673" xr:uid="{00000000-0005-0000-0000-0000D72D0000}"/>
    <cellStyle name="40% - Accent1 5 2 4 2 3" xfId="20296" xr:uid="{00000000-0005-0000-0000-0000D82D0000}"/>
    <cellStyle name="40% - Accent1 5 2 4 3" xfId="10960" xr:uid="{00000000-0005-0000-0000-0000D92D0000}"/>
    <cellStyle name="40% - Accent1 5 2 4 3 2" xfId="24902" xr:uid="{00000000-0005-0000-0000-0000DA2D0000}"/>
    <cellStyle name="40% - Accent1 5 2 4 4" xfId="20295" xr:uid="{00000000-0005-0000-0000-0000DB2D0000}"/>
    <cellStyle name="40% - Accent1 5 2 5" xfId="2972" xr:uid="{00000000-0005-0000-0000-0000DC2D0000}"/>
    <cellStyle name="40% - Accent1 5 2 5 2" xfId="11958" xr:uid="{00000000-0005-0000-0000-0000DD2D0000}"/>
    <cellStyle name="40% - Accent1 5 2 5 2 2" xfId="25673" xr:uid="{00000000-0005-0000-0000-0000DE2D0000}"/>
    <cellStyle name="40% - Accent1 5 2 5 3" xfId="20297" xr:uid="{00000000-0005-0000-0000-0000DF2D0000}"/>
    <cellStyle name="40% - Accent1 5 2 6" xfId="2973" xr:uid="{00000000-0005-0000-0000-0000E02D0000}"/>
    <cellStyle name="40% - Accent1 5 2 6 2" xfId="12675" xr:uid="{00000000-0005-0000-0000-0000E12D0000}"/>
    <cellStyle name="40% - Accent1 5 2 6 2 2" xfId="26387" xr:uid="{00000000-0005-0000-0000-0000E22D0000}"/>
    <cellStyle name="40% - Accent1 5 2 6 3" xfId="20298" xr:uid="{00000000-0005-0000-0000-0000E32D0000}"/>
    <cellStyle name="40% - Accent1 5 2 7" xfId="2974" xr:uid="{00000000-0005-0000-0000-0000E42D0000}"/>
    <cellStyle name="40% - Accent1 5 2 7 2" xfId="13533" xr:uid="{00000000-0005-0000-0000-0000E52D0000}"/>
    <cellStyle name="40% - Accent1 5 2 7 2 2" xfId="27082" xr:uid="{00000000-0005-0000-0000-0000E62D0000}"/>
    <cellStyle name="40% - Accent1 5 2 7 3" xfId="20299" xr:uid="{00000000-0005-0000-0000-0000E72D0000}"/>
    <cellStyle name="40% - Accent1 5 2 8" xfId="2975" xr:uid="{00000000-0005-0000-0000-0000E82D0000}"/>
    <cellStyle name="40% - Accent1 5 2 8 2" xfId="14114" xr:uid="{00000000-0005-0000-0000-0000E92D0000}"/>
    <cellStyle name="40% - Accent1 5 2 8 2 2" xfId="27663" xr:uid="{00000000-0005-0000-0000-0000EA2D0000}"/>
    <cellStyle name="40% - Accent1 5 2 8 3" xfId="20300" xr:uid="{00000000-0005-0000-0000-0000EB2D0000}"/>
    <cellStyle name="40% - Accent1 5 2 9" xfId="2976" xr:uid="{00000000-0005-0000-0000-0000EC2D0000}"/>
    <cellStyle name="40% - Accent1 5 2 9 2" xfId="15119" xr:uid="{00000000-0005-0000-0000-0000ED2D0000}"/>
    <cellStyle name="40% - Accent1 5 2 9 2 2" xfId="28668" xr:uid="{00000000-0005-0000-0000-0000EE2D0000}"/>
    <cellStyle name="40% - Accent1 5 2 9 3" xfId="20301" xr:uid="{00000000-0005-0000-0000-0000EF2D0000}"/>
    <cellStyle name="40% - Accent1 5 3" xfId="2977" xr:uid="{00000000-0005-0000-0000-0000F02D0000}"/>
    <cellStyle name="40% - Accent1 5 3 10" xfId="9238" xr:uid="{00000000-0005-0000-0000-0000F12D0000}"/>
    <cellStyle name="40% - Accent1 5 3 10 2" xfId="23713" xr:uid="{00000000-0005-0000-0000-0000F22D0000}"/>
    <cellStyle name="40% - Accent1 5 3 11" xfId="20302" xr:uid="{00000000-0005-0000-0000-0000F32D0000}"/>
    <cellStyle name="40% - Accent1 5 3 2" xfId="2978" xr:uid="{00000000-0005-0000-0000-0000F42D0000}"/>
    <cellStyle name="40% - Accent1 5 3 2 2" xfId="2979" xr:uid="{00000000-0005-0000-0000-0000F52D0000}"/>
    <cellStyle name="40% - Accent1 5 3 2 2 2" xfId="10965" xr:uid="{00000000-0005-0000-0000-0000F62D0000}"/>
    <cellStyle name="40% - Accent1 5 3 2 2 2 2" xfId="24907" xr:uid="{00000000-0005-0000-0000-0000F72D0000}"/>
    <cellStyle name="40% - Accent1 5 3 2 2 3" xfId="20304" xr:uid="{00000000-0005-0000-0000-0000F82D0000}"/>
    <cellStyle name="40% - Accent1 5 3 2 3" xfId="2980" xr:uid="{00000000-0005-0000-0000-0000F92D0000}"/>
    <cellStyle name="40% - Accent1 5 3 2 3 2" xfId="12716" xr:uid="{00000000-0005-0000-0000-0000FA2D0000}"/>
    <cellStyle name="40% - Accent1 5 3 2 3 2 2" xfId="26428" xr:uid="{00000000-0005-0000-0000-0000FB2D0000}"/>
    <cellStyle name="40% - Accent1 5 3 2 3 3" xfId="20305" xr:uid="{00000000-0005-0000-0000-0000FC2D0000}"/>
    <cellStyle name="40% - Accent1 5 3 2 4" xfId="2981" xr:uid="{00000000-0005-0000-0000-0000FD2D0000}"/>
    <cellStyle name="40% - Accent1 5 3 2 4 2" xfId="15126" xr:uid="{00000000-0005-0000-0000-0000FE2D0000}"/>
    <cellStyle name="40% - Accent1 5 3 2 4 2 2" xfId="28675" xr:uid="{00000000-0005-0000-0000-0000FF2D0000}"/>
    <cellStyle name="40% - Accent1 5 3 2 4 3" xfId="20306" xr:uid="{00000000-0005-0000-0000-0000002E0000}"/>
    <cellStyle name="40% - Accent1 5 3 2 5" xfId="2982" xr:uid="{00000000-0005-0000-0000-0000012E0000}"/>
    <cellStyle name="40% - Accent1 5 3 2 5 2" xfId="16730" xr:uid="{00000000-0005-0000-0000-0000022E0000}"/>
    <cellStyle name="40% - Accent1 5 3 2 5 2 2" xfId="30137" xr:uid="{00000000-0005-0000-0000-0000032E0000}"/>
    <cellStyle name="40% - Accent1 5 3 2 5 3" xfId="20307" xr:uid="{00000000-0005-0000-0000-0000042E0000}"/>
    <cellStyle name="40% - Accent1 5 3 2 6" xfId="9239" xr:uid="{00000000-0005-0000-0000-0000052E0000}"/>
    <cellStyle name="40% - Accent1 5 3 2 6 2" xfId="23714" xr:uid="{00000000-0005-0000-0000-0000062E0000}"/>
    <cellStyle name="40% - Accent1 5 3 2 7" xfId="20303" xr:uid="{00000000-0005-0000-0000-0000072E0000}"/>
    <cellStyle name="40% - Accent1 5 3 3" xfId="2983" xr:uid="{00000000-0005-0000-0000-0000082E0000}"/>
    <cellStyle name="40% - Accent1 5 3 3 2" xfId="2984" xr:uid="{00000000-0005-0000-0000-0000092E0000}"/>
    <cellStyle name="40% - Accent1 5 3 3 2 2" xfId="15127" xr:uid="{00000000-0005-0000-0000-00000A2E0000}"/>
    <cellStyle name="40% - Accent1 5 3 3 2 2 2" xfId="28676" xr:uid="{00000000-0005-0000-0000-00000B2E0000}"/>
    <cellStyle name="40% - Accent1 5 3 3 2 3" xfId="20309" xr:uid="{00000000-0005-0000-0000-00000C2E0000}"/>
    <cellStyle name="40% - Accent1 5 3 3 3" xfId="10964" xr:uid="{00000000-0005-0000-0000-00000D2E0000}"/>
    <cellStyle name="40% - Accent1 5 3 3 3 2" xfId="24906" xr:uid="{00000000-0005-0000-0000-00000E2E0000}"/>
    <cellStyle name="40% - Accent1 5 3 3 4" xfId="20308" xr:uid="{00000000-0005-0000-0000-00000F2E0000}"/>
    <cellStyle name="40% - Accent1 5 3 4" xfId="2985" xr:uid="{00000000-0005-0000-0000-0000102E0000}"/>
    <cellStyle name="40% - Accent1 5 3 4 2" xfId="12118" xr:uid="{00000000-0005-0000-0000-0000112E0000}"/>
    <cellStyle name="40% - Accent1 5 3 4 2 2" xfId="25830" xr:uid="{00000000-0005-0000-0000-0000122E0000}"/>
    <cellStyle name="40% - Accent1 5 3 4 3" xfId="20310" xr:uid="{00000000-0005-0000-0000-0000132E0000}"/>
    <cellStyle name="40% - Accent1 5 3 5" xfId="2986" xr:uid="{00000000-0005-0000-0000-0000142E0000}"/>
    <cellStyle name="40% - Accent1 5 3 5 2" xfId="12721" xr:uid="{00000000-0005-0000-0000-0000152E0000}"/>
    <cellStyle name="40% - Accent1 5 3 5 2 2" xfId="26433" xr:uid="{00000000-0005-0000-0000-0000162E0000}"/>
    <cellStyle name="40% - Accent1 5 3 5 3" xfId="20311" xr:uid="{00000000-0005-0000-0000-0000172E0000}"/>
    <cellStyle name="40% - Accent1 5 3 6" xfId="2987" xr:uid="{00000000-0005-0000-0000-0000182E0000}"/>
    <cellStyle name="40% - Accent1 5 3 6 2" xfId="13682" xr:uid="{00000000-0005-0000-0000-0000192E0000}"/>
    <cellStyle name="40% - Accent1 5 3 6 2 2" xfId="27231" xr:uid="{00000000-0005-0000-0000-00001A2E0000}"/>
    <cellStyle name="40% - Accent1 5 3 6 3" xfId="20312" xr:uid="{00000000-0005-0000-0000-00001B2E0000}"/>
    <cellStyle name="40% - Accent1 5 3 7" xfId="2988" xr:uid="{00000000-0005-0000-0000-00001C2E0000}"/>
    <cellStyle name="40% - Accent1 5 3 7 2" xfId="14263" xr:uid="{00000000-0005-0000-0000-00001D2E0000}"/>
    <cellStyle name="40% - Accent1 5 3 7 2 2" xfId="27812" xr:uid="{00000000-0005-0000-0000-00001E2E0000}"/>
    <cellStyle name="40% - Accent1 5 3 7 3" xfId="20313" xr:uid="{00000000-0005-0000-0000-00001F2E0000}"/>
    <cellStyle name="40% - Accent1 5 3 8" xfId="2989" xr:uid="{00000000-0005-0000-0000-0000202E0000}"/>
    <cellStyle name="40% - Accent1 5 3 8 2" xfId="15125" xr:uid="{00000000-0005-0000-0000-0000212E0000}"/>
    <cellStyle name="40% - Accent1 5 3 8 2 2" xfId="28674" xr:uid="{00000000-0005-0000-0000-0000222E0000}"/>
    <cellStyle name="40% - Accent1 5 3 8 3" xfId="20314" xr:uid="{00000000-0005-0000-0000-0000232E0000}"/>
    <cellStyle name="40% - Accent1 5 3 9" xfId="2990" xr:uid="{00000000-0005-0000-0000-0000242E0000}"/>
    <cellStyle name="40% - Accent1 5 3 9 2" xfId="16149" xr:uid="{00000000-0005-0000-0000-0000252E0000}"/>
    <cellStyle name="40% - Accent1 5 3 9 2 2" xfId="29556" xr:uid="{00000000-0005-0000-0000-0000262E0000}"/>
    <cellStyle name="40% - Accent1 5 3 9 3" xfId="20315" xr:uid="{00000000-0005-0000-0000-0000272E0000}"/>
    <cellStyle name="40% - Accent1 5 4" xfId="2991" xr:uid="{00000000-0005-0000-0000-0000282E0000}"/>
    <cellStyle name="40% - Accent1 5 4 2" xfId="2992" xr:uid="{00000000-0005-0000-0000-0000292E0000}"/>
    <cellStyle name="40% - Accent1 5 4 2 2" xfId="10966" xr:uid="{00000000-0005-0000-0000-00002A2E0000}"/>
    <cellStyle name="40% - Accent1 5 4 2 2 2" xfId="24908" xr:uid="{00000000-0005-0000-0000-00002B2E0000}"/>
    <cellStyle name="40% - Accent1 5 4 2 3" xfId="20317" xr:uid="{00000000-0005-0000-0000-00002C2E0000}"/>
    <cellStyle name="40% - Accent1 5 4 3" xfId="2993" xr:uid="{00000000-0005-0000-0000-00002D2E0000}"/>
    <cellStyle name="40% - Accent1 5 4 3 2" xfId="12513" xr:uid="{00000000-0005-0000-0000-00002E2E0000}"/>
    <cellStyle name="40% - Accent1 5 4 3 2 2" xfId="26225" xr:uid="{00000000-0005-0000-0000-00002F2E0000}"/>
    <cellStyle name="40% - Accent1 5 4 3 3" xfId="20318" xr:uid="{00000000-0005-0000-0000-0000302E0000}"/>
    <cellStyle name="40% - Accent1 5 4 4" xfId="2994" xr:uid="{00000000-0005-0000-0000-0000312E0000}"/>
    <cellStyle name="40% - Accent1 5 4 4 2" xfId="15128" xr:uid="{00000000-0005-0000-0000-0000322E0000}"/>
    <cellStyle name="40% - Accent1 5 4 4 2 2" xfId="28677" xr:uid="{00000000-0005-0000-0000-0000332E0000}"/>
    <cellStyle name="40% - Accent1 5 4 4 3" xfId="20319" xr:uid="{00000000-0005-0000-0000-0000342E0000}"/>
    <cellStyle name="40% - Accent1 5 4 5" xfId="2995" xr:uid="{00000000-0005-0000-0000-0000352E0000}"/>
    <cellStyle name="40% - Accent1 5 4 5 2" xfId="16438" xr:uid="{00000000-0005-0000-0000-0000362E0000}"/>
    <cellStyle name="40% - Accent1 5 4 5 2 2" xfId="29845" xr:uid="{00000000-0005-0000-0000-0000372E0000}"/>
    <cellStyle name="40% - Accent1 5 4 5 3" xfId="20320" xr:uid="{00000000-0005-0000-0000-0000382E0000}"/>
    <cellStyle name="40% - Accent1 5 4 6" xfId="9240" xr:uid="{00000000-0005-0000-0000-0000392E0000}"/>
    <cellStyle name="40% - Accent1 5 4 6 2" xfId="23715" xr:uid="{00000000-0005-0000-0000-00003A2E0000}"/>
    <cellStyle name="40% - Accent1 5 4 7" xfId="20316" xr:uid="{00000000-0005-0000-0000-00003B2E0000}"/>
    <cellStyle name="40% - Accent1 5 5" xfId="2996" xr:uid="{00000000-0005-0000-0000-00003C2E0000}"/>
    <cellStyle name="40% - Accent1 5 5 2" xfId="2997" xr:uid="{00000000-0005-0000-0000-00003D2E0000}"/>
    <cellStyle name="40% - Accent1 5 5 2 2" xfId="15129" xr:uid="{00000000-0005-0000-0000-00003E2E0000}"/>
    <cellStyle name="40% - Accent1 5 5 2 2 2" xfId="28678" xr:uid="{00000000-0005-0000-0000-00003F2E0000}"/>
    <cellStyle name="40% - Accent1 5 5 2 3" xfId="20322" xr:uid="{00000000-0005-0000-0000-0000402E0000}"/>
    <cellStyle name="40% - Accent1 5 5 3" xfId="10959" xr:uid="{00000000-0005-0000-0000-0000412E0000}"/>
    <cellStyle name="40% - Accent1 5 5 3 2" xfId="24901" xr:uid="{00000000-0005-0000-0000-0000422E0000}"/>
    <cellStyle name="40% - Accent1 5 5 4" xfId="20321" xr:uid="{00000000-0005-0000-0000-0000432E0000}"/>
    <cellStyle name="40% - Accent1 5 6" xfId="2998" xr:uid="{00000000-0005-0000-0000-0000442E0000}"/>
    <cellStyle name="40% - Accent1 5 6 2" xfId="11789" xr:uid="{00000000-0005-0000-0000-0000452E0000}"/>
    <cellStyle name="40% - Accent1 5 6 2 2" xfId="25504" xr:uid="{00000000-0005-0000-0000-0000462E0000}"/>
    <cellStyle name="40% - Accent1 5 6 3" xfId="20323" xr:uid="{00000000-0005-0000-0000-0000472E0000}"/>
    <cellStyle name="40% - Accent1 5 7" xfId="2999" xr:uid="{00000000-0005-0000-0000-0000482E0000}"/>
    <cellStyle name="40% - Accent1 5 7 2" xfId="12407" xr:uid="{00000000-0005-0000-0000-0000492E0000}"/>
    <cellStyle name="40% - Accent1 5 7 2 2" xfId="26119" xr:uid="{00000000-0005-0000-0000-00004A2E0000}"/>
    <cellStyle name="40% - Accent1 5 7 3" xfId="20324" xr:uid="{00000000-0005-0000-0000-00004B2E0000}"/>
    <cellStyle name="40% - Accent1 5 8" xfId="3000" xr:uid="{00000000-0005-0000-0000-00004C2E0000}"/>
    <cellStyle name="40% - Accent1 5 8 2" xfId="13390" xr:uid="{00000000-0005-0000-0000-00004D2E0000}"/>
    <cellStyle name="40% - Accent1 5 8 2 2" xfId="26939" xr:uid="{00000000-0005-0000-0000-00004E2E0000}"/>
    <cellStyle name="40% - Accent1 5 8 3" xfId="20325" xr:uid="{00000000-0005-0000-0000-00004F2E0000}"/>
    <cellStyle name="40% - Accent1 5 9" xfId="3001" xr:uid="{00000000-0005-0000-0000-0000502E0000}"/>
    <cellStyle name="40% - Accent1 5 9 2" xfId="13971" xr:uid="{00000000-0005-0000-0000-0000512E0000}"/>
    <cellStyle name="40% - Accent1 5 9 2 2" xfId="27520" xr:uid="{00000000-0005-0000-0000-0000522E0000}"/>
    <cellStyle name="40% - Accent1 5 9 3" xfId="20326" xr:uid="{00000000-0005-0000-0000-0000532E0000}"/>
    <cellStyle name="40% - Accent1 6" xfId="3002" xr:uid="{00000000-0005-0000-0000-0000542E0000}"/>
    <cellStyle name="40% - Accent1 6 10" xfId="3003" xr:uid="{00000000-0005-0000-0000-0000552E0000}"/>
    <cellStyle name="40% - Accent1 6 10 2" xfId="15130" xr:uid="{00000000-0005-0000-0000-0000562E0000}"/>
    <cellStyle name="40% - Accent1 6 10 2 2" xfId="28679" xr:uid="{00000000-0005-0000-0000-0000572E0000}"/>
    <cellStyle name="40% - Accent1 6 10 3" xfId="20328" xr:uid="{00000000-0005-0000-0000-0000582E0000}"/>
    <cellStyle name="40% - Accent1 6 11" xfId="3004" xr:uid="{00000000-0005-0000-0000-0000592E0000}"/>
    <cellStyle name="40% - Accent1 6 11 2" xfId="15963" xr:uid="{00000000-0005-0000-0000-00005A2E0000}"/>
    <cellStyle name="40% - Accent1 6 11 2 2" xfId="29370" xr:uid="{00000000-0005-0000-0000-00005B2E0000}"/>
    <cellStyle name="40% - Accent1 6 11 3" xfId="20329" xr:uid="{00000000-0005-0000-0000-00005C2E0000}"/>
    <cellStyle name="40% - Accent1 6 12" xfId="9241" xr:uid="{00000000-0005-0000-0000-00005D2E0000}"/>
    <cellStyle name="40% - Accent1 6 12 2" xfId="23716" xr:uid="{00000000-0005-0000-0000-00005E2E0000}"/>
    <cellStyle name="40% - Accent1 6 13" xfId="20327" xr:uid="{00000000-0005-0000-0000-00005F2E0000}"/>
    <cellStyle name="40% - Accent1 6 2" xfId="3005" xr:uid="{00000000-0005-0000-0000-0000602E0000}"/>
    <cellStyle name="40% - Accent1 6 2 10" xfId="3006" xr:uid="{00000000-0005-0000-0000-0000612E0000}"/>
    <cellStyle name="40% - Accent1 6 2 10 2" xfId="16106" xr:uid="{00000000-0005-0000-0000-0000622E0000}"/>
    <cellStyle name="40% - Accent1 6 2 10 2 2" xfId="29513" xr:uid="{00000000-0005-0000-0000-0000632E0000}"/>
    <cellStyle name="40% - Accent1 6 2 10 3" xfId="20331" xr:uid="{00000000-0005-0000-0000-0000642E0000}"/>
    <cellStyle name="40% - Accent1 6 2 11" xfId="9242" xr:uid="{00000000-0005-0000-0000-0000652E0000}"/>
    <cellStyle name="40% - Accent1 6 2 11 2" xfId="23717" xr:uid="{00000000-0005-0000-0000-0000662E0000}"/>
    <cellStyle name="40% - Accent1 6 2 12" xfId="20330" xr:uid="{00000000-0005-0000-0000-0000672E0000}"/>
    <cellStyle name="40% - Accent1 6 2 2" xfId="3007" xr:uid="{00000000-0005-0000-0000-0000682E0000}"/>
    <cellStyle name="40% - Accent1 6 2 2 10" xfId="9243" xr:uid="{00000000-0005-0000-0000-0000692E0000}"/>
    <cellStyle name="40% - Accent1 6 2 2 10 2" xfId="23718" xr:uid="{00000000-0005-0000-0000-00006A2E0000}"/>
    <cellStyle name="40% - Accent1 6 2 2 11" xfId="20332" xr:uid="{00000000-0005-0000-0000-00006B2E0000}"/>
    <cellStyle name="40% - Accent1 6 2 2 2" xfId="3008" xr:uid="{00000000-0005-0000-0000-00006C2E0000}"/>
    <cellStyle name="40% - Accent1 6 2 2 2 2" xfId="3009" xr:uid="{00000000-0005-0000-0000-00006D2E0000}"/>
    <cellStyle name="40% - Accent1 6 2 2 2 2 2" xfId="10970" xr:uid="{00000000-0005-0000-0000-00006E2E0000}"/>
    <cellStyle name="40% - Accent1 6 2 2 2 2 2 2" xfId="24912" xr:uid="{00000000-0005-0000-0000-00006F2E0000}"/>
    <cellStyle name="40% - Accent1 6 2 2 2 2 3" xfId="20334" xr:uid="{00000000-0005-0000-0000-0000702E0000}"/>
    <cellStyle name="40% - Accent1 6 2 2 2 3" xfId="3010" xr:uid="{00000000-0005-0000-0000-0000712E0000}"/>
    <cellStyle name="40% - Accent1 6 2 2 2 3 2" xfId="12494" xr:uid="{00000000-0005-0000-0000-0000722E0000}"/>
    <cellStyle name="40% - Accent1 6 2 2 2 3 2 2" xfId="26206" xr:uid="{00000000-0005-0000-0000-0000732E0000}"/>
    <cellStyle name="40% - Accent1 6 2 2 2 3 3" xfId="20335" xr:uid="{00000000-0005-0000-0000-0000742E0000}"/>
    <cellStyle name="40% - Accent1 6 2 2 2 4" xfId="3011" xr:uid="{00000000-0005-0000-0000-0000752E0000}"/>
    <cellStyle name="40% - Accent1 6 2 2 2 4 2" xfId="15133" xr:uid="{00000000-0005-0000-0000-0000762E0000}"/>
    <cellStyle name="40% - Accent1 6 2 2 2 4 2 2" xfId="28682" xr:uid="{00000000-0005-0000-0000-0000772E0000}"/>
    <cellStyle name="40% - Accent1 6 2 2 2 4 3" xfId="20336" xr:uid="{00000000-0005-0000-0000-0000782E0000}"/>
    <cellStyle name="40% - Accent1 6 2 2 2 5" xfId="3012" xr:uid="{00000000-0005-0000-0000-0000792E0000}"/>
    <cellStyle name="40% - Accent1 6 2 2 2 5 2" xfId="16976" xr:uid="{00000000-0005-0000-0000-00007A2E0000}"/>
    <cellStyle name="40% - Accent1 6 2 2 2 5 2 2" xfId="30383" xr:uid="{00000000-0005-0000-0000-00007B2E0000}"/>
    <cellStyle name="40% - Accent1 6 2 2 2 5 3" xfId="20337" xr:uid="{00000000-0005-0000-0000-00007C2E0000}"/>
    <cellStyle name="40% - Accent1 6 2 2 2 6" xfId="9244" xr:uid="{00000000-0005-0000-0000-00007D2E0000}"/>
    <cellStyle name="40% - Accent1 6 2 2 2 6 2" xfId="23719" xr:uid="{00000000-0005-0000-0000-00007E2E0000}"/>
    <cellStyle name="40% - Accent1 6 2 2 2 7" xfId="20333" xr:uid="{00000000-0005-0000-0000-00007F2E0000}"/>
    <cellStyle name="40% - Accent1 6 2 2 3" xfId="3013" xr:uid="{00000000-0005-0000-0000-0000802E0000}"/>
    <cellStyle name="40% - Accent1 6 2 2 3 2" xfId="3014" xr:uid="{00000000-0005-0000-0000-0000812E0000}"/>
    <cellStyle name="40% - Accent1 6 2 2 3 2 2" xfId="15134" xr:uid="{00000000-0005-0000-0000-0000822E0000}"/>
    <cellStyle name="40% - Accent1 6 2 2 3 2 2 2" xfId="28683" xr:uid="{00000000-0005-0000-0000-0000832E0000}"/>
    <cellStyle name="40% - Accent1 6 2 2 3 2 3" xfId="20339" xr:uid="{00000000-0005-0000-0000-0000842E0000}"/>
    <cellStyle name="40% - Accent1 6 2 2 3 3" xfId="10969" xr:uid="{00000000-0005-0000-0000-0000852E0000}"/>
    <cellStyle name="40% - Accent1 6 2 2 3 3 2" xfId="24911" xr:uid="{00000000-0005-0000-0000-0000862E0000}"/>
    <cellStyle name="40% - Accent1 6 2 2 3 4" xfId="20338" xr:uid="{00000000-0005-0000-0000-0000872E0000}"/>
    <cellStyle name="40% - Accent1 6 2 2 4" xfId="3015" xr:uid="{00000000-0005-0000-0000-0000882E0000}"/>
    <cellStyle name="40% - Accent1 6 2 2 4 2" xfId="12364" xr:uid="{00000000-0005-0000-0000-0000892E0000}"/>
    <cellStyle name="40% - Accent1 6 2 2 4 2 2" xfId="26076" xr:uid="{00000000-0005-0000-0000-00008A2E0000}"/>
    <cellStyle name="40% - Accent1 6 2 2 4 3" xfId="20340" xr:uid="{00000000-0005-0000-0000-00008B2E0000}"/>
    <cellStyle name="40% - Accent1 6 2 2 5" xfId="3016" xr:uid="{00000000-0005-0000-0000-00008C2E0000}"/>
    <cellStyle name="40% - Accent1 6 2 2 5 2" xfId="12693" xr:uid="{00000000-0005-0000-0000-00008D2E0000}"/>
    <cellStyle name="40% - Accent1 6 2 2 5 2 2" xfId="26405" xr:uid="{00000000-0005-0000-0000-00008E2E0000}"/>
    <cellStyle name="40% - Accent1 6 2 2 5 3" xfId="20341" xr:uid="{00000000-0005-0000-0000-00008F2E0000}"/>
    <cellStyle name="40% - Accent1 6 2 2 6" xfId="3017" xr:uid="{00000000-0005-0000-0000-0000902E0000}"/>
    <cellStyle name="40% - Accent1 6 2 2 6 2" xfId="13928" xr:uid="{00000000-0005-0000-0000-0000912E0000}"/>
    <cellStyle name="40% - Accent1 6 2 2 6 2 2" xfId="27477" xr:uid="{00000000-0005-0000-0000-0000922E0000}"/>
    <cellStyle name="40% - Accent1 6 2 2 6 3" xfId="20342" xr:uid="{00000000-0005-0000-0000-0000932E0000}"/>
    <cellStyle name="40% - Accent1 6 2 2 7" xfId="3018" xr:uid="{00000000-0005-0000-0000-0000942E0000}"/>
    <cellStyle name="40% - Accent1 6 2 2 7 2" xfId="14509" xr:uid="{00000000-0005-0000-0000-0000952E0000}"/>
    <cellStyle name="40% - Accent1 6 2 2 7 2 2" xfId="28058" xr:uid="{00000000-0005-0000-0000-0000962E0000}"/>
    <cellStyle name="40% - Accent1 6 2 2 7 3" xfId="20343" xr:uid="{00000000-0005-0000-0000-0000972E0000}"/>
    <cellStyle name="40% - Accent1 6 2 2 8" xfId="3019" xr:uid="{00000000-0005-0000-0000-0000982E0000}"/>
    <cellStyle name="40% - Accent1 6 2 2 8 2" xfId="15132" xr:uid="{00000000-0005-0000-0000-0000992E0000}"/>
    <cellStyle name="40% - Accent1 6 2 2 8 2 2" xfId="28681" xr:uid="{00000000-0005-0000-0000-00009A2E0000}"/>
    <cellStyle name="40% - Accent1 6 2 2 8 3" xfId="20344" xr:uid="{00000000-0005-0000-0000-00009B2E0000}"/>
    <cellStyle name="40% - Accent1 6 2 2 9" xfId="3020" xr:uid="{00000000-0005-0000-0000-00009C2E0000}"/>
    <cellStyle name="40% - Accent1 6 2 2 9 2" xfId="16395" xr:uid="{00000000-0005-0000-0000-00009D2E0000}"/>
    <cellStyle name="40% - Accent1 6 2 2 9 2 2" xfId="29802" xr:uid="{00000000-0005-0000-0000-00009E2E0000}"/>
    <cellStyle name="40% - Accent1 6 2 2 9 3" xfId="20345" xr:uid="{00000000-0005-0000-0000-00009F2E0000}"/>
    <cellStyle name="40% - Accent1 6 2 3" xfId="3021" xr:uid="{00000000-0005-0000-0000-0000A02E0000}"/>
    <cellStyle name="40% - Accent1 6 2 3 2" xfId="3022" xr:uid="{00000000-0005-0000-0000-0000A12E0000}"/>
    <cellStyle name="40% - Accent1 6 2 3 2 2" xfId="10971" xr:uid="{00000000-0005-0000-0000-0000A22E0000}"/>
    <cellStyle name="40% - Accent1 6 2 3 2 2 2" xfId="24913" xr:uid="{00000000-0005-0000-0000-0000A32E0000}"/>
    <cellStyle name="40% - Accent1 6 2 3 2 3" xfId="20347" xr:uid="{00000000-0005-0000-0000-0000A42E0000}"/>
    <cellStyle name="40% - Accent1 6 2 3 3" xfId="3023" xr:uid="{00000000-0005-0000-0000-0000A52E0000}"/>
    <cellStyle name="40% - Accent1 6 2 3 3 2" xfId="11822" xr:uid="{00000000-0005-0000-0000-0000A62E0000}"/>
    <cellStyle name="40% - Accent1 6 2 3 3 2 2" xfId="25537" xr:uid="{00000000-0005-0000-0000-0000A72E0000}"/>
    <cellStyle name="40% - Accent1 6 2 3 3 3" xfId="20348" xr:uid="{00000000-0005-0000-0000-0000A82E0000}"/>
    <cellStyle name="40% - Accent1 6 2 3 4" xfId="3024" xr:uid="{00000000-0005-0000-0000-0000A92E0000}"/>
    <cellStyle name="40% - Accent1 6 2 3 4 2" xfId="15135" xr:uid="{00000000-0005-0000-0000-0000AA2E0000}"/>
    <cellStyle name="40% - Accent1 6 2 3 4 2 2" xfId="28684" xr:uid="{00000000-0005-0000-0000-0000AB2E0000}"/>
    <cellStyle name="40% - Accent1 6 2 3 4 3" xfId="20349" xr:uid="{00000000-0005-0000-0000-0000AC2E0000}"/>
    <cellStyle name="40% - Accent1 6 2 3 5" xfId="3025" xr:uid="{00000000-0005-0000-0000-0000AD2E0000}"/>
    <cellStyle name="40% - Accent1 6 2 3 5 2" xfId="16687" xr:uid="{00000000-0005-0000-0000-0000AE2E0000}"/>
    <cellStyle name="40% - Accent1 6 2 3 5 2 2" xfId="30094" xr:uid="{00000000-0005-0000-0000-0000AF2E0000}"/>
    <cellStyle name="40% - Accent1 6 2 3 5 3" xfId="20350" xr:uid="{00000000-0005-0000-0000-0000B02E0000}"/>
    <cellStyle name="40% - Accent1 6 2 3 6" xfId="9245" xr:uid="{00000000-0005-0000-0000-0000B12E0000}"/>
    <cellStyle name="40% - Accent1 6 2 3 6 2" xfId="23720" xr:uid="{00000000-0005-0000-0000-0000B22E0000}"/>
    <cellStyle name="40% - Accent1 6 2 3 7" xfId="20346" xr:uid="{00000000-0005-0000-0000-0000B32E0000}"/>
    <cellStyle name="40% - Accent1 6 2 4" xfId="3026" xr:uid="{00000000-0005-0000-0000-0000B42E0000}"/>
    <cellStyle name="40% - Accent1 6 2 4 2" xfId="3027" xr:uid="{00000000-0005-0000-0000-0000B52E0000}"/>
    <cellStyle name="40% - Accent1 6 2 4 2 2" xfId="15136" xr:uid="{00000000-0005-0000-0000-0000B62E0000}"/>
    <cellStyle name="40% - Accent1 6 2 4 2 2 2" xfId="28685" xr:uid="{00000000-0005-0000-0000-0000B72E0000}"/>
    <cellStyle name="40% - Accent1 6 2 4 2 3" xfId="20352" xr:uid="{00000000-0005-0000-0000-0000B82E0000}"/>
    <cellStyle name="40% - Accent1 6 2 4 3" xfId="10968" xr:uid="{00000000-0005-0000-0000-0000B92E0000}"/>
    <cellStyle name="40% - Accent1 6 2 4 3 2" xfId="24910" xr:uid="{00000000-0005-0000-0000-0000BA2E0000}"/>
    <cellStyle name="40% - Accent1 6 2 4 4" xfId="20351" xr:uid="{00000000-0005-0000-0000-0000BB2E0000}"/>
    <cellStyle name="40% - Accent1 6 2 5" xfId="3028" xr:uid="{00000000-0005-0000-0000-0000BC2E0000}"/>
    <cellStyle name="40% - Accent1 6 2 5 2" xfId="12064" xr:uid="{00000000-0005-0000-0000-0000BD2E0000}"/>
    <cellStyle name="40% - Accent1 6 2 5 2 2" xfId="25779" xr:uid="{00000000-0005-0000-0000-0000BE2E0000}"/>
    <cellStyle name="40% - Accent1 6 2 5 3" xfId="20353" xr:uid="{00000000-0005-0000-0000-0000BF2E0000}"/>
    <cellStyle name="40% - Accent1 6 2 6" xfId="3029" xr:uid="{00000000-0005-0000-0000-0000C02E0000}"/>
    <cellStyle name="40% - Accent1 6 2 6 2" xfId="12692" xr:uid="{00000000-0005-0000-0000-0000C12E0000}"/>
    <cellStyle name="40% - Accent1 6 2 6 2 2" xfId="26404" xr:uid="{00000000-0005-0000-0000-0000C22E0000}"/>
    <cellStyle name="40% - Accent1 6 2 6 3" xfId="20354" xr:uid="{00000000-0005-0000-0000-0000C32E0000}"/>
    <cellStyle name="40% - Accent1 6 2 7" xfId="3030" xr:uid="{00000000-0005-0000-0000-0000C42E0000}"/>
    <cellStyle name="40% - Accent1 6 2 7 2" xfId="13639" xr:uid="{00000000-0005-0000-0000-0000C52E0000}"/>
    <cellStyle name="40% - Accent1 6 2 7 2 2" xfId="27188" xr:uid="{00000000-0005-0000-0000-0000C62E0000}"/>
    <cellStyle name="40% - Accent1 6 2 7 3" xfId="20355" xr:uid="{00000000-0005-0000-0000-0000C72E0000}"/>
    <cellStyle name="40% - Accent1 6 2 8" xfId="3031" xr:uid="{00000000-0005-0000-0000-0000C82E0000}"/>
    <cellStyle name="40% - Accent1 6 2 8 2" xfId="14220" xr:uid="{00000000-0005-0000-0000-0000C92E0000}"/>
    <cellStyle name="40% - Accent1 6 2 8 2 2" xfId="27769" xr:uid="{00000000-0005-0000-0000-0000CA2E0000}"/>
    <cellStyle name="40% - Accent1 6 2 8 3" xfId="20356" xr:uid="{00000000-0005-0000-0000-0000CB2E0000}"/>
    <cellStyle name="40% - Accent1 6 2 9" xfId="3032" xr:uid="{00000000-0005-0000-0000-0000CC2E0000}"/>
    <cellStyle name="40% - Accent1 6 2 9 2" xfId="15131" xr:uid="{00000000-0005-0000-0000-0000CD2E0000}"/>
    <cellStyle name="40% - Accent1 6 2 9 2 2" xfId="28680" xr:uid="{00000000-0005-0000-0000-0000CE2E0000}"/>
    <cellStyle name="40% - Accent1 6 2 9 3" xfId="20357" xr:uid="{00000000-0005-0000-0000-0000CF2E0000}"/>
    <cellStyle name="40% - Accent1 6 3" xfId="3033" xr:uid="{00000000-0005-0000-0000-0000D02E0000}"/>
    <cellStyle name="40% - Accent1 6 3 10" xfId="9246" xr:uid="{00000000-0005-0000-0000-0000D12E0000}"/>
    <cellStyle name="40% - Accent1 6 3 10 2" xfId="23721" xr:uid="{00000000-0005-0000-0000-0000D22E0000}"/>
    <cellStyle name="40% - Accent1 6 3 11" xfId="20358" xr:uid="{00000000-0005-0000-0000-0000D32E0000}"/>
    <cellStyle name="40% - Accent1 6 3 2" xfId="3034" xr:uid="{00000000-0005-0000-0000-0000D42E0000}"/>
    <cellStyle name="40% - Accent1 6 3 2 2" xfId="3035" xr:uid="{00000000-0005-0000-0000-0000D52E0000}"/>
    <cellStyle name="40% - Accent1 6 3 2 2 2" xfId="10973" xr:uid="{00000000-0005-0000-0000-0000D62E0000}"/>
    <cellStyle name="40% - Accent1 6 3 2 2 2 2" xfId="24915" xr:uid="{00000000-0005-0000-0000-0000D72E0000}"/>
    <cellStyle name="40% - Accent1 6 3 2 2 3" xfId="20360" xr:uid="{00000000-0005-0000-0000-0000D82E0000}"/>
    <cellStyle name="40% - Accent1 6 3 2 3" xfId="3036" xr:uid="{00000000-0005-0000-0000-0000D92E0000}"/>
    <cellStyle name="40% - Accent1 6 3 2 3 2" xfId="12519" xr:uid="{00000000-0005-0000-0000-0000DA2E0000}"/>
    <cellStyle name="40% - Accent1 6 3 2 3 2 2" xfId="26231" xr:uid="{00000000-0005-0000-0000-0000DB2E0000}"/>
    <cellStyle name="40% - Accent1 6 3 2 3 3" xfId="20361" xr:uid="{00000000-0005-0000-0000-0000DC2E0000}"/>
    <cellStyle name="40% - Accent1 6 3 2 4" xfId="3037" xr:uid="{00000000-0005-0000-0000-0000DD2E0000}"/>
    <cellStyle name="40% - Accent1 6 3 2 4 2" xfId="15138" xr:uid="{00000000-0005-0000-0000-0000DE2E0000}"/>
    <cellStyle name="40% - Accent1 6 3 2 4 2 2" xfId="28687" xr:uid="{00000000-0005-0000-0000-0000DF2E0000}"/>
    <cellStyle name="40% - Accent1 6 3 2 4 3" xfId="20362" xr:uid="{00000000-0005-0000-0000-0000E02E0000}"/>
    <cellStyle name="40% - Accent1 6 3 2 5" xfId="3038" xr:uid="{00000000-0005-0000-0000-0000E12E0000}"/>
    <cellStyle name="40% - Accent1 6 3 2 5 2" xfId="16833" xr:uid="{00000000-0005-0000-0000-0000E22E0000}"/>
    <cellStyle name="40% - Accent1 6 3 2 5 2 2" xfId="30240" xr:uid="{00000000-0005-0000-0000-0000E32E0000}"/>
    <cellStyle name="40% - Accent1 6 3 2 5 3" xfId="20363" xr:uid="{00000000-0005-0000-0000-0000E42E0000}"/>
    <cellStyle name="40% - Accent1 6 3 2 6" xfId="9247" xr:uid="{00000000-0005-0000-0000-0000E52E0000}"/>
    <cellStyle name="40% - Accent1 6 3 2 6 2" xfId="23722" xr:uid="{00000000-0005-0000-0000-0000E62E0000}"/>
    <cellStyle name="40% - Accent1 6 3 2 7" xfId="20359" xr:uid="{00000000-0005-0000-0000-0000E72E0000}"/>
    <cellStyle name="40% - Accent1 6 3 3" xfId="3039" xr:uid="{00000000-0005-0000-0000-0000E82E0000}"/>
    <cellStyle name="40% - Accent1 6 3 3 2" xfId="3040" xr:uid="{00000000-0005-0000-0000-0000E92E0000}"/>
    <cellStyle name="40% - Accent1 6 3 3 2 2" xfId="15139" xr:uid="{00000000-0005-0000-0000-0000EA2E0000}"/>
    <cellStyle name="40% - Accent1 6 3 3 2 2 2" xfId="28688" xr:uid="{00000000-0005-0000-0000-0000EB2E0000}"/>
    <cellStyle name="40% - Accent1 6 3 3 2 3" xfId="20365" xr:uid="{00000000-0005-0000-0000-0000EC2E0000}"/>
    <cellStyle name="40% - Accent1 6 3 3 3" xfId="10972" xr:uid="{00000000-0005-0000-0000-0000ED2E0000}"/>
    <cellStyle name="40% - Accent1 6 3 3 3 2" xfId="24914" xr:uid="{00000000-0005-0000-0000-0000EE2E0000}"/>
    <cellStyle name="40% - Accent1 6 3 3 4" xfId="20364" xr:uid="{00000000-0005-0000-0000-0000EF2E0000}"/>
    <cellStyle name="40% - Accent1 6 3 4" xfId="3041" xr:uid="{00000000-0005-0000-0000-0000F02E0000}"/>
    <cellStyle name="40% - Accent1 6 3 4 2" xfId="12221" xr:uid="{00000000-0005-0000-0000-0000F12E0000}"/>
    <cellStyle name="40% - Accent1 6 3 4 2 2" xfId="25933" xr:uid="{00000000-0005-0000-0000-0000F22E0000}"/>
    <cellStyle name="40% - Accent1 6 3 4 3" xfId="20366" xr:uid="{00000000-0005-0000-0000-0000F32E0000}"/>
    <cellStyle name="40% - Accent1 6 3 5" xfId="3042" xr:uid="{00000000-0005-0000-0000-0000F42E0000}"/>
    <cellStyle name="40% - Accent1 6 3 5 2" xfId="12426" xr:uid="{00000000-0005-0000-0000-0000F52E0000}"/>
    <cellStyle name="40% - Accent1 6 3 5 2 2" xfId="26138" xr:uid="{00000000-0005-0000-0000-0000F62E0000}"/>
    <cellStyle name="40% - Accent1 6 3 5 3" xfId="20367" xr:uid="{00000000-0005-0000-0000-0000F72E0000}"/>
    <cellStyle name="40% - Accent1 6 3 6" xfId="3043" xr:uid="{00000000-0005-0000-0000-0000F82E0000}"/>
    <cellStyle name="40% - Accent1 6 3 6 2" xfId="13785" xr:uid="{00000000-0005-0000-0000-0000F92E0000}"/>
    <cellStyle name="40% - Accent1 6 3 6 2 2" xfId="27334" xr:uid="{00000000-0005-0000-0000-0000FA2E0000}"/>
    <cellStyle name="40% - Accent1 6 3 6 3" xfId="20368" xr:uid="{00000000-0005-0000-0000-0000FB2E0000}"/>
    <cellStyle name="40% - Accent1 6 3 7" xfId="3044" xr:uid="{00000000-0005-0000-0000-0000FC2E0000}"/>
    <cellStyle name="40% - Accent1 6 3 7 2" xfId="14366" xr:uid="{00000000-0005-0000-0000-0000FD2E0000}"/>
    <cellStyle name="40% - Accent1 6 3 7 2 2" xfId="27915" xr:uid="{00000000-0005-0000-0000-0000FE2E0000}"/>
    <cellStyle name="40% - Accent1 6 3 7 3" xfId="20369" xr:uid="{00000000-0005-0000-0000-0000FF2E0000}"/>
    <cellStyle name="40% - Accent1 6 3 8" xfId="3045" xr:uid="{00000000-0005-0000-0000-0000002F0000}"/>
    <cellStyle name="40% - Accent1 6 3 8 2" xfId="15137" xr:uid="{00000000-0005-0000-0000-0000012F0000}"/>
    <cellStyle name="40% - Accent1 6 3 8 2 2" xfId="28686" xr:uid="{00000000-0005-0000-0000-0000022F0000}"/>
    <cellStyle name="40% - Accent1 6 3 8 3" xfId="20370" xr:uid="{00000000-0005-0000-0000-0000032F0000}"/>
    <cellStyle name="40% - Accent1 6 3 9" xfId="3046" xr:uid="{00000000-0005-0000-0000-0000042F0000}"/>
    <cellStyle name="40% - Accent1 6 3 9 2" xfId="16252" xr:uid="{00000000-0005-0000-0000-0000052F0000}"/>
    <cellStyle name="40% - Accent1 6 3 9 2 2" xfId="29659" xr:uid="{00000000-0005-0000-0000-0000062F0000}"/>
    <cellStyle name="40% - Accent1 6 3 9 3" xfId="20371" xr:uid="{00000000-0005-0000-0000-0000072F0000}"/>
    <cellStyle name="40% - Accent1 6 4" xfId="3047" xr:uid="{00000000-0005-0000-0000-0000082F0000}"/>
    <cellStyle name="40% - Accent1 6 4 2" xfId="3048" xr:uid="{00000000-0005-0000-0000-0000092F0000}"/>
    <cellStyle name="40% - Accent1 6 4 2 2" xfId="10974" xr:uid="{00000000-0005-0000-0000-00000A2F0000}"/>
    <cellStyle name="40% - Accent1 6 4 2 2 2" xfId="24916" xr:uid="{00000000-0005-0000-0000-00000B2F0000}"/>
    <cellStyle name="40% - Accent1 6 4 2 3" xfId="20373" xr:uid="{00000000-0005-0000-0000-00000C2F0000}"/>
    <cellStyle name="40% - Accent1 6 4 3" xfId="3049" xr:uid="{00000000-0005-0000-0000-00000D2F0000}"/>
    <cellStyle name="40% - Accent1 6 4 3 2" xfId="12434" xr:uid="{00000000-0005-0000-0000-00000E2F0000}"/>
    <cellStyle name="40% - Accent1 6 4 3 2 2" xfId="26146" xr:uid="{00000000-0005-0000-0000-00000F2F0000}"/>
    <cellStyle name="40% - Accent1 6 4 3 3" xfId="20374" xr:uid="{00000000-0005-0000-0000-0000102F0000}"/>
    <cellStyle name="40% - Accent1 6 4 4" xfId="3050" xr:uid="{00000000-0005-0000-0000-0000112F0000}"/>
    <cellStyle name="40% - Accent1 6 4 4 2" xfId="15140" xr:uid="{00000000-0005-0000-0000-0000122F0000}"/>
    <cellStyle name="40% - Accent1 6 4 4 2 2" xfId="28689" xr:uid="{00000000-0005-0000-0000-0000132F0000}"/>
    <cellStyle name="40% - Accent1 6 4 4 3" xfId="20375" xr:uid="{00000000-0005-0000-0000-0000142F0000}"/>
    <cellStyle name="40% - Accent1 6 4 5" xfId="3051" xr:uid="{00000000-0005-0000-0000-0000152F0000}"/>
    <cellStyle name="40% - Accent1 6 4 5 2" xfId="16544" xr:uid="{00000000-0005-0000-0000-0000162F0000}"/>
    <cellStyle name="40% - Accent1 6 4 5 2 2" xfId="29951" xr:uid="{00000000-0005-0000-0000-0000172F0000}"/>
    <cellStyle name="40% - Accent1 6 4 5 3" xfId="20376" xr:uid="{00000000-0005-0000-0000-0000182F0000}"/>
    <cellStyle name="40% - Accent1 6 4 6" xfId="9248" xr:uid="{00000000-0005-0000-0000-0000192F0000}"/>
    <cellStyle name="40% - Accent1 6 4 6 2" xfId="23723" xr:uid="{00000000-0005-0000-0000-00001A2F0000}"/>
    <cellStyle name="40% - Accent1 6 4 7" xfId="20372" xr:uid="{00000000-0005-0000-0000-00001B2F0000}"/>
    <cellStyle name="40% - Accent1 6 5" xfId="3052" xr:uid="{00000000-0005-0000-0000-00001C2F0000}"/>
    <cellStyle name="40% - Accent1 6 5 2" xfId="3053" xr:uid="{00000000-0005-0000-0000-00001D2F0000}"/>
    <cellStyle name="40% - Accent1 6 5 2 2" xfId="15141" xr:uid="{00000000-0005-0000-0000-00001E2F0000}"/>
    <cellStyle name="40% - Accent1 6 5 2 2 2" xfId="28690" xr:uid="{00000000-0005-0000-0000-00001F2F0000}"/>
    <cellStyle name="40% - Accent1 6 5 2 3" xfId="20378" xr:uid="{00000000-0005-0000-0000-0000202F0000}"/>
    <cellStyle name="40% - Accent1 6 5 3" xfId="10967" xr:uid="{00000000-0005-0000-0000-0000212F0000}"/>
    <cellStyle name="40% - Accent1 6 5 3 2" xfId="24909" xr:uid="{00000000-0005-0000-0000-0000222F0000}"/>
    <cellStyle name="40% - Accent1 6 5 4" xfId="20377" xr:uid="{00000000-0005-0000-0000-0000232F0000}"/>
    <cellStyle name="40% - Accent1 6 6" xfId="3054" xr:uid="{00000000-0005-0000-0000-0000242F0000}"/>
    <cellStyle name="40% - Accent1 6 6 2" xfId="11919" xr:uid="{00000000-0005-0000-0000-0000252F0000}"/>
    <cellStyle name="40% - Accent1 6 6 2 2" xfId="25634" xr:uid="{00000000-0005-0000-0000-0000262F0000}"/>
    <cellStyle name="40% - Accent1 6 6 3" xfId="20379" xr:uid="{00000000-0005-0000-0000-0000272F0000}"/>
    <cellStyle name="40% - Accent1 6 7" xfId="3055" xr:uid="{00000000-0005-0000-0000-0000282F0000}"/>
    <cellStyle name="40% - Accent1 6 7 2" xfId="12410" xr:uid="{00000000-0005-0000-0000-0000292F0000}"/>
    <cellStyle name="40% - Accent1 6 7 2 2" xfId="26122" xr:uid="{00000000-0005-0000-0000-00002A2F0000}"/>
    <cellStyle name="40% - Accent1 6 7 3" xfId="20380" xr:uid="{00000000-0005-0000-0000-00002B2F0000}"/>
    <cellStyle name="40% - Accent1 6 8" xfId="3056" xr:uid="{00000000-0005-0000-0000-00002C2F0000}"/>
    <cellStyle name="40% - Accent1 6 8 2" xfId="13496" xr:uid="{00000000-0005-0000-0000-00002D2F0000}"/>
    <cellStyle name="40% - Accent1 6 8 2 2" xfId="27045" xr:uid="{00000000-0005-0000-0000-00002E2F0000}"/>
    <cellStyle name="40% - Accent1 6 8 3" xfId="20381" xr:uid="{00000000-0005-0000-0000-00002F2F0000}"/>
    <cellStyle name="40% - Accent1 6 9" xfId="3057" xr:uid="{00000000-0005-0000-0000-0000302F0000}"/>
    <cellStyle name="40% - Accent1 6 9 2" xfId="14077" xr:uid="{00000000-0005-0000-0000-0000312F0000}"/>
    <cellStyle name="40% - Accent1 6 9 2 2" xfId="27626" xr:uid="{00000000-0005-0000-0000-0000322F0000}"/>
    <cellStyle name="40% - Accent1 6 9 3" xfId="20382" xr:uid="{00000000-0005-0000-0000-0000332F0000}"/>
    <cellStyle name="40% - Accent1 7" xfId="3058" xr:uid="{00000000-0005-0000-0000-0000342F0000}"/>
    <cellStyle name="40% - Accent1 7 10" xfId="3059" xr:uid="{00000000-0005-0000-0000-0000352F0000}"/>
    <cellStyle name="40% - Accent1 7 10 2" xfId="15978" xr:uid="{00000000-0005-0000-0000-0000362F0000}"/>
    <cellStyle name="40% - Accent1 7 10 2 2" xfId="29385" xr:uid="{00000000-0005-0000-0000-0000372F0000}"/>
    <cellStyle name="40% - Accent1 7 10 3" xfId="20384" xr:uid="{00000000-0005-0000-0000-0000382F0000}"/>
    <cellStyle name="40% - Accent1 7 11" xfId="9249" xr:uid="{00000000-0005-0000-0000-0000392F0000}"/>
    <cellStyle name="40% - Accent1 7 11 2" xfId="23724" xr:uid="{00000000-0005-0000-0000-00003A2F0000}"/>
    <cellStyle name="40% - Accent1 7 12" xfId="20383" xr:uid="{00000000-0005-0000-0000-00003B2F0000}"/>
    <cellStyle name="40% - Accent1 7 2" xfId="3060" xr:uid="{00000000-0005-0000-0000-00003C2F0000}"/>
    <cellStyle name="40% - Accent1 7 2 10" xfId="9250" xr:uid="{00000000-0005-0000-0000-00003D2F0000}"/>
    <cellStyle name="40% - Accent1 7 2 10 2" xfId="23725" xr:uid="{00000000-0005-0000-0000-00003E2F0000}"/>
    <cellStyle name="40% - Accent1 7 2 11" xfId="20385" xr:uid="{00000000-0005-0000-0000-00003F2F0000}"/>
    <cellStyle name="40% - Accent1 7 2 2" xfId="3061" xr:uid="{00000000-0005-0000-0000-0000402F0000}"/>
    <cellStyle name="40% - Accent1 7 2 2 2" xfId="3062" xr:uid="{00000000-0005-0000-0000-0000412F0000}"/>
    <cellStyle name="40% - Accent1 7 2 2 2 2" xfId="10977" xr:uid="{00000000-0005-0000-0000-0000422F0000}"/>
    <cellStyle name="40% - Accent1 7 2 2 2 2 2" xfId="24919" xr:uid="{00000000-0005-0000-0000-0000432F0000}"/>
    <cellStyle name="40% - Accent1 7 2 2 2 3" xfId="20387" xr:uid="{00000000-0005-0000-0000-0000442F0000}"/>
    <cellStyle name="40% - Accent1 7 2 2 3" xfId="3063" xr:uid="{00000000-0005-0000-0000-0000452F0000}"/>
    <cellStyle name="40% - Accent1 7 2 2 3 2" xfId="12397" xr:uid="{00000000-0005-0000-0000-0000462F0000}"/>
    <cellStyle name="40% - Accent1 7 2 2 3 2 2" xfId="26109" xr:uid="{00000000-0005-0000-0000-0000472F0000}"/>
    <cellStyle name="40% - Accent1 7 2 2 3 3" xfId="20388" xr:uid="{00000000-0005-0000-0000-0000482F0000}"/>
    <cellStyle name="40% - Accent1 7 2 2 4" xfId="3064" xr:uid="{00000000-0005-0000-0000-0000492F0000}"/>
    <cellStyle name="40% - Accent1 7 2 2 4 2" xfId="15144" xr:uid="{00000000-0005-0000-0000-00004A2F0000}"/>
    <cellStyle name="40% - Accent1 7 2 2 4 2 2" xfId="28693" xr:uid="{00000000-0005-0000-0000-00004B2F0000}"/>
    <cellStyle name="40% - Accent1 7 2 2 4 3" xfId="20389" xr:uid="{00000000-0005-0000-0000-00004C2F0000}"/>
    <cellStyle name="40% - Accent1 7 2 2 5" xfId="3065" xr:uid="{00000000-0005-0000-0000-00004D2F0000}"/>
    <cellStyle name="40% - Accent1 7 2 2 5 2" xfId="16848" xr:uid="{00000000-0005-0000-0000-00004E2F0000}"/>
    <cellStyle name="40% - Accent1 7 2 2 5 2 2" xfId="30255" xr:uid="{00000000-0005-0000-0000-00004F2F0000}"/>
    <cellStyle name="40% - Accent1 7 2 2 5 3" xfId="20390" xr:uid="{00000000-0005-0000-0000-0000502F0000}"/>
    <cellStyle name="40% - Accent1 7 2 2 6" xfId="9251" xr:uid="{00000000-0005-0000-0000-0000512F0000}"/>
    <cellStyle name="40% - Accent1 7 2 2 6 2" xfId="23726" xr:uid="{00000000-0005-0000-0000-0000522F0000}"/>
    <cellStyle name="40% - Accent1 7 2 2 7" xfId="20386" xr:uid="{00000000-0005-0000-0000-0000532F0000}"/>
    <cellStyle name="40% - Accent1 7 2 3" xfId="3066" xr:uid="{00000000-0005-0000-0000-0000542F0000}"/>
    <cellStyle name="40% - Accent1 7 2 3 2" xfId="3067" xr:uid="{00000000-0005-0000-0000-0000552F0000}"/>
    <cellStyle name="40% - Accent1 7 2 3 2 2" xfId="15145" xr:uid="{00000000-0005-0000-0000-0000562F0000}"/>
    <cellStyle name="40% - Accent1 7 2 3 2 2 2" xfId="28694" xr:uid="{00000000-0005-0000-0000-0000572F0000}"/>
    <cellStyle name="40% - Accent1 7 2 3 2 3" xfId="20392" xr:uid="{00000000-0005-0000-0000-0000582F0000}"/>
    <cellStyle name="40% - Accent1 7 2 3 3" xfId="10976" xr:uid="{00000000-0005-0000-0000-0000592F0000}"/>
    <cellStyle name="40% - Accent1 7 2 3 3 2" xfId="24918" xr:uid="{00000000-0005-0000-0000-00005A2F0000}"/>
    <cellStyle name="40% - Accent1 7 2 3 4" xfId="20391" xr:uid="{00000000-0005-0000-0000-00005B2F0000}"/>
    <cellStyle name="40% - Accent1 7 2 4" xfId="3068" xr:uid="{00000000-0005-0000-0000-00005C2F0000}"/>
    <cellStyle name="40% - Accent1 7 2 4 2" xfId="12236" xr:uid="{00000000-0005-0000-0000-00005D2F0000}"/>
    <cellStyle name="40% - Accent1 7 2 4 2 2" xfId="25948" xr:uid="{00000000-0005-0000-0000-00005E2F0000}"/>
    <cellStyle name="40% - Accent1 7 2 4 3" xfId="20393" xr:uid="{00000000-0005-0000-0000-00005F2F0000}"/>
    <cellStyle name="40% - Accent1 7 2 5" xfId="3069" xr:uid="{00000000-0005-0000-0000-0000602F0000}"/>
    <cellStyle name="40% - Accent1 7 2 5 2" xfId="12771" xr:uid="{00000000-0005-0000-0000-0000612F0000}"/>
    <cellStyle name="40% - Accent1 7 2 5 2 2" xfId="26483" xr:uid="{00000000-0005-0000-0000-0000622F0000}"/>
    <cellStyle name="40% - Accent1 7 2 5 3" xfId="20394" xr:uid="{00000000-0005-0000-0000-0000632F0000}"/>
    <cellStyle name="40% - Accent1 7 2 6" xfId="3070" xr:uid="{00000000-0005-0000-0000-0000642F0000}"/>
    <cellStyle name="40% - Accent1 7 2 6 2" xfId="13800" xr:uid="{00000000-0005-0000-0000-0000652F0000}"/>
    <cellStyle name="40% - Accent1 7 2 6 2 2" xfId="27349" xr:uid="{00000000-0005-0000-0000-0000662F0000}"/>
    <cellStyle name="40% - Accent1 7 2 6 3" xfId="20395" xr:uid="{00000000-0005-0000-0000-0000672F0000}"/>
    <cellStyle name="40% - Accent1 7 2 7" xfId="3071" xr:uid="{00000000-0005-0000-0000-0000682F0000}"/>
    <cellStyle name="40% - Accent1 7 2 7 2" xfId="14381" xr:uid="{00000000-0005-0000-0000-0000692F0000}"/>
    <cellStyle name="40% - Accent1 7 2 7 2 2" xfId="27930" xr:uid="{00000000-0005-0000-0000-00006A2F0000}"/>
    <cellStyle name="40% - Accent1 7 2 7 3" xfId="20396" xr:uid="{00000000-0005-0000-0000-00006B2F0000}"/>
    <cellStyle name="40% - Accent1 7 2 8" xfId="3072" xr:uid="{00000000-0005-0000-0000-00006C2F0000}"/>
    <cellStyle name="40% - Accent1 7 2 8 2" xfId="15143" xr:uid="{00000000-0005-0000-0000-00006D2F0000}"/>
    <cellStyle name="40% - Accent1 7 2 8 2 2" xfId="28692" xr:uid="{00000000-0005-0000-0000-00006E2F0000}"/>
    <cellStyle name="40% - Accent1 7 2 8 3" xfId="20397" xr:uid="{00000000-0005-0000-0000-00006F2F0000}"/>
    <cellStyle name="40% - Accent1 7 2 9" xfId="3073" xr:uid="{00000000-0005-0000-0000-0000702F0000}"/>
    <cellStyle name="40% - Accent1 7 2 9 2" xfId="16267" xr:uid="{00000000-0005-0000-0000-0000712F0000}"/>
    <cellStyle name="40% - Accent1 7 2 9 2 2" xfId="29674" xr:uid="{00000000-0005-0000-0000-0000722F0000}"/>
    <cellStyle name="40% - Accent1 7 2 9 3" xfId="20398" xr:uid="{00000000-0005-0000-0000-0000732F0000}"/>
    <cellStyle name="40% - Accent1 7 3" xfId="3074" xr:uid="{00000000-0005-0000-0000-0000742F0000}"/>
    <cellStyle name="40% - Accent1 7 3 2" xfId="3075" xr:uid="{00000000-0005-0000-0000-0000752F0000}"/>
    <cellStyle name="40% - Accent1 7 3 2 2" xfId="10978" xr:uid="{00000000-0005-0000-0000-0000762F0000}"/>
    <cellStyle name="40% - Accent1 7 3 2 2 2" xfId="24920" xr:uid="{00000000-0005-0000-0000-0000772F0000}"/>
    <cellStyle name="40% - Accent1 7 3 2 3" xfId="20400" xr:uid="{00000000-0005-0000-0000-0000782F0000}"/>
    <cellStyle name="40% - Accent1 7 3 3" xfId="3076" xr:uid="{00000000-0005-0000-0000-0000792F0000}"/>
    <cellStyle name="40% - Accent1 7 3 3 2" xfId="12433" xr:uid="{00000000-0005-0000-0000-00007A2F0000}"/>
    <cellStyle name="40% - Accent1 7 3 3 2 2" xfId="26145" xr:uid="{00000000-0005-0000-0000-00007B2F0000}"/>
    <cellStyle name="40% - Accent1 7 3 3 3" xfId="20401" xr:uid="{00000000-0005-0000-0000-00007C2F0000}"/>
    <cellStyle name="40% - Accent1 7 3 4" xfId="3077" xr:uid="{00000000-0005-0000-0000-00007D2F0000}"/>
    <cellStyle name="40% - Accent1 7 3 4 2" xfId="15146" xr:uid="{00000000-0005-0000-0000-00007E2F0000}"/>
    <cellStyle name="40% - Accent1 7 3 4 2 2" xfId="28695" xr:uid="{00000000-0005-0000-0000-00007F2F0000}"/>
    <cellStyle name="40% - Accent1 7 3 4 3" xfId="20402" xr:uid="{00000000-0005-0000-0000-0000802F0000}"/>
    <cellStyle name="40% - Accent1 7 3 5" xfId="3078" xr:uid="{00000000-0005-0000-0000-0000812F0000}"/>
    <cellStyle name="40% - Accent1 7 3 5 2" xfId="16559" xr:uid="{00000000-0005-0000-0000-0000822F0000}"/>
    <cellStyle name="40% - Accent1 7 3 5 2 2" xfId="29966" xr:uid="{00000000-0005-0000-0000-0000832F0000}"/>
    <cellStyle name="40% - Accent1 7 3 5 3" xfId="20403" xr:uid="{00000000-0005-0000-0000-0000842F0000}"/>
    <cellStyle name="40% - Accent1 7 3 6" xfId="9252" xr:uid="{00000000-0005-0000-0000-0000852F0000}"/>
    <cellStyle name="40% - Accent1 7 3 6 2" xfId="23727" xr:uid="{00000000-0005-0000-0000-0000862F0000}"/>
    <cellStyle name="40% - Accent1 7 3 7" xfId="20399" xr:uid="{00000000-0005-0000-0000-0000872F0000}"/>
    <cellStyle name="40% - Accent1 7 4" xfId="3079" xr:uid="{00000000-0005-0000-0000-0000882F0000}"/>
    <cellStyle name="40% - Accent1 7 4 2" xfId="3080" xr:uid="{00000000-0005-0000-0000-0000892F0000}"/>
    <cellStyle name="40% - Accent1 7 4 2 2" xfId="15147" xr:uid="{00000000-0005-0000-0000-00008A2F0000}"/>
    <cellStyle name="40% - Accent1 7 4 2 2 2" xfId="28696" xr:uid="{00000000-0005-0000-0000-00008B2F0000}"/>
    <cellStyle name="40% - Accent1 7 4 2 3" xfId="20405" xr:uid="{00000000-0005-0000-0000-00008C2F0000}"/>
    <cellStyle name="40% - Accent1 7 4 3" xfId="10975" xr:uid="{00000000-0005-0000-0000-00008D2F0000}"/>
    <cellStyle name="40% - Accent1 7 4 3 2" xfId="24917" xr:uid="{00000000-0005-0000-0000-00008E2F0000}"/>
    <cellStyle name="40% - Accent1 7 4 4" xfId="20404" xr:uid="{00000000-0005-0000-0000-00008F2F0000}"/>
    <cellStyle name="40% - Accent1 7 5" xfId="3081" xr:uid="{00000000-0005-0000-0000-0000902F0000}"/>
    <cellStyle name="40% - Accent1 7 5 2" xfId="11934" xr:uid="{00000000-0005-0000-0000-0000912F0000}"/>
    <cellStyle name="40% - Accent1 7 5 2 2" xfId="25649" xr:uid="{00000000-0005-0000-0000-0000922F0000}"/>
    <cellStyle name="40% - Accent1 7 5 3" xfId="20406" xr:uid="{00000000-0005-0000-0000-0000932F0000}"/>
    <cellStyle name="40% - Accent1 7 6" xfId="3082" xr:uid="{00000000-0005-0000-0000-0000942F0000}"/>
    <cellStyle name="40% - Accent1 7 6 2" xfId="12726" xr:uid="{00000000-0005-0000-0000-0000952F0000}"/>
    <cellStyle name="40% - Accent1 7 6 2 2" xfId="26438" xr:uid="{00000000-0005-0000-0000-0000962F0000}"/>
    <cellStyle name="40% - Accent1 7 6 3" xfId="20407" xr:uid="{00000000-0005-0000-0000-0000972F0000}"/>
    <cellStyle name="40% - Accent1 7 7" xfId="3083" xr:uid="{00000000-0005-0000-0000-0000982F0000}"/>
    <cellStyle name="40% - Accent1 7 7 2" xfId="13511" xr:uid="{00000000-0005-0000-0000-0000992F0000}"/>
    <cellStyle name="40% - Accent1 7 7 2 2" xfId="27060" xr:uid="{00000000-0005-0000-0000-00009A2F0000}"/>
    <cellStyle name="40% - Accent1 7 7 3" xfId="20408" xr:uid="{00000000-0005-0000-0000-00009B2F0000}"/>
    <cellStyle name="40% - Accent1 7 8" xfId="3084" xr:uid="{00000000-0005-0000-0000-00009C2F0000}"/>
    <cellStyle name="40% - Accent1 7 8 2" xfId="14092" xr:uid="{00000000-0005-0000-0000-00009D2F0000}"/>
    <cellStyle name="40% - Accent1 7 8 2 2" xfId="27641" xr:uid="{00000000-0005-0000-0000-00009E2F0000}"/>
    <cellStyle name="40% - Accent1 7 8 3" xfId="20409" xr:uid="{00000000-0005-0000-0000-00009F2F0000}"/>
    <cellStyle name="40% - Accent1 7 9" xfId="3085" xr:uid="{00000000-0005-0000-0000-0000A02F0000}"/>
    <cellStyle name="40% - Accent1 7 9 2" xfId="15142" xr:uid="{00000000-0005-0000-0000-0000A12F0000}"/>
    <cellStyle name="40% - Accent1 7 9 2 2" xfId="28691" xr:uid="{00000000-0005-0000-0000-0000A22F0000}"/>
    <cellStyle name="40% - Accent1 7 9 3" xfId="20410" xr:uid="{00000000-0005-0000-0000-0000A32F0000}"/>
    <cellStyle name="40% - Accent1 8" xfId="3086" xr:uid="{00000000-0005-0000-0000-0000A42F0000}"/>
    <cellStyle name="40% - Accent1 8 10" xfId="9253" xr:uid="{00000000-0005-0000-0000-0000A52F0000}"/>
    <cellStyle name="40% - Accent1 8 10 2" xfId="23728" xr:uid="{00000000-0005-0000-0000-0000A62F0000}"/>
    <cellStyle name="40% - Accent1 8 11" xfId="20411" xr:uid="{00000000-0005-0000-0000-0000A72F0000}"/>
    <cellStyle name="40% - Accent1 8 2" xfId="3087" xr:uid="{00000000-0005-0000-0000-0000A82F0000}"/>
    <cellStyle name="40% - Accent1 8 2 2" xfId="3088" xr:uid="{00000000-0005-0000-0000-0000A92F0000}"/>
    <cellStyle name="40% - Accent1 8 2 2 2" xfId="10980" xr:uid="{00000000-0005-0000-0000-0000AA2F0000}"/>
    <cellStyle name="40% - Accent1 8 2 2 2 2" xfId="24922" xr:uid="{00000000-0005-0000-0000-0000AB2F0000}"/>
    <cellStyle name="40% - Accent1 8 2 2 3" xfId="20413" xr:uid="{00000000-0005-0000-0000-0000AC2F0000}"/>
    <cellStyle name="40% - Accent1 8 2 3" xfId="3089" xr:uid="{00000000-0005-0000-0000-0000AD2F0000}"/>
    <cellStyle name="40% - Accent1 8 2 3 2" xfId="12753" xr:uid="{00000000-0005-0000-0000-0000AE2F0000}"/>
    <cellStyle name="40% - Accent1 8 2 3 2 2" xfId="26465" xr:uid="{00000000-0005-0000-0000-0000AF2F0000}"/>
    <cellStyle name="40% - Accent1 8 2 3 3" xfId="20414" xr:uid="{00000000-0005-0000-0000-0000B02F0000}"/>
    <cellStyle name="40% - Accent1 8 2 4" xfId="3090" xr:uid="{00000000-0005-0000-0000-0000B12F0000}"/>
    <cellStyle name="40% - Accent1 8 2 4 2" xfId="15149" xr:uid="{00000000-0005-0000-0000-0000B22F0000}"/>
    <cellStyle name="40% - Accent1 8 2 4 2 2" xfId="28698" xr:uid="{00000000-0005-0000-0000-0000B32F0000}"/>
    <cellStyle name="40% - Accent1 8 2 4 3" xfId="20415" xr:uid="{00000000-0005-0000-0000-0000B42F0000}"/>
    <cellStyle name="40% - Accent1 8 2 5" xfId="3091" xr:uid="{00000000-0005-0000-0000-0000B52F0000}"/>
    <cellStyle name="40% - Accent1 8 2 5 2" xfId="16707" xr:uid="{00000000-0005-0000-0000-0000B62F0000}"/>
    <cellStyle name="40% - Accent1 8 2 5 2 2" xfId="30114" xr:uid="{00000000-0005-0000-0000-0000B72F0000}"/>
    <cellStyle name="40% - Accent1 8 2 5 3" xfId="20416" xr:uid="{00000000-0005-0000-0000-0000B82F0000}"/>
    <cellStyle name="40% - Accent1 8 2 6" xfId="9254" xr:uid="{00000000-0005-0000-0000-0000B92F0000}"/>
    <cellStyle name="40% - Accent1 8 2 6 2" xfId="23729" xr:uid="{00000000-0005-0000-0000-0000BA2F0000}"/>
    <cellStyle name="40% - Accent1 8 2 7" xfId="20412" xr:uid="{00000000-0005-0000-0000-0000BB2F0000}"/>
    <cellStyle name="40% - Accent1 8 3" xfId="3092" xr:uid="{00000000-0005-0000-0000-0000BC2F0000}"/>
    <cellStyle name="40% - Accent1 8 3 2" xfId="3093" xr:uid="{00000000-0005-0000-0000-0000BD2F0000}"/>
    <cellStyle name="40% - Accent1 8 3 2 2" xfId="15150" xr:uid="{00000000-0005-0000-0000-0000BE2F0000}"/>
    <cellStyle name="40% - Accent1 8 3 2 2 2" xfId="28699" xr:uid="{00000000-0005-0000-0000-0000BF2F0000}"/>
    <cellStyle name="40% - Accent1 8 3 2 3" xfId="20418" xr:uid="{00000000-0005-0000-0000-0000C02F0000}"/>
    <cellStyle name="40% - Accent1 8 3 3" xfId="10979" xr:uid="{00000000-0005-0000-0000-0000C12F0000}"/>
    <cellStyle name="40% - Accent1 8 3 3 2" xfId="24921" xr:uid="{00000000-0005-0000-0000-0000C22F0000}"/>
    <cellStyle name="40% - Accent1 8 3 4" xfId="20417" xr:uid="{00000000-0005-0000-0000-0000C32F0000}"/>
    <cellStyle name="40% - Accent1 8 4" xfId="3094" xr:uid="{00000000-0005-0000-0000-0000C42F0000}"/>
    <cellStyle name="40% - Accent1 8 4 2" xfId="12085" xr:uid="{00000000-0005-0000-0000-0000C52F0000}"/>
    <cellStyle name="40% - Accent1 8 4 2 2" xfId="25799" xr:uid="{00000000-0005-0000-0000-0000C62F0000}"/>
    <cellStyle name="40% - Accent1 8 4 3" xfId="20419" xr:uid="{00000000-0005-0000-0000-0000C72F0000}"/>
    <cellStyle name="40% - Accent1 8 5" xfId="3095" xr:uid="{00000000-0005-0000-0000-0000C82F0000}"/>
    <cellStyle name="40% - Accent1 8 5 2" xfId="12502" xr:uid="{00000000-0005-0000-0000-0000C92F0000}"/>
    <cellStyle name="40% - Accent1 8 5 2 2" xfId="26214" xr:uid="{00000000-0005-0000-0000-0000CA2F0000}"/>
    <cellStyle name="40% - Accent1 8 5 3" xfId="20420" xr:uid="{00000000-0005-0000-0000-0000CB2F0000}"/>
    <cellStyle name="40% - Accent1 8 6" xfId="3096" xr:uid="{00000000-0005-0000-0000-0000CC2F0000}"/>
    <cellStyle name="40% - Accent1 8 6 2" xfId="13659" xr:uid="{00000000-0005-0000-0000-0000CD2F0000}"/>
    <cellStyle name="40% - Accent1 8 6 2 2" xfId="27208" xr:uid="{00000000-0005-0000-0000-0000CE2F0000}"/>
    <cellStyle name="40% - Accent1 8 6 3" xfId="20421" xr:uid="{00000000-0005-0000-0000-0000CF2F0000}"/>
    <cellStyle name="40% - Accent1 8 7" xfId="3097" xr:uid="{00000000-0005-0000-0000-0000D02F0000}"/>
    <cellStyle name="40% - Accent1 8 7 2" xfId="14240" xr:uid="{00000000-0005-0000-0000-0000D12F0000}"/>
    <cellStyle name="40% - Accent1 8 7 2 2" xfId="27789" xr:uid="{00000000-0005-0000-0000-0000D22F0000}"/>
    <cellStyle name="40% - Accent1 8 7 3" xfId="20422" xr:uid="{00000000-0005-0000-0000-0000D32F0000}"/>
    <cellStyle name="40% - Accent1 8 8" xfId="3098" xr:uid="{00000000-0005-0000-0000-0000D42F0000}"/>
    <cellStyle name="40% - Accent1 8 8 2" xfId="15148" xr:uid="{00000000-0005-0000-0000-0000D52F0000}"/>
    <cellStyle name="40% - Accent1 8 8 2 2" xfId="28697" xr:uid="{00000000-0005-0000-0000-0000D62F0000}"/>
    <cellStyle name="40% - Accent1 8 8 3" xfId="20423" xr:uid="{00000000-0005-0000-0000-0000D72F0000}"/>
    <cellStyle name="40% - Accent1 8 9" xfId="3099" xr:uid="{00000000-0005-0000-0000-0000D82F0000}"/>
    <cellStyle name="40% - Accent1 8 9 2" xfId="16126" xr:uid="{00000000-0005-0000-0000-0000D92F0000}"/>
    <cellStyle name="40% - Accent1 8 9 2 2" xfId="29533" xr:uid="{00000000-0005-0000-0000-0000DA2F0000}"/>
    <cellStyle name="40% - Accent1 8 9 3" xfId="20424" xr:uid="{00000000-0005-0000-0000-0000DB2F0000}"/>
    <cellStyle name="40% - Accent1 9" xfId="3100" xr:uid="{00000000-0005-0000-0000-0000DC2F0000}"/>
    <cellStyle name="40% - Accent1 9 2" xfId="3101" xr:uid="{00000000-0005-0000-0000-0000DD2F0000}"/>
    <cellStyle name="40% - Accent1 9 2 2" xfId="10981" xr:uid="{00000000-0005-0000-0000-0000DE2F0000}"/>
    <cellStyle name="40% - Accent1 9 2 2 2" xfId="24923" xr:uid="{00000000-0005-0000-0000-0000DF2F0000}"/>
    <cellStyle name="40% - Accent1 9 2 3" xfId="20426" xr:uid="{00000000-0005-0000-0000-0000E02F0000}"/>
    <cellStyle name="40% - Accent1 9 3" xfId="3102" xr:uid="{00000000-0005-0000-0000-0000E12F0000}"/>
    <cellStyle name="40% - Accent1 9 3 2" xfId="11775" xr:uid="{00000000-0005-0000-0000-0000E22F0000}"/>
    <cellStyle name="40% - Accent1 9 3 2 2" xfId="25490" xr:uid="{00000000-0005-0000-0000-0000E32F0000}"/>
    <cellStyle name="40% - Accent1 9 3 3" xfId="20427" xr:uid="{00000000-0005-0000-0000-0000E42F0000}"/>
    <cellStyle name="40% - Accent1 9 4" xfId="3103" xr:uid="{00000000-0005-0000-0000-0000E52F0000}"/>
    <cellStyle name="40% - Accent1 9 4 2" xfId="15151" xr:uid="{00000000-0005-0000-0000-0000E62F0000}"/>
    <cellStyle name="40% - Accent1 9 4 2 2" xfId="28700" xr:uid="{00000000-0005-0000-0000-0000E72F0000}"/>
    <cellStyle name="40% - Accent1 9 4 3" xfId="20428" xr:uid="{00000000-0005-0000-0000-0000E82F0000}"/>
    <cellStyle name="40% - Accent1 9 5" xfId="3104" xr:uid="{00000000-0005-0000-0000-0000E92F0000}"/>
    <cellStyle name="40% - Accent1 9 5 2" xfId="17091" xr:uid="{00000000-0005-0000-0000-0000EA2F0000}"/>
    <cellStyle name="40% - Accent1 9 5 2 2" xfId="30450" xr:uid="{00000000-0005-0000-0000-0000EB2F0000}"/>
    <cellStyle name="40% - Accent1 9 5 3" xfId="20429" xr:uid="{00000000-0005-0000-0000-0000EC2F0000}"/>
    <cellStyle name="40% - Accent1 9 6" xfId="9255" xr:uid="{00000000-0005-0000-0000-0000ED2F0000}"/>
    <cellStyle name="40% - Accent1 9 6 2" xfId="23730" xr:uid="{00000000-0005-0000-0000-0000EE2F0000}"/>
    <cellStyle name="40% - Accent1 9 7" xfId="20425" xr:uid="{00000000-0005-0000-0000-0000EF2F0000}"/>
    <cellStyle name="40% - Accent2" xfId="23" builtinId="35" customBuiltin="1"/>
    <cellStyle name="40% - Accent2 10" xfId="3105" xr:uid="{00000000-0005-0000-0000-0000F12F0000}"/>
    <cellStyle name="40% - Accent2 10 2" xfId="3106" xr:uid="{00000000-0005-0000-0000-0000F22F0000}"/>
    <cellStyle name="40% - Accent2 10 2 2" xfId="11759" xr:uid="{00000000-0005-0000-0000-0000F32F0000}"/>
    <cellStyle name="40% - Accent2 10 2 2 2" xfId="25474" xr:uid="{00000000-0005-0000-0000-0000F42F0000}"/>
    <cellStyle name="40% - Accent2 10 2 3" xfId="20432" xr:uid="{00000000-0005-0000-0000-0000F52F0000}"/>
    <cellStyle name="40% - Accent2 10 3" xfId="3107" xr:uid="{00000000-0005-0000-0000-0000F62F0000}"/>
    <cellStyle name="40% - Accent2 10 3 2" xfId="15152" xr:uid="{00000000-0005-0000-0000-0000F72F0000}"/>
    <cellStyle name="40% - Accent2 10 3 2 2" xfId="28701" xr:uid="{00000000-0005-0000-0000-0000F82F0000}"/>
    <cellStyle name="40% - Accent2 10 3 3" xfId="20433" xr:uid="{00000000-0005-0000-0000-0000F92F0000}"/>
    <cellStyle name="40% - Accent2 10 4" xfId="3108" xr:uid="{00000000-0005-0000-0000-0000FA2F0000}"/>
    <cellStyle name="40% - Accent2 10 4 2" xfId="17181" xr:uid="{00000000-0005-0000-0000-0000FB2F0000}"/>
    <cellStyle name="40% - Accent2 10 4 2 2" xfId="30540" xr:uid="{00000000-0005-0000-0000-0000FC2F0000}"/>
    <cellStyle name="40% - Accent2 10 4 3" xfId="20434" xr:uid="{00000000-0005-0000-0000-0000FD2F0000}"/>
    <cellStyle name="40% - Accent2 10 5" xfId="10499" xr:uid="{00000000-0005-0000-0000-0000FE2F0000}"/>
    <cellStyle name="40% - Accent2 10 5 2" xfId="24447" xr:uid="{00000000-0005-0000-0000-0000FF2F0000}"/>
    <cellStyle name="40% - Accent2 10 6" xfId="20431" xr:uid="{00000000-0005-0000-0000-000000300000}"/>
    <cellStyle name="40% - Accent2 11" xfId="3109" xr:uid="{00000000-0005-0000-0000-000001300000}"/>
    <cellStyle name="40% - Accent2 11 2" xfId="3110" xr:uid="{00000000-0005-0000-0000-000002300000}"/>
    <cellStyle name="40% - Accent2 11 2 2" xfId="12595" xr:uid="{00000000-0005-0000-0000-000003300000}"/>
    <cellStyle name="40% - Accent2 11 2 2 2" xfId="26307" xr:uid="{00000000-0005-0000-0000-000004300000}"/>
    <cellStyle name="40% - Accent2 11 2 3" xfId="20436" xr:uid="{00000000-0005-0000-0000-000005300000}"/>
    <cellStyle name="40% - Accent2 11 3" xfId="3111" xr:uid="{00000000-0005-0000-0000-000006300000}"/>
    <cellStyle name="40% - Accent2 11 3 2" xfId="15153" xr:uid="{00000000-0005-0000-0000-000007300000}"/>
    <cellStyle name="40% - Accent2 11 3 2 2" xfId="28702" xr:uid="{00000000-0005-0000-0000-000008300000}"/>
    <cellStyle name="40% - Accent2 11 3 3" xfId="20437" xr:uid="{00000000-0005-0000-0000-000009300000}"/>
    <cellStyle name="40% - Accent2 11 4" xfId="3112" xr:uid="{00000000-0005-0000-0000-00000A300000}"/>
    <cellStyle name="40% - Accent2 11 4 2" xfId="17270" xr:uid="{00000000-0005-0000-0000-00000B300000}"/>
    <cellStyle name="40% - Accent2 11 4 2 2" xfId="30629" xr:uid="{00000000-0005-0000-0000-00000C300000}"/>
    <cellStyle name="40% - Accent2 11 4 3" xfId="20438" xr:uid="{00000000-0005-0000-0000-00000D300000}"/>
    <cellStyle name="40% - Accent2 11 5" xfId="10982" xr:uid="{00000000-0005-0000-0000-00000E300000}"/>
    <cellStyle name="40% - Accent2 11 5 2" xfId="24924" xr:uid="{00000000-0005-0000-0000-00000F300000}"/>
    <cellStyle name="40% - Accent2 11 6" xfId="20435" xr:uid="{00000000-0005-0000-0000-000010300000}"/>
    <cellStyle name="40% - Accent2 12" xfId="3113" xr:uid="{00000000-0005-0000-0000-000011300000}"/>
    <cellStyle name="40% - Accent2 12 2" xfId="3114" xr:uid="{00000000-0005-0000-0000-000012300000}"/>
    <cellStyle name="40% - Accent2 12 2 2" xfId="16422" xr:uid="{00000000-0005-0000-0000-000013300000}"/>
    <cellStyle name="40% - Accent2 12 2 2 2" xfId="29829" xr:uid="{00000000-0005-0000-0000-000014300000}"/>
    <cellStyle name="40% - Accent2 12 2 3" xfId="20440" xr:uid="{00000000-0005-0000-0000-000015300000}"/>
    <cellStyle name="40% - Accent2 12 3" xfId="11735" xr:uid="{00000000-0005-0000-0000-000016300000}"/>
    <cellStyle name="40% - Accent2 12 3 2" xfId="25450" xr:uid="{00000000-0005-0000-0000-000017300000}"/>
    <cellStyle name="40% - Accent2 12 4" xfId="20439" xr:uid="{00000000-0005-0000-0000-000018300000}"/>
    <cellStyle name="40% - Accent2 13" xfId="3115" xr:uid="{00000000-0005-0000-0000-000019300000}"/>
    <cellStyle name="40% - Accent2 13 2" xfId="13374" xr:uid="{00000000-0005-0000-0000-00001A300000}"/>
    <cellStyle name="40% - Accent2 13 2 2" xfId="26923" xr:uid="{00000000-0005-0000-0000-00001B300000}"/>
    <cellStyle name="40% - Accent2 13 3" xfId="20441" xr:uid="{00000000-0005-0000-0000-00001C300000}"/>
    <cellStyle name="40% - Accent2 14" xfId="3116" xr:uid="{00000000-0005-0000-0000-00001D300000}"/>
    <cellStyle name="40% - Accent2 14 2" xfId="13955" xr:uid="{00000000-0005-0000-0000-00001E300000}"/>
    <cellStyle name="40% - Accent2 14 2 2" xfId="27504" xr:uid="{00000000-0005-0000-0000-00001F300000}"/>
    <cellStyle name="40% - Accent2 14 3" xfId="20442" xr:uid="{00000000-0005-0000-0000-000020300000}"/>
    <cellStyle name="40% - Accent2 15" xfId="3117" xr:uid="{00000000-0005-0000-0000-000021300000}"/>
    <cellStyle name="40% - Accent2 15 2" xfId="15823" xr:uid="{00000000-0005-0000-0000-000022300000}"/>
    <cellStyle name="40% - Accent2 15 2 2" xfId="29230" xr:uid="{00000000-0005-0000-0000-000023300000}"/>
    <cellStyle name="40% - Accent2 15 3" xfId="20443" xr:uid="{00000000-0005-0000-0000-000024300000}"/>
    <cellStyle name="40% - Accent2 16" xfId="3118" xr:uid="{00000000-0005-0000-0000-000025300000}"/>
    <cellStyle name="40% - Accent2 16 2" xfId="15841" xr:uid="{00000000-0005-0000-0000-000026300000}"/>
    <cellStyle name="40% - Accent2 16 2 2" xfId="29248" xr:uid="{00000000-0005-0000-0000-000027300000}"/>
    <cellStyle name="40% - Accent2 16 3" xfId="20444" xr:uid="{00000000-0005-0000-0000-000028300000}"/>
    <cellStyle name="40% - Accent2 17" xfId="8805" xr:uid="{00000000-0005-0000-0000-000029300000}"/>
    <cellStyle name="40% - Accent2 17 2" xfId="23281" xr:uid="{00000000-0005-0000-0000-00002A300000}"/>
    <cellStyle name="40% - Accent2 18" xfId="20430" xr:uid="{00000000-0005-0000-0000-00002B300000}"/>
    <cellStyle name="40% - Accent2 2" xfId="3119" xr:uid="{00000000-0005-0000-0000-00002C300000}"/>
    <cellStyle name="40% - Accent2 2 10" xfId="3120" xr:uid="{00000000-0005-0000-0000-00002D300000}"/>
    <cellStyle name="40% - Accent2 2 10 2" xfId="15894" xr:uid="{00000000-0005-0000-0000-00002E300000}"/>
    <cellStyle name="40% - Accent2 2 10 2 2" xfId="29301" xr:uid="{00000000-0005-0000-0000-00002F300000}"/>
    <cellStyle name="40% - Accent2 2 10 3" xfId="20446" xr:uid="{00000000-0005-0000-0000-000030300000}"/>
    <cellStyle name="40% - Accent2 2 11" xfId="9256" xr:uid="{00000000-0005-0000-0000-000031300000}"/>
    <cellStyle name="40% - Accent2 2 11 2" xfId="23731" xr:uid="{00000000-0005-0000-0000-000032300000}"/>
    <cellStyle name="40% - Accent2 2 12" xfId="20445" xr:uid="{00000000-0005-0000-0000-000033300000}"/>
    <cellStyle name="40% - Accent2 2 2" xfId="3121" xr:uid="{00000000-0005-0000-0000-000034300000}"/>
    <cellStyle name="40% - Accent2 2 2 10" xfId="20447" xr:uid="{00000000-0005-0000-0000-000035300000}"/>
    <cellStyle name="40% - Accent2 2 2 2" xfId="3122" xr:uid="{00000000-0005-0000-0000-000036300000}"/>
    <cellStyle name="40% - Accent2 2 2 2 2" xfId="3123" xr:uid="{00000000-0005-0000-0000-000037300000}"/>
    <cellStyle name="40% - Accent2 2 2 2 2 2" xfId="3124" xr:uid="{00000000-0005-0000-0000-000038300000}"/>
    <cellStyle name="40% - Accent2 2 2 2 2 2 2" xfId="3125" xr:uid="{00000000-0005-0000-0000-000039300000}"/>
    <cellStyle name="40% - Accent2 2 2 2 2 2 2 2" xfId="16953" xr:uid="{00000000-0005-0000-0000-00003A300000}"/>
    <cellStyle name="40% - Accent2 2 2 2 2 2 2 2 2" xfId="30360" xr:uid="{00000000-0005-0000-0000-00003B300000}"/>
    <cellStyle name="40% - Accent2 2 2 2 2 2 2 3" xfId="20451" xr:uid="{00000000-0005-0000-0000-00003C300000}"/>
    <cellStyle name="40% - Accent2 2 2 2 2 2 3" xfId="10986" xr:uid="{00000000-0005-0000-0000-00003D300000}"/>
    <cellStyle name="40% - Accent2 2 2 2 2 2 3 2" xfId="24928" xr:uid="{00000000-0005-0000-0000-00003E300000}"/>
    <cellStyle name="40% - Accent2 2 2 2 2 2 4" xfId="20450" xr:uid="{00000000-0005-0000-0000-00003F300000}"/>
    <cellStyle name="40% - Accent2 2 2 2 2 3" xfId="3126" xr:uid="{00000000-0005-0000-0000-000040300000}"/>
    <cellStyle name="40% - Accent2 2 2 2 2 3 2" xfId="12341" xr:uid="{00000000-0005-0000-0000-000041300000}"/>
    <cellStyle name="40% - Accent2 2 2 2 2 3 2 2" xfId="26053" xr:uid="{00000000-0005-0000-0000-000042300000}"/>
    <cellStyle name="40% - Accent2 2 2 2 2 3 3" xfId="20452" xr:uid="{00000000-0005-0000-0000-000043300000}"/>
    <cellStyle name="40% - Accent2 2 2 2 2 4" xfId="3127" xr:uid="{00000000-0005-0000-0000-000044300000}"/>
    <cellStyle name="40% - Accent2 2 2 2 2 4 2" xfId="13905" xr:uid="{00000000-0005-0000-0000-000045300000}"/>
    <cellStyle name="40% - Accent2 2 2 2 2 4 2 2" xfId="27454" xr:uid="{00000000-0005-0000-0000-000046300000}"/>
    <cellStyle name="40% - Accent2 2 2 2 2 4 3" xfId="20453" xr:uid="{00000000-0005-0000-0000-000047300000}"/>
    <cellStyle name="40% - Accent2 2 2 2 2 5" xfId="3128" xr:uid="{00000000-0005-0000-0000-000048300000}"/>
    <cellStyle name="40% - Accent2 2 2 2 2 5 2" xfId="14486" xr:uid="{00000000-0005-0000-0000-000049300000}"/>
    <cellStyle name="40% - Accent2 2 2 2 2 5 2 2" xfId="28035" xr:uid="{00000000-0005-0000-0000-00004A300000}"/>
    <cellStyle name="40% - Accent2 2 2 2 2 5 3" xfId="20454" xr:uid="{00000000-0005-0000-0000-00004B300000}"/>
    <cellStyle name="40% - Accent2 2 2 2 2 6" xfId="3129" xr:uid="{00000000-0005-0000-0000-00004C300000}"/>
    <cellStyle name="40% - Accent2 2 2 2 2 6 2" xfId="16372" xr:uid="{00000000-0005-0000-0000-00004D300000}"/>
    <cellStyle name="40% - Accent2 2 2 2 2 6 2 2" xfId="29779" xr:uid="{00000000-0005-0000-0000-00004E300000}"/>
    <cellStyle name="40% - Accent2 2 2 2 2 6 3" xfId="20455" xr:uid="{00000000-0005-0000-0000-00004F300000}"/>
    <cellStyle name="40% - Accent2 2 2 2 2 7" xfId="9259" xr:uid="{00000000-0005-0000-0000-000050300000}"/>
    <cellStyle name="40% - Accent2 2 2 2 2 7 2" xfId="23734" xr:uid="{00000000-0005-0000-0000-000051300000}"/>
    <cellStyle name="40% - Accent2 2 2 2 2 8" xfId="20449" xr:uid="{00000000-0005-0000-0000-000052300000}"/>
    <cellStyle name="40% - Accent2 2 2 2 3" xfId="3130" xr:uid="{00000000-0005-0000-0000-000053300000}"/>
    <cellStyle name="40% - Accent2 2 2 2 3 2" xfId="3131" xr:uid="{00000000-0005-0000-0000-000054300000}"/>
    <cellStyle name="40% - Accent2 2 2 2 3 2 2" xfId="16664" xr:uid="{00000000-0005-0000-0000-000055300000}"/>
    <cellStyle name="40% - Accent2 2 2 2 3 2 2 2" xfId="30071" xr:uid="{00000000-0005-0000-0000-000056300000}"/>
    <cellStyle name="40% - Accent2 2 2 2 3 2 3" xfId="20457" xr:uid="{00000000-0005-0000-0000-000057300000}"/>
    <cellStyle name="40% - Accent2 2 2 2 3 3" xfId="10985" xr:uid="{00000000-0005-0000-0000-000058300000}"/>
    <cellStyle name="40% - Accent2 2 2 2 3 3 2" xfId="24927" xr:uid="{00000000-0005-0000-0000-000059300000}"/>
    <cellStyle name="40% - Accent2 2 2 2 3 4" xfId="20456" xr:uid="{00000000-0005-0000-0000-00005A300000}"/>
    <cellStyle name="40% - Accent2 2 2 2 4" xfId="3132" xr:uid="{00000000-0005-0000-0000-00005B300000}"/>
    <cellStyle name="40% - Accent2 2 2 2 4 2" xfId="12041" xr:uid="{00000000-0005-0000-0000-00005C300000}"/>
    <cellStyle name="40% - Accent2 2 2 2 4 2 2" xfId="25756" xr:uid="{00000000-0005-0000-0000-00005D300000}"/>
    <cellStyle name="40% - Accent2 2 2 2 4 3" xfId="20458" xr:uid="{00000000-0005-0000-0000-00005E300000}"/>
    <cellStyle name="40% - Accent2 2 2 2 5" xfId="3133" xr:uid="{00000000-0005-0000-0000-00005F300000}"/>
    <cellStyle name="40% - Accent2 2 2 2 5 2" xfId="13616" xr:uid="{00000000-0005-0000-0000-000060300000}"/>
    <cellStyle name="40% - Accent2 2 2 2 5 2 2" xfId="27165" xr:uid="{00000000-0005-0000-0000-000061300000}"/>
    <cellStyle name="40% - Accent2 2 2 2 5 3" xfId="20459" xr:uid="{00000000-0005-0000-0000-000062300000}"/>
    <cellStyle name="40% - Accent2 2 2 2 6" xfId="3134" xr:uid="{00000000-0005-0000-0000-000063300000}"/>
    <cellStyle name="40% - Accent2 2 2 2 6 2" xfId="14197" xr:uid="{00000000-0005-0000-0000-000064300000}"/>
    <cellStyle name="40% - Accent2 2 2 2 6 2 2" xfId="27746" xr:uid="{00000000-0005-0000-0000-000065300000}"/>
    <cellStyle name="40% - Accent2 2 2 2 6 3" xfId="20460" xr:uid="{00000000-0005-0000-0000-000066300000}"/>
    <cellStyle name="40% - Accent2 2 2 2 7" xfId="3135" xr:uid="{00000000-0005-0000-0000-000067300000}"/>
    <cellStyle name="40% - Accent2 2 2 2 7 2" xfId="16083" xr:uid="{00000000-0005-0000-0000-000068300000}"/>
    <cellStyle name="40% - Accent2 2 2 2 7 2 2" xfId="29490" xr:uid="{00000000-0005-0000-0000-000069300000}"/>
    <cellStyle name="40% - Accent2 2 2 2 7 3" xfId="20461" xr:uid="{00000000-0005-0000-0000-00006A300000}"/>
    <cellStyle name="40% - Accent2 2 2 2 8" xfId="9258" xr:uid="{00000000-0005-0000-0000-00006B300000}"/>
    <cellStyle name="40% - Accent2 2 2 2 8 2" xfId="23733" xr:uid="{00000000-0005-0000-0000-00006C300000}"/>
    <cellStyle name="40% - Accent2 2 2 2 9" xfId="20448" xr:uid="{00000000-0005-0000-0000-00006D300000}"/>
    <cellStyle name="40% - Accent2 2 2 3" xfId="3136" xr:uid="{00000000-0005-0000-0000-00006E300000}"/>
    <cellStyle name="40% - Accent2 2 2 3 2" xfId="3137" xr:uid="{00000000-0005-0000-0000-00006F300000}"/>
    <cellStyle name="40% - Accent2 2 2 3 2 2" xfId="3138" xr:uid="{00000000-0005-0000-0000-000070300000}"/>
    <cellStyle name="40% - Accent2 2 2 3 2 2 2" xfId="16810" xr:uid="{00000000-0005-0000-0000-000071300000}"/>
    <cellStyle name="40% - Accent2 2 2 3 2 2 2 2" xfId="30217" xr:uid="{00000000-0005-0000-0000-000072300000}"/>
    <cellStyle name="40% - Accent2 2 2 3 2 2 3" xfId="20464" xr:uid="{00000000-0005-0000-0000-000073300000}"/>
    <cellStyle name="40% - Accent2 2 2 3 2 3" xfId="10987" xr:uid="{00000000-0005-0000-0000-000074300000}"/>
    <cellStyle name="40% - Accent2 2 2 3 2 3 2" xfId="24929" xr:uid="{00000000-0005-0000-0000-000075300000}"/>
    <cellStyle name="40% - Accent2 2 2 3 2 4" xfId="20463" xr:uid="{00000000-0005-0000-0000-000076300000}"/>
    <cellStyle name="40% - Accent2 2 2 3 3" xfId="3139" xr:uid="{00000000-0005-0000-0000-000077300000}"/>
    <cellStyle name="40% - Accent2 2 2 3 3 2" xfId="12198" xr:uid="{00000000-0005-0000-0000-000078300000}"/>
    <cellStyle name="40% - Accent2 2 2 3 3 2 2" xfId="25910" xr:uid="{00000000-0005-0000-0000-000079300000}"/>
    <cellStyle name="40% - Accent2 2 2 3 3 3" xfId="20465" xr:uid="{00000000-0005-0000-0000-00007A300000}"/>
    <cellStyle name="40% - Accent2 2 2 3 4" xfId="3140" xr:uid="{00000000-0005-0000-0000-00007B300000}"/>
    <cellStyle name="40% - Accent2 2 2 3 4 2" xfId="13762" xr:uid="{00000000-0005-0000-0000-00007C300000}"/>
    <cellStyle name="40% - Accent2 2 2 3 4 2 2" xfId="27311" xr:uid="{00000000-0005-0000-0000-00007D300000}"/>
    <cellStyle name="40% - Accent2 2 2 3 4 3" xfId="20466" xr:uid="{00000000-0005-0000-0000-00007E300000}"/>
    <cellStyle name="40% - Accent2 2 2 3 5" xfId="3141" xr:uid="{00000000-0005-0000-0000-00007F300000}"/>
    <cellStyle name="40% - Accent2 2 2 3 5 2" xfId="14343" xr:uid="{00000000-0005-0000-0000-000080300000}"/>
    <cellStyle name="40% - Accent2 2 2 3 5 2 2" xfId="27892" xr:uid="{00000000-0005-0000-0000-000081300000}"/>
    <cellStyle name="40% - Accent2 2 2 3 5 3" xfId="20467" xr:uid="{00000000-0005-0000-0000-000082300000}"/>
    <cellStyle name="40% - Accent2 2 2 3 6" xfId="3142" xr:uid="{00000000-0005-0000-0000-000083300000}"/>
    <cellStyle name="40% - Accent2 2 2 3 6 2" xfId="16229" xr:uid="{00000000-0005-0000-0000-000084300000}"/>
    <cellStyle name="40% - Accent2 2 2 3 6 2 2" xfId="29636" xr:uid="{00000000-0005-0000-0000-000085300000}"/>
    <cellStyle name="40% - Accent2 2 2 3 6 3" xfId="20468" xr:uid="{00000000-0005-0000-0000-000086300000}"/>
    <cellStyle name="40% - Accent2 2 2 3 7" xfId="9260" xr:uid="{00000000-0005-0000-0000-000087300000}"/>
    <cellStyle name="40% - Accent2 2 2 3 7 2" xfId="23735" xr:uid="{00000000-0005-0000-0000-000088300000}"/>
    <cellStyle name="40% - Accent2 2 2 3 8" xfId="20462" xr:uid="{00000000-0005-0000-0000-000089300000}"/>
    <cellStyle name="40% - Accent2 2 2 4" xfId="3143" xr:uid="{00000000-0005-0000-0000-00008A300000}"/>
    <cellStyle name="40% - Accent2 2 2 4 2" xfId="3144" xr:uid="{00000000-0005-0000-0000-00008B300000}"/>
    <cellStyle name="40% - Accent2 2 2 4 2 2" xfId="17157" xr:uid="{00000000-0005-0000-0000-00008C300000}"/>
    <cellStyle name="40% - Accent2 2 2 4 2 2 2" xfId="30516" xr:uid="{00000000-0005-0000-0000-00008D300000}"/>
    <cellStyle name="40% - Accent2 2 2 4 2 3" xfId="20470" xr:uid="{00000000-0005-0000-0000-00008E300000}"/>
    <cellStyle name="40% - Accent2 2 2 4 3" xfId="10984" xr:uid="{00000000-0005-0000-0000-00008F300000}"/>
    <cellStyle name="40% - Accent2 2 2 4 3 2" xfId="24926" xr:uid="{00000000-0005-0000-0000-000090300000}"/>
    <cellStyle name="40% - Accent2 2 2 4 4" xfId="20469" xr:uid="{00000000-0005-0000-0000-000091300000}"/>
    <cellStyle name="40% - Accent2 2 2 5" xfId="3145" xr:uid="{00000000-0005-0000-0000-000092300000}"/>
    <cellStyle name="40% - Accent2 2 2 5 2" xfId="3146" xr:uid="{00000000-0005-0000-0000-000093300000}"/>
    <cellStyle name="40% - Accent2 2 2 5 2 2" xfId="17246" xr:uid="{00000000-0005-0000-0000-000094300000}"/>
    <cellStyle name="40% - Accent2 2 2 5 2 2 2" xfId="30605" xr:uid="{00000000-0005-0000-0000-000095300000}"/>
    <cellStyle name="40% - Accent2 2 2 5 2 3" xfId="20472" xr:uid="{00000000-0005-0000-0000-000096300000}"/>
    <cellStyle name="40% - Accent2 2 2 5 3" xfId="11896" xr:uid="{00000000-0005-0000-0000-000097300000}"/>
    <cellStyle name="40% - Accent2 2 2 5 3 2" xfId="25611" xr:uid="{00000000-0005-0000-0000-000098300000}"/>
    <cellStyle name="40% - Accent2 2 2 5 4" xfId="20471" xr:uid="{00000000-0005-0000-0000-000099300000}"/>
    <cellStyle name="40% - Accent2 2 2 6" xfId="3147" xr:uid="{00000000-0005-0000-0000-00009A300000}"/>
    <cellStyle name="40% - Accent2 2 2 6 2" xfId="3148" xr:uid="{00000000-0005-0000-0000-00009B300000}"/>
    <cellStyle name="40% - Accent2 2 2 6 2 2" xfId="16521" xr:uid="{00000000-0005-0000-0000-00009C300000}"/>
    <cellStyle name="40% - Accent2 2 2 6 2 2 2" xfId="29928" xr:uid="{00000000-0005-0000-0000-00009D300000}"/>
    <cellStyle name="40% - Accent2 2 2 6 2 3" xfId="20474" xr:uid="{00000000-0005-0000-0000-00009E300000}"/>
    <cellStyle name="40% - Accent2 2 2 6 3" xfId="13473" xr:uid="{00000000-0005-0000-0000-00009F300000}"/>
    <cellStyle name="40% - Accent2 2 2 6 3 2" xfId="27022" xr:uid="{00000000-0005-0000-0000-0000A0300000}"/>
    <cellStyle name="40% - Accent2 2 2 6 4" xfId="20473" xr:uid="{00000000-0005-0000-0000-0000A1300000}"/>
    <cellStyle name="40% - Accent2 2 2 7" xfId="3149" xr:uid="{00000000-0005-0000-0000-0000A2300000}"/>
    <cellStyle name="40% - Accent2 2 2 7 2" xfId="14054" xr:uid="{00000000-0005-0000-0000-0000A3300000}"/>
    <cellStyle name="40% - Accent2 2 2 7 2 2" xfId="27603" xr:uid="{00000000-0005-0000-0000-0000A4300000}"/>
    <cellStyle name="40% - Accent2 2 2 7 3" xfId="20475" xr:uid="{00000000-0005-0000-0000-0000A5300000}"/>
    <cellStyle name="40% - Accent2 2 2 8" xfId="3150" xr:uid="{00000000-0005-0000-0000-0000A6300000}"/>
    <cellStyle name="40% - Accent2 2 2 8 2" xfId="15940" xr:uid="{00000000-0005-0000-0000-0000A7300000}"/>
    <cellStyle name="40% - Accent2 2 2 8 2 2" xfId="29347" xr:uid="{00000000-0005-0000-0000-0000A8300000}"/>
    <cellStyle name="40% - Accent2 2 2 8 3" xfId="20476" xr:uid="{00000000-0005-0000-0000-0000A9300000}"/>
    <cellStyle name="40% - Accent2 2 2 9" xfId="9257" xr:uid="{00000000-0005-0000-0000-0000AA300000}"/>
    <cellStyle name="40% - Accent2 2 2 9 2" xfId="23732" xr:uid="{00000000-0005-0000-0000-0000AB300000}"/>
    <cellStyle name="40% - Accent2 2 3" xfId="3151" xr:uid="{00000000-0005-0000-0000-0000AC300000}"/>
    <cellStyle name="40% - Accent2 2 3 2" xfId="3152" xr:uid="{00000000-0005-0000-0000-0000AD300000}"/>
    <cellStyle name="40% - Accent2 2 3 2 2" xfId="3153" xr:uid="{00000000-0005-0000-0000-0000AE300000}"/>
    <cellStyle name="40% - Accent2 2 3 2 2 2" xfId="3154" xr:uid="{00000000-0005-0000-0000-0000AF300000}"/>
    <cellStyle name="40% - Accent2 2 3 2 2 2 2" xfId="16907" xr:uid="{00000000-0005-0000-0000-0000B0300000}"/>
    <cellStyle name="40% - Accent2 2 3 2 2 2 2 2" xfId="30314" xr:uid="{00000000-0005-0000-0000-0000B1300000}"/>
    <cellStyle name="40% - Accent2 2 3 2 2 2 3" xfId="20480" xr:uid="{00000000-0005-0000-0000-0000B2300000}"/>
    <cellStyle name="40% - Accent2 2 3 2 2 3" xfId="10989" xr:uid="{00000000-0005-0000-0000-0000B3300000}"/>
    <cellStyle name="40% - Accent2 2 3 2 2 3 2" xfId="24931" xr:uid="{00000000-0005-0000-0000-0000B4300000}"/>
    <cellStyle name="40% - Accent2 2 3 2 2 4" xfId="20479" xr:uid="{00000000-0005-0000-0000-0000B5300000}"/>
    <cellStyle name="40% - Accent2 2 3 2 3" xfId="3155" xr:uid="{00000000-0005-0000-0000-0000B6300000}"/>
    <cellStyle name="40% - Accent2 2 3 2 3 2" xfId="12295" xr:uid="{00000000-0005-0000-0000-0000B7300000}"/>
    <cellStyle name="40% - Accent2 2 3 2 3 2 2" xfId="26007" xr:uid="{00000000-0005-0000-0000-0000B8300000}"/>
    <cellStyle name="40% - Accent2 2 3 2 3 3" xfId="20481" xr:uid="{00000000-0005-0000-0000-0000B9300000}"/>
    <cellStyle name="40% - Accent2 2 3 2 4" xfId="3156" xr:uid="{00000000-0005-0000-0000-0000BA300000}"/>
    <cellStyle name="40% - Accent2 2 3 2 4 2" xfId="13859" xr:uid="{00000000-0005-0000-0000-0000BB300000}"/>
    <cellStyle name="40% - Accent2 2 3 2 4 2 2" xfId="27408" xr:uid="{00000000-0005-0000-0000-0000BC300000}"/>
    <cellStyle name="40% - Accent2 2 3 2 4 3" xfId="20482" xr:uid="{00000000-0005-0000-0000-0000BD300000}"/>
    <cellStyle name="40% - Accent2 2 3 2 5" xfId="3157" xr:uid="{00000000-0005-0000-0000-0000BE300000}"/>
    <cellStyle name="40% - Accent2 2 3 2 5 2" xfId="14440" xr:uid="{00000000-0005-0000-0000-0000BF300000}"/>
    <cellStyle name="40% - Accent2 2 3 2 5 2 2" xfId="27989" xr:uid="{00000000-0005-0000-0000-0000C0300000}"/>
    <cellStyle name="40% - Accent2 2 3 2 5 3" xfId="20483" xr:uid="{00000000-0005-0000-0000-0000C1300000}"/>
    <cellStyle name="40% - Accent2 2 3 2 6" xfId="3158" xr:uid="{00000000-0005-0000-0000-0000C2300000}"/>
    <cellStyle name="40% - Accent2 2 3 2 6 2" xfId="16326" xr:uid="{00000000-0005-0000-0000-0000C3300000}"/>
    <cellStyle name="40% - Accent2 2 3 2 6 2 2" xfId="29733" xr:uid="{00000000-0005-0000-0000-0000C4300000}"/>
    <cellStyle name="40% - Accent2 2 3 2 6 3" xfId="20484" xr:uid="{00000000-0005-0000-0000-0000C5300000}"/>
    <cellStyle name="40% - Accent2 2 3 2 7" xfId="9262" xr:uid="{00000000-0005-0000-0000-0000C6300000}"/>
    <cellStyle name="40% - Accent2 2 3 2 7 2" xfId="23737" xr:uid="{00000000-0005-0000-0000-0000C7300000}"/>
    <cellStyle name="40% - Accent2 2 3 2 8" xfId="20478" xr:uid="{00000000-0005-0000-0000-0000C8300000}"/>
    <cellStyle name="40% - Accent2 2 3 3" xfId="3159" xr:uid="{00000000-0005-0000-0000-0000C9300000}"/>
    <cellStyle name="40% - Accent2 2 3 3 2" xfId="3160" xr:uid="{00000000-0005-0000-0000-0000CA300000}"/>
    <cellStyle name="40% - Accent2 2 3 3 2 2" xfId="16618" xr:uid="{00000000-0005-0000-0000-0000CB300000}"/>
    <cellStyle name="40% - Accent2 2 3 3 2 2 2" xfId="30025" xr:uid="{00000000-0005-0000-0000-0000CC300000}"/>
    <cellStyle name="40% - Accent2 2 3 3 2 3" xfId="20486" xr:uid="{00000000-0005-0000-0000-0000CD300000}"/>
    <cellStyle name="40% - Accent2 2 3 3 3" xfId="10988" xr:uid="{00000000-0005-0000-0000-0000CE300000}"/>
    <cellStyle name="40% - Accent2 2 3 3 3 2" xfId="24930" xr:uid="{00000000-0005-0000-0000-0000CF300000}"/>
    <cellStyle name="40% - Accent2 2 3 3 4" xfId="20485" xr:uid="{00000000-0005-0000-0000-0000D0300000}"/>
    <cellStyle name="40% - Accent2 2 3 4" xfId="3161" xr:uid="{00000000-0005-0000-0000-0000D1300000}"/>
    <cellStyle name="40% - Accent2 2 3 4 2" xfId="11995" xr:uid="{00000000-0005-0000-0000-0000D2300000}"/>
    <cellStyle name="40% - Accent2 2 3 4 2 2" xfId="25710" xr:uid="{00000000-0005-0000-0000-0000D3300000}"/>
    <cellStyle name="40% - Accent2 2 3 4 3" xfId="20487" xr:uid="{00000000-0005-0000-0000-0000D4300000}"/>
    <cellStyle name="40% - Accent2 2 3 5" xfId="3162" xr:uid="{00000000-0005-0000-0000-0000D5300000}"/>
    <cellStyle name="40% - Accent2 2 3 5 2" xfId="13570" xr:uid="{00000000-0005-0000-0000-0000D6300000}"/>
    <cellStyle name="40% - Accent2 2 3 5 2 2" xfId="27119" xr:uid="{00000000-0005-0000-0000-0000D7300000}"/>
    <cellStyle name="40% - Accent2 2 3 5 3" xfId="20488" xr:uid="{00000000-0005-0000-0000-0000D8300000}"/>
    <cellStyle name="40% - Accent2 2 3 6" xfId="3163" xr:uid="{00000000-0005-0000-0000-0000D9300000}"/>
    <cellStyle name="40% - Accent2 2 3 6 2" xfId="14151" xr:uid="{00000000-0005-0000-0000-0000DA300000}"/>
    <cellStyle name="40% - Accent2 2 3 6 2 2" xfId="27700" xr:uid="{00000000-0005-0000-0000-0000DB300000}"/>
    <cellStyle name="40% - Accent2 2 3 6 3" xfId="20489" xr:uid="{00000000-0005-0000-0000-0000DC300000}"/>
    <cellStyle name="40% - Accent2 2 3 7" xfId="3164" xr:uid="{00000000-0005-0000-0000-0000DD300000}"/>
    <cellStyle name="40% - Accent2 2 3 7 2" xfId="16037" xr:uid="{00000000-0005-0000-0000-0000DE300000}"/>
    <cellStyle name="40% - Accent2 2 3 7 2 2" xfId="29444" xr:uid="{00000000-0005-0000-0000-0000DF300000}"/>
    <cellStyle name="40% - Accent2 2 3 7 3" xfId="20490" xr:uid="{00000000-0005-0000-0000-0000E0300000}"/>
    <cellStyle name="40% - Accent2 2 3 8" xfId="9261" xr:uid="{00000000-0005-0000-0000-0000E1300000}"/>
    <cellStyle name="40% - Accent2 2 3 8 2" xfId="23736" xr:uid="{00000000-0005-0000-0000-0000E2300000}"/>
    <cellStyle name="40% - Accent2 2 3 9" xfId="20477" xr:uid="{00000000-0005-0000-0000-0000E3300000}"/>
    <cellStyle name="40% - Accent2 2 4" xfId="3165" xr:uid="{00000000-0005-0000-0000-0000E4300000}"/>
    <cellStyle name="40% - Accent2 2 4 2" xfId="3166" xr:uid="{00000000-0005-0000-0000-0000E5300000}"/>
    <cellStyle name="40% - Accent2 2 4 2 2" xfId="3167" xr:uid="{00000000-0005-0000-0000-0000E6300000}"/>
    <cellStyle name="40% - Accent2 2 4 2 2 2" xfId="16764" xr:uid="{00000000-0005-0000-0000-0000E7300000}"/>
    <cellStyle name="40% - Accent2 2 4 2 2 2 2" xfId="30171" xr:uid="{00000000-0005-0000-0000-0000E8300000}"/>
    <cellStyle name="40% - Accent2 2 4 2 2 3" xfId="20493" xr:uid="{00000000-0005-0000-0000-0000E9300000}"/>
    <cellStyle name="40% - Accent2 2 4 2 3" xfId="10990" xr:uid="{00000000-0005-0000-0000-0000EA300000}"/>
    <cellStyle name="40% - Accent2 2 4 2 3 2" xfId="24932" xr:uid="{00000000-0005-0000-0000-0000EB300000}"/>
    <cellStyle name="40% - Accent2 2 4 2 4" xfId="20492" xr:uid="{00000000-0005-0000-0000-0000EC300000}"/>
    <cellStyle name="40% - Accent2 2 4 3" xfId="3168" xr:uid="{00000000-0005-0000-0000-0000ED300000}"/>
    <cellStyle name="40% - Accent2 2 4 3 2" xfId="12152" xr:uid="{00000000-0005-0000-0000-0000EE300000}"/>
    <cellStyle name="40% - Accent2 2 4 3 2 2" xfId="25864" xr:uid="{00000000-0005-0000-0000-0000EF300000}"/>
    <cellStyle name="40% - Accent2 2 4 3 3" xfId="20494" xr:uid="{00000000-0005-0000-0000-0000F0300000}"/>
    <cellStyle name="40% - Accent2 2 4 4" xfId="3169" xr:uid="{00000000-0005-0000-0000-0000F1300000}"/>
    <cellStyle name="40% - Accent2 2 4 4 2" xfId="13716" xr:uid="{00000000-0005-0000-0000-0000F2300000}"/>
    <cellStyle name="40% - Accent2 2 4 4 2 2" xfId="27265" xr:uid="{00000000-0005-0000-0000-0000F3300000}"/>
    <cellStyle name="40% - Accent2 2 4 4 3" xfId="20495" xr:uid="{00000000-0005-0000-0000-0000F4300000}"/>
    <cellStyle name="40% - Accent2 2 4 5" xfId="3170" xr:uid="{00000000-0005-0000-0000-0000F5300000}"/>
    <cellStyle name="40% - Accent2 2 4 5 2" xfId="14297" xr:uid="{00000000-0005-0000-0000-0000F6300000}"/>
    <cellStyle name="40% - Accent2 2 4 5 2 2" xfId="27846" xr:uid="{00000000-0005-0000-0000-0000F7300000}"/>
    <cellStyle name="40% - Accent2 2 4 5 3" xfId="20496" xr:uid="{00000000-0005-0000-0000-0000F8300000}"/>
    <cellStyle name="40% - Accent2 2 4 6" xfId="3171" xr:uid="{00000000-0005-0000-0000-0000F9300000}"/>
    <cellStyle name="40% - Accent2 2 4 6 2" xfId="16183" xr:uid="{00000000-0005-0000-0000-0000FA300000}"/>
    <cellStyle name="40% - Accent2 2 4 6 2 2" xfId="29590" xr:uid="{00000000-0005-0000-0000-0000FB300000}"/>
    <cellStyle name="40% - Accent2 2 4 6 3" xfId="20497" xr:uid="{00000000-0005-0000-0000-0000FC300000}"/>
    <cellStyle name="40% - Accent2 2 4 7" xfId="9263" xr:uid="{00000000-0005-0000-0000-0000FD300000}"/>
    <cellStyle name="40% - Accent2 2 4 7 2" xfId="23738" xr:uid="{00000000-0005-0000-0000-0000FE300000}"/>
    <cellStyle name="40% - Accent2 2 4 8" xfId="20491" xr:uid="{00000000-0005-0000-0000-0000FF300000}"/>
    <cellStyle name="40% - Accent2 2 5" xfId="3172" xr:uid="{00000000-0005-0000-0000-000000310000}"/>
    <cellStyle name="40% - Accent2 2 5 2" xfId="3173" xr:uid="{00000000-0005-0000-0000-000001310000}"/>
    <cellStyle name="40% - Accent2 2 5 2 2" xfId="12611" xr:uid="{00000000-0005-0000-0000-000002310000}"/>
    <cellStyle name="40% - Accent2 2 5 2 2 2" xfId="26323" xr:uid="{00000000-0005-0000-0000-000003310000}"/>
    <cellStyle name="40% - Accent2 2 5 2 3" xfId="20499" xr:uid="{00000000-0005-0000-0000-000004310000}"/>
    <cellStyle name="40% - Accent2 2 5 3" xfId="3174" xr:uid="{00000000-0005-0000-0000-000005310000}"/>
    <cellStyle name="40% - Accent2 2 5 3 2" xfId="15154" xr:uid="{00000000-0005-0000-0000-000006310000}"/>
    <cellStyle name="40% - Accent2 2 5 3 2 2" xfId="28703" xr:uid="{00000000-0005-0000-0000-000007310000}"/>
    <cellStyle name="40% - Accent2 2 5 3 3" xfId="20500" xr:uid="{00000000-0005-0000-0000-000008310000}"/>
    <cellStyle name="40% - Accent2 2 5 4" xfId="3175" xr:uid="{00000000-0005-0000-0000-000009310000}"/>
    <cellStyle name="40% - Accent2 2 5 4 2" xfId="17003" xr:uid="{00000000-0005-0000-0000-00000A310000}"/>
    <cellStyle name="40% - Accent2 2 5 4 2 2" xfId="30410" xr:uid="{00000000-0005-0000-0000-00000B310000}"/>
    <cellStyle name="40% - Accent2 2 5 4 3" xfId="20501" xr:uid="{00000000-0005-0000-0000-00000C310000}"/>
    <cellStyle name="40% - Accent2 2 5 5" xfId="10524" xr:uid="{00000000-0005-0000-0000-00000D310000}"/>
    <cellStyle name="40% - Accent2 2 5 5 2" xfId="24466" xr:uid="{00000000-0005-0000-0000-00000E310000}"/>
    <cellStyle name="40% - Accent2 2 5 6" xfId="20498" xr:uid="{00000000-0005-0000-0000-00000F310000}"/>
    <cellStyle name="40% - Accent2 2 6" xfId="3176" xr:uid="{00000000-0005-0000-0000-000010310000}"/>
    <cellStyle name="40% - Accent2 2 6 2" xfId="3177" xr:uid="{00000000-0005-0000-0000-000011310000}"/>
    <cellStyle name="40% - Accent2 2 6 2 2" xfId="12728" xr:uid="{00000000-0005-0000-0000-000012310000}"/>
    <cellStyle name="40% - Accent2 2 6 2 2 2" xfId="26440" xr:uid="{00000000-0005-0000-0000-000013310000}"/>
    <cellStyle name="40% - Accent2 2 6 2 3" xfId="20503" xr:uid="{00000000-0005-0000-0000-000014310000}"/>
    <cellStyle name="40% - Accent2 2 6 3" xfId="3178" xr:uid="{00000000-0005-0000-0000-000015310000}"/>
    <cellStyle name="40% - Accent2 2 6 3 2" xfId="15155" xr:uid="{00000000-0005-0000-0000-000016310000}"/>
    <cellStyle name="40% - Accent2 2 6 3 2 2" xfId="28704" xr:uid="{00000000-0005-0000-0000-000017310000}"/>
    <cellStyle name="40% - Accent2 2 6 3 3" xfId="20504" xr:uid="{00000000-0005-0000-0000-000018310000}"/>
    <cellStyle name="40% - Accent2 2 6 4" xfId="3179" xr:uid="{00000000-0005-0000-0000-000019310000}"/>
    <cellStyle name="40% - Accent2 2 6 4 2" xfId="17111" xr:uid="{00000000-0005-0000-0000-00001A310000}"/>
    <cellStyle name="40% - Accent2 2 6 4 2 2" xfId="30470" xr:uid="{00000000-0005-0000-0000-00001B310000}"/>
    <cellStyle name="40% - Accent2 2 6 4 3" xfId="20505" xr:uid="{00000000-0005-0000-0000-00001C310000}"/>
    <cellStyle name="40% - Accent2 2 6 5" xfId="10983" xr:uid="{00000000-0005-0000-0000-00001D310000}"/>
    <cellStyle name="40% - Accent2 2 6 5 2" xfId="24925" xr:uid="{00000000-0005-0000-0000-00001E310000}"/>
    <cellStyle name="40% - Accent2 2 6 6" xfId="20502" xr:uid="{00000000-0005-0000-0000-00001F310000}"/>
    <cellStyle name="40% - Accent2 2 7" xfId="3180" xr:uid="{00000000-0005-0000-0000-000020310000}"/>
    <cellStyle name="40% - Accent2 2 7 2" xfId="3181" xr:uid="{00000000-0005-0000-0000-000021310000}"/>
    <cellStyle name="40% - Accent2 2 7 2 2" xfId="17200" xr:uid="{00000000-0005-0000-0000-000022310000}"/>
    <cellStyle name="40% - Accent2 2 7 2 2 2" xfId="30559" xr:uid="{00000000-0005-0000-0000-000023310000}"/>
    <cellStyle name="40% - Accent2 2 7 2 3" xfId="20507" xr:uid="{00000000-0005-0000-0000-000024310000}"/>
    <cellStyle name="40% - Accent2 2 7 3" xfId="11828" xr:uid="{00000000-0005-0000-0000-000025310000}"/>
    <cellStyle name="40% - Accent2 2 7 3 2" xfId="25543" xr:uid="{00000000-0005-0000-0000-000026310000}"/>
    <cellStyle name="40% - Accent2 2 7 4" xfId="20506" xr:uid="{00000000-0005-0000-0000-000027310000}"/>
    <cellStyle name="40% - Accent2 2 8" xfId="3182" xr:uid="{00000000-0005-0000-0000-000028310000}"/>
    <cellStyle name="40% - Accent2 2 8 2" xfId="3183" xr:uid="{00000000-0005-0000-0000-000029310000}"/>
    <cellStyle name="40% - Accent2 2 8 2 2" xfId="16475" xr:uid="{00000000-0005-0000-0000-00002A310000}"/>
    <cellStyle name="40% - Accent2 2 8 2 2 2" xfId="29882" xr:uid="{00000000-0005-0000-0000-00002B310000}"/>
    <cellStyle name="40% - Accent2 2 8 2 3" xfId="20509" xr:uid="{00000000-0005-0000-0000-00002C310000}"/>
    <cellStyle name="40% - Accent2 2 8 3" xfId="13427" xr:uid="{00000000-0005-0000-0000-00002D310000}"/>
    <cellStyle name="40% - Accent2 2 8 3 2" xfId="26976" xr:uid="{00000000-0005-0000-0000-00002E310000}"/>
    <cellStyle name="40% - Accent2 2 8 4" xfId="20508" xr:uid="{00000000-0005-0000-0000-00002F310000}"/>
    <cellStyle name="40% - Accent2 2 9" xfId="3184" xr:uid="{00000000-0005-0000-0000-000030310000}"/>
    <cellStyle name="40% - Accent2 2 9 2" xfId="14008" xr:uid="{00000000-0005-0000-0000-000031310000}"/>
    <cellStyle name="40% - Accent2 2 9 2 2" xfId="27557" xr:uid="{00000000-0005-0000-0000-000032310000}"/>
    <cellStyle name="40% - Accent2 2 9 3" xfId="20510" xr:uid="{00000000-0005-0000-0000-000033310000}"/>
    <cellStyle name="40% - Accent2 3" xfId="3185" xr:uid="{00000000-0005-0000-0000-000034310000}"/>
    <cellStyle name="40% - Accent2 3 10" xfId="20511" xr:uid="{00000000-0005-0000-0000-000035310000}"/>
    <cellStyle name="40% - Accent2 3 2" xfId="3186" xr:uid="{00000000-0005-0000-0000-000036310000}"/>
    <cellStyle name="40% - Accent2 3 2 2" xfId="3187" xr:uid="{00000000-0005-0000-0000-000037310000}"/>
    <cellStyle name="40% - Accent2 3 2 2 2" xfId="3188" xr:uid="{00000000-0005-0000-0000-000038310000}"/>
    <cellStyle name="40% - Accent2 3 2 2 2 2" xfId="3189" xr:uid="{00000000-0005-0000-0000-000039310000}"/>
    <cellStyle name="40% - Accent2 3 2 2 2 2 2" xfId="16930" xr:uid="{00000000-0005-0000-0000-00003A310000}"/>
    <cellStyle name="40% - Accent2 3 2 2 2 2 2 2" xfId="30337" xr:uid="{00000000-0005-0000-0000-00003B310000}"/>
    <cellStyle name="40% - Accent2 3 2 2 2 2 3" xfId="20515" xr:uid="{00000000-0005-0000-0000-00003C310000}"/>
    <cellStyle name="40% - Accent2 3 2 2 2 3" xfId="10993" xr:uid="{00000000-0005-0000-0000-00003D310000}"/>
    <cellStyle name="40% - Accent2 3 2 2 2 3 2" xfId="24935" xr:uid="{00000000-0005-0000-0000-00003E310000}"/>
    <cellStyle name="40% - Accent2 3 2 2 2 4" xfId="20514" xr:uid="{00000000-0005-0000-0000-00003F310000}"/>
    <cellStyle name="40% - Accent2 3 2 2 3" xfId="3190" xr:uid="{00000000-0005-0000-0000-000040310000}"/>
    <cellStyle name="40% - Accent2 3 2 2 3 2" xfId="12318" xr:uid="{00000000-0005-0000-0000-000041310000}"/>
    <cellStyle name="40% - Accent2 3 2 2 3 2 2" xfId="26030" xr:uid="{00000000-0005-0000-0000-000042310000}"/>
    <cellStyle name="40% - Accent2 3 2 2 3 3" xfId="20516" xr:uid="{00000000-0005-0000-0000-000043310000}"/>
    <cellStyle name="40% - Accent2 3 2 2 4" xfId="3191" xr:uid="{00000000-0005-0000-0000-000044310000}"/>
    <cellStyle name="40% - Accent2 3 2 2 4 2" xfId="13882" xr:uid="{00000000-0005-0000-0000-000045310000}"/>
    <cellStyle name="40% - Accent2 3 2 2 4 2 2" xfId="27431" xr:uid="{00000000-0005-0000-0000-000046310000}"/>
    <cellStyle name="40% - Accent2 3 2 2 4 3" xfId="20517" xr:uid="{00000000-0005-0000-0000-000047310000}"/>
    <cellStyle name="40% - Accent2 3 2 2 5" xfId="3192" xr:uid="{00000000-0005-0000-0000-000048310000}"/>
    <cellStyle name="40% - Accent2 3 2 2 5 2" xfId="14463" xr:uid="{00000000-0005-0000-0000-000049310000}"/>
    <cellStyle name="40% - Accent2 3 2 2 5 2 2" xfId="28012" xr:uid="{00000000-0005-0000-0000-00004A310000}"/>
    <cellStyle name="40% - Accent2 3 2 2 5 3" xfId="20518" xr:uid="{00000000-0005-0000-0000-00004B310000}"/>
    <cellStyle name="40% - Accent2 3 2 2 6" xfId="3193" xr:uid="{00000000-0005-0000-0000-00004C310000}"/>
    <cellStyle name="40% - Accent2 3 2 2 6 2" xfId="16349" xr:uid="{00000000-0005-0000-0000-00004D310000}"/>
    <cellStyle name="40% - Accent2 3 2 2 6 2 2" xfId="29756" xr:uid="{00000000-0005-0000-0000-00004E310000}"/>
    <cellStyle name="40% - Accent2 3 2 2 6 3" xfId="20519" xr:uid="{00000000-0005-0000-0000-00004F310000}"/>
    <cellStyle name="40% - Accent2 3 2 2 7" xfId="9266" xr:uid="{00000000-0005-0000-0000-000050310000}"/>
    <cellStyle name="40% - Accent2 3 2 2 7 2" xfId="23741" xr:uid="{00000000-0005-0000-0000-000051310000}"/>
    <cellStyle name="40% - Accent2 3 2 2 8" xfId="20513" xr:uid="{00000000-0005-0000-0000-000052310000}"/>
    <cellStyle name="40% - Accent2 3 2 3" xfId="3194" xr:uid="{00000000-0005-0000-0000-000053310000}"/>
    <cellStyle name="40% - Accent2 3 2 3 2" xfId="3195" xr:uid="{00000000-0005-0000-0000-000054310000}"/>
    <cellStyle name="40% - Accent2 3 2 3 2 2" xfId="16641" xr:uid="{00000000-0005-0000-0000-000055310000}"/>
    <cellStyle name="40% - Accent2 3 2 3 2 2 2" xfId="30048" xr:uid="{00000000-0005-0000-0000-000056310000}"/>
    <cellStyle name="40% - Accent2 3 2 3 2 3" xfId="20521" xr:uid="{00000000-0005-0000-0000-000057310000}"/>
    <cellStyle name="40% - Accent2 3 2 3 3" xfId="10992" xr:uid="{00000000-0005-0000-0000-000058310000}"/>
    <cellStyle name="40% - Accent2 3 2 3 3 2" xfId="24934" xr:uid="{00000000-0005-0000-0000-000059310000}"/>
    <cellStyle name="40% - Accent2 3 2 3 4" xfId="20520" xr:uid="{00000000-0005-0000-0000-00005A310000}"/>
    <cellStyle name="40% - Accent2 3 2 4" xfId="3196" xr:uid="{00000000-0005-0000-0000-00005B310000}"/>
    <cellStyle name="40% - Accent2 3 2 4 2" xfId="12018" xr:uid="{00000000-0005-0000-0000-00005C310000}"/>
    <cellStyle name="40% - Accent2 3 2 4 2 2" xfId="25733" xr:uid="{00000000-0005-0000-0000-00005D310000}"/>
    <cellStyle name="40% - Accent2 3 2 4 3" xfId="20522" xr:uid="{00000000-0005-0000-0000-00005E310000}"/>
    <cellStyle name="40% - Accent2 3 2 5" xfId="3197" xr:uid="{00000000-0005-0000-0000-00005F310000}"/>
    <cellStyle name="40% - Accent2 3 2 5 2" xfId="13593" xr:uid="{00000000-0005-0000-0000-000060310000}"/>
    <cellStyle name="40% - Accent2 3 2 5 2 2" xfId="27142" xr:uid="{00000000-0005-0000-0000-000061310000}"/>
    <cellStyle name="40% - Accent2 3 2 5 3" xfId="20523" xr:uid="{00000000-0005-0000-0000-000062310000}"/>
    <cellStyle name="40% - Accent2 3 2 6" xfId="3198" xr:uid="{00000000-0005-0000-0000-000063310000}"/>
    <cellStyle name="40% - Accent2 3 2 6 2" xfId="14174" xr:uid="{00000000-0005-0000-0000-000064310000}"/>
    <cellStyle name="40% - Accent2 3 2 6 2 2" xfId="27723" xr:uid="{00000000-0005-0000-0000-000065310000}"/>
    <cellStyle name="40% - Accent2 3 2 6 3" xfId="20524" xr:uid="{00000000-0005-0000-0000-000066310000}"/>
    <cellStyle name="40% - Accent2 3 2 7" xfId="3199" xr:uid="{00000000-0005-0000-0000-000067310000}"/>
    <cellStyle name="40% - Accent2 3 2 7 2" xfId="16060" xr:uid="{00000000-0005-0000-0000-000068310000}"/>
    <cellStyle name="40% - Accent2 3 2 7 2 2" xfId="29467" xr:uid="{00000000-0005-0000-0000-000069310000}"/>
    <cellStyle name="40% - Accent2 3 2 7 3" xfId="20525" xr:uid="{00000000-0005-0000-0000-00006A310000}"/>
    <cellStyle name="40% - Accent2 3 2 8" xfId="9265" xr:uid="{00000000-0005-0000-0000-00006B310000}"/>
    <cellStyle name="40% - Accent2 3 2 8 2" xfId="23740" xr:uid="{00000000-0005-0000-0000-00006C310000}"/>
    <cellStyle name="40% - Accent2 3 2 9" xfId="20512" xr:uid="{00000000-0005-0000-0000-00006D310000}"/>
    <cellStyle name="40% - Accent2 3 3" xfId="3200" xr:uid="{00000000-0005-0000-0000-00006E310000}"/>
    <cellStyle name="40% - Accent2 3 3 2" xfId="3201" xr:uid="{00000000-0005-0000-0000-00006F310000}"/>
    <cellStyle name="40% - Accent2 3 3 2 2" xfId="3202" xr:uid="{00000000-0005-0000-0000-000070310000}"/>
    <cellStyle name="40% - Accent2 3 3 2 2 2" xfId="16787" xr:uid="{00000000-0005-0000-0000-000071310000}"/>
    <cellStyle name="40% - Accent2 3 3 2 2 2 2" xfId="30194" xr:uid="{00000000-0005-0000-0000-000072310000}"/>
    <cellStyle name="40% - Accent2 3 3 2 2 3" xfId="20528" xr:uid="{00000000-0005-0000-0000-000073310000}"/>
    <cellStyle name="40% - Accent2 3 3 2 3" xfId="10994" xr:uid="{00000000-0005-0000-0000-000074310000}"/>
    <cellStyle name="40% - Accent2 3 3 2 3 2" xfId="24936" xr:uid="{00000000-0005-0000-0000-000075310000}"/>
    <cellStyle name="40% - Accent2 3 3 2 4" xfId="20527" xr:uid="{00000000-0005-0000-0000-000076310000}"/>
    <cellStyle name="40% - Accent2 3 3 3" xfId="3203" xr:uid="{00000000-0005-0000-0000-000077310000}"/>
    <cellStyle name="40% - Accent2 3 3 3 2" xfId="12175" xr:uid="{00000000-0005-0000-0000-000078310000}"/>
    <cellStyle name="40% - Accent2 3 3 3 2 2" xfId="25887" xr:uid="{00000000-0005-0000-0000-000079310000}"/>
    <cellStyle name="40% - Accent2 3 3 3 3" xfId="20529" xr:uid="{00000000-0005-0000-0000-00007A310000}"/>
    <cellStyle name="40% - Accent2 3 3 4" xfId="3204" xr:uid="{00000000-0005-0000-0000-00007B310000}"/>
    <cellStyle name="40% - Accent2 3 3 4 2" xfId="13739" xr:uid="{00000000-0005-0000-0000-00007C310000}"/>
    <cellStyle name="40% - Accent2 3 3 4 2 2" xfId="27288" xr:uid="{00000000-0005-0000-0000-00007D310000}"/>
    <cellStyle name="40% - Accent2 3 3 4 3" xfId="20530" xr:uid="{00000000-0005-0000-0000-00007E310000}"/>
    <cellStyle name="40% - Accent2 3 3 5" xfId="3205" xr:uid="{00000000-0005-0000-0000-00007F310000}"/>
    <cellStyle name="40% - Accent2 3 3 5 2" xfId="14320" xr:uid="{00000000-0005-0000-0000-000080310000}"/>
    <cellStyle name="40% - Accent2 3 3 5 2 2" xfId="27869" xr:uid="{00000000-0005-0000-0000-000081310000}"/>
    <cellStyle name="40% - Accent2 3 3 5 3" xfId="20531" xr:uid="{00000000-0005-0000-0000-000082310000}"/>
    <cellStyle name="40% - Accent2 3 3 6" xfId="3206" xr:uid="{00000000-0005-0000-0000-000083310000}"/>
    <cellStyle name="40% - Accent2 3 3 6 2" xfId="16206" xr:uid="{00000000-0005-0000-0000-000084310000}"/>
    <cellStyle name="40% - Accent2 3 3 6 2 2" xfId="29613" xr:uid="{00000000-0005-0000-0000-000085310000}"/>
    <cellStyle name="40% - Accent2 3 3 6 3" xfId="20532" xr:uid="{00000000-0005-0000-0000-000086310000}"/>
    <cellStyle name="40% - Accent2 3 3 7" xfId="9267" xr:uid="{00000000-0005-0000-0000-000087310000}"/>
    <cellStyle name="40% - Accent2 3 3 7 2" xfId="23742" xr:uid="{00000000-0005-0000-0000-000088310000}"/>
    <cellStyle name="40% - Accent2 3 3 8" xfId="20526" xr:uid="{00000000-0005-0000-0000-000089310000}"/>
    <cellStyle name="40% - Accent2 3 4" xfId="3207" xr:uid="{00000000-0005-0000-0000-00008A310000}"/>
    <cellStyle name="40% - Accent2 3 4 2" xfId="3208" xr:uid="{00000000-0005-0000-0000-00008B310000}"/>
    <cellStyle name="40% - Accent2 3 4 2 2" xfId="17134" xr:uid="{00000000-0005-0000-0000-00008C310000}"/>
    <cellStyle name="40% - Accent2 3 4 2 2 2" xfId="30493" xr:uid="{00000000-0005-0000-0000-00008D310000}"/>
    <cellStyle name="40% - Accent2 3 4 2 3" xfId="20534" xr:uid="{00000000-0005-0000-0000-00008E310000}"/>
    <cellStyle name="40% - Accent2 3 4 3" xfId="10991" xr:uid="{00000000-0005-0000-0000-00008F310000}"/>
    <cellStyle name="40% - Accent2 3 4 3 2" xfId="24933" xr:uid="{00000000-0005-0000-0000-000090310000}"/>
    <cellStyle name="40% - Accent2 3 4 4" xfId="20533" xr:uid="{00000000-0005-0000-0000-000091310000}"/>
    <cellStyle name="40% - Accent2 3 5" xfId="3209" xr:uid="{00000000-0005-0000-0000-000092310000}"/>
    <cellStyle name="40% - Accent2 3 5 2" xfId="3210" xr:uid="{00000000-0005-0000-0000-000093310000}"/>
    <cellStyle name="40% - Accent2 3 5 2 2" xfId="17223" xr:uid="{00000000-0005-0000-0000-000094310000}"/>
    <cellStyle name="40% - Accent2 3 5 2 2 2" xfId="30582" xr:uid="{00000000-0005-0000-0000-000095310000}"/>
    <cellStyle name="40% - Accent2 3 5 2 3" xfId="20536" xr:uid="{00000000-0005-0000-0000-000096310000}"/>
    <cellStyle name="40% - Accent2 3 5 3" xfId="11870" xr:uid="{00000000-0005-0000-0000-000097310000}"/>
    <cellStyle name="40% - Accent2 3 5 3 2" xfId="25585" xr:uid="{00000000-0005-0000-0000-000098310000}"/>
    <cellStyle name="40% - Accent2 3 5 4" xfId="20535" xr:uid="{00000000-0005-0000-0000-000099310000}"/>
    <cellStyle name="40% - Accent2 3 6" xfId="3211" xr:uid="{00000000-0005-0000-0000-00009A310000}"/>
    <cellStyle name="40% - Accent2 3 6 2" xfId="3212" xr:uid="{00000000-0005-0000-0000-00009B310000}"/>
    <cellStyle name="40% - Accent2 3 6 2 2" xfId="16498" xr:uid="{00000000-0005-0000-0000-00009C310000}"/>
    <cellStyle name="40% - Accent2 3 6 2 2 2" xfId="29905" xr:uid="{00000000-0005-0000-0000-00009D310000}"/>
    <cellStyle name="40% - Accent2 3 6 2 3" xfId="20538" xr:uid="{00000000-0005-0000-0000-00009E310000}"/>
    <cellStyle name="40% - Accent2 3 6 3" xfId="13450" xr:uid="{00000000-0005-0000-0000-00009F310000}"/>
    <cellStyle name="40% - Accent2 3 6 3 2" xfId="26999" xr:uid="{00000000-0005-0000-0000-0000A0310000}"/>
    <cellStyle name="40% - Accent2 3 6 4" xfId="20537" xr:uid="{00000000-0005-0000-0000-0000A1310000}"/>
    <cellStyle name="40% - Accent2 3 7" xfId="3213" xr:uid="{00000000-0005-0000-0000-0000A2310000}"/>
    <cellStyle name="40% - Accent2 3 7 2" xfId="14031" xr:uid="{00000000-0005-0000-0000-0000A3310000}"/>
    <cellStyle name="40% - Accent2 3 7 2 2" xfId="27580" xr:uid="{00000000-0005-0000-0000-0000A4310000}"/>
    <cellStyle name="40% - Accent2 3 7 3" xfId="20539" xr:uid="{00000000-0005-0000-0000-0000A5310000}"/>
    <cellStyle name="40% - Accent2 3 8" xfId="3214" xr:uid="{00000000-0005-0000-0000-0000A6310000}"/>
    <cellStyle name="40% - Accent2 3 8 2" xfId="15917" xr:uid="{00000000-0005-0000-0000-0000A7310000}"/>
    <cellStyle name="40% - Accent2 3 8 2 2" xfId="29324" xr:uid="{00000000-0005-0000-0000-0000A8310000}"/>
    <cellStyle name="40% - Accent2 3 8 3" xfId="20540" xr:uid="{00000000-0005-0000-0000-0000A9310000}"/>
    <cellStyle name="40% - Accent2 3 9" xfId="9264" xr:uid="{00000000-0005-0000-0000-0000AA310000}"/>
    <cellStyle name="40% - Accent2 3 9 2" xfId="23739" xr:uid="{00000000-0005-0000-0000-0000AB310000}"/>
    <cellStyle name="40% - Accent2 4" xfId="3215" xr:uid="{00000000-0005-0000-0000-0000AC310000}"/>
    <cellStyle name="40% - Accent2 4 10" xfId="20541" xr:uid="{00000000-0005-0000-0000-0000AD310000}"/>
    <cellStyle name="40% - Accent2 4 2" xfId="3216" xr:uid="{00000000-0005-0000-0000-0000AE310000}"/>
    <cellStyle name="40% - Accent2 4 2 2" xfId="3217" xr:uid="{00000000-0005-0000-0000-0000AF310000}"/>
    <cellStyle name="40% - Accent2 4 2 2 2" xfId="3218" xr:uid="{00000000-0005-0000-0000-0000B0310000}"/>
    <cellStyle name="40% - Accent2 4 2 2 2 2" xfId="3219" xr:uid="{00000000-0005-0000-0000-0000B1310000}"/>
    <cellStyle name="40% - Accent2 4 2 2 2 2 2" xfId="16888" xr:uid="{00000000-0005-0000-0000-0000B2310000}"/>
    <cellStyle name="40% - Accent2 4 2 2 2 2 2 2" xfId="30295" xr:uid="{00000000-0005-0000-0000-0000B3310000}"/>
    <cellStyle name="40% - Accent2 4 2 2 2 2 3" xfId="20545" xr:uid="{00000000-0005-0000-0000-0000B4310000}"/>
    <cellStyle name="40% - Accent2 4 2 2 2 3" xfId="10997" xr:uid="{00000000-0005-0000-0000-0000B5310000}"/>
    <cellStyle name="40% - Accent2 4 2 2 2 3 2" xfId="24939" xr:uid="{00000000-0005-0000-0000-0000B6310000}"/>
    <cellStyle name="40% - Accent2 4 2 2 2 4" xfId="20544" xr:uid="{00000000-0005-0000-0000-0000B7310000}"/>
    <cellStyle name="40% - Accent2 4 2 2 3" xfId="3220" xr:uid="{00000000-0005-0000-0000-0000B8310000}"/>
    <cellStyle name="40% - Accent2 4 2 2 3 2" xfId="12276" xr:uid="{00000000-0005-0000-0000-0000B9310000}"/>
    <cellStyle name="40% - Accent2 4 2 2 3 2 2" xfId="25988" xr:uid="{00000000-0005-0000-0000-0000BA310000}"/>
    <cellStyle name="40% - Accent2 4 2 2 3 3" xfId="20546" xr:uid="{00000000-0005-0000-0000-0000BB310000}"/>
    <cellStyle name="40% - Accent2 4 2 2 4" xfId="3221" xr:uid="{00000000-0005-0000-0000-0000BC310000}"/>
    <cellStyle name="40% - Accent2 4 2 2 4 2" xfId="13840" xr:uid="{00000000-0005-0000-0000-0000BD310000}"/>
    <cellStyle name="40% - Accent2 4 2 2 4 2 2" xfId="27389" xr:uid="{00000000-0005-0000-0000-0000BE310000}"/>
    <cellStyle name="40% - Accent2 4 2 2 4 3" xfId="20547" xr:uid="{00000000-0005-0000-0000-0000BF310000}"/>
    <cellStyle name="40% - Accent2 4 2 2 5" xfId="3222" xr:uid="{00000000-0005-0000-0000-0000C0310000}"/>
    <cellStyle name="40% - Accent2 4 2 2 5 2" xfId="14421" xr:uid="{00000000-0005-0000-0000-0000C1310000}"/>
    <cellStyle name="40% - Accent2 4 2 2 5 2 2" xfId="27970" xr:uid="{00000000-0005-0000-0000-0000C2310000}"/>
    <cellStyle name="40% - Accent2 4 2 2 5 3" xfId="20548" xr:uid="{00000000-0005-0000-0000-0000C3310000}"/>
    <cellStyle name="40% - Accent2 4 2 2 6" xfId="3223" xr:uid="{00000000-0005-0000-0000-0000C4310000}"/>
    <cellStyle name="40% - Accent2 4 2 2 6 2" xfId="16307" xr:uid="{00000000-0005-0000-0000-0000C5310000}"/>
    <cellStyle name="40% - Accent2 4 2 2 6 2 2" xfId="29714" xr:uid="{00000000-0005-0000-0000-0000C6310000}"/>
    <cellStyle name="40% - Accent2 4 2 2 6 3" xfId="20549" xr:uid="{00000000-0005-0000-0000-0000C7310000}"/>
    <cellStyle name="40% - Accent2 4 2 2 7" xfId="9270" xr:uid="{00000000-0005-0000-0000-0000C8310000}"/>
    <cellStyle name="40% - Accent2 4 2 2 7 2" xfId="23745" xr:uid="{00000000-0005-0000-0000-0000C9310000}"/>
    <cellStyle name="40% - Accent2 4 2 2 8" xfId="20543" xr:uid="{00000000-0005-0000-0000-0000CA310000}"/>
    <cellStyle name="40% - Accent2 4 2 3" xfId="3224" xr:uid="{00000000-0005-0000-0000-0000CB310000}"/>
    <cellStyle name="40% - Accent2 4 2 3 2" xfId="3225" xr:uid="{00000000-0005-0000-0000-0000CC310000}"/>
    <cellStyle name="40% - Accent2 4 2 3 2 2" xfId="16599" xr:uid="{00000000-0005-0000-0000-0000CD310000}"/>
    <cellStyle name="40% - Accent2 4 2 3 2 2 2" xfId="30006" xr:uid="{00000000-0005-0000-0000-0000CE310000}"/>
    <cellStyle name="40% - Accent2 4 2 3 2 3" xfId="20551" xr:uid="{00000000-0005-0000-0000-0000CF310000}"/>
    <cellStyle name="40% - Accent2 4 2 3 3" xfId="10996" xr:uid="{00000000-0005-0000-0000-0000D0310000}"/>
    <cellStyle name="40% - Accent2 4 2 3 3 2" xfId="24938" xr:uid="{00000000-0005-0000-0000-0000D1310000}"/>
    <cellStyle name="40% - Accent2 4 2 3 4" xfId="20550" xr:uid="{00000000-0005-0000-0000-0000D2310000}"/>
    <cellStyle name="40% - Accent2 4 2 4" xfId="3226" xr:uid="{00000000-0005-0000-0000-0000D3310000}"/>
    <cellStyle name="40% - Accent2 4 2 4 2" xfId="11976" xr:uid="{00000000-0005-0000-0000-0000D4310000}"/>
    <cellStyle name="40% - Accent2 4 2 4 2 2" xfId="25691" xr:uid="{00000000-0005-0000-0000-0000D5310000}"/>
    <cellStyle name="40% - Accent2 4 2 4 3" xfId="20552" xr:uid="{00000000-0005-0000-0000-0000D6310000}"/>
    <cellStyle name="40% - Accent2 4 2 5" xfId="3227" xr:uid="{00000000-0005-0000-0000-0000D7310000}"/>
    <cellStyle name="40% - Accent2 4 2 5 2" xfId="13551" xr:uid="{00000000-0005-0000-0000-0000D8310000}"/>
    <cellStyle name="40% - Accent2 4 2 5 2 2" xfId="27100" xr:uid="{00000000-0005-0000-0000-0000D9310000}"/>
    <cellStyle name="40% - Accent2 4 2 5 3" xfId="20553" xr:uid="{00000000-0005-0000-0000-0000DA310000}"/>
    <cellStyle name="40% - Accent2 4 2 6" xfId="3228" xr:uid="{00000000-0005-0000-0000-0000DB310000}"/>
    <cellStyle name="40% - Accent2 4 2 6 2" xfId="14132" xr:uid="{00000000-0005-0000-0000-0000DC310000}"/>
    <cellStyle name="40% - Accent2 4 2 6 2 2" xfId="27681" xr:uid="{00000000-0005-0000-0000-0000DD310000}"/>
    <cellStyle name="40% - Accent2 4 2 6 3" xfId="20554" xr:uid="{00000000-0005-0000-0000-0000DE310000}"/>
    <cellStyle name="40% - Accent2 4 2 7" xfId="3229" xr:uid="{00000000-0005-0000-0000-0000DF310000}"/>
    <cellStyle name="40% - Accent2 4 2 7 2" xfId="16018" xr:uid="{00000000-0005-0000-0000-0000E0310000}"/>
    <cellStyle name="40% - Accent2 4 2 7 2 2" xfId="29425" xr:uid="{00000000-0005-0000-0000-0000E1310000}"/>
    <cellStyle name="40% - Accent2 4 2 7 3" xfId="20555" xr:uid="{00000000-0005-0000-0000-0000E2310000}"/>
    <cellStyle name="40% - Accent2 4 2 8" xfId="9269" xr:uid="{00000000-0005-0000-0000-0000E3310000}"/>
    <cellStyle name="40% - Accent2 4 2 8 2" xfId="23744" xr:uid="{00000000-0005-0000-0000-0000E4310000}"/>
    <cellStyle name="40% - Accent2 4 2 9" xfId="20542" xr:uid="{00000000-0005-0000-0000-0000E5310000}"/>
    <cellStyle name="40% - Accent2 4 3" xfId="3230" xr:uid="{00000000-0005-0000-0000-0000E6310000}"/>
    <cellStyle name="40% - Accent2 4 3 2" xfId="3231" xr:uid="{00000000-0005-0000-0000-0000E7310000}"/>
    <cellStyle name="40% - Accent2 4 3 2 2" xfId="3232" xr:uid="{00000000-0005-0000-0000-0000E8310000}"/>
    <cellStyle name="40% - Accent2 4 3 2 2 2" xfId="16748" xr:uid="{00000000-0005-0000-0000-0000E9310000}"/>
    <cellStyle name="40% - Accent2 4 3 2 2 2 2" xfId="30155" xr:uid="{00000000-0005-0000-0000-0000EA310000}"/>
    <cellStyle name="40% - Accent2 4 3 2 2 3" xfId="20558" xr:uid="{00000000-0005-0000-0000-0000EB310000}"/>
    <cellStyle name="40% - Accent2 4 3 2 3" xfId="10998" xr:uid="{00000000-0005-0000-0000-0000EC310000}"/>
    <cellStyle name="40% - Accent2 4 3 2 3 2" xfId="24940" xr:uid="{00000000-0005-0000-0000-0000ED310000}"/>
    <cellStyle name="40% - Accent2 4 3 2 4" xfId="20557" xr:uid="{00000000-0005-0000-0000-0000EE310000}"/>
    <cellStyle name="40% - Accent2 4 3 3" xfId="3233" xr:uid="{00000000-0005-0000-0000-0000EF310000}"/>
    <cellStyle name="40% - Accent2 4 3 3 2" xfId="12136" xr:uid="{00000000-0005-0000-0000-0000F0310000}"/>
    <cellStyle name="40% - Accent2 4 3 3 2 2" xfId="25848" xr:uid="{00000000-0005-0000-0000-0000F1310000}"/>
    <cellStyle name="40% - Accent2 4 3 3 3" xfId="20559" xr:uid="{00000000-0005-0000-0000-0000F2310000}"/>
    <cellStyle name="40% - Accent2 4 3 4" xfId="3234" xr:uid="{00000000-0005-0000-0000-0000F3310000}"/>
    <cellStyle name="40% - Accent2 4 3 4 2" xfId="13700" xr:uid="{00000000-0005-0000-0000-0000F4310000}"/>
    <cellStyle name="40% - Accent2 4 3 4 2 2" xfId="27249" xr:uid="{00000000-0005-0000-0000-0000F5310000}"/>
    <cellStyle name="40% - Accent2 4 3 4 3" xfId="20560" xr:uid="{00000000-0005-0000-0000-0000F6310000}"/>
    <cellStyle name="40% - Accent2 4 3 5" xfId="3235" xr:uid="{00000000-0005-0000-0000-0000F7310000}"/>
    <cellStyle name="40% - Accent2 4 3 5 2" xfId="14281" xr:uid="{00000000-0005-0000-0000-0000F8310000}"/>
    <cellStyle name="40% - Accent2 4 3 5 2 2" xfId="27830" xr:uid="{00000000-0005-0000-0000-0000F9310000}"/>
    <cellStyle name="40% - Accent2 4 3 5 3" xfId="20561" xr:uid="{00000000-0005-0000-0000-0000FA310000}"/>
    <cellStyle name="40% - Accent2 4 3 6" xfId="3236" xr:uid="{00000000-0005-0000-0000-0000FB310000}"/>
    <cellStyle name="40% - Accent2 4 3 6 2" xfId="16167" xr:uid="{00000000-0005-0000-0000-0000FC310000}"/>
    <cellStyle name="40% - Accent2 4 3 6 2 2" xfId="29574" xr:uid="{00000000-0005-0000-0000-0000FD310000}"/>
    <cellStyle name="40% - Accent2 4 3 6 3" xfId="20562" xr:uid="{00000000-0005-0000-0000-0000FE310000}"/>
    <cellStyle name="40% - Accent2 4 3 7" xfId="9271" xr:uid="{00000000-0005-0000-0000-0000FF310000}"/>
    <cellStyle name="40% - Accent2 4 3 7 2" xfId="23746" xr:uid="{00000000-0005-0000-0000-000000320000}"/>
    <cellStyle name="40% - Accent2 4 3 8" xfId="20556" xr:uid="{00000000-0005-0000-0000-000001320000}"/>
    <cellStyle name="40% - Accent2 4 4" xfId="3237" xr:uid="{00000000-0005-0000-0000-000002320000}"/>
    <cellStyle name="40% - Accent2 4 4 2" xfId="3238" xr:uid="{00000000-0005-0000-0000-000003320000}"/>
    <cellStyle name="40% - Accent2 4 4 2 2" xfId="16456" xr:uid="{00000000-0005-0000-0000-000004320000}"/>
    <cellStyle name="40% - Accent2 4 4 2 2 2" xfId="29863" xr:uid="{00000000-0005-0000-0000-000005320000}"/>
    <cellStyle name="40% - Accent2 4 4 2 3" xfId="20564" xr:uid="{00000000-0005-0000-0000-000006320000}"/>
    <cellStyle name="40% - Accent2 4 4 3" xfId="10995" xr:uid="{00000000-0005-0000-0000-000007320000}"/>
    <cellStyle name="40% - Accent2 4 4 3 2" xfId="24937" xr:uid="{00000000-0005-0000-0000-000008320000}"/>
    <cellStyle name="40% - Accent2 4 4 4" xfId="20563" xr:uid="{00000000-0005-0000-0000-000009320000}"/>
    <cellStyle name="40% - Accent2 4 5" xfId="3239" xr:uid="{00000000-0005-0000-0000-00000A320000}"/>
    <cellStyle name="40% - Accent2 4 5 2" xfId="11807" xr:uid="{00000000-0005-0000-0000-00000B320000}"/>
    <cellStyle name="40% - Accent2 4 5 2 2" xfId="25522" xr:uid="{00000000-0005-0000-0000-00000C320000}"/>
    <cellStyle name="40% - Accent2 4 5 3" xfId="20565" xr:uid="{00000000-0005-0000-0000-00000D320000}"/>
    <cellStyle name="40% - Accent2 4 6" xfId="3240" xr:uid="{00000000-0005-0000-0000-00000E320000}"/>
    <cellStyle name="40% - Accent2 4 6 2" xfId="13408" xr:uid="{00000000-0005-0000-0000-00000F320000}"/>
    <cellStyle name="40% - Accent2 4 6 2 2" xfId="26957" xr:uid="{00000000-0005-0000-0000-000010320000}"/>
    <cellStyle name="40% - Accent2 4 6 3" xfId="20566" xr:uid="{00000000-0005-0000-0000-000011320000}"/>
    <cellStyle name="40% - Accent2 4 7" xfId="3241" xr:uid="{00000000-0005-0000-0000-000012320000}"/>
    <cellStyle name="40% - Accent2 4 7 2" xfId="13989" xr:uid="{00000000-0005-0000-0000-000013320000}"/>
    <cellStyle name="40% - Accent2 4 7 2 2" xfId="27538" xr:uid="{00000000-0005-0000-0000-000014320000}"/>
    <cellStyle name="40% - Accent2 4 7 3" xfId="20567" xr:uid="{00000000-0005-0000-0000-000015320000}"/>
    <cellStyle name="40% - Accent2 4 8" xfId="3242" xr:uid="{00000000-0005-0000-0000-000016320000}"/>
    <cellStyle name="40% - Accent2 4 8 2" xfId="15875" xr:uid="{00000000-0005-0000-0000-000017320000}"/>
    <cellStyle name="40% - Accent2 4 8 2 2" xfId="29282" xr:uid="{00000000-0005-0000-0000-000018320000}"/>
    <cellStyle name="40% - Accent2 4 8 3" xfId="20568" xr:uid="{00000000-0005-0000-0000-000019320000}"/>
    <cellStyle name="40% - Accent2 4 9" xfId="9268" xr:uid="{00000000-0005-0000-0000-00001A320000}"/>
    <cellStyle name="40% - Accent2 4 9 2" xfId="23743" xr:uid="{00000000-0005-0000-0000-00001B320000}"/>
    <cellStyle name="40% - Accent2 5" xfId="3243" xr:uid="{00000000-0005-0000-0000-00001C320000}"/>
    <cellStyle name="40% - Accent2 5 10" xfId="20569" xr:uid="{00000000-0005-0000-0000-00001D320000}"/>
    <cellStyle name="40% - Accent2 5 2" xfId="3244" xr:uid="{00000000-0005-0000-0000-00001E320000}"/>
    <cellStyle name="40% - Accent2 5 2 2" xfId="3245" xr:uid="{00000000-0005-0000-0000-00001F320000}"/>
    <cellStyle name="40% - Accent2 5 2 2 2" xfId="3246" xr:uid="{00000000-0005-0000-0000-000020320000}"/>
    <cellStyle name="40% - Accent2 5 2 2 2 2" xfId="3247" xr:uid="{00000000-0005-0000-0000-000021320000}"/>
    <cellStyle name="40% - Accent2 5 2 2 2 2 2" xfId="16871" xr:uid="{00000000-0005-0000-0000-000022320000}"/>
    <cellStyle name="40% - Accent2 5 2 2 2 2 2 2" xfId="30278" xr:uid="{00000000-0005-0000-0000-000023320000}"/>
    <cellStyle name="40% - Accent2 5 2 2 2 2 3" xfId="20573" xr:uid="{00000000-0005-0000-0000-000024320000}"/>
    <cellStyle name="40% - Accent2 5 2 2 2 3" xfId="11001" xr:uid="{00000000-0005-0000-0000-000025320000}"/>
    <cellStyle name="40% - Accent2 5 2 2 2 3 2" xfId="24943" xr:uid="{00000000-0005-0000-0000-000026320000}"/>
    <cellStyle name="40% - Accent2 5 2 2 2 4" xfId="20572" xr:uid="{00000000-0005-0000-0000-000027320000}"/>
    <cellStyle name="40% - Accent2 5 2 2 3" xfId="3248" xr:uid="{00000000-0005-0000-0000-000028320000}"/>
    <cellStyle name="40% - Accent2 5 2 2 3 2" xfId="12259" xr:uid="{00000000-0005-0000-0000-000029320000}"/>
    <cellStyle name="40% - Accent2 5 2 2 3 2 2" xfId="25971" xr:uid="{00000000-0005-0000-0000-00002A320000}"/>
    <cellStyle name="40% - Accent2 5 2 2 3 3" xfId="20574" xr:uid="{00000000-0005-0000-0000-00002B320000}"/>
    <cellStyle name="40% - Accent2 5 2 2 4" xfId="3249" xr:uid="{00000000-0005-0000-0000-00002C320000}"/>
    <cellStyle name="40% - Accent2 5 2 2 4 2" xfId="13823" xr:uid="{00000000-0005-0000-0000-00002D320000}"/>
    <cellStyle name="40% - Accent2 5 2 2 4 2 2" xfId="27372" xr:uid="{00000000-0005-0000-0000-00002E320000}"/>
    <cellStyle name="40% - Accent2 5 2 2 4 3" xfId="20575" xr:uid="{00000000-0005-0000-0000-00002F320000}"/>
    <cellStyle name="40% - Accent2 5 2 2 5" xfId="3250" xr:uid="{00000000-0005-0000-0000-000030320000}"/>
    <cellStyle name="40% - Accent2 5 2 2 5 2" xfId="14404" xr:uid="{00000000-0005-0000-0000-000031320000}"/>
    <cellStyle name="40% - Accent2 5 2 2 5 2 2" xfId="27953" xr:uid="{00000000-0005-0000-0000-000032320000}"/>
    <cellStyle name="40% - Accent2 5 2 2 5 3" xfId="20576" xr:uid="{00000000-0005-0000-0000-000033320000}"/>
    <cellStyle name="40% - Accent2 5 2 2 6" xfId="3251" xr:uid="{00000000-0005-0000-0000-000034320000}"/>
    <cellStyle name="40% - Accent2 5 2 2 6 2" xfId="16290" xr:uid="{00000000-0005-0000-0000-000035320000}"/>
    <cellStyle name="40% - Accent2 5 2 2 6 2 2" xfId="29697" xr:uid="{00000000-0005-0000-0000-000036320000}"/>
    <cellStyle name="40% - Accent2 5 2 2 6 3" xfId="20577" xr:uid="{00000000-0005-0000-0000-000037320000}"/>
    <cellStyle name="40% - Accent2 5 2 2 7" xfId="9274" xr:uid="{00000000-0005-0000-0000-000038320000}"/>
    <cellStyle name="40% - Accent2 5 2 2 7 2" xfId="23749" xr:uid="{00000000-0005-0000-0000-000039320000}"/>
    <cellStyle name="40% - Accent2 5 2 2 8" xfId="20571" xr:uid="{00000000-0005-0000-0000-00003A320000}"/>
    <cellStyle name="40% - Accent2 5 2 3" xfId="3252" xr:uid="{00000000-0005-0000-0000-00003B320000}"/>
    <cellStyle name="40% - Accent2 5 2 3 2" xfId="3253" xr:uid="{00000000-0005-0000-0000-00003C320000}"/>
    <cellStyle name="40% - Accent2 5 2 3 2 2" xfId="16582" xr:uid="{00000000-0005-0000-0000-00003D320000}"/>
    <cellStyle name="40% - Accent2 5 2 3 2 2 2" xfId="29989" xr:uid="{00000000-0005-0000-0000-00003E320000}"/>
    <cellStyle name="40% - Accent2 5 2 3 2 3" xfId="20579" xr:uid="{00000000-0005-0000-0000-00003F320000}"/>
    <cellStyle name="40% - Accent2 5 2 3 3" xfId="11000" xr:uid="{00000000-0005-0000-0000-000040320000}"/>
    <cellStyle name="40% - Accent2 5 2 3 3 2" xfId="24942" xr:uid="{00000000-0005-0000-0000-000041320000}"/>
    <cellStyle name="40% - Accent2 5 2 3 4" xfId="20578" xr:uid="{00000000-0005-0000-0000-000042320000}"/>
    <cellStyle name="40% - Accent2 5 2 4" xfId="3254" xr:uid="{00000000-0005-0000-0000-000043320000}"/>
    <cellStyle name="40% - Accent2 5 2 4 2" xfId="11959" xr:uid="{00000000-0005-0000-0000-000044320000}"/>
    <cellStyle name="40% - Accent2 5 2 4 2 2" xfId="25674" xr:uid="{00000000-0005-0000-0000-000045320000}"/>
    <cellStyle name="40% - Accent2 5 2 4 3" xfId="20580" xr:uid="{00000000-0005-0000-0000-000046320000}"/>
    <cellStyle name="40% - Accent2 5 2 5" xfId="3255" xr:uid="{00000000-0005-0000-0000-000047320000}"/>
    <cellStyle name="40% - Accent2 5 2 5 2" xfId="13534" xr:uid="{00000000-0005-0000-0000-000048320000}"/>
    <cellStyle name="40% - Accent2 5 2 5 2 2" xfId="27083" xr:uid="{00000000-0005-0000-0000-000049320000}"/>
    <cellStyle name="40% - Accent2 5 2 5 3" xfId="20581" xr:uid="{00000000-0005-0000-0000-00004A320000}"/>
    <cellStyle name="40% - Accent2 5 2 6" xfId="3256" xr:uid="{00000000-0005-0000-0000-00004B320000}"/>
    <cellStyle name="40% - Accent2 5 2 6 2" xfId="14115" xr:uid="{00000000-0005-0000-0000-00004C320000}"/>
    <cellStyle name="40% - Accent2 5 2 6 2 2" xfId="27664" xr:uid="{00000000-0005-0000-0000-00004D320000}"/>
    <cellStyle name="40% - Accent2 5 2 6 3" xfId="20582" xr:uid="{00000000-0005-0000-0000-00004E320000}"/>
    <cellStyle name="40% - Accent2 5 2 7" xfId="3257" xr:uid="{00000000-0005-0000-0000-00004F320000}"/>
    <cellStyle name="40% - Accent2 5 2 7 2" xfId="16001" xr:uid="{00000000-0005-0000-0000-000050320000}"/>
    <cellStyle name="40% - Accent2 5 2 7 2 2" xfId="29408" xr:uid="{00000000-0005-0000-0000-000051320000}"/>
    <cellStyle name="40% - Accent2 5 2 7 3" xfId="20583" xr:uid="{00000000-0005-0000-0000-000052320000}"/>
    <cellStyle name="40% - Accent2 5 2 8" xfId="9273" xr:uid="{00000000-0005-0000-0000-000053320000}"/>
    <cellStyle name="40% - Accent2 5 2 8 2" xfId="23748" xr:uid="{00000000-0005-0000-0000-000054320000}"/>
    <cellStyle name="40% - Accent2 5 2 9" xfId="20570" xr:uid="{00000000-0005-0000-0000-000055320000}"/>
    <cellStyle name="40% - Accent2 5 3" xfId="3258" xr:uid="{00000000-0005-0000-0000-000056320000}"/>
    <cellStyle name="40% - Accent2 5 3 2" xfId="3259" xr:uid="{00000000-0005-0000-0000-000057320000}"/>
    <cellStyle name="40% - Accent2 5 3 2 2" xfId="3260" xr:uid="{00000000-0005-0000-0000-000058320000}"/>
    <cellStyle name="40% - Accent2 5 3 2 2 2" xfId="16731" xr:uid="{00000000-0005-0000-0000-000059320000}"/>
    <cellStyle name="40% - Accent2 5 3 2 2 2 2" xfId="30138" xr:uid="{00000000-0005-0000-0000-00005A320000}"/>
    <cellStyle name="40% - Accent2 5 3 2 2 3" xfId="20586" xr:uid="{00000000-0005-0000-0000-00005B320000}"/>
    <cellStyle name="40% - Accent2 5 3 2 3" xfId="11002" xr:uid="{00000000-0005-0000-0000-00005C320000}"/>
    <cellStyle name="40% - Accent2 5 3 2 3 2" xfId="24944" xr:uid="{00000000-0005-0000-0000-00005D320000}"/>
    <cellStyle name="40% - Accent2 5 3 2 4" xfId="20585" xr:uid="{00000000-0005-0000-0000-00005E320000}"/>
    <cellStyle name="40% - Accent2 5 3 3" xfId="3261" xr:uid="{00000000-0005-0000-0000-00005F320000}"/>
    <cellStyle name="40% - Accent2 5 3 3 2" xfId="12119" xr:uid="{00000000-0005-0000-0000-000060320000}"/>
    <cellStyle name="40% - Accent2 5 3 3 2 2" xfId="25831" xr:uid="{00000000-0005-0000-0000-000061320000}"/>
    <cellStyle name="40% - Accent2 5 3 3 3" xfId="20587" xr:uid="{00000000-0005-0000-0000-000062320000}"/>
    <cellStyle name="40% - Accent2 5 3 4" xfId="3262" xr:uid="{00000000-0005-0000-0000-000063320000}"/>
    <cellStyle name="40% - Accent2 5 3 4 2" xfId="13683" xr:uid="{00000000-0005-0000-0000-000064320000}"/>
    <cellStyle name="40% - Accent2 5 3 4 2 2" xfId="27232" xr:uid="{00000000-0005-0000-0000-000065320000}"/>
    <cellStyle name="40% - Accent2 5 3 4 3" xfId="20588" xr:uid="{00000000-0005-0000-0000-000066320000}"/>
    <cellStyle name="40% - Accent2 5 3 5" xfId="3263" xr:uid="{00000000-0005-0000-0000-000067320000}"/>
    <cellStyle name="40% - Accent2 5 3 5 2" xfId="14264" xr:uid="{00000000-0005-0000-0000-000068320000}"/>
    <cellStyle name="40% - Accent2 5 3 5 2 2" xfId="27813" xr:uid="{00000000-0005-0000-0000-000069320000}"/>
    <cellStyle name="40% - Accent2 5 3 5 3" xfId="20589" xr:uid="{00000000-0005-0000-0000-00006A320000}"/>
    <cellStyle name="40% - Accent2 5 3 6" xfId="3264" xr:uid="{00000000-0005-0000-0000-00006B320000}"/>
    <cellStyle name="40% - Accent2 5 3 6 2" xfId="16150" xr:uid="{00000000-0005-0000-0000-00006C320000}"/>
    <cellStyle name="40% - Accent2 5 3 6 2 2" xfId="29557" xr:uid="{00000000-0005-0000-0000-00006D320000}"/>
    <cellStyle name="40% - Accent2 5 3 6 3" xfId="20590" xr:uid="{00000000-0005-0000-0000-00006E320000}"/>
    <cellStyle name="40% - Accent2 5 3 7" xfId="9275" xr:uid="{00000000-0005-0000-0000-00006F320000}"/>
    <cellStyle name="40% - Accent2 5 3 7 2" xfId="23750" xr:uid="{00000000-0005-0000-0000-000070320000}"/>
    <cellStyle name="40% - Accent2 5 3 8" xfId="20584" xr:uid="{00000000-0005-0000-0000-000071320000}"/>
    <cellStyle name="40% - Accent2 5 4" xfId="3265" xr:uid="{00000000-0005-0000-0000-000072320000}"/>
    <cellStyle name="40% - Accent2 5 4 2" xfId="3266" xr:uid="{00000000-0005-0000-0000-000073320000}"/>
    <cellStyle name="40% - Accent2 5 4 2 2" xfId="16439" xr:uid="{00000000-0005-0000-0000-000074320000}"/>
    <cellStyle name="40% - Accent2 5 4 2 2 2" xfId="29846" xr:uid="{00000000-0005-0000-0000-000075320000}"/>
    <cellStyle name="40% - Accent2 5 4 2 3" xfId="20592" xr:uid="{00000000-0005-0000-0000-000076320000}"/>
    <cellStyle name="40% - Accent2 5 4 3" xfId="10999" xr:uid="{00000000-0005-0000-0000-000077320000}"/>
    <cellStyle name="40% - Accent2 5 4 3 2" xfId="24941" xr:uid="{00000000-0005-0000-0000-000078320000}"/>
    <cellStyle name="40% - Accent2 5 4 4" xfId="20591" xr:uid="{00000000-0005-0000-0000-000079320000}"/>
    <cellStyle name="40% - Accent2 5 5" xfId="3267" xr:uid="{00000000-0005-0000-0000-00007A320000}"/>
    <cellStyle name="40% - Accent2 5 5 2" xfId="11790" xr:uid="{00000000-0005-0000-0000-00007B320000}"/>
    <cellStyle name="40% - Accent2 5 5 2 2" xfId="25505" xr:uid="{00000000-0005-0000-0000-00007C320000}"/>
    <cellStyle name="40% - Accent2 5 5 3" xfId="20593" xr:uid="{00000000-0005-0000-0000-00007D320000}"/>
    <cellStyle name="40% - Accent2 5 6" xfId="3268" xr:uid="{00000000-0005-0000-0000-00007E320000}"/>
    <cellStyle name="40% - Accent2 5 6 2" xfId="13391" xr:uid="{00000000-0005-0000-0000-00007F320000}"/>
    <cellStyle name="40% - Accent2 5 6 2 2" xfId="26940" xr:uid="{00000000-0005-0000-0000-000080320000}"/>
    <cellStyle name="40% - Accent2 5 6 3" xfId="20594" xr:uid="{00000000-0005-0000-0000-000081320000}"/>
    <cellStyle name="40% - Accent2 5 7" xfId="3269" xr:uid="{00000000-0005-0000-0000-000082320000}"/>
    <cellStyle name="40% - Accent2 5 7 2" xfId="13972" xr:uid="{00000000-0005-0000-0000-000083320000}"/>
    <cellStyle name="40% - Accent2 5 7 2 2" xfId="27521" xr:uid="{00000000-0005-0000-0000-000084320000}"/>
    <cellStyle name="40% - Accent2 5 7 3" xfId="20595" xr:uid="{00000000-0005-0000-0000-000085320000}"/>
    <cellStyle name="40% - Accent2 5 8" xfId="3270" xr:uid="{00000000-0005-0000-0000-000086320000}"/>
    <cellStyle name="40% - Accent2 5 8 2" xfId="15858" xr:uid="{00000000-0005-0000-0000-000087320000}"/>
    <cellStyle name="40% - Accent2 5 8 2 2" xfId="29265" xr:uid="{00000000-0005-0000-0000-000088320000}"/>
    <cellStyle name="40% - Accent2 5 8 3" xfId="20596" xr:uid="{00000000-0005-0000-0000-000089320000}"/>
    <cellStyle name="40% - Accent2 5 9" xfId="9272" xr:uid="{00000000-0005-0000-0000-00008A320000}"/>
    <cellStyle name="40% - Accent2 5 9 2" xfId="23747" xr:uid="{00000000-0005-0000-0000-00008B320000}"/>
    <cellStyle name="40% - Accent2 6" xfId="3271" xr:uid="{00000000-0005-0000-0000-00008C320000}"/>
    <cellStyle name="40% - Accent2 6 10" xfId="20597" xr:uid="{00000000-0005-0000-0000-00008D320000}"/>
    <cellStyle name="40% - Accent2 6 2" xfId="3272" xr:uid="{00000000-0005-0000-0000-00008E320000}"/>
    <cellStyle name="40% - Accent2 6 2 2" xfId="3273" xr:uid="{00000000-0005-0000-0000-00008F320000}"/>
    <cellStyle name="40% - Accent2 6 2 2 2" xfId="3274" xr:uid="{00000000-0005-0000-0000-000090320000}"/>
    <cellStyle name="40% - Accent2 6 2 2 2 2" xfId="3275" xr:uid="{00000000-0005-0000-0000-000091320000}"/>
    <cellStyle name="40% - Accent2 6 2 2 2 2 2" xfId="16977" xr:uid="{00000000-0005-0000-0000-000092320000}"/>
    <cellStyle name="40% - Accent2 6 2 2 2 2 2 2" xfId="30384" xr:uid="{00000000-0005-0000-0000-000093320000}"/>
    <cellStyle name="40% - Accent2 6 2 2 2 2 3" xfId="20601" xr:uid="{00000000-0005-0000-0000-000094320000}"/>
    <cellStyle name="40% - Accent2 6 2 2 2 3" xfId="11005" xr:uid="{00000000-0005-0000-0000-000095320000}"/>
    <cellStyle name="40% - Accent2 6 2 2 2 3 2" xfId="24947" xr:uid="{00000000-0005-0000-0000-000096320000}"/>
    <cellStyle name="40% - Accent2 6 2 2 2 4" xfId="20600" xr:uid="{00000000-0005-0000-0000-000097320000}"/>
    <cellStyle name="40% - Accent2 6 2 2 3" xfId="3276" xr:uid="{00000000-0005-0000-0000-000098320000}"/>
    <cellStyle name="40% - Accent2 6 2 2 3 2" xfId="12365" xr:uid="{00000000-0005-0000-0000-000099320000}"/>
    <cellStyle name="40% - Accent2 6 2 2 3 2 2" xfId="26077" xr:uid="{00000000-0005-0000-0000-00009A320000}"/>
    <cellStyle name="40% - Accent2 6 2 2 3 3" xfId="20602" xr:uid="{00000000-0005-0000-0000-00009B320000}"/>
    <cellStyle name="40% - Accent2 6 2 2 4" xfId="3277" xr:uid="{00000000-0005-0000-0000-00009C320000}"/>
    <cellStyle name="40% - Accent2 6 2 2 4 2" xfId="13929" xr:uid="{00000000-0005-0000-0000-00009D320000}"/>
    <cellStyle name="40% - Accent2 6 2 2 4 2 2" xfId="27478" xr:uid="{00000000-0005-0000-0000-00009E320000}"/>
    <cellStyle name="40% - Accent2 6 2 2 4 3" xfId="20603" xr:uid="{00000000-0005-0000-0000-00009F320000}"/>
    <cellStyle name="40% - Accent2 6 2 2 5" xfId="3278" xr:uid="{00000000-0005-0000-0000-0000A0320000}"/>
    <cellStyle name="40% - Accent2 6 2 2 5 2" xfId="14510" xr:uid="{00000000-0005-0000-0000-0000A1320000}"/>
    <cellStyle name="40% - Accent2 6 2 2 5 2 2" xfId="28059" xr:uid="{00000000-0005-0000-0000-0000A2320000}"/>
    <cellStyle name="40% - Accent2 6 2 2 5 3" xfId="20604" xr:uid="{00000000-0005-0000-0000-0000A3320000}"/>
    <cellStyle name="40% - Accent2 6 2 2 6" xfId="3279" xr:uid="{00000000-0005-0000-0000-0000A4320000}"/>
    <cellStyle name="40% - Accent2 6 2 2 6 2" xfId="16396" xr:uid="{00000000-0005-0000-0000-0000A5320000}"/>
    <cellStyle name="40% - Accent2 6 2 2 6 2 2" xfId="29803" xr:uid="{00000000-0005-0000-0000-0000A6320000}"/>
    <cellStyle name="40% - Accent2 6 2 2 6 3" xfId="20605" xr:uid="{00000000-0005-0000-0000-0000A7320000}"/>
    <cellStyle name="40% - Accent2 6 2 2 7" xfId="9278" xr:uid="{00000000-0005-0000-0000-0000A8320000}"/>
    <cellStyle name="40% - Accent2 6 2 2 7 2" xfId="23753" xr:uid="{00000000-0005-0000-0000-0000A9320000}"/>
    <cellStyle name="40% - Accent2 6 2 2 8" xfId="20599" xr:uid="{00000000-0005-0000-0000-0000AA320000}"/>
    <cellStyle name="40% - Accent2 6 2 3" xfId="3280" xr:uid="{00000000-0005-0000-0000-0000AB320000}"/>
    <cellStyle name="40% - Accent2 6 2 3 2" xfId="3281" xr:uid="{00000000-0005-0000-0000-0000AC320000}"/>
    <cellStyle name="40% - Accent2 6 2 3 2 2" xfId="16688" xr:uid="{00000000-0005-0000-0000-0000AD320000}"/>
    <cellStyle name="40% - Accent2 6 2 3 2 2 2" xfId="30095" xr:uid="{00000000-0005-0000-0000-0000AE320000}"/>
    <cellStyle name="40% - Accent2 6 2 3 2 3" xfId="20607" xr:uid="{00000000-0005-0000-0000-0000AF320000}"/>
    <cellStyle name="40% - Accent2 6 2 3 3" xfId="11004" xr:uid="{00000000-0005-0000-0000-0000B0320000}"/>
    <cellStyle name="40% - Accent2 6 2 3 3 2" xfId="24946" xr:uid="{00000000-0005-0000-0000-0000B1320000}"/>
    <cellStyle name="40% - Accent2 6 2 3 4" xfId="20606" xr:uid="{00000000-0005-0000-0000-0000B2320000}"/>
    <cellStyle name="40% - Accent2 6 2 4" xfId="3282" xr:uid="{00000000-0005-0000-0000-0000B3320000}"/>
    <cellStyle name="40% - Accent2 6 2 4 2" xfId="12065" xr:uid="{00000000-0005-0000-0000-0000B4320000}"/>
    <cellStyle name="40% - Accent2 6 2 4 2 2" xfId="25780" xr:uid="{00000000-0005-0000-0000-0000B5320000}"/>
    <cellStyle name="40% - Accent2 6 2 4 3" xfId="20608" xr:uid="{00000000-0005-0000-0000-0000B6320000}"/>
    <cellStyle name="40% - Accent2 6 2 5" xfId="3283" xr:uid="{00000000-0005-0000-0000-0000B7320000}"/>
    <cellStyle name="40% - Accent2 6 2 5 2" xfId="13640" xr:uid="{00000000-0005-0000-0000-0000B8320000}"/>
    <cellStyle name="40% - Accent2 6 2 5 2 2" xfId="27189" xr:uid="{00000000-0005-0000-0000-0000B9320000}"/>
    <cellStyle name="40% - Accent2 6 2 5 3" xfId="20609" xr:uid="{00000000-0005-0000-0000-0000BA320000}"/>
    <cellStyle name="40% - Accent2 6 2 6" xfId="3284" xr:uid="{00000000-0005-0000-0000-0000BB320000}"/>
    <cellStyle name="40% - Accent2 6 2 6 2" xfId="14221" xr:uid="{00000000-0005-0000-0000-0000BC320000}"/>
    <cellStyle name="40% - Accent2 6 2 6 2 2" xfId="27770" xr:uid="{00000000-0005-0000-0000-0000BD320000}"/>
    <cellStyle name="40% - Accent2 6 2 6 3" xfId="20610" xr:uid="{00000000-0005-0000-0000-0000BE320000}"/>
    <cellStyle name="40% - Accent2 6 2 7" xfId="3285" xr:uid="{00000000-0005-0000-0000-0000BF320000}"/>
    <cellStyle name="40% - Accent2 6 2 7 2" xfId="16107" xr:uid="{00000000-0005-0000-0000-0000C0320000}"/>
    <cellStyle name="40% - Accent2 6 2 7 2 2" xfId="29514" xr:uid="{00000000-0005-0000-0000-0000C1320000}"/>
    <cellStyle name="40% - Accent2 6 2 7 3" xfId="20611" xr:uid="{00000000-0005-0000-0000-0000C2320000}"/>
    <cellStyle name="40% - Accent2 6 2 8" xfId="9277" xr:uid="{00000000-0005-0000-0000-0000C3320000}"/>
    <cellStyle name="40% - Accent2 6 2 8 2" xfId="23752" xr:uid="{00000000-0005-0000-0000-0000C4320000}"/>
    <cellStyle name="40% - Accent2 6 2 9" xfId="20598" xr:uid="{00000000-0005-0000-0000-0000C5320000}"/>
    <cellStyle name="40% - Accent2 6 3" xfId="3286" xr:uid="{00000000-0005-0000-0000-0000C6320000}"/>
    <cellStyle name="40% - Accent2 6 3 2" xfId="3287" xr:uid="{00000000-0005-0000-0000-0000C7320000}"/>
    <cellStyle name="40% - Accent2 6 3 2 2" xfId="3288" xr:uid="{00000000-0005-0000-0000-0000C8320000}"/>
    <cellStyle name="40% - Accent2 6 3 2 2 2" xfId="16834" xr:uid="{00000000-0005-0000-0000-0000C9320000}"/>
    <cellStyle name="40% - Accent2 6 3 2 2 2 2" xfId="30241" xr:uid="{00000000-0005-0000-0000-0000CA320000}"/>
    <cellStyle name="40% - Accent2 6 3 2 2 3" xfId="20614" xr:uid="{00000000-0005-0000-0000-0000CB320000}"/>
    <cellStyle name="40% - Accent2 6 3 2 3" xfId="11006" xr:uid="{00000000-0005-0000-0000-0000CC320000}"/>
    <cellStyle name="40% - Accent2 6 3 2 3 2" xfId="24948" xr:uid="{00000000-0005-0000-0000-0000CD320000}"/>
    <cellStyle name="40% - Accent2 6 3 2 4" xfId="20613" xr:uid="{00000000-0005-0000-0000-0000CE320000}"/>
    <cellStyle name="40% - Accent2 6 3 3" xfId="3289" xr:uid="{00000000-0005-0000-0000-0000CF320000}"/>
    <cellStyle name="40% - Accent2 6 3 3 2" xfId="12222" xr:uid="{00000000-0005-0000-0000-0000D0320000}"/>
    <cellStyle name="40% - Accent2 6 3 3 2 2" xfId="25934" xr:uid="{00000000-0005-0000-0000-0000D1320000}"/>
    <cellStyle name="40% - Accent2 6 3 3 3" xfId="20615" xr:uid="{00000000-0005-0000-0000-0000D2320000}"/>
    <cellStyle name="40% - Accent2 6 3 4" xfId="3290" xr:uid="{00000000-0005-0000-0000-0000D3320000}"/>
    <cellStyle name="40% - Accent2 6 3 4 2" xfId="13786" xr:uid="{00000000-0005-0000-0000-0000D4320000}"/>
    <cellStyle name="40% - Accent2 6 3 4 2 2" xfId="27335" xr:uid="{00000000-0005-0000-0000-0000D5320000}"/>
    <cellStyle name="40% - Accent2 6 3 4 3" xfId="20616" xr:uid="{00000000-0005-0000-0000-0000D6320000}"/>
    <cellStyle name="40% - Accent2 6 3 5" xfId="3291" xr:uid="{00000000-0005-0000-0000-0000D7320000}"/>
    <cellStyle name="40% - Accent2 6 3 5 2" xfId="14367" xr:uid="{00000000-0005-0000-0000-0000D8320000}"/>
    <cellStyle name="40% - Accent2 6 3 5 2 2" xfId="27916" xr:uid="{00000000-0005-0000-0000-0000D9320000}"/>
    <cellStyle name="40% - Accent2 6 3 5 3" xfId="20617" xr:uid="{00000000-0005-0000-0000-0000DA320000}"/>
    <cellStyle name="40% - Accent2 6 3 6" xfId="3292" xr:uid="{00000000-0005-0000-0000-0000DB320000}"/>
    <cellStyle name="40% - Accent2 6 3 6 2" xfId="16253" xr:uid="{00000000-0005-0000-0000-0000DC320000}"/>
    <cellStyle name="40% - Accent2 6 3 6 2 2" xfId="29660" xr:uid="{00000000-0005-0000-0000-0000DD320000}"/>
    <cellStyle name="40% - Accent2 6 3 6 3" xfId="20618" xr:uid="{00000000-0005-0000-0000-0000DE320000}"/>
    <cellStyle name="40% - Accent2 6 3 7" xfId="9279" xr:uid="{00000000-0005-0000-0000-0000DF320000}"/>
    <cellStyle name="40% - Accent2 6 3 7 2" xfId="23754" xr:uid="{00000000-0005-0000-0000-0000E0320000}"/>
    <cellStyle name="40% - Accent2 6 3 8" xfId="20612" xr:uid="{00000000-0005-0000-0000-0000E1320000}"/>
    <cellStyle name="40% - Accent2 6 4" xfId="3293" xr:uid="{00000000-0005-0000-0000-0000E2320000}"/>
    <cellStyle name="40% - Accent2 6 4 2" xfId="3294" xr:uid="{00000000-0005-0000-0000-0000E3320000}"/>
    <cellStyle name="40% - Accent2 6 4 2 2" xfId="16545" xr:uid="{00000000-0005-0000-0000-0000E4320000}"/>
    <cellStyle name="40% - Accent2 6 4 2 2 2" xfId="29952" xr:uid="{00000000-0005-0000-0000-0000E5320000}"/>
    <cellStyle name="40% - Accent2 6 4 2 3" xfId="20620" xr:uid="{00000000-0005-0000-0000-0000E6320000}"/>
    <cellStyle name="40% - Accent2 6 4 3" xfId="11003" xr:uid="{00000000-0005-0000-0000-0000E7320000}"/>
    <cellStyle name="40% - Accent2 6 4 3 2" xfId="24945" xr:uid="{00000000-0005-0000-0000-0000E8320000}"/>
    <cellStyle name="40% - Accent2 6 4 4" xfId="20619" xr:uid="{00000000-0005-0000-0000-0000E9320000}"/>
    <cellStyle name="40% - Accent2 6 5" xfId="3295" xr:uid="{00000000-0005-0000-0000-0000EA320000}"/>
    <cellStyle name="40% - Accent2 6 5 2" xfId="11920" xr:uid="{00000000-0005-0000-0000-0000EB320000}"/>
    <cellStyle name="40% - Accent2 6 5 2 2" xfId="25635" xr:uid="{00000000-0005-0000-0000-0000EC320000}"/>
    <cellStyle name="40% - Accent2 6 5 3" xfId="20621" xr:uid="{00000000-0005-0000-0000-0000ED320000}"/>
    <cellStyle name="40% - Accent2 6 6" xfId="3296" xr:uid="{00000000-0005-0000-0000-0000EE320000}"/>
    <cellStyle name="40% - Accent2 6 6 2" xfId="13497" xr:uid="{00000000-0005-0000-0000-0000EF320000}"/>
    <cellStyle name="40% - Accent2 6 6 2 2" xfId="27046" xr:uid="{00000000-0005-0000-0000-0000F0320000}"/>
    <cellStyle name="40% - Accent2 6 6 3" xfId="20622" xr:uid="{00000000-0005-0000-0000-0000F1320000}"/>
    <cellStyle name="40% - Accent2 6 7" xfId="3297" xr:uid="{00000000-0005-0000-0000-0000F2320000}"/>
    <cellStyle name="40% - Accent2 6 7 2" xfId="14078" xr:uid="{00000000-0005-0000-0000-0000F3320000}"/>
    <cellStyle name="40% - Accent2 6 7 2 2" xfId="27627" xr:uid="{00000000-0005-0000-0000-0000F4320000}"/>
    <cellStyle name="40% - Accent2 6 7 3" xfId="20623" xr:uid="{00000000-0005-0000-0000-0000F5320000}"/>
    <cellStyle name="40% - Accent2 6 8" xfId="3298" xr:uid="{00000000-0005-0000-0000-0000F6320000}"/>
    <cellStyle name="40% - Accent2 6 8 2" xfId="15964" xr:uid="{00000000-0005-0000-0000-0000F7320000}"/>
    <cellStyle name="40% - Accent2 6 8 2 2" xfId="29371" xr:uid="{00000000-0005-0000-0000-0000F8320000}"/>
    <cellStyle name="40% - Accent2 6 8 3" xfId="20624" xr:uid="{00000000-0005-0000-0000-0000F9320000}"/>
    <cellStyle name="40% - Accent2 6 9" xfId="9276" xr:uid="{00000000-0005-0000-0000-0000FA320000}"/>
    <cellStyle name="40% - Accent2 6 9 2" xfId="23751" xr:uid="{00000000-0005-0000-0000-0000FB320000}"/>
    <cellStyle name="40% - Accent2 7" xfId="3299" xr:uid="{00000000-0005-0000-0000-0000FC320000}"/>
    <cellStyle name="40% - Accent2 7 2" xfId="3300" xr:uid="{00000000-0005-0000-0000-0000FD320000}"/>
    <cellStyle name="40% - Accent2 7 2 2" xfId="3301" xr:uid="{00000000-0005-0000-0000-0000FE320000}"/>
    <cellStyle name="40% - Accent2 7 2 2 2" xfId="3302" xr:uid="{00000000-0005-0000-0000-0000FF320000}"/>
    <cellStyle name="40% - Accent2 7 2 2 2 2" xfId="16850" xr:uid="{00000000-0005-0000-0000-000000330000}"/>
    <cellStyle name="40% - Accent2 7 2 2 2 2 2" xfId="30257" xr:uid="{00000000-0005-0000-0000-000001330000}"/>
    <cellStyle name="40% - Accent2 7 2 2 2 3" xfId="20628" xr:uid="{00000000-0005-0000-0000-000002330000}"/>
    <cellStyle name="40% - Accent2 7 2 2 3" xfId="11008" xr:uid="{00000000-0005-0000-0000-000003330000}"/>
    <cellStyle name="40% - Accent2 7 2 2 3 2" xfId="24950" xr:uid="{00000000-0005-0000-0000-000004330000}"/>
    <cellStyle name="40% - Accent2 7 2 2 4" xfId="20627" xr:uid="{00000000-0005-0000-0000-000005330000}"/>
    <cellStyle name="40% - Accent2 7 2 3" xfId="3303" xr:uid="{00000000-0005-0000-0000-000006330000}"/>
    <cellStyle name="40% - Accent2 7 2 3 2" xfId="12238" xr:uid="{00000000-0005-0000-0000-000007330000}"/>
    <cellStyle name="40% - Accent2 7 2 3 2 2" xfId="25950" xr:uid="{00000000-0005-0000-0000-000008330000}"/>
    <cellStyle name="40% - Accent2 7 2 3 3" xfId="20629" xr:uid="{00000000-0005-0000-0000-000009330000}"/>
    <cellStyle name="40% - Accent2 7 2 4" xfId="3304" xr:uid="{00000000-0005-0000-0000-00000A330000}"/>
    <cellStyle name="40% - Accent2 7 2 4 2" xfId="13802" xr:uid="{00000000-0005-0000-0000-00000B330000}"/>
    <cellStyle name="40% - Accent2 7 2 4 2 2" xfId="27351" xr:uid="{00000000-0005-0000-0000-00000C330000}"/>
    <cellStyle name="40% - Accent2 7 2 4 3" xfId="20630" xr:uid="{00000000-0005-0000-0000-00000D330000}"/>
    <cellStyle name="40% - Accent2 7 2 5" xfId="3305" xr:uid="{00000000-0005-0000-0000-00000E330000}"/>
    <cellStyle name="40% - Accent2 7 2 5 2" xfId="14383" xr:uid="{00000000-0005-0000-0000-00000F330000}"/>
    <cellStyle name="40% - Accent2 7 2 5 2 2" xfId="27932" xr:uid="{00000000-0005-0000-0000-000010330000}"/>
    <cellStyle name="40% - Accent2 7 2 5 3" xfId="20631" xr:uid="{00000000-0005-0000-0000-000011330000}"/>
    <cellStyle name="40% - Accent2 7 2 6" xfId="3306" xr:uid="{00000000-0005-0000-0000-000012330000}"/>
    <cellStyle name="40% - Accent2 7 2 6 2" xfId="16269" xr:uid="{00000000-0005-0000-0000-000013330000}"/>
    <cellStyle name="40% - Accent2 7 2 6 2 2" xfId="29676" xr:uid="{00000000-0005-0000-0000-000014330000}"/>
    <cellStyle name="40% - Accent2 7 2 6 3" xfId="20632" xr:uid="{00000000-0005-0000-0000-000015330000}"/>
    <cellStyle name="40% - Accent2 7 2 7" xfId="9281" xr:uid="{00000000-0005-0000-0000-000016330000}"/>
    <cellStyle name="40% - Accent2 7 2 7 2" xfId="23756" xr:uid="{00000000-0005-0000-0000-000017330000}"/>
    <cellStyle name="40% - Accent2 7 2 8" xfId="20626" xr:uid="{00000000-0005-0000-0000-000018330000}"/>
    <cellStyle name="40% - Accent2 7 3" xfId="3307" xr:uid="{00000000-0005-0000-0000-000019330000}"/>
    <cellStyle name="40% - Accent2 7 3 2" xfId="3308" xr:uid="{00000000-0005-0000-0000-00001A330000}"/>
    <cellStyle name="40% - Accent2 7 3 2 2" xfId="16561" xr:uid="{00000000-0005-0000-0000-00001B330000}"/>
    <cellStyle name="40% - Accent2 7 3 2 2 2" xfId="29968" xr:uid="{00000000-0005-0000-0000-00001C330000}"/>
    <cellStyle name="40% - Accent2 7 3 2 3" xfId="20634" xr:uid="{00000000-0005-0000-0000-00001D330000}"/>
    <cellStyle name="40% - Accent2 7 3 3" xfId="11007" xr:uid="{00000000-0005-0000-0000-00001E330000}"/>
    <cellStyle name="40% - Accent2 7 3 3 2" xfId="24949" xr:uid="{00000000-0005-0000-0000-00001F330000}"/>
    <cellStyle name="40% - Accent2 7 3 4" xfId="20633" xr:uid="{00000000-0005-0000-0000-000020330000}"/>
    <cellStyle name="40% - Accent2 7 4" xfId="3309" xr:uid="{00000000-0005-0000-0000-000021330000}"/>
    <cellStyle name="40% - Accent2 7 4 2" xfId="11936" xr:uid="{00000000-0005-0000-0000-000022330000}"/>
    <cellStyle name="40% - Accent2 7 4 2 2" xfId="25651" xr:uid="{00000000-0005-0000-0000-000023330000}"/>
    <cellStyle name="40% - Accent2 7 4 3" xfId="20635" xr:uid="{00000000-0005-0000-0000-000024330000}"/>
    <cellStyle name="40% - Accent2 7 5" xfId="3310" xr:uid="{00000000-0005-0000-0000-000025330000}"/>
    <cellStyle name="40% - Accent2 7 5 2" xfId="13513" xr:uid="{00000000-0005-0000-0000-000026330000}"/>
    <cellStyle name="40% - Accent2 7 5 2 2" xfId="27062" xr:uid="{00000000-0005-0000-0000-000027330000}"/>
    <cellStyle name="40% - Accent2 7 5 3" xfId="20636" xr:uid="{00000000-0005-0000-0000-000028330000}"/>
    <cellStyle name="40% - Accent2 7 6" xfId="3311" xr:uid="{00000000-0005-0000-0000-000029330000}"/>
    <cellStyle name="40% - Accent2 7 6 2" xfId="14094" xr:uid="{00000000-0005-0000-0000-00002A330000}"/>
    <cellStyle name="40% - Accent2 7 6 2 2" xfId="27643" xr:uid="{00000000-0005-0000-0000-00002B330000}"/>
    <cellStyle name="40% - Accent2 7 6 3" xfId="20637" xr:uid="{00000000-0005-0000-0000-00002C330000}"/>
    <cellStyle name="40% - Accent2 7 7" xfId="3312" xr:uid="{00000000-0005-0000-0000-00002D330000}"/>
    <cellStyle name="40% - Accent2 7 7 2" xfId="15980" xr:uid="{00000000-0005-0000-0000-00002E330000}"/>
    <cellStyle name="40% - Accent2 7 7 2 2" xfId="29387" xr:uid="{00000000-0005-0000-0000-00002F330000}"/>
    <cellStyle name="40% - Accent2 7 7 3" xfId="20638" xr:uid="{00000000-0005-0000-0000-000030330000}"/>
    <cellStyle name="40% - Accent2 7 8" xfId="9280" xr:uid="{00000000-0005-0000-0000-000031330000}"/>
    <cellStyle name="40% - Accent2 7 8 2" xfId="23755" xr:uid="{00000000-0005-0000-0000-000032330000}"/>
    <cellStyle name="40% - Accent2 7 9" xfId="20625" xr:uid="{00000000-0005-0000-0000-000033330000}"/>
    <cellStyle name="40% - Accent2 8" xfId="3313" xr:uid="{00000000-0005-0000-0000-000034330000}"/>
    <cellStyle name="40% - Accent2 8 2" xfId="3314" xr:uid="{00000000-0005-0000-0000-000035330000}"/>
    <cellStyle name="40% - Accent2 8 2 2" xfId="3315" xr:uid="{00000000-0005-0000-0000-000036330000}"/>
    <cellStyle name="40% - Accent2 8 2 2 2" xfId="16708" xr:uid="{00000000-0005-0000-0000-000037330000}"/>
    <cellStyle name="40% - Accent2 8 2 2 2 2" xfId="30115" xr:uid="{00000000-0005-0000-0000-000038330000}"/>
    <cellStyle name="40% - Accent2 8 2 2 3" xfId="20641" xr:uid="{00000000-0005-0000-0000-000039330000}"/>
    <cellStyle name="40% - Accent2 8 2 3" xfId="11009" xr:uid="{00000000-0005-0000-0000-00003A330000}"/>
    <cellStyle name="40% - Accent2 8 2 3 2" xfId="24951" xr:uid="{00000000-0005-0000-0000-00003B330000}"/>
    <cellStyle name="40% - Accent2 8 2 4" xfId="20640" xr:uid="{00000000-0005-0000-0000-00003C330000}"/>
    <cellStyle name="40% - Accent2 8 3" xfId="3316" xr:uid="{00000000-0005-0000-0000-00003D330000}"/>
    <cellStyle name="40% - Accent2 8 3 2" xfId="12086" xr:uid="{00000000-0005-0000-0000-00003E330000}"/>
    <cellStyle name="40% - Accent2 8 3 2 2" xfId="25800" xr:uid="{00000000-0005-0000-0000-00003F330000}"/>
    <cellStyle name="40% - Accent2 8 3 3" xfId="20642" xr:uid="{00000000-0005-0000-0000-000040330000}"/>
    <cellStyle name="40% - Accent2 8 4" xfId="3317" xr:uid="{00000000-0005-0000-0000-000041330000}"/>
    <cellStyle name="40% - Accent2 8 4 2" xfId="13660" xr:uid="{00000000-0005-0000-0000-000042330000}"/>
    <cellStyle name="40% - Accent2 8 4 2 2" xfId="27209" xr:uid="{00000000-0005-0000-0000-000043330000}"/>
    <cellStyle name="40% - Accent2 8 4 3" xfId="20643" xr:uid="{00000000-0005-0000-0000-000044330000}"/>
    <cellStyle name="40% - Accent2 8 5" xfId="3318" xr:uid="{00000000-0005-0000-0000-000045330000}"/>
    <cellStyle name="40% - Accent2 8 5 2" xfId="14241" xr:uid="{00000000-0005-0000-0000-000046330000}"/>
    <cellStyle name="40% - Accent2 8 5 2 2" xfId="27790" xr:uid="{00000000-0005-0000-0000-000047330000}"/>
    <cellStyle name="40% - Accent2 8 5 3" xfId="20644" xr:uid="{00000000-0005-0000-0000-000048330000}"/>
    <cellStyle name="40% - Accent2 8 6" xfId="3319" xr:uid="{00000000-0005-0000-0000-000049330000}"/>
    <cellStyle name="40% - Accent2 8 6 2" xfId="16127" xr:uid="{00000000-0005-0000-0000-00004A330000}"/>
    <cellStyle name="40% - Accent2 8 6 2 2" xfId="29534" xr:uid="{00000000-0005-0000-0000-00004B330000}"/>
    <cellStyle name="40% - Accent2 8 6 3" xfId="20645" xr:uid="{00000000-0005-0000-0000-00004C330000}"/>
    <cellStyle name="40% - Accent2 8 7" xfId="9282" xr:uid="{00000000-0005-0000-0000-00004D330000}"/>
    <cellStyle name="40% - Accent2 8 7 2" xfId="23757" xr:uid="{00000000-0005-0000-0000-00004E330000}"/>
    <cellStyle name="40% - Accent2 8 8" xfId="20639" xr:uid="{00000000-0005-0000-0000-00004F330000}"/>
    <cellStyle name="40% - Accent2 9" xfId="3320" xr:uid="{00000000-0005-0000-0000-000050330000}"/>
    <cellStyle name="40% - Accent2 9 2" xfId="3321" xr:uid="{00000000-0005-0000-0000-000051330000}"/>
    <cellStyle name="40% - Accent2 9 2 2" xfId="11706" xr:uid="{00000000-0005-0000-0000-000052330000}"/>
    <cellStyle name="40% - Accent2 9 2 2 2" xfId="25426" xr:uid="{00000000-0005-0000-0000-000053330000}"/>
    <cellStyle name="40% - Accent2 9 2 3" xfId="20647" xr:uid="{00000000-0005-0000-0000-000054330000}"/>
    <cellStyle name="40% - Accent2 9 3" xfId="3322" xr:uid="{00000000-0005-0000-0000-000055330000}"/>
    <cellStyle name="40% - Accent2 9 3 2" xfId="12523" xr:uid="{00000000-0005-0000-0000-000056330000}"/>
    <cellStyle name="40% - Accent2 9 3 2 2" xfId="26235" xr:uid="{00000000-0005-0000-0000-000057330000}"/>
    <cellStyle name="40% - Accent2 9 3 3" xfId="20648" xr:uid="{00000000-0005-0000-0000-000058330000}"/>
    <cellStyle name="40% - Accent2 9 4" xfId="3323" xr:uid="{00000000-0005-0000-0000-000059330000}"/>
    <cellStyle name="40% - Accent2 9 4 2" xfId="15156" xr:uid="{00000000-0005-0000-0000-00005A330000}"/>
    <cellStyle name="40% - Accent2 9 4 2 2" xfId="28705" xr:uid="{00000000-0005-0000-0000-00005B330000}"/>
    <cellStyle name="40% - Accent2 9 4 3" xfId="20649" xr:uid="{00000000-0005-0000-0000-00005C330000}"/>
    <cellStyle name="40% - Accent2 9 5" xfId="3324" xr:uid="{00000000-0005-0000-0000-00005D330000}"/>
    <cellStyle name="40% - Accent2 9 5 2" xfId="17092" xr:uid="{00000000-0005-0000-0000-00005E330000}"/>
    <cellStyle name="40% - Accent2 9 5 2 2" xfId="30451" xr:uid="{00000000-0005-0000-0000-00005F330000}"/>
    <cellStyle name="40% - Accent2 9 5 3" xfId="20650" xr:uid="{00000000-0005-0000-0000-000060330000}"/>
    <cellStyle name="40% - Accent2 9 6" xfId="10458" xr:uid="{00000000-0005-0000-0000-000061330000}"/>
    <cellStyle name="40% - Accent2 9 6 2" xfId="24417" xr:uid="{00000000-0005-0000-0000-000062330000}"/>
    <cellStyle name="40% - Accent2 9 7" xfId="20646" xr:uid="{00000000-0005-0000-0000-000063330000}"/>
    <cellStyle name="40% - Accent3" xfId="27" builtinId="39" customBuiltin="1"/>
    <cellStyle name="40% - Accent3 10" xfId="3325" xr:uid="{00000000-0005-0000-0000-000065330000}"/>
    <cellStyle name="40% - Accent3 10 2" xfId="3326" xr:uid="{00000000-0005-0000-0000-000066330000}"/>
    <cellStyle name="40% - Accent3 10 2 2" xfId="3327" xr:uid="{00000000-0005-0000-0000-000067330000}"/>
    <cellStyle name="40% - Accent3 10 2 2 2" xfId="12781" xr:uid="{00000000-0005-0000-0000-000068330000}"/>
    <cellStyle name="40% - Accent3 10 2 2 2 2" xfId="26493" xr:uid="{00000000-0005-0000-0000-000069330000}"/>
    <cellStyle name="40% - Accent3 10 2 2 3" xfId="20653" xr:uid="{00000000-0005-0000-0000-00006A330000}"/>
    <cellStyle name="40% - Accent3 10 2 3" xfId="3328" xr:uid="{00000000-0005-0000-0000-00006B330000}"/>
    <cellStyle name="40% - Accent3 10 2 3 2" xfId="15159" xr:uid="{00000000-0005-0000-0000-00006C330000}"/>
    <cellStyle name="40% - Accent3 10 2 3 2 2" xfId="28708" xr:uid="{00000000-0005-0000-0000-00006D330000}"/>
    <cellStyle name="40% - Accent3 10 2 3 3" xfId="20654" xr:uid="{00000000-0005-0000-0000-00006E330000}"/>
    <cellStyle name="40% - Accent3 10 2 4" xfId="11011" xr:uid="{00000000-0005-0000-0000-00006F330000}"/>
    <cellStyle name="40% - Accent3 10 2 4 2" xfId="24953" xr:uid="{00000000-0005-0000-0000-000070330000}"/>
    <cellStyle name="40% - Accent3 10 2 5" xfId="20652" xr:uid="{00000000-0005-0000-0000-000071330000}"/>
    <cellStyle name="40% - Accent3 10 3" xfId="3329" xr:uid="{00000000-0005-0000-0000-000072330000}"/>
    <cellStyle name="40% - Accent3 10 3 2" xfId="12695" xr:uid="{00000000-0005-0000-0000-000073330000}"/>
    <cellStyle name="40% - Accent3 10 3 2 2" xfId="26407" xr:uid="{00000000-0005-0000-0000-000074330000}"/>
    <cellStyle name="40% - Accent3 10 3 3" xfId="20655" xr:uid="{00000000-0005-0000-0000-000075330000}"/>
    <cellStyle name="40% - Accent3 10 4" xfId="3330" xr:uid="{00000000-0005-0000-0000-000076330000}"/>
    <cellStyle name="40% - Accent3 10 4 2" xfId="15158" xr:uid="{00000000-0005-0000-0000-000077330000}"/>
    <cellStyle name="40% - Accent3 10 4 2 2" xfId="28707" xr:uid="{00000000-0005-0000-0000-000078330000}"/>
    <cellStyle name="40% - Accent3 10 4 3" xfId="20656" xr:uid="{00000000-0005-0000-0000-000079330000}"/>
    <cellStyle name="40% - Accent3 10 5" xfId="3331" xr:uid="{00000000-0005-0000-0000-00007A330000}"/>
    <cellStyle name="40% - Accent3 10 5 2" xfId="17182" xr:uid="{00000000-0005-0000-0000-00007B330000}"/>
    <cellStyle name="40% - Accent3 10 5 2 2" xfId="30541" xr:uid="{00000000-0005-0000-0000-00007C330000}"/>
    <cellStyle name="40% - Accent3 10 5 3" xfId="20657" xr:uid="{00000000-0005-0000-0000-00007D330000}"/>
    <cellStyle name="40% - Accent3 10 6" xfId="9284" xr:uid="{00000000-0005-0000-0000-00007E330000}"/>
    <cellStyle name="40% - Accent3 10 6 2" xfId="23759" xr:uid="{00000000-0005-0000-0000-00007F330000}"/>
    <cellStyle name="40% - Accent3 10 7" xfId="20651" xr:uid="{00000000-0005-0000-0000-000080330000}"/>
    <cellStyle name="40% - Accent3 11" xfId="3332" xr:uid="{00000000-0005-0000-0000-000081330000}"/>
    <cellStyle name="40% - Accent3 11 2" xfId="3333" xr:uid="{00000000-0005-0000-0000-000082330000}"/>
    <cellStyle name="40% - Accent3 11 2 2" xfId="11012" xr:uid="{00000000-0005-0000-0000-000083330000}"/>
    <cellStyle name="40% - Accent3 11 2 2 2" xfId="24954" xr:uid="{00000000-0005-0000-0000-000084330000}"/>
    <cellStyle name="40% - Accent3 11 2 3" xfId="20659" xr:uid="{00000000-0005-0000-0000-000085330000}"/>
    <cellStyle name="40% - Accent3 11 3" xfId="3334" xr:uid="{00000000-0005-0000-0000-000086330000}"/>
    <cellStyle name="40% - Accent3 11 3 2" xfId="12614" xr:uid="{00000000-0005-0000-0000-000087330000}"/>
    <cellStyle name="40% - Accent3 11 3 2 2" xfId="26326" xr:uid="{00000000-0005-0000-0000-000088330000}"/>
    <cellStyle name="40% - Accent3 11 3 3" xfId="20660" xr:uid="{00000000-0005-0000-0000-000089330000}"/>
    <cellStyle name="40% - Accent3 11 4" xfId="3335" xr:uid="{00000000-0005-0000-0000-00008A330000}"/>
    <cellStyle name="40% - Accent3 11 4 2" xfId="15160" xr:uid="{00000000-0005-0000-0000-00008B330000}"/>
    <cellStyle name="40% - Accent3 11 4 2 2" xfId="28709" xr:uid="{00000000-0005-0000-0000-00008C330000}"/>
    <cellStyle name="40% - Accent3 11 4 3" xfId="20661" xr:uid="{00000000-0005-0000-0000-00008D330000}"/>
    <cellStyle name="40% - Accent3 11 5" xfId="3336" xr:uid="{00000000-0005-0000-0000-00008E330000}"/>
    <cellStyle name="40% - Accent3 11 5 2" xfId="17271" xr:uid="{00000000-0005-0000-0000-00008F330000}"/>
    <cellStyle name="40% - Accent3 11 5 2 2" xfId="30630" xr:uid="{00000000-0005-0000-0000-000090330000}"/>
    <cellStyle name="40% - Accent3 11 5 3" xfId="20662" xr:uid="{00000000-0005-0000-0000-000091330000}"/>
    <cellStyle name="40% - Accent3 11 6" xfId="9285" xr:uid="{00000000-0005-0000-0000-000092330000}"/>
    <cellStyle name="40% - Accent3 11 6 2" xfId="23760" xr:uid="{00000000-0005-0000-0000-000093330000}"/>
    <cellStyle name="40% - Accent3 11 7" xfId="20658" xr:uid="{00000000-0005-0000-0000-000094330000}"/>
    <cellStyle name="40% - Accent3 12" xfId="3337" xr:uid="{00000000-0005-0000-0000-000095330000}"/>
    <cellStyle name="40% - Accent3 12 2" xfId="3338" xr:uid="{00000000-0005-0000-0000-000096330000}"/>
    <cellStyle name="40% - Accent3 12 2 2" xfId="3339" xr:uid="{00000000-0005-0000-0000-000097330000}"/>
    <cellStyle name="40% - Accent3 12 2 2 2" xfId="11014" xr:uid="{00000000-0005-0000-0000-000098330000}"/>
    <cellStyle name="40% - Accent3 12 2 2 2 2" xfId="24956" xr:uid="{00000000-0005-0000-0000-000099330000}"/>
    <cellStyle name="40% - Accent3 12 2 2 3" xfId="20665" xr:uid="{00000000-0005-0000-0000-00009A330000}"/>
    <cellStyle name="40% - Accent3 12 2 3" xfId="3340" xr:uid="{00000000-0005-0000-0000-00009B330000}"/>
    <cellStyle name="40% - Accent3 12 2 3 2" xfId="12626" xr:uid="{00000000-0005-0000-0000-00009C330000}"/>
    <cellStyle name="40% - Accent3 12 2 3 2 2" xfId="26338" xr:uid="{00000000-0005-0000-0000-00009D330000}"/>
    <cellStyle name="40% - Accent3 12 2 3 3" xfId="20666" xr:uid="{00000000-0005-0000-0000-00009E330000}"/>
    <cellStyle name="40% - Accent3 12 2 4" xfId="3341" xr:uid="{00000000-0005-0000-0000-00009F330000}"/>
    <cellStyle name="40% - Accent3 12 2 4 2" xfId="15162" xr:uid="{00000000-0005-0000-0000-0000A0330000}"/>
    <cellStyle name="40% - Accent3 12 2 4 2 2" xfId="28711" xr:uid="{00000000-0005-0000-0000-0000A1330000}"/>
    <cellStyle name="40% - Accent3 12 2 4 3" xfId="20667" xr:uid="{00000000-0005-0000-0000-0000A2330000}"/>
    <cellStyle name="40% - Accent3 12 2 5" xfId="9287" xr:uid="{00000000-0005-0000-0000-0000A3330000}"/>
    <cellStyle name="40% - Accent3 12 2 5 2" xfId="23762" xr:uid="{00000000-0005-0000-0000-0000A4330000}"/>
    <cellStyle name="40% - Accent3 12 2 6" xfId="20664" xr:uid="{00000000-0005-0000-0000-0000A5330000}"/>
    <cellStyle name="40% - Accent3 12 3" xfId="3342" xr:uid="{00000000-0005-0000-0000-0000A6330000}"/>
    <cellStyle name="40% - Accent3 12 3 2" xfId="11013" xr:uid="{00000000-0005-0000-0000-0000A7330000}"/>
    <cellStyle name="40% - Accent3 12 3 2 2" xfId="24955" xr:uid="{00000000-0005-0000-0000-0000A8330000}"/>
    <cellStyle name="40% - Accent3 12 3 3" xfId="20668" xr:uid="{00000000-0005-0000-0000-0000A9330000}"/>
    <cellStyle name="40% - Accent3 12 4" xfId="3343" xr:uid="{00000000-0005-0000-0000-0000AA330000}"/>
    <cellStyle name="40% - Accent3 12 4 2" xfId="11883" xr:uid="{00000000-0005-0000-0000-0000AB330000}"/>
    <cellStyle name="40% - Accent3 12 4 2 2" xfId="25598" xr:uid="{00000000-0005-0000-0000-0000AC330000}"/>
    <cellStyle name="40% - Accent3 12 4 3" xfId="20669" xr:uid="{00000000-0005-0000-0000-0000AD330000}"/>
    <cellStyle name="40% - Accent3 12 5" xfId="3344" xr:uid="{00000000-0005-0000-0000-0000AE330000}"/>
    <cellStyle name="40% - Accent3 12 5 2" xfId="15161" xr:uid="{00000000-0005-0000-0000-0000AF330000}"/>
    <cellStyle name="40% - Accent3 12 5 2 2" xfId="28710" xr:uid="{00000000-0005-0000-0000-0000B0330000}"/>
    <cellStyle name="40% - Accent3 12 5 3" xfId="20670" xr:uid="{00000000-0005-0000-0000-0000B1330000}"/>
    <cellStyle name="40% - Accent3 12 6" xfId="3345" xr:uid="{00000000-0005-0000-0000-0000B2330000}"/>
    <cellStyle name="40% - Accent3 12 6 2" xfId="16423" xr:uid="{00000000-0005-0000-0000-0000B3330000}"/>
    <cellStyle name="40% - Accent3 12 6 2 2" xfId="29830" xr:uid="{00000000-0005-0000-0000-0000B4330000}"/>
    <cellStyle name="40% - Accent3 12 6 3" xfId="20671" xr:uid="{00000000-0005-0000-0000-0000B5330000}"/>
    <cellStyle name="40% - Accent3 12 7" xfId="9286" xr:uid="{00000000-0005-0000-0000-0000B6330000}"/>
    <cellStyle name="40% - Accent3 12 7 2" xfId="23761" xr:uid="{00000000-0005-0000-0000-0000B7330000}"/>
    <cellStyle name="40% - Accent3 12 8" xfId="20663" xr:uid="{00000000-0005-0000-0000-0000B8330000}"/>
    <cellStyle name="40% - Accent3 13" xfId="3346" xr:uid="{00000000-0005-0000-0000-0000B9330000}"/>
    <cellStyle name="40% - Accent3 13 2" xfId="3347" xr:uid="{00000000-0005-0000-0000-0000BA330000}"/>
    <cellStyle name="40% - Accent3 13 2 2" xfId="11015" xr:uid="{00000000-0005-0000-0000-0000BB330000}"/>
    <cellStyle name="40% - Accent3 13 2 2 2" xfId="24957" xr:uid="{00000000-0005-0000-0000-0000BC330000}"/>
    <cellStyle name="40% - Accent3 13 2 3" xfId="20673" xr:uid="{00000000-0005-0000-0000-0000BD330000}"/>
    <cellStyle name="40% - Accent3 13 3" xfId="3348" xr:uid="{00000000-0005-0000-0000-0000BE330000}"/>
    <cellStyle name="40% - Accent3 13 3 2" xfId="11879" xr:uid="{00000000-0005-0000-0000-0000BF330000}"/>
    <cellStyle name="40% - Accent3 13 3 2 2" xfId="25594" xr:uid="{00000000-0005-0000-0000-0000C0330000}"/>
    <cellStyle name="40% - Accent3 13 3 3" xfId="20674" xr:uid="{00000000-0005-0000-0000-0000C1330000}"/>
    <cellStyle name="40% - Accent3 13 4" xfId="3349" xr:uid="{00000000-0005-0000-0000-0000C2330000}"/>
    <cellStyle name="40% - Accent3 13 4 2" xfId="15163" xr:uid="{00000000-0005-0000-0000-0000C3330000}"/>
    <cellStyle name="40% - Accent3 13 4 2 2" xfId="28712" xr:uid="{00000000-0005-0000-0000-0000C4330000}"/>
    <cellStyle name="40% - Accent3 13 4 3" xfId="20675" xr:uid="{00000000-0005-0000-0000-0000C5330000}"/>
    <cellStyle name="40% - Accent3 13 5" xfId="9288" xr:uid="{00000000-0005-0000-0000-0000C6330000}"/>
    <cellStyle name="40% - Accent3 13 5 2" xfId="23763" xr:uid="{00000000-0005-0000-0000-0000C7330000}"/>
    <cellStyle name="40% - Accent3 13 6" xfId="20672" xr:uid="{00000000-0005-0000-0000-0000C8330000}"/>
    <cellStyle name="40% - Accent3 14" xfId="3350" xr:uid="{00000000-0005-0000-0000-0000C9330000}"/>
    <cellStyle name="40% - Accent3 14 2" xfId="3351" xr:uid="{00000000-0005-0000-0000-0000CA330000}"/>
    <cellStyle name="40% - Accent3 14 2 2" xfId="11016" xr:uid="{00000000-0005-0000-0000-0000CB330000}"/>
    <cellStyle name="40% - Accent3 14 2 2 2" xfId="24958" xr:uid="{00000000-0005-0000-0000-0000CC330000}"/>
    <cellStyle name="40% - Accent3 14 2 3" xfId="20677" xr:uid="{00000000-0005-0000-0000-0000CD330000}"/>
    <cellStyle name="40% - Accent3 14 3" xfId="3352" xr:uid="{00000000-0005-0000-0000-0000CE330000}"/>
    <cellStyle name="40% - Accent3 14 3 2" xfId="12618" xr:uid="{00000000-0005-0000-0000-0000CF330000}"/>
    <cellStyle name="40% - Accent3 14 3 2 2" xfId="26330" xr:uid="{00000000-0005-0000-0000-0000D0330000}"/>
    <cellStyle name="40% - Accent3 14 3 3" xfId="20678" xr:uid="{00000000-0005-0000-0000-0000D1330000}"/>
    <cellStyle name="40% - Accent3 14 4" xfId="3353" xr:uid="{00000000-0005-0000-0000-0000D2330000}"/>
    <cellStyle name="40% - Accent3 14 4 2" xfId="15164" xr:uid="{00000000-0005-0000-0000-0000D3330000}"/>
    <cellStyle name="40% - Accent3 14 4 2 2" xfId="28713" xr:uid="{00000000-0005-0000-0000-0000D4330000}"/>
    <cellStyle name="40% - Accent3 14 4 3" xfId="20679" xr:uid="{00000000-0005-0000-0000-0000D5330000}"/>
    <cellStyle name="40% - Accent3 14 5" xfId="9289" xr:uid="{00000000-0005-0000-0000-0000D6330000}"/>
    <cellStyle name="40% - Accent3 14 5 2" xfId="23764" xr:uid="{00000000-0005-0000-0000-0000D7330000}"/>
    <cellStyle name="40% - Accent3 14 6" xfId="20676" xr:uid="{00000000-0005-0000-0000-0000D8330000}"/>
    <cellStyle name="40% - Accent3 15" xfId="3354" xr:uid="{00000000-0005-0000-0000-0000D9330000}"/>
    <cellStyle name="40% - Accent3 15 2" xfId="3355" xr:uid="{00000000-0005-0000-0000-0000DA330000}"/>
    <cellStyle name="40% - Accent3 15 2 2" xfId="11017" xr:uid="{00000000-0005-0000-0000-0000DB330000}"/>
    <cellStyle name="40% - Accent3 15 2 2 2" xfId="24959" xr:uid="{00000000-0005-0000-0000-0000DC330000}"/>
    <cellStyle name="40% - Accent3 15 2 3" xfId="20681" xr:uid="{00000000-0005-0000-0000-0000DD330000}"/>
    <cellStyle name="40% - Accent3 15 3" xfId="3356" xr:uid="{00000000-0005-0000-0000-0000DE330000}"/>
    <cellStyle name="40% - Accent3 15 3 2" xfId="12560" xr:uid="{00000000-0005-0000-0000-0000DF330000}"/>
    <cellStyle name="40% - Accent3 15 3 2 2" xfId="26272" xr:uid="{00000000-0005-0000-0000-0000E0330000}"/>
    <cellStyle name="40% - Accent3 15 3 3" xfId="20682" xr:uid="{00000000-0005-0000-0000-0000E1330000}"/>
    <cellStyle name="40% - Accent3 15 4" xfId="3357" xr:uid="{00000000-0005-0000-0000-0000E2330000}"/>
    <cellStyle name="40% - Accent3 15 4 2" xfId="15165" xr:uid="{00000000-0005-0000-0000-0000E3330000}"/>
    <cellStyle name="40% - Accent3 15 4 2 2" xfId="28714" xr:uid="{00000000-0005-0000-0000-0000E4330000}"/>
    <cellStyle name="40% - Accent3 15 4 3" xfId="20683" xr:uid="{00000000-0005-0000-0000-0000E5330000}"/>
    <cellStyle name="40% - Accent3 15 5" xfId="9290" xr:uid="{00000000-0005-0000-0000-0000E6330000}"/>
    <cellStyle name="40% - Accent3 15 5 2" xfId="23765" xr:uid="{00000000-0005-0000-0000-0000E7330000}"/>
    <cellStyle name="40% - Accent3 15 6" xfId="20680" xr:uid="{00000000-0005-0000-0000-0000E8330000}"/>
    <cellStyle name="40% - Accent3 16" xfId="3358" xr:uid="{00000000-0005-0000-0000-0000E9330000}"/>
    <cellStyle name="40% - Accent3 16 2" xfId="3359" xr:uid="{00000000-0005-0000-0000-0000EA330000}"/>
    <cellStyle name="40% - Accent3 16 2 2" xfId="11018" xr:uid="{00000000-0005-0000-0000-0000EB330000}"/>
    <cellStyle name="40% - Accent3 16 2 2 2" xfId="24960" xr:uid="{00000000-0005-0000-0000-0000EC330000}"/>
    <cellStyle name="40% - Accent3 16 2 3" xfId="20685" xr:uid="{00000000-0005-0000-0000-0000ED330000}"/>
    <cellStyle name="40% - Accent3 16 3" xfId="3360" xr:uid="{00000000-0005-0000-0000-0000EE330000}"/>
    <cellStyle name="40% - Accent3 16 3 2" xfId="11851" xr:uid="{00000000-0005-0000-0000-0000EF330000}"/>
    <cellStyle name="40% - Accent3 16 3 2 2" xfId="25566" xr:uid="{00000000-0005-0000-0000-0000F0330000}"/>
    <cellStyle name="40% - Accent3 16 3 3" xfId="20686" xr:uid="{00000000-0005-0000-0000-0000F1330000}"/>
    <cellStyle name="40% - Accent3 16 4" xfId="3361" xr:uid="{00000000-0005-0000-0000-0000F2330000}"/>
    <cellStyle name="40% - Accent3 16 4 2" xfId="15166" xr:uid="{00000000-0005-0000-0000-0000F3330000}"/>
    <cellStyle name="40% - Accent3 16 4 2 2" xfId="28715" xr:uid="{00000000-0005-0000-0000-0000F4330000}"/>
    <cellStyle name="40% - Accent3 16 4 3" xfId="20687" xr:uid="{00000000-0005-0000-0000-0000F5330000}"/>
    <cellStyle name="40% - Accent3 16 5" xfId="9291" xr:uid="{00000000-0005-0000-0000-0000F6330000}"/>
    <cellStyle name="40% - Accent3 16 5 2" xfId="23766" xr:uid="{00000000-0005-0000-0000-0000F7330000}"/>
    <cellStyle name="40% - Accent3 16 6" xfId="20684" xr:uid="{00000000-0005-0000-0000-0000F8330000}"/>
    <cellStyle name="40% - Accent3 17" xfId="3362" xr:uid="{00000000-0005-0000-0000-0000F9330000}"/>
    <cellStyle name="40% - Accent3 17 2" xfId="3363" xr:uid="{00000000-0005-0000-0000-0000FA330000}"/>
    <cellStyle name="40% - Accent3 17 2 2" xfId="11019" xr:uid="{00000000-0005-0000-0000-0000FB330000}"/>
    <cellStyle name="40% - Accent3 17 2 2 2" xfId="24961" xr:uid="{00000000-0005-0000-0000-0000FC330000}"/>
    <cellStyle name="40% - Accent3 17 2 3" xfId="20689" xr:uid="{00000000-0005-0000-0000-0000FD330000}"/>
    <cellStyle name="40% - Accent3 17 3" xfId="3364" xr:uid="{00000000-0005-0000-0000-0000FE330000}"/>
    <cellStyle name="40% - Accent3 17 3 2" xfId="11782" xr:uid="{00000000-0005-0000-0000-0000FF330000}"/>
    <cellStyle name="40% - Accent3 17 3 2 2" xfId="25497" xr:uid="{00000000-0005-0000-0000-000000340000}"/>
    <cellStyle name="40% - Accent3 17 3 3" xfId="20690" xr:uid="{00000000-0005-0000-0000-000001340000}"/>
    <cellStyle name="40% - Accent3 17 4" xfId="3365" xr:uid="{00000000-0005-0000-0000-000002340000}"/>
    <cellStyle name="40% - Accent3 17 4 2" xfId="15167" xr:uid="{00000000-0005-0000-0000-000003340000}"/>
    <cellStyle name="40% - Accent3 17 4 2 2" xfId="28716" xr:uid="{00000000-0005-0000-0000-000004340000}"/>
    <cellStyle name="40% - Accent3 17 4 3" xfId="20691" xr:uid="{00000000-0005-0000-0000-000005340000}"/>
    <cellStyle name="40% - Accent3 17 5" xfId="9292" xr:uid="{00000000-0005-0000-0000-000006340000}"/>
    <cellStyle name="40% - Accent3 17 5 2" xfId="23767" xr:uid="{00000000-0005-0000-0000-000007340000}"/>
    <cellStyle name="40% - Accent3 17 6" xfId="20688" xr:uid="{00000000-0005-0000-0000-000008340000}"/>
    <cellStyle name="40% - Accent3 18" xfId="3366" xr:uid="{00000000-0005-0000-0000-000009340000}"/>
    <cellStyle name="40% - Accent3 18 2" xfId="3367" xr:uid="{00000000-0005-0000-0000-00000A340000}"/>
    <cellStyle name="40% - Accent3 18 2 2" xfId="11020" xr:uid="{00000000-0005-0000-0000-00000B340000}"/>
    <cellStyle name="40% - Accent3 18 2 2 2" xfId="24962" xr:uid="{00000000-0005-0000-0000-00000C340000}"/>
    <cellStyle name="40% - Accent3 18 2 3" xfId="20693" xr:uid="{00000000-0005-0000-0000-00000D340000}"/>
    <cellStyle name="40% - Accent3 18 3" xfId="3368" xr:uid="{00000000-0005-0000-0000-00000E340000}"/>
    <cellStyle name="40% - Accent3 18 3 2" xfId="12606" xr:uid="{00000000-0005-0000-0000-00000F340000}"/>
    <cellStyle name="40% - Accent3 18 3 2 2" xfId="26318" xr:uid="{00000000-0005-0000-0000-000010340000}"/>
    <cellStyle name="40% - Accent3 18 3 3" xfId="20694" xr:uid="{00000000-0005-0000-0000-000011340000}"/>
    <cellStyle name="40% - Accent3 18 4" xfId="3369" xr:uid="{00000000-0005-0000-0000-000012340000}"/>
    <cellStyle name="40% - Accent3 18 4 2" xfId="15168" xr:uid="{00000000-0005-0000-0000-000013340000}"/>
    <cellStyle name="40% - Accent3 18 4 2 2" xfId="28717" xr:uid="{00000000-0005-0000-0000-000014340000}"/>
    <cellStyle name="40% - Accent3 18 4 3" xfId="20695" xr:uid="{00000000-0005-0000-0000-000015340000}"/>
    <cellStyle name="40% - Accent3 18 5" xfId="9293" xr:uid="{00000000-0005-0000-0000-000016340000}"/>
    <cellStyle name="40% - Accent3 18 5 2" xfId="23768" xr:uid="{00000000-0005-0000-0000-000017340000}"/>
    <cellStyle name="40% - Accent3 18 6" xfId="20692" xr:uid="{00000000-0005-0000-0000-000018340000}"/>
    <cellStyle name="40% - Accent3 19" xfId="3370" xr:uid="{00000000-0005-0000-0000-000019340000}"/>
    <cellStyle name="40% - Accent3 19 2" xfId="3371" xr:uid="{00000000-0005-0000-0000-00001A340000}"/>
    <cellStyle name="40% - Accent3 19 2 2" xfId="11707" xr:uid="{00000000-0005-0000-0000-00001B340000}"/>
    <cellStyle name="40% - Accent3 19 2 2 2" xfId="25427" xr:uid="{00000000-0005-0000-0000-00001C340000}"/>
    <cellStyle name="40% - Accent3 19 2 3" xfId="20697" xr:uid="{00000000-0005-0000-0000-00001D340000}"/>
    <cellStyle name="40% - Accent3 19 3" xfId="3372" xr:uid="{00000000-0005-0000-0000-00001E340000}"/>
    <cellStyle name="40% - Accent3 19 3 2" xfId="12796" xr:uid="{00000000-0005-0000-0000-00001F340000}"/>
    <cellStyle name="40% - Accent3 19 3 2 2" xfId="26508" xr:uid="{00000000-0005-0000-0000-000020340000}"/>
    <cellStyle name="40% - Accent3 19 3 3" xfId="20698" xr:uid="{00000000-0005-0000-0000-000021340000}"/>
    <cellStyle name="40% - Accent3 19 4" xfId="3373" xr:uid="{00000000-0005-0000-0000-000022340000}"/>
    <cellStyle name="40% - Accent3 19 4 2" xfId="15169" xr:uid="{00000000-0005-0000-0000-000023340000}"/>
    <cellStyle name="40% - Accent3 19 4 2 2" xfId="28718" xr:uid="{00000000-0005-0000-0000-000024340000}"/>
    <cellStyle name="40% - Accent3 19 4 3" xfId="20699" xr:uid="{00000000-0005-0000-0000-000025340000}"/>
    <cellStyle name="40% - Accent3 19 5" xfId="10459" xr:uid="{00000000-0005-0000-0000-000026340000}"/>
    <cellStyle name="40% - Accent3 19 5 2" xfId="24418" xr:uid="{00000000-0005-0000-0000-000027340000}"/>
    <cellStyle name="40% - Accent3 19 6" xfId="20696" xr:uid="{00000000-0005-0000-0000-000028340000}"/>
    <cellStyle name="40% - Accent3 2" xfId="3374" xr:uid="{00000000-0005-0000-0000-000029340000}"/>
    <cellStyle name="40% - Accent3 2 10" xfId="3375" xr:uid="{00000000-0005-0000-0000-00002A340000}"/>
    <cellStyle name="40% - Accent3 2 10 2" xfId="3376" xr:uid="{00000000-0005-0000-0000-00002B340000}"/>
    <cellStyle name="40% - Accent3 2 10 2 2" xfId="15171" xr:uid="{00000000-0005-0000-0000-00002C340000}"/>
    <cellStyle name="40% - Accent3 2 10 2 2 2" xfId="28720" xr:uid="{00000000-0005-0000-0000-00002D340000}"/>
    <cellStyle name="40% - Accent3 2 10 2 3" xfId="20702" xr:uid="{00000000-0005-0000-0000-00002E340000}"/>
    <cellStyle name="40% - Accent3 2 10 3" xfId="11830" xr:uid="{00000000-0005-0000-0000-00002F340000}"/>
    <cellStyle name="40% - Accent3 2 10 3 2" xfId="25545" xr:uid="{00000000-0005-0000-0000-000030340000}"/>
    <cellStyle name="40% - Accent3 2 10 4" xfId="20701" xr:uid="{00000000-0005-0000-0000-000031340000}"/>
    <cellStyle name="40% - Accent3 2 11" xfId="3377" xr:uid="{00000000-0005-0000-0000-000032340000}"/>
    <cellStyle name="40% - Accent3 2 11 2" xfId="11740" xr:uid="{00000000-0005-0000-0000-000033340000}"/>
    <cellStyle name="40% - Accent3 2 11 2 2" xfId="25455" xr:uid="{00000000-0005-0000-0000-000034340000}"/>
    <cellStyle name="40% - Accent3 2 11 3" xfId="20703" xr:uid="{00000000-0005-0000-0000-000035340000}"/>
    <cellStyle name="40% - Accent3 2 12" xfId="3378" xr:uid="{00000000-0005-0000-0000-000036340000}"/>
    <cellStyle name="40% - Accent3 2 12 2" xfId="13429" xr:uid="{00000000-0005-0000-0000-000037340000}"/>
    <cellStyle name="40% - Accent3 2 12 2 2" xfId="26978" xr:uid="{00000000-0005-0000-0000-000038340000}"/>
    <cellStyle name="40% - Accent3 2 12 3" xfId="20704" xr:uid="{00000000-0005-0000-0000-000039340000}"/>
    <cellStyle name="40% - Accent3 2 13" xfId="3379" xr:uid="{00000000-0005-0000-0000-00003A340000}"/>
    <cellStyle name="40% - Accent3 2 13 2" xfId="14010" xr:uid="{00000000-0005-0000-0000-00003B340000}"/>
    <cellStyle name="40% - Accent3 2 13 2 2" xfId="27559" xr:uid="{00000000-0005-0000-0000-00003C340000}"/>
    <cellStyle name="40% - Accent3 2 13 3" xfId="20705" xr:uid="{00000000-0005-0000-0000-00003D340000}"/>
    <cellStyle name="40% - Accent3 2 14" xfId="3380" xr:uid="{00000000-0005-0000-0000-00003E340000}"/>
    <cellStyle name="40% - Accent3 2 14 2" xfId="15170" xr:uid="{00000000-0005-0000-0000-00003F340000}"/>
    <cellStyle name="40% - Accent3 2 14 2 2" xfId="28719" xr:uid="{00000000-0005-0000-0000-000040340000}"/>
    <cellStyle name="40% - Accent3 2 14 3" xfId="20706" xr:uid="{00000000-0005-0000-0000-000041340000}"/>
    <cellStyle name="40% - Accent3 2 15" xfId="3381" xr:uid="{00000000-0005-0000-0000-000042340000}"/>
    <cellStyle name="40% - Accent3 2 15 2" xfId="15896" xr:uid="{00000000-0005-0000-0000-000043340000}"/>
    <cellStyle name="40% - Accent3 2 15 2 2" xfId="29303" xr:uid="{00000000-0005-0000-0000-000044340000}"/>
    <cellStyle name="40% - Accent3 2 15 3" xfId="20707" xr:uid="{00000000-0005-0000-0000-000045340000}"/>
    <cellStyle name="40% - Accent3 2 16" xfId="9294" xr:uid="{00000000-0005-0000-0000-000046340000}"/>
    <cellStyle name="40% - Accent3 2 16 2" xfId="23769" xr:uid="{00000000-0005-0000-0000-000047340000}"/>
    <cellStyle name="40% - Accent3 2 17" xfId="20700" xr:uid="{00000000-0005-0000-0000-000048340000}"/>
    <cellStyle name="40% - Accent3 2 2" xfId="3382" xr:uid="{00000000-0005-0000-0000-000049340000}"/>
    <cellStyle name="40% - Accent3 2 2 10" xfId="3383" xr:uid="{00000000-0005-0000-0000-00004A340000}"/>
    <cellStyle name="40% - Accent3 2 2 10 2" xfId="15172" xr:uid="{00000000-0005-0000-0000-00004B340000}"/>
    <cellStyle name="40% - Accent3 2 2 10 2 2" xfId="28721" xr:uid="{00000000-0005-0000-0000-00004C340000}"/>
    <cellStyle name="40% - Accent3 2 2 10 3" xfId="20709" xr:uid="{00000000-0005-0000-0000-00004D340000}"/>
    <cellStyle name="40% - Accent3 2 2 11" xfId="3384" xr:uid="{00000000-0005-0000-0000-00004E340000}"/>
    <cellStyle name="40% - Accent3 2 2 11 2" xfId="15942" xr:uid="{00000000-0005-0000-0000-00004F340000}"/>
    <cellStyle name="40% - Accent3 2 2 11 2 2" xfId="29349" xr:uid="{00000000-0005-0000-0000-000050340000}"/>
    <cellStyle name="40% - Accent3 2 2 11 3" xfId="20710" xr:uid="{00000000-0005-0000-0000-000051340000}"/>
    <cellStyle name="40% - Accent3 2 2 12" xfId="9295" xr:uid="{00000000-0005-0000-0000-000052340000}"/>
    <cellStyle name="40% - Accent3 2 2 12 2" xfId="23770" xr:uid="{00000000-0005-0000-0000-000053340000}"/>
    <cellStyle name="40% - Accent3 2 2 13" xfId="20708" xr:uid="{00000000-0005-0000-0000-000054340000}"/>
    <cellStyle name="40% - Accent3 2 2 2" xfId="3385" xr:uid="{00000000-0005-0000-0000-000055340000}"/>
    <cellStyle name="40% - Accent3 2 2 2 10" xfId="3386" xr:uid="{00000000-0005-0000-0000-000056340000}"/>
    <cellStyle name="40% - Accent3 2 2 2 10 2" xfId="16085" xr:uid="{00000000-0005-0000-0000-000057340000}"/>
    <cellStyle name="40% - Accent3 2 2 2 10 2 2" xfId="29492" xr:uid="{00000000-0005-0000-0000-000058340000}"/>
    <cellStyle name="40% - Accent3 2 2 2 10 3" xfId="20712" xr:uid="{00000000-0005-0000-0000-000059340000}"/>
    <cellStyle name="40% - Accent3 2 2 2 11" xfId="9296" xr:uid="{00000000-0005-0000-0000-00005A340000}"/>
    <cellStyle name="40% - Accent3 2 2 2 11 2" xfId="23771" xr:uid="{00000000-0005-0000-0000-00005B340000}"/>
    <cellStyle name="40% - Accent3 2 2 2 12" xfId="20711" xr:uid="{00000000-0005-0000-0000-00005C340000}"/>
    <cellStyle name="40% - Accent3 2 2 2 2" xfId="3387" xr:uid="{00000000-0005-0000-0000-00005D340000}"/>
    <cellStyle name="40% - Accent3 2 2 2 2 10" xfId="9297" xr:uid="{00000000-0005-0000-0000-00005E340000}"/>
    <cellStyle name="40% - Accent3 2 2 2 2 10 2" xfId="23772" xr:uid="{00000000-0005-0000-0000-00005F340000}"/>
    <cellStyle name="40% - Accent3 2 2 2 2 11" xfId="20713" xr:uid="{00000000-0005-0000-0000-000060340000}"/>
    <cellStyle name="40% - Accent3 2 2 2 2 2" xfId="3388" xr:uid="{00000000-0005-0000-0000-000061340000}"/>
    <cellStyle name="40% - Accent3 2 2 2 2 2 2" xfId="3389" xr:uid="{00000000-0005-0000-0000-000062340000}"/>
    <cellStyle name="40% - Accent3 2 2 2 2 2 2 2" xfId="11025" xr:uid="{00000000-0005-0000-0000-000063340000}"/>
    <cellStyle name="40% - Accent3 2 2 2 2 2 2 2 2" xfId="24967" xr:uid="{00000000-0005-0000-0000-000064340000}"/>
    <cellStyle name="40% - Accent3 2 2 2 2 2 2 3" xfId="20715" xr:uid="{00000000-0005-0000-0000-000065340000}"/>
    <cellStyle name="40% - Accent3 2 2 2 2 2 3" xfId="3390" xr:uid="{00000000-0005-0000-0000-000066340000}"/>
    <cellStyle name="40% - Accent3 2 2 2 2 2 3 2" xfId="12659" xr:uid="{00000000-0005-0000-0000-000067340000}"/>
    <cellStyle name="40% - Accent3 2 2 2 2 2 3 2 2" xfId="26371" xr:uid="{00000000-0005-0000-0000-000068340000}"/>
    <cellStyle name="40% - Accent3 2 2 2 2 2 3 3" xfId="20716" xr:uid="{00000000-0005-0000-0000-000069340000}"/>
    <cellStyle name="40% - Accent3 2 2 2 2 2 4" xfId="3391" xr:uid="{00000000-0005-0000-0000-00006A340000}"/>
    <cellStyle name="40% - Accent3 2 2 2 2 2 4 2" xfId="15175" xr:uid="{00000000-0005-0000-0000-00006B340000}"/>
    <cellStyle name="40% - Accent3 2 2 2 2 2 4 2 2" xfId="28724" xr:uid="{00000000-0005-0000-0000-00006C340000}"/>
    <cellStyle name="40% - Accent3 2 2 2 2 2 4 3" xfId="20717" xr:uid="{00000000-0005-0000-0000-00006D340000}"/>
    <cellStyle name="40% - Accent3 2 2 2 2 2 5" xfId="3392" xr:uid="{00000000-0005-0000-0000-00006E340000}"/>
    <cellStyle name="40% - Accent3 2 2 2 2 2 5 2" xfId="16955" xr:uid="{00000000-0005-0000-0000-00006F340000}"/>
    <cellStyle name="40% - Accent3 2 2 2 2 2 5 2 2" xfId="30362" xr:uid="{00000000-0005-0000-0000-000070340000}"/>
    <cellStyle name="40% - Accent3 2 2 2 2 2 5 3" xfId="20718" xr:uid="{00000000-0005-0000-0000-000071340000}"/>
    <cellStyle name="40% - Accent3 2 2 2 2 2 6" xfId="9298" xr:uid="{00000000-0005-0000-0000-000072340000}"/>
    <cellStyle name="40% - Accent3 2 2 2 2 2 6 2" xfId="23773" xr:uid="{00000000-0005-0000-0000-000073340000}"/>
    <cellStyle name="40% - Accent3 2 2 2 2 2 7" xfId="20714" xr:uid="{00000000-0005-0000-0000-000074340000}"/>
    <cellStyle name="40% - Accent3 2 2 2 2 3" xfId="3393" xr:uid="{00000000-0005-0000-0000-000075340000}"/>
    <cellStyle name="40% - Accent3 2 2 2 2 3 2" xfId="3394" xr:uid="{00000000-0005-0000-0000-000076340000}"/>
    <cellStyle name="40% - Accent3 2 2 2 2 3 2 2" xfId="15176" xr:uid="{00000000-0005-0000-0000-000077340000}"/>
    <cellStyle name="40% - Accent3 2 2 2 2 3 2 2 2" xfId="28725" xr:uid="{00000000-0005-0000-0000-000078340000}"/>
    <cellStyle name="40% - Accent3 2 2 2 2 3 2 3" xfId="20720" xr:uid="{00000000-0005-0000-0000-000079340000}"/>
    <cellStyle name="40% - Accent3 2 2 2 2 3 3" xfId="11024" xr:uid="{00000000-0005-0000-0000-00007A340000}"/>
    <cellStyle name="40% - Accent3 2 2 2 2 3 3 2" xfId="24966" xr:uid="{00000000-0005-0000-0000-00007B340000}"/>
    <cellStyle name="40% - Accent3 2 2 2 2 3 4" xfId="20719" xr:uid="{00000000-0005-0000-0000-00007C340000}"/>
    <cellStyle name="40% - Accent3 2 2 2 2 4" xfId="3395" xr:uid="{00000000-0005-0000-0000-00007D340000}"/>
    <cellStyle name="40% - Accent3 2 2 2 2 4 2" xfId="12343" xr:uid="{00000000-0005-0000-0000-00007E340000}"/>
    <cellStyle name="40% - Accent3 2 2 2 2 4 2 2" xfId="26055" xr:uid="{00000000-0005-0000-0000-00007F340000}"/>
    <cellStyle name="40% - Accent3 2 2 2 2 4 3" xfId="20721" xr:uid="{00000000-0005-0000-0000-000080340000}"/>
    <cellStyle name="40% - Accent3 2 2 2 2 5" xfId="3396" xr:uid="{00000000-0005-0000-0000-000081340000}"/>
    <cellStyle name="40% - Accent3 2 2 2 2 5 2" xfId="12622" xr:uid="{00000000-0005-0000-0000-000082340000}"/>
    <cellStyle name="40% - Accent3 2 2 2 2 5 2 2" xfId="26334" xr:uid="{00000000-0005-0000-0000-000083340000}"/>
    <cellStyle name="40% - Accent3 2 2 2 2 5 3" xfId="20722" xr:uid="{00000000-0005-0000-0000-000084340000}"/>
    <cellStyle name="40% - Accent3 2 2 2 2 6" xfId="3397" xr:uid="{00000000-0005-0000-0000-000085340000}"/>
    <cellStyle name="40% - Accent3 2 2 2 2 6 2" xfId="13907" xr:uid="{00000000-0005-0000-0000-000086340000}"/>
    <cellStyle name="40% - Accent3 2 2 2 2 6 2 2" xfId="27456" xr:uid="{00000000-0005-0000-0000-000087340000}"/>
    <cellStyle name="40% - Accent3 2 2 2 2 6 3" xfId="20723" xr:uid="{00000000-0005-0000-0000-000088340000}"/>
    <cellStyle name="40% - Accent3 2 2 2 2 7" xfId="3398" xr:uid="{00000000-0005-0000-0000-000089340000}"/>
    <cellStyle name="40% - Accent3 2 2 2 2 7 2" xfId="14488" xr:uid="{00000000-0005-0000-0000-00008A340000}"/>
    <cellStyle name="40% - Accent3 2 2 2 2 7 2 2" xfId="28037" xr:uid="{00000000-0005-0000-0000-00008B340000}"/>
    <cellStyle name="40% - Accent3 2 2 2 2 7 3" xfId="20724" xr:uid="{00000000-0005-0000-0000-00008C340000}"/>
    <cellStyle name="40% - Accent3 2 2 2 2 8" xfId="3399" xr:uid="{00000000-0005-0000-0000-00008D340000}"/>
    <cellStyle name="40% - Accent3 2 2 2 2 8 2" xfId="15174" xr:uid="{00000000-0005-0000-0000-00008E340000}"/>
    <cellStyle name="40% - Accent3 2 2 2 2 8 2 2" xfId="28723" xr:uid="{00000000-0005-0000-0000-00008F340000}"/>
    <cellStyle name="40% - Accent3 2 2 2 2 8 3" xfId="20725" xr:uid="{00000000-0005-0000-0000-000090340000}"/>
    <cellStyle name="40% - Accent3 2 2 2 2 9" xfId="3400" xr:uid="{00000000-0005-0000-0000-000091340000}"/>
    <cellStyle name="40% - Accent3 2 2 2 2 9 2" xfId="16374" xr:uid="{00000000-0005-0000-0000-000092340000}"/>
    <cellStyle name="40% - Accent3 2 2 2 2 9 2 2" xfId="29781" xr:uid="{00000000-0005-0000-0000-000093340000}"/>
    <cellStyle name="40% - Accent3 2 2 2 2 9 3" xfId="20726" xr:uid="{00000000-0005-0000-0000-000094340000}"/>
    <cellStyle name="40% - Accent3 2 2 2 3" xfId="3401" xr:uid="{00000000-0005-0000-0000-000095340000}"/>
    <cellStyle name="40% - Accent3 2 2 2 3 2" xfId="3402" xr:uid="{00000000-0005-0000-0000-000096340000}"/>
    <cellStyle name="40% - Accent3 2 2 2 3 2 2" xfId="11026" xr:uid="{00000000-0005-0000-0000-000097340000}"/>
    <cellStyle name="40% - Accent3 2 2 2 3 2 2 2" xfId="24968" xr:uid="{00000000-0005-0000-0000-000098340000}"/>
    <cellStyle name="40% - Accent3 2 2 2 3 2 3" xfId="20728" xr:uid="{00000000-0005-0000-0000-000099340000}"/>
    <cellStyle name="40% - Accent3 2 2 2 3 3" xfId="3403" xr:uid="{00000000-0005-0000-0000-00009A340000}"/>
    <cellStyle name="40% - Accent3 2 2 2 3 3 2" xfId="12481" xr:uid="{00000000-0005-0000-0000-00009B340000}"/>
    <cellStyle name="40% - Accent3 2 2 2 3 3 2 2" xfId="26193" xr:uid="{00000000-0005-0000-0000-00009C340000}"/>
    <cellStyle name="40% - Accent3 2 2 2 3 3 3" xfId="20729" xr:uid="{00000000-0005-0000-0000-00009D340000}"/>
    <cellStyle name="40% - Accent3 2 2 2 3 4" xfId="3404" xr:uid="{00000000-0005-0000-0000-00009E340000}"/>
    <cellStyle name="40% - Accent3 2 2 2 3 4 2" xfId="15177" xr:uid="{00000000-0005-0000-0000-00009F340000}"/>
    <cellStyle name="40% - Accent3 2 2 2 3 4 2 2" xfId="28726" xr:uid="{00000000-0005-0000-0000-0000A0340000}"/>
    <cellStyle name="40% - Accent3 2 2 2 3 4 3" xfId="20730" xr:uid="{00000000-0005-0000-0000-0000A1340000}"/>
    <cellStyle name="40% - Accent3 2 2 2 3 5" xfId="3405" xr:uid="{00000000-0005-0000-0000-0000A2340000}"/>
    <cellStyle name="40% - Accent3 2 2 2 3 5 2" xfId="16666" xr:uid="{00000000-0005-0000-0000-0000A3340000}"/>
    <cellStyle name="40% - Accent3 2 2 2 3 5 2 2" xfId="30073" xr:uid="{00000000-0005-0000-0000-0000A4340000}"/>
    <cellStyle name="40% - Accent3 2 2 2 3 5 3" xfId="20731" xr:uid="{00000000-0005-0000-0000-0000A5340000}"/>
    <cellStyle name="40% - Accent3 2 2 2 3 6" xfId="9299" xr:uid="{00000000-0005-0000-0000-0000A6340000}"/>
    <cellStyle name="40% - Accent3 2 2 2 3 6 2" xfId="23774" xr:uid="{00000000-0005-0000-0000-0000A7340000}"/>
    <cellStyle name="40% - Accent3 2 2 2 3 7" xfId="20727" xr:uid="{00000000-0005-0000-0000-0000A8340000}"/>
    <cellStyle name="40% - Accent3 2 2 2 4" xfId="3406" xr:uid="{00000000-0005-0000-0000-0000A9340000}"/>
    <cellStyle name="40% - Accent3 2 2 2 4 2" xfId="3407" xr:uid="{00000000-0005-0000-0000-0000AA340000}"/>
    <cellStyle name="40% - Accent3 2 2 2 4 2 2" xfId="15178" xr:uid="{00000000-0005-0000-0000-0000AB340000}"/>
    <cellStyle name="40% - Accent3 2 2 2 4 2 2 2" xfId="28727" xr:uid="{00000000-0005-0000-0000-0000AC340000}"/>
    <cellStyle name="40% - Accent3 2 2 2 4 2 3" xfId="20733" xr:uid="{00000000-0005-0000-0000-0000AD340000}"/>
    <cellStyle name="40% - Accent3 2 2 2 4 3" xfId="11023" xr:uid="{00000000-0005-0000-0000-0000AE340000}"/>
    <cellStyle name="40% - Accent3 2 2 2 4 3 2" xfId="24965" xr:uid="{00000000-0005-0000-0000-0000AF340000}"/>
    <cellStyle name="40% - Accent3 2 2 2 4 4" xfId="20732" xr:uid="{00000000-0005-0000-0000-0000B0340000}"/>
    <cellStyle name="40% - Accent3 2 2 2 5" xfId="3408" xr:uid="{00000000-0005-0000-0000-0000B1340000}"/>
    <cellStyle name="40% - Accent3 2 2 2 5 2" xfId="12043" xr:uid="{00000000-0005-0000-0000-0000B2340000}"/>
    <cellStyle name="40% - Accent3 2 2 2 5 2 2" xfId="25758" xr:uid="{00000000-0005-0000-0000-0000B3340000}"/>
    <cellStyle name="40% - Accent3 2 2 2 5 3" xfId="20734" xr:uid="{00000000-0005-0000-0000-0000B4340000}"/>
    <cellStyle name="40% - Accent3 2 2 2 6" xfId="3409" xr:uid="{00000000-0005-0000-0000-0000B5340000}"/>
    <cellStyle name="40% - Accent3 2 2 2 6 2" xfId="12457" xr:uid="{00000000-0005-0000-0000-0000B6340000}"/>
    <cellStyle name="40% - Accent3 2 2 2 6 2 2" xfId="26169" xr:uid="{00000000-0005-0000-0000-0000B7340000}"/>
    <cellStyle name="40% - Accent3 2 2 2 6 3" xfId="20735" xr:uid="{00000000-0005-0000-0000-0000B8340000}"/>
    <cellStyle name="40% - Accent3 2 2 2 7" xfId="3410" xr:uid="{00000000-0005-0000-0000-0000B9340000}"/>
    <cellStyle name="40% - Accent3 2 2 2 7 2" xfId="13618" xr:uid="{00000000-0005-0000-0000-0000BA340000}"/>
    <cellStyle name="40% - Accent3 2 2 2 7 2 2" xfId="27167" xr:uid="{00000000-0005-0000-0000-0000BB340000}"/>
    <cellStyle name="40% - Accent3 2 2 2 7 3" xfId="20736" xr:uid="{00000000-0005-0000-0000-0000BC340000}"/>
    <cellStyle name="40% - Accent3 2 2 2 8" xfId="3411" xr:uid="{00000000-0005-0000-0000-0000BD340000}"/>
    <cellStyle name="40% - Accent3 2 2 2 8 2" xfId="14199" xr:uid="{00000000-0005-0000-0000-0000BE340000}"/>
    <cellStyle name="40% - Accent3 2 2 2 8 2 2" xfId="27748" xr:uid="{00000000-0005-0000-0000-0000BF340000}"/>
    <cellStyle name="40% - Accent3 2 2 2 8 3" xfId="20737" xr:uid="{00000000-0005-0000-0000-0000C0340000}"/>
    <cellStyle name="40% - Accent3 2 2 2 9" xfId="3412" xr:uid="{00000000-0005-0000-0000-0000C1340000}"/>
    <cellStyle name="40% - Accent3 2 2 2 9 2" xfId="15173" xr:uid="{00000000-0005-0000-0000-0000C2340000}"/>
    <cellStyle name="40% - Accent3 2 2 2 9 2 2" xfId="28722" xr:uid="{00000000-0005-0000-0000-0000C3340000}"/>
    <cellStyle name="40% - Accent3 2 2 2 9 3" xfId="20738" xr:uid="{00000000-0005-0000-0000-0000C4340000}"/>
    <cellStyle name="40% - Accent3 2 2 3" xfId="3413" xr:uid="{00000000-0005-0000-0000-0000C5340000}"/>
    <cellStyle name="40% - Accent3 2 2 3 10" xfId="9300" xr:uid="{00000000-0005-0000-0000-0000C6340000}"/>
    <cellStyle name="40% - Accent3 2 2 3 10 2" xfId="23775" xr:uid="{00000000-0005-0000-0000-0000C7340000}"/>
    <cellStyle name="40% - Accent3 2 2 3 11" xfId="20739" xr:uid="{00000000-0005-0000-0000-0000C8340000}"/>
    <cellStyle name="40% - Accent3 2 2 3 2" xfId="3414" xr:uid="{00000000-0005-0000-0000-0000C9340000}"/>
    <cellStyle name="40% - Accent3 2 2 3 2 2" xfId="3415" xr:uid="{00000000-0005-0000-0000-0000CA340000}"/>
    <cellStyle name="40% - Accent3 2 2 3 2 2 2" xfId="11028" xr:uid="{00000000-0005-0000-0000-0000CB340000}"/>
    <cellStyle name="40% - Accent3 2 2 3 2 2 2 2" xfId="24970" xr:uid="{00000000-0005-0000-0000-0000CC340000}"/>
    <cellStyle name="40% - Accent3 2 2 3 2 2 3" xfId="20741" xr:uid="{00000000-0005-0000-0000-0000CD340000}"/>
    <cellStyle name="40% - Accent3 2 2 3 2 3" xfId="3416" xr:uid="{00000000-0005-0000-0000-0000CE340000}"/>
    <cellStyle name="40% - Accent3 2 2 3 2 3 2" xfId="12714" xr:uid="{00000000-0005-0000-0000-0000CF340000}"/>
    <cellStyle name="40% - Accent3 2 2 3 2 3 2 2" xfId="26426" xr:uid="{00000000-0005-0000-0000-0000D0340000}"/>
    <cellStyle name="40% - Accent3 2 2 3 2 3 3" xfId="20742" xr:uid="{00000000-0005-0000-0000-0000D1340000}"/>
    <cellStyle name="40% - Accent3 2 2 3 2 4" xfId="3417" xr:uid="{00000000-0005-0000-0000-0000D2340000}"/>
    <cellStyle name="40% - Accent3 2 2 3 2 4 2" xfId="15180" xr:uid="{00000000-0005-0000-0000-0000D3340000}"/>
    <cellStyle name="40% - Accent3 2 2 3 2 4 2 2" xfId="28729" xr:uid="{00000000-0005-0000-0000-0000D4340000}"/>
    <cellStyle name="40% - Accent3 2 2 3 2 4 3" xfId="20743" xr:uid="{00000000-0005-0000-0000-0000D5340000}"/>
    <cellStyle name="40% - Accent3 2 2 3 2 5" xfId="3418" xr:uid="{00000000-0005-0000-0000-0000D6340000}"/>
    <cellStyle name="40% - Accent3 2 2 3 2 5 2" xfId="16812" xr:uid="{00000000-0005-0000-0000-0000D7340000}"/>
    <cellStyle name="40% - Accent3 2 2 3 2 5 2 2" xfId="30219" xr:uid="{00000000-0005-0000-0000-0000D8340000}"/>
    <cellStyle name="40% - Accent3 2 2 3 2 5 3" xfId="20744" xr:uid="{00000000-0005-0000-0000-0000D9340000}"/>
    <cellStyle name="40% - Accent3 2 2 3 2 6" xfId="9301" xr:uid="{00000000-0005-0000-0000-0000DA340000}"/>
    <cellStyle name="40% - Accent3 2 2 3 2 6 2" xfId="23776" xr:uid="{00000000-0005-0000-0000-0000DB340000}"/>
    <cellStyle name="40% - Accent3 2 2 3 2 7" xfId="20740" xr:uid="{00000000-0005-0000-0000-0000DC340000}"/>
    <cellStyle name="40% - Accent3 2 2 3 3" xfId="3419" xr:uid="{00000000-0005-0000-0000-0000DD340000}"/>
    <cellStyle name="40% - Accent3 2 2 3 3 2" xfId="3420" xr:uid="{00000000-0005-0000-0000-0000DE340000}"/>
    <cellStyle name="40% - Accent3 2 2 3 3 2 2" xfId="15181" xr:uid="{00000000-0005-0000-0000-0000DF340000}"/>
    <cellStyle name="40% - Accent3 2 2 3 3 2 2 2" xfId="28730" xr:uid="{00000000-0005-0000-0000-0000E0340000}"/>
    <cellStyle name="40% - Accent3 2 2 3 3 2 3" xfId="20746" xr:uid="{00000000-0005-0000-0000-0000E1340000}"/>
    <cellStyle name="40% - Accent3 2 2 3 3 3" xfId="11027" xr:uid="{00000000-0005-0000-0000-0000E2340000}"/>
    <cellStyle name="40% - Accent3 2 2 3 3 3 2" xfId="24969" xr:uid="{00000000-0005-0000-0000-0000E3340000}"/>
    <cellStyle name="40% - Accent3 2 2 3 3 4" xfId="20745" xr:uid="{00000000-0005-0000-0000-0000E4340000}"/>
    <cellStyle name="40% - Accent3 2 2 3 4" xfId="3421" xr:uid="{00000000-0005-0000-0000-0000E5340000}"/>
    <cellStyle name="40% - Accent3 2 2 3 4 2" xfId="12200" xr:uid="{00000000-0005-0000-0000-0000E6340000}"/>
    <cellStyle name="40% - Accent3 2 2 3 4 2 2" xfId="25912" xr:uid="{00000000-0005-0000-0000-0000E7340000}"/>
    <cellStyle name="40% - Accent3 2 2 3 4 3" xfId="20747" xr:uid="{00000000-0005-0000-0000-0000E8340000}"/>
    <cellStyle name="40% - Accent3 2 2 3 5" xfId="3422" xr:uid="{00000000-0005-0000-0000-0000E9340000}"/>
    <cellStyle name="40% - Accent3 2 2 3 5 2" xfId="12490" xr:uid="{00000000-0005-0000-0000-0000EA340000}"/>
    <cellStyle name="40% - Accent3 2 2 3 5 2 2" xfId="26202" xr:uid="{00000000-0005-0000-0000-0000EB340000}"/>
    <cellStyle name="40% - Accent3 2 2 3 5 3" xfId="20748" xr:uid="{00000000-0005-0000-0000-0000EC340000}"/>
    <cellStyle name="40% - Accent3 2 2 3 6" xfId="3423" xr:uid="{00000000-0005-0000-0000-0000ED340000}"/>
    <cellStyle name="40% - Accent3 2 2 3 6 2" xfId="13764" xr:uid="{00000000-0005-0000-0000-0000EE340000}"/>
    <cellStyle name="40% - Accent3 2 2 3 6 2 2" xfId="27313" xr:uid="{00000000-0005-0000-0000-0000EF340000}"/>
    <cellStyle name="40% - Accent3 2 2 3 6 3" xfId="20749" xr:uid="{00000000-0005-0000-0000-0000F0340000}"/>
    <cellStyle name="40% - Accent3 2 2 3 7" xfId="3424" xr:uid="{00000000-0005-0000-0000-0000F1340000}"/>
    <cellStyle name="40% - Accent3 2 2 3 7 2" xfId="14345" xr:uid="{00000000-0005-0000-0000-0000F2340000}"/>
    <cellStyle name="40% - Accent3 2 2 3 7 2 2" xfId="27894" xr:uid="{00000000-0005-0000-0000-0000F3340000}"/>
    <cellStyle name="40% - Accent3 2 2 3 7 3" xfId="20750" xr:uid="{00000000-0005-0000-0000-0000F4340000}"/>
    <cellStyle name="40% - Accent3 2 2 3 8" xfId="3425" xr:uid="{00000000-0005-0000-0000-0000F5340000}"/>
    <cellStyle name="40% - Accent3 2 2 3 8 2" xfId="15179" xr:uid="{00000000-0005-0000-0000-0000F6340000}"/>
    <cellStyle name="40% - Accent3 2 2 3 8 2 2" xfId="28728" xr:uid="{00000000-0005-0000-0000-0000F7340000}"/>
    <cellStyle name="40% - Accent3 2 2 3 8 3" xfId="20751" xr:uid="{00000000-0005-0000-0000-0000F8340000}"/>
    <cellStyle name="40% - Accent3 2 2 3 9" xfId="3426" xr:uid="{00000000-0005-0000-0000-0000F9340000}"/>
    <cellStyle name="40% - Accent3 2 2 3 9 2" xfId="16231" xr:uid="{00000000-0005-0000-0000-0000FA340000}"/>
    <cellStyle name="40% - Accent3 2 2 3 9 2 2" xfId="29638" xr:uid="{00000000-0005-0000-0000-0000FB340000}"/>
    <cellStyle name="40% - Accent3 2 2 3 9 3" xfId="20752" xr:uid="{00000000-0005-0000-0000-0000FC340000}"/>
    <cellStyle name="40% - Accent3 2 2 4" xfId="3427" xr:uid="{00000000-0005-0000-0000-0000FD340000}"/>
    <cellStyle name="40% - Accent3 2 2 4 2" xfId="3428" xr:uid="{00000000-0005-0000-0000-0000FE340000}"/>
    <cellStyle name="40% - Accent3 2 2 4 2 2" xfId="11029" xr:uid="{00000000-0005-0000-0000-0000FF340000}"/>
    <cellStyle name="40% - Accent3 2 2 4 2 2 2" xfId="24971" xr:uid="{00000000-0005-0000-0000-000000350000}"/>
    <cellStyle name="40% - Accent3 2 2 4 2 3" xfId="20754" xr:uid="{00000000-0005-0000-0000-000001350000}"/>
    <cellStyle name="40% - Accent3 2 2 4 3" xfId="3429" xr:uid="{00000000-0005-0000-0000-000002350000}"/>
    <cellStyle name="40% - Accent3 2 2 4 3 2" xfId="12380" xr:uid="{00000000-0005-0000-0000-000003350000}"/>
    <cellStyle name="40% - Accent3 2 2 4 3 2 2" xfId="26092" xr:uid="{00000000-0005-0000-0000-000004350000}"/>
    <cellStyle name="40% - Accent3 2 2 4 3 3" xfId="20755" xr:uid="{00000000-0005-0000-0000-000005350000}"/>
    <cellStyle name="40% - Accent3 2 2 4 4" xfId="3430" xr:uid="{00000000-0005-0000-0000-000006350000}"/>
    <cellStyle name="40% - Accent3 2 2 4 4 2" xfId="15182" xr:uid="{00000000-0005-0000-0000-000007350000}"/>
    <cellStyle name="40% - Accent3 2 2 4 4 2 2" xfId="28731" xr:uid="{00000000-0005-0000-0000-000008350000}"/>
    <cellStyle name="40% - Accent3 2 2 4 4 3" xfId="20756" xr:uid="{00000000-0005-0000-0000-000009350000}"/>
    <cellStyle name="40% - Accent3 2 2 4 5" xfId="3431" xr:uid="{00000000-0005-0000-0000-00000A350000}"/>
    <cellStyle name="40% - Accent3 2 2 4 5 2" xfId="17159" xr:uid="{00000000-0005-0000-0000-00000B350000}"/>
    <cellStyle name="40% - Accent3 2 2 4 5 2 2" xfId="30518" xr:uid="{00000000-0005-0000-0000-00000C350000}"/>
    <cellStyle name="40% - Accent3 2 2 4 5 3" xfId="20757" xr:uid="{00000000-0005-0000-0000-00000D350000}"/>
    <cellStyle name="40% - Accent3 2 2 4 6" xfId="9302" xr:uid="{00000000-0005-0000-0000-00000E350000}"/>
    <cellStyle name="40% - Accent3 2 2 4 6 2" xfId="23777" xr:uid="{00000000-0005-0000-0000-00000F350000}"/>
    <cellStyle name="40% - Accent3 2 2 4 7" xfId="20753" xr:uid="{00000000-0005-0000-0000-000010350000}"/>
    <cellStyle name="40% - Accent3 2 2 5" xfId="3432" xr:uid="{00000000-0005-0000-0000-000011350000}"/>
    <cellStyle name="40% - Accent3 2 2 5 2" xfId="3433" xr:uid="{00000000-0005-0000-0000-000012350000}"/>
    <cellStyle name="40% - Accent3 2 2 5 2 2" xfId="15183" xr:uid="{00000000-0005-0000-0000-000013350000}"/>
    <cellStyle name="40% - Accent3 2 2 5 2 2 2" xfId="28732" xr:uid="{00000000-0005-0000-0000-000014350000}"/>
    <cellStyle name="40% - Accent3 2 2 5 2 3" xfId="20759" xr:uid="{00000000-0005-0000-0000-000015350000}"/>
    <cellStyle name="40% - Accent3 2 2 5 3" xfId="3434" xr:uid="{00000000-0005-0000-0000-000016350000}"/>
    <cellStyle name="40% - Accent3 2 2 5 3 2" xfId="17248" xr:uid="{00000000-0005-0000-0000-000017350000}"/>
    <cellStyle name="40% - Accent3 2 2 5 3 2 2" xfId="30607" xr:uid="{00000000-0005-0000-0000-000018350000}"/>
    <cellStyle name="40% - Accent3 2 2 5 3 3" xfId="20760" xr:uid="{00000000-0005-0000-0000-000019350000}"/>
    <cellStyle name="40% - Accent3 2 2 5 4" xfId="11022" xr:uid="{00000000-0005-0000-0000-00001A350000}"/>
    <cellStyle name="40% - Accent3 2 2 5 4 2" xfId="24964" xr:uid="{00000000-0005-0000-0000-00001B350000}"/>
    <cellStyle name="40% - Accent3 2 2 5 5" xfId="20758" xr:uid="{00000000-0005-0000-0000-00001C350000}"/>
    <cellStyle name="40% - Accent3 2 2 6" xfId="3435" xr:uid="{00000000-0005-0000-0000-00001D350000}"/>
    <cellStyle name="40% - Accent3 2 2 6 2" xfId="3436" xr:uid="{00000000-0005-0000-0000-00001E350000}"/>
    <cellStyle name="40% - Accent3 2 2 6 2 2" xfId="16523" xr:uid="{00000000-0005-0000-0000-00001F350000}"/>
    <cellStyle name="40% - Accent3 2 2 6 2 2 2" xfId="29930" xr:uid="{00000000-0005-0000-0000-000020350000}"/>
    <cellStyle name="40% - Accent3 2 2 6 2 3" xfId="20762" xr:uid="{00000000-0005-0000-0000-000021350000}"/>
    <cellStyle name="40% - Accent3 2 2 6 3" xfId="11898" xr:uid="{00000000-0005-0000-0000-000022350000}"/>
    <cellStyle name="40% - Accent3 2 2 6 3 2" xfId="25613" xr:uid="{00000000-0005-0000-0000-000023350000}"/>
    <cellStyle name="40% - Accent3 2 2 6 4" xfId="20761" xr:uid="{00000000-0005-0000-0000-000024350000}"/>
    <cellStyle name="40% - Accent3 2 2 7" xfId="3437" xr:uid="{00000000-0005-0000-0000-000025350000}"/>
    <cellStyle name="40% - Accent3 2 2 7 2" xfId="12388" xr:uid="{00000000-0005-0000-0000-000026350000}"/>
    <cellStyle name="40% - Accent3 2 2 7 2 2" xfId="26100" xr:uid="{00000000-0005-0000-0000-000027350000}"/>
    <cellStyle name="40% - Accent3 2 2 7 3" xfId="20763" xr:uid="{00000000-0005-0000-0000-000028350000}"/>
    <cellStyle name="40% - Accent3 2 2 8" xfId="3438" xr:uid="{00000000-0005-0000-0000-000029350000}"/>
    <cellStyle name="40% - Accent3 2 2 8 2" xfId="13475" xr:uid="{00000000-0005-0000-0000-00002A350000}"/>
    <cellStyle name="40% - Accent3 2 2 8 2 2" xfId="27024" xr:uid="{00000000-0005-0000-0000-00002B350000}"/>
    <cellStyle name="40% - Accent3 2 2 8 3" xfId="20764" xr:uid="{00000000-0005-0000-0000-00002C350000}"/>
    <cellStyle name="40% - Accent3 2 2 9" xfId="3439" xr:uid="{00000000-0005-0000-0000-00002D350000}"/>
    <cellStyle name="40% - Accent3 2 2 9 2" xfId="14056" xr:uid="{00000000-0005-0000-0000-00002E350000}"/>
    <cellStyle name="40% - Accent3 2 2 9 2 2" xfId="27605" xr:uid="{00000000-0005-0000-0000-00002F350000}"/>
    <cellStyle name="40% - Accent3 2 2 9 3" xfId="20765" xr:uid="{00000000-0005-0000-0000-000030350000}"/>
    <cellStyle name="40% - Accent3 2 3" xfId="3440" xr:uid="{00000000-0005-0000-0000-000031350000}"/>
    <cellStyle name="40% - Accent3 2 3 10" xfId="3441" xr:uid="{00000000-0005-0000-0000-000032350000}"/>
    <cellStyle name="40% - Accent3 2 3 10 2" xfId="16039" xr:uid="{00000000-0005-0000-0000-000033350000}"/>
    <cellStyle name="40% - Accent3 2 3 10 2 2" xfId="29446" xr:uid="{00000000-0005-0000-0000-000034350000}"/>
    <cellStyle name="40% - Accent3 2 3 10 3" xfId="20767" xr:uid="{00000000-0005-0000-0000-000035350000}"/>
    <cellStyle name="40% - Accent3 2 3 11" xfId="9303" xr:uid="{00000000-0005-0000-0000-000036350000}"/>
    <cellStyle name="40% - Accent3 2 3 11 2" xfId="23778" xr:uid="{00000000-0005-0000-0000-000037350000}"/>
    <cellStyle name="40% - Accent3 2 3 12" xfId="20766" xr:uid="{00000000-0005-0000-0000-000038350000}"/>
    <cellStyle name="40% - Accent3 2 3 2" xfId="3442" xr:uid="{00000000-0005-0000-0000-000039350000}"/>
    <cellStyle name="40% - Accent3 2 3 2 10" xfId="9304" xr:uid="{00000000-0005-0000-0000-00003A350000}"/>
    <cellStyle name="40% - Accent3 2 3 2 10 2" xfId="23779" xr:uid="{00000000-0005-0000-0000-00003B350000}"/>
    <cellStyle name="40% - Accent3 2 3 2 11" xfId="20768" xr:uid="{00000000-0005-0000-0000-00003C350000}"/>
    <cellStyle name="40% - Accent3 2 3 2 2" xfId="3443" xr:uid="{00000000-0005-0000-0000-00003D350000}"/>
    <cellStyle name="40% - Accent3 2 3 2 2 2" xfId="3444" xr:uid="{00000000-0005-0000-0000-00003E350000}"/>
    <cellStyle name="40% - Accent3 2 3 2 2 2 2" xfId="11032" xr:uid="{00000000-0005-0000-0000-00003F350000}"/>
    <cellStyle name="40% - Accent3 2 3 2 2 2 2 2" xfId="24974" xr:uid="{00000000-0005-0000-0000-000040350000}"/>
    <cellStyle name="40% - Accent3 2 3 2 2 2 3" xfId="20770" xr:uid="{00000000-0005-0000-0000-000041350000}"/>
    <cellStyle name="40% - Accent3 2 3 2 2 3" xfId="3445" xr:uid="{00000000-0005-0000-0000-000042350000}"/>
    <cellStyle name="40% - Accent3 2 3 2 2 3 2" xfId="12419" xr:uid="{00000000-0005-0000-0000-000043350000}"/>
    <cellStyle name="40% - Accent3 2 3 2 2 3 2 2" xfId="26131" xr:uid="{00000000-0005-0000-0000-000044350000}"/>
    <cellStyle name="40% - Accent3 2 3 2 2 3 3" xfId="20771" xr:uid="{00000000-0005-0000-0000-000045350000}"/>
    <cellStyle name="40% - Accent3 2 3 2 2 4" xfId="3446" xr:uid="{00000000-0005-0000-0000-000046350000}"/>
    <cellStyle name="40% - Accent3 2 3 2 2 4 2" xfId="15186" xr:uid="{00000000-0005-0000-0000-000047350000}"/>
    <cellStyle name="40% - Accent3 2 3 2 2 4 2 2" xfId="28735" xr:uid="{00000000-0005-0000-0000-000048350000}"/>
    <cellStyle name="40% - Accent3 2 3 2 2 4 3" xfId="20772" xr:uid="{00000000-0005-0000-0000-000049350000}"/>
    <cellStyle name="40% - Accent3 2 3 2 2 5" xfId="3447" xr:uid="{00000000-0005-0000-0000-00004A350000}"/>
    <cellStyle name="40% - Accent3 2 3 2 2 5 2" xfId="16909" xr:uid="{00000000-0005-0000-0000-00004B350000}"/>
    <cellStyle name="40% - Accent3 2 3 2 2 5 2 2" xfId="30316" xr:uid="{00000000-0005-0000-0000-00004C350000}"/>
    <cellStyle name="40% - Accent3 2 3 2 2 5 3" xfId="20773" xr:uid="{00000000-0005-0000-0000-00004D350000}"/>
    <cellStyle name="40% - Accent3 2 3 2 2 6" xfId="9305" xr:uid="{00000000-0005-0000-0000-00004E350000}"/>
    <cellStyle name="40% - Accent3 2 3 2 2 6 2" xfId="23780" xr:uid="{00000000-0005-0000-0000-00004F350000}"/>
    <cellStyle name="40% - Accent3 2 3 2 2 7" xfId="20769" xr:uid="{00000000-0005-0000-0000-000050350000}"/>
    <cellStyle name="40% - Accent3 2 3 2 3" xfId="3448" xr:uid="{00000000-0005-0000-0000-000051350000}"/>
    <cellStyle name="40% - Accent3 2 3 2 3 2" xfId="3449" xr:uid="{00000000-0005-0000-0000-000052350000}"/>
    <cellStyle name="40% - Accent3 2 3 2 3 2 2" xfId="15187" xr:uid="{00000000-0005-0000-0000-000053350000}"/>
    <cellStyle name="40% - Accent3 2 3 2 3 2 2 2" xfId="28736" xr:uid="{00000000-0005-0000-0000-000054350000}"/>
    <cellStyle name="40% - Accent3 2 3 2 3 2 3" xfId="20775" xr:uid="{00000000-0005-0000-0000-000055350000}"/>
    <cellStyle name="40% - Accent3 2 3 2 3 3" xfId="11031" xr:uid="{00000000-0005-0000-0000-000056350000}"/>
    <cellStyle name="40% - Accent3 2 3 2 3 3 2" xfId="24973" xr:uid="{00000000-0005-0000-0000-000057350000}"/>
    <cellStyle name="40% - Accent3 2 3 2 3 4" xfId="20774" xr:uid="{00000000-0005-0000-0000-000058350000}"/>
    <cellStyle name="40% - Accent3 2 3 2 4" xfId="3450" xr:uid="{00000000-0005-0000-0000-000059350000}"/>
    <cellStyle name="40% - Accent3 2 3 2 4 2" xfId="12297" xr:uid="{00000000-0005-0000-0000-00005A350000}"/>
    <cellStyle name="40% - Accent3 2 3 2 4 2 2" xfId="26009" xr:uid="{00000000-0005-0000-0000-00005B350000}"/>
    <cellStyle name="40% - Accent3 2 3 2 4 3" xfId="20776" xr:uid="{00000000-0005-0000-0000-00005C350000}"/>
    <cellStyle name="40% - Accent3 2 3 2 5" xfId="3451" xr:uid="{00000000-0005-0000-0000-00005D350000}"/>
    <cellStyle name="40% - Accent3 2 3 2 5 2" xfId="12563" xr:uid="{00000000-0005-0000-0000-00005E350000}"/>
    <cellStyle name="40% - Accent3 2 3 2 5 2 2" xfId="26275" xr:uid="{00000000-0005-0000-0000-00005F350000}"/>
    <cellStyle name="40% - Accent3 2 3 2 5 3" xfId="20777" xr:uid="{00000000-0005-0000-0000-000060350000}"/>
    <cellStyle name="40% - Accent3 2 3 2 6" xfId="3452" xr:uid="{00000000-0005-0000-0000-000061350000}"/>
    <cellStyle name="40% - Accent3 2 3 2 6 2" xfId="13861" xr:uid="{00000000-0005-0000-0000-000062350000}"/>
    <cellStyle name="40% - Accent3 2 3 2 6 2 2" xfId="27410" xr:uid="{00000000-0005-0000-0000-000063350000}"/>
    <cellStyle name="40% - Accent3 2 3 2 6 3" xfId="20778" xr:uid="{00000000-0005-0000-0000-000064350000}"/>
    <cellStyle name="40% - Accent3 2 3 2 7" xfId="3453" xr:uid="{00000000-0005-0000-0000-000065350000}"/>
    <cellStyle name="40% - Accent3 2 3 2 7 2" xfId="14442" xr:uid="{00000000-0005-0000-0000-000066350000}"/>
    <cellStyle name="40% - Accent3 2 3 2 7 2 2" xfId="27991" xr:uid="{00000000-0005-0000-0000-000067350000}"/>
    <cellStyle name="40% - Accent3 2 3 2 7 3" xfId="20779" xr:uid="{00000000-0005-0000-0000-000068350000}"/>
    <cellStyle name="40% - Accent3 2 3 2 8" xfId="3454" xr:uid="{00000000-0005-0000-0000-000069350000}"/>
    <cellStyle name="40% - Accent3 2 3 2 8 2" xfId="15185" xr:uid="{00000000-0005-0000-0000-00006A350000}"/>
    <cellStyle name="40% - Accent3 2 3 2 8 2 2" xfId="28734" xr:uid="{00000000-0005-0000-0000-00006B350000}"/>
    <cellStyle name="40% - Accent3 2 3 2 8 3" xfId="20780" xr:uid="{00000000-0005-0000-0000-00006C350000}"/>
    <cellStyle name="40% - Accent3 2 3 2 9" xfId="3455" xr:uid="{00000000-0005-0000-0000-00006D350000}"/>
    <cellStyle name="40% - Accent3 2 3 2 9 2" xfId="16328" xr:uid="{00000000-0005-0000-0000-00006E350000}"/>
    <cellStyle name="40% - Accent3 2 3 2 9 2 2" xfId="29735" xr:uid="{00000000-0005-0000-0000-00006F350000}"/>
    <cellStyle name="40% - Accent3 2 3 2 9 3" xfId="20781" xr:uid="{00000000-0005-0000-0000-000070350000}"/>
    <cellStyle name="40% - Accent3 2 3 3" xfId="3456" xr:uid="{00000000-0005-0000-0000-000071350000}"/>
    <cellStyle name="40% - Accent3 2 3 3 2" xfId="3457" xr:uid="{00000000-0005-0000-0000-000072350000}"/>
    <cellStyle name="40% - Accent3 2 3 3 2 2" xfId="11033" xr:uid="{00000000-0005-0000-0000-000073350000}"/>
    <cellStyle name="40% - Accent3 2 3 3 2 2 2" xfId="24975" xr:uid="{00000000-0005-0000-0000-000074350000}"/>
    <cellStyle name="40% - Accent3 2 3 3 2 3" xfId="20783" xr:uid="{00000000-0005-0000-0000-000075350000}"/>
    <cellStyle name="40% - Accent3 2 3 3 3" xfId="3458" xr:uid="{00000000-0005-0000-0000-000076350000}"/>
    <cellStyle name="40% - Accent3 2 3 3 3 2" xfId="12802" xr:uid="{00000000-0005-0000-0000-000077350000}"/>
    <cellStyle name="40% - Accent3 2 3 3 3 2 2" xfId="26514" xr:uid="{00000000-0005-0000-0000-000078350000}"/>
    <cellStyle name="40% - Accent3 2 3 3 3 3" xfId="20784" xr:uid="{00000000-0005-0000-0000-000079350000}"/>
    <cellStyle name="40% - Accent3 2 3 3 4" xfId="3459" xr:uid="{00000000-0005-0000-0000-00007A350000}"/>
    <cellStyle name="40% - Accent3 2 3 3 4 2" xfId="15188" xr:uid="{00000000-0005-0000-0000-00007B350000}"/>
    <cellStyle name="40% - Accent3 2 3 3 4 2 2" xfId="28737" xr:uid="{00000000-0005-0000-0000-00007C350000}"/>
    <cellStyle name="40% - Accent3 2 3 3 4 3" xfId="20785" xr:uid="{00000000-0005-0000-0000-00007D350000}"/>
    <cellStyle name="40% - Accent3 2 3 3 5" xfId="3460" xr:uid="{00000000-0005-0000-0000-00007E350000}"/>
    <cellStyle name="40% - Accent3 2 3 3 5 2" xfId="16620" xr:uid="{00000000-0005-0000-0000-00007F350000}"/>
    <cellStyle name="40% - Accent3 2 3 3 5 2 2" xfId="30027" xr:uid="{00000000-0005-0000-0000-000080350000}"/>
    <cellStyle name="40% - Accent3 2 3 3 5 3" xfId="20786" xr:uid="{00000000-0005-0000-0000-000081350000}"/>
    <cellStyle name="40% - Accent3 2 3 3 6" xfId="9306" xr:uid="{00000000-0005-0000-0000-000082350000}"/>
    <cellStyle name="40% - Accent3 2 3 3 6 2" xfId="23781" xr:uid="{00000000-0005-0000-0000-000083350000}"/>
    <cellStyle name="40% - Accent3 2 3 3 7" xfId="20782" xr:uid="{00000000-0005-0000-0000-000084350000}"/>
    <cellStyle name="40% - Accent3 2 3 4" xfId="3461" xr:uid="{00000000-0005-0000-0000-000085350000}"/>
    <cellStyle name="40% - Accent3 2 3 4 2" xfId="3462" xr:uid="{00000000-0005-0000-0000-000086350000}"/>
    <cellStyle name="40% - Accent3 2 3 4 2 2" xfId="15189" xr:uid="{00000000-0005-0000-0000-000087350000}"/>
    <cellStyle name="40% - Accent3 2 3 4 2 2 2" xfId="28738" xr:uid="{00000000-0005-0000-0000-000088350000}"/>
    <cellStyle name="40% - Accent3 2 3 4 2 3" xfId="20788" xr:uid="{00000000-0005-0000-0000-000089350000}"/>
    <cellStyle name="40% - Accent3 2 3 4 3" xfId="11030" xr:uid="{00000000-0005-0000-0000-00008A350000}"/>
    <cellStyle name="40% - Accent3 2 3 4 3 2" xfId="24972" xr:uid="{00000000-0005-0000-0000-00008B350000}"/>
    <cellStyle name="40% - Accent3 2 3 4 4" xfId="20787" xr:uid="{00000000-0005-0000-0000-00008C350000}"/>
    <cellStyle name="40% - Accent3 2 3 5" xfId="3463" xr:uid="{00000000-0005-0000-0000-00008D350000}"/>
    <cellStyle name="40% - Accent3 2 3 5 2" xfId="11997" xr:uid="{00000000-0005-0000-0000-00008E350000}"/>
    <cellStyle name="40% - Accent3 2 3 5 2 2" xfId="25712" xr:uid="{00000000-0005-0000-0000-00008F350000}"/>
    <cellStyle name="40% - Accent3 2 3 5 3" xfId="20789" xr:uid="{00000000-0005-0000-0000-000090350000}"/>
    <cellStyle name="40% - Accent3 2 3 6" xfId="3464" xr:uid="{00000000-0005-0000-0000-000091350000}"/>
    <cellStyle name="40% - Accent3 2 3 6 2" xfId="12607" xr:uid="{00000000-0005-0000-0000-000092350000}"/>
    <cellStyle name="40% - Accent3 2 3 6 2 2" xfId="26319" xr:uid="{00000000-0005-0000-0000-000093350000}"/>
    <cellStyle name="40% - Accent3 2 3 6 3" xfId="20790" xr:uid="{00000000-0005-0000-0000-000094350000}"/>
    <cellStyle name="40% - Accent3 2 3 7" xfId="3465" xr:uid="{00000000-0005-0000-0000-000095350000}"/>
    <cellStyle name="40% - Accent3 2 3 7 2" xfId="13572" xr:uid="{00000000-0005-0000-0000-000096350000}"/>
    <cellStyle name="40% - Accent3 2 3 7 2 2" xfId="27121" xr:uid="{00000000-0005-0000-0000-000097350000}"/>
    <cellStyle name="40% - Accent3 2 3 7 3" xfId="20791" xr:uid="{00000000-0005-0000-0000-000098350000}"/>
    <cellStyle name="40% - Accent3 2 3 8" xfId="3466" xr:uid="{00000000-0005-0000-0000-000099350000}"/>
    <cellStyle name="40% - Accent3 2 3 8 2" xfId="14153" xr:uid="{00000000-0005-0000-0000-00009A350000}"/>
    <cellStyle name="40% - Accent3 2 3 8 2 2" xfId="27702" xr:uid="{00000000-0005-0000-0000-00009B350000}"/>
    <cellStyle name="40% - Accent3 2 3 8 3" xfId="20792" xr:uid="{00000000-0005-0000-0000-00009C350000}"/>
    <cellStyle name="40% - Accent3 2 3 9" xfId="3467" xr:uid="{00000000-0005-0000-0000-00009D350000}"/>
    <cellStyle name="40% - Accent3 2 3 9 2" xfId="15184" xr:uid="{00000000-0005-0000-0000-00009E350000}"/>
    <cellStyle name="40% - Accent3 2 3 9 2 2" xfId="28733" xr:uid="{00000000-0005-0000-0000-00009F350000}"/>
    <cellStyle name="40% - Accent3 2 3 9 3" xfId="20793" xr:uid="{00000000-0005-0000-0000-0000A0350000}"/>
    <cellStyle name="40% - Accent3 2 4" xfId="3468" xr:uid="{00000000-0005-0000-0000-0000A1350000}"/>
    <cellStyle name="40% - Accent3 2 4 10" xfId="9307" xr:uid="{00000000-0005-0000-0000-0000A2350000}"/>
    <cellStyle name="40% - Accent3 2 4 10 2" xfId="23782" xr:uid="{00000000-0005-0000-0000-0000A3350000}"/>
    <cellStyle name="40% - Accent3 2 4 11" xfId="20794" xr:uid="{00000000-0005-0000-0000-0000A4350000}"/>
    <cellStyle name="40% - Accent3 2 4 2" xfId="3469" xr:uid="{00000000-0005-0000-0000-0000A5350000}"/>
    <cellStyle name="40% - Accent3 2 4 2 2" xfId="3470" xr:uid="{00000000-0005-0000-0000-0000A6350000}"/>
    <cellStyle name="40% - Accent3 2 4 2 2 2" xfId="11035" xr:uid="{00000000-0005-0000-0000-0000A7350000}"/>
    <cellStyle name="40% - Accent3 2 4 2 2 2 2" xfId="24977" xr:uid="{00000000-0005-0000-0000-0000A8350000}"/>
    <cellStyle name="40% - Accent3 2 4 2 2 3" xfId="20796" xr:uid="{00000000-0005-0000-0000-0000A9350000}"/>
    <cellStyle name="40% - Accent3 2 4 2 3" xfId="3471" xr:uid="{00000000-0005-0000-0000-0000AA350000}"/>
    <cellStyle name="40% - Accent3 2 4 2 3 2" xfId="12804" xr:uid="{00000000-0005-0000-0000-0000AB350000}"/>
    <cellStyle name="40% - Accent3 2 4 2 3 2 2" xfId="26516" xr:uid="{00000000-0005-0000-0000-0000AC350000}"/>
    <cellStyle name="40% - Accent3 2 4 2 3 3" xfId="20797" xr:uid="{00000000-0005-0000-0000-0000AD350000}"/>
    <cellStyle name="40% - Accent3 2 4 2 4" xfId="3472" xr:uid="{00000000-0005-0000-0000-0000AE350000}"/>
    <cellStyle name="40% - Accent3 2 4 2 4 2" xfId="15191" xr:uid="{00000000-0005-0000-0000-0000AF350000}"/>
    <cellStyle name="40% - Accent3 2 4 2 4 2 2" xfId="28740" xr:uid="{00000000-0005-0000-0000-0000B0350000}"/>
    <cellStyle name="40% - Accent3 2 4 2 4 3" xfId="20798" xr:uid="{00000000-0005-0000-0000-0000B1350000}"/>
    <cellStyle name="40% - Accent3 2 4 2 5" xfId="3473" xr:uid="{00000000-0005-0000-0000-0000B2350000}"/>
    <cellStyle name="40% - Accent3 2 4 2 5 2" xfId="16766" xr:uid="{00000000-0005-0000-0000-0000B3350000}"/>
    <cellStyle name="40% - Accent3 2 4 2 5 2 2" xfId="30173" xr:uid="{00000000-0005-0000-0000-0000B4350000}"/>
    <cellStyle name="40% - Accent3 2 4 2 5 3" xfId="20799" xr:uid="{00000000-0005-0000-0000-0000B5350000}"/>
    <cellStyle name="40% - Accent3 2 4 2 6" xfId="9308" xr:uid="{00000000-0005-0000-0000-0000B6350000}"/>
    <cellStyle name="40% - Accent3 2 4 2 6 2" xfId="23783" xr:uid="{00000000-0005-0000-0000-0000B7350000}"/>
    <cellStyle name="40% - Accent3 2 4 2 7" xfId="20795" xr:uid="{00000000-0005-0000-0000-0000B8350000}"/>
    <cellStyle name="40% - Accent3 2 4 3" xfId="3474" xr:uid="{00000000-0005-0000-0000-0000B9350000}"/>
    <cellStyle name="40% - Accent3 2 4 3 2" xfId="3475" xr:uid="{00000000-0005-0000-0000-0000BA350000}"/>
    <cellStyle name="40% - Accent3 2 4 3 2 2" xfId="15192" xr:uid="{00000000-0005-0000-0000-0000BB350000}"/>
    <cellStyle name="40% - Accent3 2 4 3 2 2 2" xfId="28741" xr:uid="{00000000-0005-0000-0000-0000BC350000}"/>
    <cellStyle name="40% - Accent3 2 4 3 2 3" xfId="20801" xr:uid="{00000000-0005-0000-0000-0000BD350000}"/>
    <cellStyle name="40% - Accent3 2 4 3 3" xfId="11034" xr:uid="{00000000-0005-0000-0000-0000BE350000}"/>
    <cellStyle name="40% - Accent3 2 4 3 3 2" xfId="24976" xr:uid="{00000000-0005-0000-0000-0000BF350000}"/>
    <cellStyle name="40% - Accent3 2 4 3 4" xfId="20800" xr:uid="{00000000-0005-0000-0000-0000C0350000}"/>
    <cellStyle name="40% - Accent3 2 4 4" xfId="3476" xr:uid="{00000000-0005-0000-0000-0000C1350000}"/>
    <cellStyle name="40% - Accent3 2 4 4 2" xfId="12154" xr:uid="{00000000-0005-0000-0000-0000C2350000}"/>
    <cellStyle name="40% - Accent3 2 4 4 2 2" xfId="25866" xr:uid="{00000000-0005-0000-0000-0000C3350000}"/>
    <cellStyle name="40% - Accent3 2 4 4 3" xfId="20802" xr:uid="{00000000-0005-0000-0000-0000C4350000}"/>
    <cellStyle name="40% - Accent3 2 4 5" xfId="3477" xr:uid="{00000000-0005-0000-0000-0000C5350000}"/>
    <cellStyle name="40% - Accent3 2 4 5 2" xfId="12803" xr:uid="{00000000-0005-0000-0000-0000C6350000}"/>
    <cellStyle name="40% - Accent3 2 4 5 2 2" xfId="26515" xr:uid="{00000000-0005-0000-0000-0000C7350000}"/>
    <cellStyle name="40% - Accent3 2 4 5 3" xfId="20803" xr:uid="{00000000-0005-0000-0000-0000C8350000}"/>
    <cellStyle name="40% - Accent3 2 4 6" xfId="3478" xr:uid="{00000000-0005-0000-0000-0000C9350000}"/>
    <cellStyle name="40% - Accent3 2 4 6 2" xfId="13718" xr:uid="{00000000-0005-0000-0000-0000CA350000}"/>
    <cellStyle name="40% - Accent3 2 4 6 2 2" xfId="27267" xr:uid="{00000000-0005-0000-0000-0000CB350000}"/>
    <cellStyle name="40% - Accent3 2 4 6 3" xfId="20804" xr:uid="{00000000-0005-0000-0000-0000CC350000}"/>
    <cellStyle name="40% - Accent3 2 4 7" xfId="3479" xr:uid="{00000000-0005-0000-0000-0000CD350000}"/>
    <cellStyle name="40% - Accent3 2 4 7 2" xfId="14299" xr:uid="{00000000-0005-0000-0000-0000CE350000}"/>
    <cellStyle name="40% - Accent3 2 4 7 2 2" xfId="27848" xr:uid="{00000000-0005-0000-0000-0000CF350000}"/>
    <cellStyle name="40% - Accent3 2 4 7 3" xfId="20805" xr:uid="{00000000-0005-0000-0000-0000D0350000}"/>
    <cellStyle name="40% - Accent3 2 4 8" xfId="3480" xr:uid="{00000000-0005-0000-0000-0000D1350000}"/>
    <cellStyle name="40% - Accent3 2 4 8 2" xfId="15190" xr:uid="{00000000-0005-0000-0000-0000D2350000}"/>
    <cellStyle name="40% - Accent3 2 4 8 2 2" xfId="28739" xr:uid="{00000000-0005-0000-0000-0000D3350000}"/>
    <cellStyle name="40% - Accent3 2 4 8 3" xfId="20806" xr:uid="{00000000-0005-0000-0000-0000D4350000}"/>
    <cellStyle name="40% - Accent3 2 4 9" xfId="3481" xr:uid="{00000000-0005-0000-0000-0000D5350000}"/>
    <cellStyle name="40% - Accent3 2 4 9 2" xfId="16185" xr:uid="{00000000-0005-0000-0000-0000D6350000}"/>
    <cellStyle name="40% - Accent3 2 4 9 2 2" xfId="29592" xr:uid="{00000000-0005-0000-0000-0000D7350000}"/>
    <cellStyle name="40% - Accent3 2 4 9 3" xfId="20807" xr:uid="{00000000-0005-0000-0000-0000D8350000}"/>
    <cellStyle name="40% - Accent3 2 5" xfId="3482" xr:uid="{00000000-0005-0000-0000-0000D9350000}"/>
    <cellStyle name="40% - Accent3 2 5 2" xfId="3483" xr:uid="{00000000-0005-0000-0000-0000DA350000}"/>
    <cellStyle name="40% - Accent3 2 5 2 2" xfId="3484" xr:uid="{00000000-0005-0000-0000-0000DB350000}"/>
    <cellStyle name="40% - Accent3 2 5 2 2 2" xfId="11037" xr:uid="{00000000-0005-0000-0000-0000DC350000}"/>
    <cellStyle name="40% - Accent3 2 5 2 2 2 2" xfId="24979" xr:uid="{00000000-0005-0000-0000-0000DD350000}"/>
    <cellStyle name="40% - Accent3 2 5 2 2 3" xfId="20810" xr:uid="{00000000-0005-0000-0000-0000DE350000}"/>
    <cellStyle name="40% - Accent3 2 5 2 3" xfId="3485" xr:uid="{00000000-0005-0000-0000-0000DF350000}"/>
    <cellStyle name="40% - Accent3 2 5 2 3 2" xfId="12806" xr:uid="{00000000-0005-0000-0000-0000E0350000}"/>
    <cellStyle name="40% - Accent3 2 5 2 3 2 2" xfId="26518" xr:uid="{00000000-0005-0000-0000-0000E1350000}"/>
    <cellStyle name="40% - Accent3 2 5 2 3 3" xfId="20811" xr:uid="{00000000-0005-0000-0000-0000E2350000}"/>
    <cellStyle name="40% - Accent3 2 5 2 4" xfId="3486" xr:uid="{00000000-0005-0000-0000-0000E3350000}"/>
    <cellStyle name="40% - Accent3 2 5 2 4 2" xfId="15194" xr:uid="{00000000-0005-0000-0000-0000E4350000}"/>
    <cellStyle name="40% - Accent3 2 5 2 4 2 2" xfId="28743" xr:uid="{00000000-0005-0000-0000-0000E5350000}"/>
    <cellStyle name="40% - Accent3 2 5 2 4 3" xfId="20812" xr:uid="{00000000-0005-0000-0000-0000E6350000}"/>
    <cellStyle name="40% - Accent3 2 5 2 5" xfId="9310" xr:uid="{00000000-0005-0000-0000-0000E7350000}"/>
    <cellStyle name="40% - Accent3 2 5 2 5 2" xfId="23785" xr:uid="{00000000-0005-0000-0000-0000E8350000}"/>
    <cellStyle name="40% - Accent3 2 5 2 6" xfId="20809" xr:uid="{00000000-0005-0000-0000-0000E9350000}"/>
    <cellStyle name="40% - Accent3 2 5 3" xfId="3487" xr:uid="{00000000-0005-0000-0000-0000EA350000}"/>
    <cellStyle name="40% - Accent3 2 5 3 2" xfId="11036" xr:uid="{00000000-0005-0000-0000-0000EB350000}"/>
    <cellStyle name="40% - Accent3 2 5 3 2 2" xfId="24978" xr:uid="{00000000-0005-0000-0000-0000EC350000}"/>
    <cellStyle name="40% - Accent3 2 5 3 3" xfId="20813" xr:uid="{00000000-0005-0000-0000-0000ED350000}"/>
    <cellStyle name="40% - Accent3 2 5 4" xfId="3488" xr:uid="{00000000-0005-0000-0000-0000EE350000}"/>
    <cellStyle name="40% - Accent3 2 5 4 2" xfId="12805" xr:uid="{00000000-0005-0000-0000-0000EF350000}"/>
    <cellStyle name="40% - Accent3 2 5 4 2 2" xfId="26517" xr:uid="{00000000-0005-0000-0000-0000F0350000}"/>
    <cellStyle name="40% - Accent3 2 5 4 3" xfId="20814" xr:uid="{00000000-0005-0000-0000-0000F1350000}"/>
    <cellStyle name="40% - Accent3 2 5 5" xfId="3489" xr:uid="{00000000-0005-0000-0000-0000F2350000}"/>
    <cellStyle name="40% - Accent3 2 5 5 2" xfId="15193" xr:uid="{00000000-0005-0000-0000-0000F3350000}"/>
    <cellStyle name="40% - Accent3 2 5 5 2 2" xfId="28742" xr:uid="{00000000-0005-0000-0000-0000F4350000}"/>
    <cellStyle name="40% - Accent3 2 5 5 3" xfId="20815" xr:uid="{00000000-0005-0000-0000-0000F5350000}"/>
    <cellStyle name="40% - Accent3 2 5 6" xfId="3490" xr:uid="{00000000-0005-0000-0000-0000F6350000}"/>
    <cellStyle name="40% - Accent3 2 5 6 2" xfId="17004" xr:uid="{00000000-0005-0000-0000-0000F7350000}"/>
    <cellStyle name="40% - Accent3 2 5 6 2 2" xfId="30411" xr:uid="{00000000-0005-0000-0000-0000F8350000}"/>
    <cellStyle name="40% - Accent3 2 5 6 3" xfId="20816" xr:uid="{00000000-0005-0000-0000-0000F9350000}"/>
    <cellStyle name="40% - Accent3 2 5 7" xfId="9309" xr:uid="{00000000-0005-0000-0000-0000FA350000}"/>
    <cellStyle name="40% - Accent3 2 5 7 2" xfId="23784" xr:uid="{00000000-0005-0000-0000-0000FB350000}"/>
    <cellStyle name="40% - Accent3 2 5 8" xfId="20808" xr:uid="{00000000-0005-0000-0000-0000FC350000}"/>
    <cellStyle name="40% - Accent3 2 6" xfId="3491" xr:uid="{00000000-0005-0000-0000-0000FD350000}"/>
    <cellStyle name="40% - Accent3 2 6 2" xfId="3492" xr:uid="{00000000-0005-0000-0000-0000FE350000}"/>
    <cellStyle name="40% - Accent3 2 6 2 2" xfId="11038" xr:uid="{00000000-0005-0000-0000-0000FF350000}"/>
    <cellStyle name="40% - Accent3 2 6 2 2 2" xfId="24980" xr:uid="{00000000-0005-0000-0000-000000360000}"/>
    <cellStyle name="40% - Accent3 2 6 2 3" xfId="20818" xr:uid="{00000000-0005-0000-0000-000001360000}"/>
    <cellStyle name="40% - Accent3 2 6 3" xfId="3493" xr:uid="{00000000-0005-0000-0000-000002360000}"/>
    <cellStyle name="40% - Accent3 2 6 3 2" xfId="12807" xr:uid="{00000000-0005-0000-0000-000003360000}"/>
    <cellStyle name="40% - Accent3 2 6 3 2 2" xfId="26519" xr:uid="{00000000-0005-0000-0000-000004360000}"/>
    <cellStyle name="40% - Accent3 2 6 3 3" xfId="20819" xr:uid="{00000000-0005-0000-0000-000005360000}"/>
    <cellStyle name="40% - Accent3 2 6 4" xfId="3494" xr:uid="{00000000-0005-0000-0000-000006360000}"/>
    <cellStyle name="40% - Accent3 2 6 4 2" xfId="15195" xr:uid="{00000000-0005-0000-0000-000007360000}"/>
    <cellStyle name="40% - Accent3 2 6 4 2 2" xfId="28744" xr:uid="{00000000-0005-0000-0000-000008360000}"/>
    <cellStyle name="40% - Accent3 2 6 4 3" xfId="20820" xr:uid="{00000000-0005-0000-0000-000009360000}"/>
    <cellStyle name="40% - Accent3 2 6 5" xfId="3495" xr:uid="{00000000-0005-0000-0000-00000A360000}"/>
    <cellStyle name="40% - Accent3 2 6 5 2" xfId="17113" xr:uid="{00000000-0005-0000-0000-00000B360000}"/>
    <cellStyle name="40% - Accent3 2 6 5 2 2" xfId="30472" xr:uid="{00000000-0005-0000-0000-00000C360000}"/>
    <cellStyle name="40% - Accent3 2 6 5 3" xfId="20821" xr:uid="{00000000-0005-0000-0000-00000D360000}"/>
    <cellStyle name="40% - Accent3 2 6 6" xfId="9311" xr:uid="{00000000-0005-0000-0000-00000E360000}"/>
    <cellStyle name="40% - Accent3 2 6 6 2" xfId="23786" xr:uid="{00000000-0005-0000-0000-00000F360000}"/>
    <cellStyle name="40% - Accent3 2 6 7" xfId="20817" xr:uid="{00000000-0005-0000-0000-000010360000}"/>
    <cellStyle name="40% - Accent3 2 7" xfId="3496" xr:uid="{00000000-0005-0000-0000-000011360000}"/>
    <cellStyle name="40% - Accent3 2 7 2" xfId="3497" xr:uid="{00000000-0005-0000-0000-000012360000}"/>
    <cellStyle name="40% - Accent3 2 7 2 2" xfId="11039" xr:uid="{00000000-0005-0000-0000-000013360000}"/>
    <cellStyle name="40% - Accent3 2 7 2 2 2" xfId="24981" xr:uid="{00000000-0005-0000-0000-000014360000}"/>
    <cellStyle name="40% - Accent3 2 7 2 3" xfId="20823" xr:uid="{00000000-0005-0000-0000-000015360000}"/>
    <cellStyle name="40% - Accent3 2 7 3" xfId="3498" xr:uid="{00000000-0005-0000-0000-000016360000}"/>
    <cellStyle name="40% - Accent3 2 7 3 2" xfId="12808" xr:uid="{00000000-0005-0000-0000-000017360000}"/>
    <cellStyle name="40% - Accent3 2 7 3 2 2" xfId="26520" xr:uid="{00000000-0005-0000-0000-000018360000}"/>
    <cellStyle name="40% - Accent3 2 7 3 3" xfId="20824" xr:uid="{00000000-0005-0000-0000-000019360000}"/>
    <cellStyle name="40% - Accent3 2 7 4" xfId="3499" xr:uid="{00000000-0005-0000-0000-00001A360000}"/>
    <cellStyle name="40% - Accent3 2 7 4 2" xfId="15196" xr:uid="{00000000-0005-0000-0000-00001B360000}"/>
    <cellStyle name="40% - Accent3 2 7 4 2 2" xfId="28745" xr:uid="{00000000-0005-0000-0000-00001C360000}"/>
    <cellStyle name="40% - Accent3 2 7 4 3" xfId="20825" xr:uid="{00000000-0005-0000-0000-00001D360000}"/>
    <cellStyle name="40% - Accent3 2 7 5" xfId="3500" xr:uid="{00000000-0005-0000-0000-00001E360000}"/>
    <cellStyle name="40% - Accent3 2 7 5 2" xfId="17202" xr:uid="{00000000-0005-0000-0000-00001F360000}"/>
    <cellStyle name="40% - Accent3 2 7 5 2 2" xfId="30561" xr:uid="{00000000-0005-0000-0000-000020360000}"/>
    <cellStyle name="40% - Accent3 2 7 5 3" xfId="20826" xr:uid="{00000000-0005-0000-0000-000021360000}"/>
    <cellStyle name="40% - Accent3 2 7 6" xfId="9312" xr:uid="{00000000-0005-0000-0000-000022360000}"/>
    <cellStyle name="40% - Accent3 2 7 6 2" xfId="23787" xr:uid="{00000000-0005-0000-0000-000023360000}"/>
    <cellStyle name="40% - Accent3 2 7 7" xfId="20822" xr:uid="{00000000-0005-0000-0000-000024360000}"/>
    <cellStyle name="40% - Accent3 2 8" xfId="3501" xr:uid="{00000000-0005-0000-0000-000025360000}"/>
    <cellStyle name="40% - Accent3 2 8 2" xfId="3502" xr:uid="{00000000-0005-0000-0000-000026360000}"/>
    <cellStyle name="40% - Accent3 2 8 2 2" xfId="12809" xr:uid="{00000000-0005-0000-0000-000027360000}"/>
    <cellStyle name="40% - Accent3 2 8 2 2 2" xfId="26521" xr:uid="{00000000-0005-0000-0000-000028360000}"/>
    <cellStyle name="40% - Accent3 2 8 2 3" xfId="20828" xr:uid="{00000000-0005-0000-0000-000029360000}"/>
    <cellStyle name="40% - Accent3 2 8 3" xfId="3503" xr:uid="{00000000-0005-0000-0000-00002A360000}"/>
    <cellStyle name="40% - Accent3 2 8 3 2" xfId="15197" xr:uid="{00000000-0005-0000-0000-00002B360000}"/>
    <cellStyle name="40% - Accent3 2 8 3 2 2" xfId="28746" xr:uid="{00000000-0005-0000-0000-00002C360000}"/>
    <cellStyle name="40% - Accent3 2 8 3 3" xfId="20829" xr:uid="{00000000-0005-0000-0000-00002D360000}"/>
    <cellStyle name="40% - Accent3 2 8 4" xfId="3504" xr:uid="{00000000-0005-0000-0000-00002E360000}"/>
    <cellStyle name="40% - Accent3 2 8 4 2" xfId="16477" xr:uid="{00000000-0005-0000-0000-00002F360000}"/>
    <cellStyle name="40% - Accent3 2 8 4 2 2" xfId="29884" xr:uid="{00000000-0005-0000-0000-000030360000}"/>
    <cellStyle name="40% - Accent3 2 8 4 3" xfId="20830" xr:uid="{00000000-0005-0000-0000-000031360000}"/>
    <cellStyle name="40% - Accent3 2 8 5" xfId="10525" xr:uid="{00000000-0005-0000-0000-000032360000}"/>
    <cellStyle name="40% - Accent3 2 8 5 2" xfId="24467" xr:uid="{00000000-0005-0000-0000-000033360000}"/>
    <cellStyle name="40% - Accent3 2 8 6" xfId="20827" xr:uid="{00000000-0005-0000-0000-000034360000}"/>
    <cellStyle name="40% - Accent3 2 9" xfId="3505" xr:uid="{00000000-0005-0000-0000-000035360000}"/>
    <cellStyle name="40% - Accent3 2 9 2" xfId="3506" xr:uid="{00000000-0005-0000-0000-000036360000}"/>
    <cellStyle name="40% - Accent3 2 9 2 2" xfId="12810" xr:uid="{00000000-0005-0000-0000-000037360000}"/>
    <cellStyle name="40% - Accent3 2 9 2 2 2" xfId="26522" xr:uid="{00000000-0005-0000-0000-000038360000}"/>
    <cellStyle name="40% - Accent3 2 9 2 3" xfId="20832" xr:uid="{00000000-0005-0000-0000-000039360000}"/>
    <cellStyle name="40% - Accent3 2 9 3" xfId="3507" xr:uid="{00000000-0005-0000-0000-00003A360000}"/>
    <cellStyle name="40% - Accent3 2 9 3 2" xfId="15198" xr:uid="{00000000-0005-0000-0000-00003B360000}"/>
    <cellStyle name="40% - Accent3 2 9 3 2 2" xfId="28747" xr:uid="{00000000-0005-0000-0000-00003C360000}"/>
    <cellStyle name="40% - Accent3 2 9 3 3" xfId="20833" xr:uid="{00000000-0005-0000-0000-00003D360000}"/>
    <cellStyle name="40% - Accent3 2 9 4" xfId="11021" xr:uid="{00000000-0005-0000-0000-00003E360000}"/>
    <cellStyle name="40% - Accent3 2 9 4 2" xfId="24963" xr:uid="{00000000-0005-0000-0000-00003F360000}"/>
    <cellStyle name="40% - Accent3 2 9 5" xfId="20831" xr:uid="{00000000-0005-0000-0000-000040360000}"/>
    <cellStyle name="40% - Accent3 20" xfId="3508" xr:uid="{00000000-0005-0000-0000-000041360000}"/>
    <cellStyle name="40% - Accent3 20 2" xfId="3509" xr:uid="{00000000-0005-0000-0000-000042360000}"/>
    <cellStyle name="40% - Accent3 20 2 2" xfId="12811" xr:uid="{00000000-0005-0000-0000-000043360000}"/>
    <cellStyle name="40% - Accent3 20 2 2 2" xfId="26523" xr:uid="{00000000-0005-0000-0000-000044360000}"/>
    <cellStyle name="40% - Accent3 20 2 3" xfId="20835" xr:uid="{00000000-0005-0000-0000-000045360000}"/>
    <cellStyle name="40% - Accent3 20 3" xfId="3510" xr:uid="{00000000-0005-0000-0000-000046360000}"/>
    <cellStyle name="40% - Accent3 20 3 2" xfId="15199" xr:uid="{00000000-0005-0000-0000-000047360000}"/>
    <cellStyle name="40% - Accent3 20 3 2 2" xfId="28748" xr:uid="{00000000-0005-0000-0000-000048360000}"/>
    <cellStyle name="40% - Accent3 20 3 3" xfId="20836" xr:uid="{00000000-0005-0000-0000-000049360000}"/>
    <cellStyle name="40% - Accent3 20 4" xfId="10500" xr:uid="{00000000-0005-0000-0000-00004A360000}"/>
    <cellStyle name="40% - Accent3 20 4 2" xfId="24448" xr:uid="{00000000-0005-0000-0000-00004B360000}"/>
    <cellStyle name="40% - Accent3 20 5" xfId="20834" xr:uid="{00000000-0005-0000-0000-00004C360000}"/>
    <cellStyle name="40% - Accent3 21" xfId="3511" xr:uid="{00000000-0005-0000-0000-00004D360000}"/>
    <cellStyle name="40% - Accent3 21 2" xfId="3512" xr:uid="{00000000-0005-0000-0000-00004E360000}"/>
    <cellStyle name="40% - Accent3 21 2 2" xfId="12812" xr:uid="{00000000-0005-0000-0000-00004F360000}"/>
    <cellStyle name="40% - Accent3 21 2 2 2" xfId="26524" xr:uid="{00000000-0005-0000-0000-000050360000}"/>
    <cellStyle name="40% - Accent3 21 2 3" xfId="20838" xr:uid="{00000000-0005-0000-0000-000051360000}"/>
    <cellStyle name="40% - Accent3 21 3" xfId="3513" xr:uid="{00000000-0005-0000-0000-000052360000}"/>
    <cellStyle name="40% - Accent3 21 3 2" xfId="15200" xr:uid="{00000000-0005-0000-0000-000053360000}"/>
    <cellStyle name="40% - Accent3 21 3 2 2" xfId="28749" xr:uid="{00000000-0005-0000-0000-000054360000}"/>
    <cellStyle name="40% - Accent3 21 3 3" xfId="20839" xr:uid="{00000000-0005-0000-0000-000055360000}"/>
    <cellStyle name="40% - Accent3 21 4" xfId="11010" xr:uid="{00000000-0005-0000-0000-000056360000}"/>
    <cellStyle name="40% - Accent3 21 4 2" xfId="24952" xr:uid="{00000000-0005-0000-0000-000057360000}"/>
    <cellStyle name="40% - Accent3 21 5" xfId="20837" xr:uid="{00000000-0005-0000-0000-000058360000}"/>
    <cellStyle name="40% - Accent3 22" xfId="3514" xr:uid="{00000000-0005-0000-0000-000059360000}"/>
    <cellStyle name="40% - Accent3 22 2" xfId="11736" xr:uid="{00000000-0005-0000-0000-00005A360000}"/>
    <cellStyle name="40% - Accent3 22 2 2" xfId="25451" xr:uid="{00000000-0005-0000-0000-00005B360000}"/>
    <cellStyle name="40% - Accent3 22 3" xfId="20840" xr:uid="{00000000-0005-0000-0000-00005C360000}"/>
    <cellStyle name="40% - Accent3 23" xfId="3515" xr:uid="{00000000-0005-0000-0000-00005D360000}"/>
    <cellStyle name="40% - Accent3 23 2" xfId="12483" xr:uid="{00000000-0005-0000-0000-00005E360000}"/>
    <cellStyle name="40% - Accent3 23 2 2" xfId="26195" xr:uid="{00000000-0005-0000-0000-00005F360000}"/>
    <cellStyle name="40% - Accent3 23 3" xfId="20841" xr:uid="{00000000-0005-0000-0000-000060360000}"/>
    <cellStyle name="40% - Accent3 24" xfId="3516" xr:uid="{00000000-0005-0000-0000-000061360000}"/>
    <cellStyle name="40% - Accent3 24 2" xfId="13375" xr:uid="{00000000-0005-0000-0000-000062360000}"/>
    <cellStyle name="40% - Accent3 24 2 2" xfId="26924" xr:uid="{00000000-0005-0000-0000-000063360000}"/>
    <cellStyle name="40% - Accent3 24 3" xfId="20842" xr:uid="{00000000-0005-0000-0000-000064360000}"/>
    <cellStyle name="40% - Accent3 25" xfId="3517" xr:uid="{00000000-0005-0000-0000-000065360000}"/>
    <cellStyle name="40% - Accent3 25 2" xfId="13956" xr:uid="{00000000-0005-0000-0000-000066360000}"/>
    <cellStyle name="40% - Accent3 25 2 2" xfId="27505" xr:uid="{00000000-0005-0000-0000-000067360000}"/>
    <cellStyle name="40% - Accent3 25 3" xfId="20843" xr:uid="{00000000-0005-0000-0000-000068360000}"/>
    <cellStyle name="40% - Accent3 26" xfId="3518" xr:uid="{00000000-0005-0000-0000-000069360000}"/>
    <cellStyle name="40% - Accent3 26 2" xfId="15157" xr:uid="{00000000-0005-0000-0000-00006A360000}"/>
    <cellStyle name="40% - Accent3 26 2 2" xfId="28706" xr:uid="{00000000-0005-0000-0000-00006B360000}"/>
    <cellStyle name="40% - Accent3 26 3" xfId="20844" xr:uid="{00000000-0005-0000-0000-00006C360000}"/>
    <cellStyle name="40% - Accent3 27" xfId="3519" xr:uid="{00000000-0005-0000-0000-00006D360000}"/>
    <cellStyle name="40% - Accent3 27 2" xfId="15822" xr:uid="{00000000-0005-0000-0000-00006E360000}"/>
    <cellStyle name="40% - Accent3 27 2 2" xfId="29229" xr:uid="{00000000-0005-0000-0000-00006F360000}"/>
    <cellStyle name="40% - Accent3 27 3" xfId="20845" xr:uid="{00000000-0005-0000-0000-000070360000}"/>
    <cellStyle name="40% - Accent3 28" xfId="3520" xr:uid="{00000000-0005-0000-0000-000071360000}"/>
    <cellStyle name="40% - Accent3 28 2" xfId="15842" xr:uid="{00000000-0005-0000-0000-000072360000}"/>
    <cellStyle name="40% - Accent3 28 2 2" xfId="29249" xr:uid="{00000000-0005-0000-0000-000073360000}"/>
    <cellStyle name="40% - Accent3 28 3" xfId="20846" xr:uid="{00000000-0005-0000-0000-000074360000}"/>
    <cellStyle name="40% - Accent3 29" xfId="3521" xr:uid="{00000000-0005-0000-0000-000075360000}"/>
    <cellStyle name="40% - Accent3 29 2" xfId="9283" xr:uid="{00000000-0005-0000-0000-000076360000}"/>
    <cellStyle name="40% - Accent3 29 2 2" xfId="23758" xr:uid="{00000000-0005-0000-0000-000077360000}"/>
    <cellStyle name="40% - Accent3 29 3" xfId="20847" xr:uid="{00000000-0005-0000-0000-000078360000}"/>
    <cellStyle name="40% - Accent3 3" xfId="3522" xr:uid="{00000000-0005-0000-0000-000079360000}"/>
    <cellStyle name="40% - Accent3 3 10" xfId="3523" xr:uid="{00000000-0005-0000-0000-00007A360000}"/>
    <cellStyle name="40% - Accent3 3 10 2" xfId="14033" xr:uid="{00000000-0005-0000-0000-00007B360000}"/>
    <cellStyle name="40% - Accent3 3 10 2 2" xfId="27582" xr:uid="{00000000-0005-0000-0000-00007C360000}"/>
    <cellStyle name="40% - Accent3 3 10 3" xfId="20849" xr:uid="{00000000-0005-0000-0000-00007D360000}"/>
    <cellStyle name="40% - Accent3 3 11" xfId="3524" xr:uid="{00000000-0005-0000-0000-00007E360000}"/>
    <cellStyle name="40% - Accent3 3 11 2" xfId="15201" xr:uid="{00000000-0005-0000-0000-00007F360000}"/>
    <cellStyle name="40% - Accent3 3 11 2 2" xfId="28750" xr:uid="{00000000-0005-0000-0000-000080360000}"/>
    <cellStyle name="40% - Accent3 3 11 3" xfId="20850" xr:uid="{00000000-0005-0000-0000-000081360000}"/>
    <cellStyle name="40% - Accent3 3 12" xfId="3525" xr:uid="{00000000-0005-0000-0000-000082360000}"/>
    <cellStyle name="40% - Accent3 3 12 2" xfId="15919" xr:uid="{00000000-0005-0000-0000-000083360000}"/>
    <cellStyle name="40% - Accent3 3 12 2 2" xfId="29326" xr:uid="{00000000-0005-0000-0000-000084360000}"/>
    <cellStyle name="40% - Accent3 3 12 3" xfId="20851" xr:uid="{00000000-0005-0000-0000-000085360000}"/>
    <cellStyle name="40% - Accent3 3 13" xfId="9313" xr:uid="{00000000-0005-0000-0000-000086360000}"/>
    <cellStyle name="40% - Accent3 3 13 2" xfId="23788" xr:uid="{00000000-0005-0000-0000-000087360000}"/>
    <cellStyle name="40% - Accent3 3 14" xfId="20848" xr:uid="{00000000-0005-0000-0000-000088360000}"/>
    <cellStyle name="40% - Accent3 3 2" xfId="3526" xr:uid="{00000000-0005-0000-0000-000089360000}"/>
    <cellStyle name="40% - Accent3 3 2 10" xfId="3527" xr:uid="{00000000-0005-0000-0000-00008A360000}"/>
    <cellStyle name="40% - Accent3 3 2 10 2" xfId="16062" xr:uid="{00000000-0005-0000-0000-00008B360000}"/>
    <cellStyle name="40% - Accent3 3 2 10 2 2" xfId="29469" xr:uid="{00000000-0005-0000-0000-00008C360000}"/>
    <cellStyle name="40% - Accent3 3 2 10 3" xfId="20853" xr:uid="{00000000-0005-0000-0000-00008D360000}"/>
    <cellStyle name="40% - Accent3 3 2 11" xfId="9314" xr:uid="{00000000-0005-0000-0000-00008E360000}"/>
    <cellStyle name="40% - Accent3 3 2 11 2" xfId="23789" xr:uid="{00000000-0005-0000-0000-00008F360000}"/>
    <cellStyle name="40% - Accent3 3 2 12" xfId="20852" xr:uid="{00000000-0005-0000-0000-000090360000}"/>
    <cellStyle name="40% - Accent3 3 2 2" xfId="3528" xr:uid="{00000000-0005-0000-0000-000091360000}"/>
    <cellStyle name="40% - Accent3 3 2 2 10" xfId="9315" xr:uid="{00000000-0005-0000-0000-000092360000}"/>
    <cellStyle name="40% - Accent3 3 2 2 10 2" xfId="23790" xr:uid="{00000000-0005-0000-0000-000093360000}"/>
    <cellStyle name="40% - Accent3 3 2 2 11" xfId="20854" xr:uid="{00000000-0005-0000-0000-000094360000}"/>
    <cellStyle name="40% - Accent3 3 2 2 2" xfId="3529" xr:uid="{00000000-0005-0000-0000-000095360000}"/>
    <cellStyle name="40% - Accent3 3 2 2 2 2" xfId="3530" xr:uid="{00000000-0005-0000-0000-000096360000}"/>
    <cellStyle name="40% - Accent3 3 2 2 2 2 2" xfId="11043" xr:uid="{00000000-0005-0000-0000-000097360000}"/>
    <cellStyle name="40% - Accent3 3 2 2 2 2 2 2" xfId="24985" xr:uid="{00000000-0005-0000-0000-000098360000}"/>
    <cellStyle name="40% - Accent3 3 2 2 2 2 3" xfId="20856" xr:uid="{00000000-0005-0000-0000-000099360000}"/>
    <cellStyle name="40% - Accent3 3 2 2 2 3" xfId="3531" xr:uid="{00000000-0005-0000-0000-00009A360000}"/>
    <cellStyle name="40% - Accent3 3 2 2 2 3 2" xfId="12816" xr:uid="{00000000-0005-0000-0000-00009B360000}"/>
    <cellStyle name="40% - Accent3 3 2 2 2 3 2 2" xfId="26528" xr:uid="{00000000-0005-0000-0000-00009C360000}"/>
    <cellStyle name="40% - Accent3 3 2 2 2 3 3" xfId="20857" xr:uid="{00000000-0005-0000-0000-00009D360000}"/>
    <cellStyle name="40% - Accent3 3 2 2 2 4" xfId="3532" xr:uid="{00000000-0005-0000-0000-00009E360000}"/>
    <cellStyle name="40% - Accent3 3 2 2 2 4 2" xfId="15204" xr:uid="{00000000-0005-0000-0000-00009F360000}"/>
    <cellStyle name="40% - Accent3 3 2 2 2 4 2 2" xfId="28753" xr:uid="{00000000-0005-0000-0000-0000A0360000}"/>
    <cellStyle name="40% - Accent3 3 2 2 2 4 3" xfId="20858" xr:uid="{00000000-0005-0000-0000-0000A1360000}"/>
    <cellStyle name="40% - Accent3 3 2 2 2 5" xfId="3533" xr:uid="{00000000-0005-0000-0000-0000A2360000}"/>
    <cellStyle name="40% - Accent3 3 2 2 2 5 2" xfId="16932" xr:uid="{00000000-0005-0000-0000-0000A3360000}"/>
    <cellStyle name="40% - Accent3 3 2 2 2 5 2 2" xfId="30339" xr:uid="{00000000-0005-0000-0000-0000A4360000}"/>
    <cellStyle name="40% - Accent3 3 2 2 2 5 3" xfId="20859" xr:uid="{00000000-0005-0000-0000-0000A5360000}"/>
    <cellStyle name="40% - Accent3 3 2 2 2 6" xfId="9316" xr:uid="{00000000-0005-0000-0000-0000A6360000}"/>
    <cellStyle name="40% - Accent3 3 2 2 2 6 2" xfId="23791" xr:uid="{00000000-0005-0000-0000-0000A7360000}"/>
    <cellStyle name="40% - Accent3 3 2 2 2 7" xfId="20855" xr:uid="{00000000-0005-0000-0000-0000A8360000}"/>
    <cellStyle name="40% - Accent3 3 2 2 3" xfId="3534" xr:uid="{00000000-0005-0000-0000-0000A9360000}"/>
    <cellStyle name="40% - Accent3 3 2 2 3 2" xfId="3535" xr:uid="{00000000-0005-0000-0000-0000AA360000}"/>
    <cellStyle name="40% - Accent3 3 2 2 3 2 2" xfId="15205" xr:uid="{00000000-0005-0000-0000-0000AB360000}"/>
    <cellStyle name="40% - Accent3 3 2 2 3 2 2 2" xfId="28754" xr:uid="{00000000-0005-0000-0000-0000AC360000}"/>
    <cellStyle name="40% - Accent3 3 2 2 3 2 3" xfId="20861" xr:uid="{00000000-0005-0000-0000-0000AD360000}"/>
    <cellStyle name="40% - Accent3 3 2 2 3 3" xfId="11042" xr:uid="{00000000-0005-0000-0000-0000AE360000}"/>
    <cellStyle name="40% - Accent3 3 2 2 3 3 2" xfId="24984" xr:uid="{00000000-0005-0000-0000-0000AF360000}"/>
    <cellStyle name="40% - Accent3 3 2 2 3 4" xfId="20860" xr:uid="{00000000-0005-0000-0000-0000B0360000}"/>
    <cellStyle name="40% - Accent3 3 2 2 4" xfId="3536" xr:uid="{00000000-0005-0000-0000-0000B1360000}"/>
    <cellStyle name="40% - Accent3 3 2 2 4 2" xfId="12320" xr:uid="{00000000-0005-0000-0000-0000B2360000}"/>
    <cellStyle name="40% - Accent3 3 2 2 4 2 2" xfId="26032" xr:uid="{00000000-0005-0000-0000-0000B3360000}"/>
    <cellStyle name="40% - Accent3 3 2 2 4 3" xfId="20862" xr:uid="{00000000-0005-0000-0000-0000B4360000}"/>
    <cellStyle name="40% - Accent3 3 2 2 5" xfId="3537" xr:uid="{00000000-0005-0000-0000-0000B5360000}"/>
    <cellStyle name="40% - Accent3 3 2 2 5 2" xfId="12815" xr:uid="{00000000-0005-0000-0000-0000B6360000}"/>
    <cellStyle name="40% - Accent3 3 2 2 5 2 2" xfId="26527" xr:uid="{00000000-0005-0000-0000-0000B7360000}"/>
    <cellStyle name="40% - Accent3 3 2 2 5 3" xfId="20863" xr:uid="{00000000-0005-0000-0000-0000B8360000}"/>
    <cellStyle name="40% - Accent3 3 2 2 6" xfId="3538" xr:uid="{00000000-0005-0000-0000-0000B9360000}"/>
    <cellStyle name="40% - Accent3 3 2 2 6 2" xfId="13884" xr:uid="{00000000-0005-0000-0000-0000BA360000}"/>
    <cellStyle name="40% - Accent3 3 2 2 6 2 2" xfId="27433" xr:uid="{00000000-0005-0000-0000-0000BB360000}"/>
    <cellStyle name="40% - Accent3 3 2 2 6 3" xfId="20864" xr:uid="{00000000-0005-0000-0000-0000BC360000}"/>
    <cellStyle name="40% - Accent3 3 2 2 7" xfId="3539" xr:uid="{00000000-0005-0000-0000-0000BD360000}"/>
    <cellStyle name="40% - Accent3 3 2 2 7 2" xfId="14465" xr:uid="{00000000-0005-0000-0000-0000BE360000}"/>
    <cellStyle name="40% - Accent3 3 2 2 7 2 2" xfId="28014" xr:uid="{00000000-0005-0000-0000-0000BF360000}"/>
    <cellStyle name="40% - Accent3 3 2 2 7 3" xfId="20865" xr:uid="{00000000-0005-0000-0000-0000C0360000}"/>
    <cellStyle name="40% - Accent3 3 2 2 8" xfId="3540" xr:uid="{00000000-0005-0000-0000-0000C1360000}"/>
    <cellStyle name="40% - Accent3 3 2 2 8 2" xfId="15203" xr:uid="{00000000-0005-0000-0000-0000C2360000}"/>
    <cellStyle name="40% - Accent3 3 2 2 8 2 2" xfId="28752" xr:uid="{00000000-0005-0000-0000-0000C3360000}"/>
    <cellStyle name="40% - Accent3 3 2 2 8 3" xfId="20866" xr:uid="{00000000-0005-0000-0000-0000C4360000}"/>
    <cellStyle name="40% - Accent3 3 2 2 9" xfId="3541" xr:uid="{00000000-0005-0000-0000-0000C5360000}"/>
    <cellStyle name="40% - Accent3 3 2 2 9 2" xfId="16351" xr:uid="{00000000-0005-0000-0000-0000C6360000}"/>
    <cellStyle name="40% - Accent3 3 2 2 9 2 2" xfId="29758" xr:uid="{00000000-0005-0000-0000-0000C7360000}"/>
    <cellStyle name="40% - Accent3 3 2 2 9 3" xfId="20867" xr:uid="{00000000-0005-0000-0000-0000C8360000}"/>
    <cellStyle name="40% - Accent3 3 2 3" xfId="3542" xr:uid="{00000000-0005-0000-0000-0000C9360000}"/>
    <cellStyle name="40% - Accent3 3 2 3 2" xfId="3543" xr:uid="{00000000-0005-0000-0000-0000CA360000}"/>
    <cellStyle name="40% - Accent3 3 2 3 2 2" xfId="11044" xr:uid="{00000000-0005-0000-0000-0000CB360000}"/>
    <cellStyle name="40% - Accent3 3 2 3 2 2 2" xfId="24986" xr:uid="{00000000-0005-0000-0000-0000CC360000}"/>
    <cellStyle name="40% - Accent3 3 2 3 2 3" xfId="20869" xr:uid="{00000000-0005-0000-0000-0000CD360000}"/>
    <cellStyle name="40% - Accent3 3 2 3 3" xfId="3544" xr:uid="{00000000-0005-0000-0000-0000CE360000}"/>
    <cellStyle name="40% - Accent3 3 2 3 3 2" xfId="12817" xr:uid="{00000000-0005-0000-0000-0000CF360000}"/>
    <cellStyle name="40% - Accent3 3 2 3 3 2 2" xfId="26529" xr:uid="{00000000-0005-0000-0000-0000D0360000}"/>
    <cellStyle name="40% - Accent3 3 2 3 3 3" xfId="20870" xr:uid="{00000000-0005-0000-0000-0000D1360000}"/>
    <cellStyle name="40% - Accent3 3 2 3 4" xfId="3545" xr:uid="{00000000-0005-0000-0000-0000D2360000}"/>
    <cellStyle name="40% - Accent3 3 2 3 4 2" xfId="15206" xr:uid="{00000000-0005-0000-0000-0000D3360000}"/>
    <cellStyle name="40% - Accent3 3 2 3 4 2 2" xfId="28755" xr:uid="{00000000-0005-0000-0000-0000D4360000}"/>
    <cellStyle name="40% - Accent3 3 2 3 4 3" xfId="20871" xr:uid="{00000000-0005-0000-0000-0000D5360000}"/>
    <cellStyle name="40% - Accent3 3 2 3 5" xfId="3546" xr:uid="{00000000-0005-0000-0000-0000D6360000}"/>
    <cellStyle name="40% - Accent3 3 2 3 5 2" xfId="16643" xr:uid="{00000000-0005-0000-0000-0000D7360000}"/>
    <cellStyle name="40% - Accent3 3 2 3 5 2 2" xfId="30050" xr:uid="{00000000-0005-0000-0000-0000D8360000}"/>
    <cellStyle name="40% - Accent3 3 2 3 5 3" xfId="20872" xr:uid="{00000000-0005-0000-0000-0000D9360000}"/>
    <cellStyle name="40% - Accent3 3 2 3 6" xfId="9317" xr:uid="{00000000-0005-0000-0000-0000DA360000}"/>
    <cellStyle name="40% - Accent3 3 2 3 6 2" xfId="23792" xr:uid="{00000000-0005-0000-0000-0000DB360000}"/>
    <cellStyle name="40% - Accent3 3 2 3 7" xfId="20868" xr:uid="{00000000-0005-0000-0000-0000DC360000}"/>
    <cellStyle name="40% - Accent3 3 2 4" xfId="3547" xr:uid="{00000000-0005-0000-0000-0000DD360000}"/>
    <cellStyle name="40% - Accent3 3 2 4 2" xfId="3548" xr:uid="{00000000-0005-0000-0000-0000DE360000}"/>
    <cellStyle name="40% - Accent3 3 2 4 2 2" xfId="15207" xr:uid="{00000000-0005-0000-0000-0000DF360000}"/>
    <cellStyle name="40% - Accent3 3 2 4 2 2 2" xfId="28756" xr:uid="{00000000-0005-0000-0000-0000E0360000}"/>
    <cellStyle name="40% - Accent3 3 2 4 2 3" xfId="20874" xr:uid="{00000000-0005-0000-0000-0000E1360000}"/>
    <cellStyle name="40% - Accent3 3 2 4 3" xfId="11041" xr:uid="{00000000-0005-0000-0000-0000E2360000}"/>
    <cellStyle name="40% - Accent3 3 2 4 3 2" xfId="24983" xr:uid="{00000000-0005-0000-0000-0000E3360000}"/>
    <cellStyle name="40% - Accent3 3 2 4 4" xfId="20873" xr:uid="{00000000-0005-0000-0000-0000E4360000}"/>
    <cellStyle name="40% - Accent3 3 2 5" xfId="3549" xr:uid="{00000000-0005-0000-0000-0000E5360000}"/>
    <cellStyle name="40% - Accent3 3 2 5 2" xfId="12020" xr:uid="{00000000-0005-0000-0000-0000E6360000}"/>
    <cellStyle name="40% - Accent3 3 2 5 2 2" xfId="25735" xr:uid="{00000000-0005-0000-0000-0000E7360000}"/>
    <cellStyle name="40% - Accent3 3 2 5 3" xfId="20875" xr:uid="{00000000-0005-0000-0000-0000E8360000}"/>
    <cellStyle name="40% - Accent3 3 2 6" xfId="3550" xr:uid="{00000000-0005-0000-0000-0000E9360000}"/>
    <cellStyle name="40% - Accent3 3 2 6 2" xfId="12814" xr:uid="{00000000-0005-0000-0000-0000EA360000}"/>
    <cellStyle name="40% - Accent3 3 2 6 2 2" xfId="26526" xr:uid="{00000000-0005-0000-0000-0000EB360000}"/>
    <cellStyle name="40% - Accent3 3 2 6 3" xfId="20876" xr:uid="{00000000-0005-0000-0000-0000EC360000}"/>
    <cellStyle name="40% - Accent3 3 2 7" xfId="3551" xr:uid="{00000000-0005-0000-0000-0000ED360000}"/>
    <cellStyle name="40% - Accent3 3 2 7 2" xfId="13595" xr:uid="{00000000-0005-0000-0000-0000EE360000}"/>
    <cellStyle name="40% - Accent3 3 2 7 2 2" xfId="27144" xr:uid="{00000000-0005-0000-0000-0000EF360000}"/>
    <cellStyle name="40% - Accent3 3 2 7 3" xfId="20877" xr:uid="{00000000-0005-0000-0000-0000F0360000}"/>
    <cellStyle name="40% - Accent3 3 2 8" xfId="3552" xr:uid="{00000000-0005-0000-0000-0000F1360000}"/>
    <cellStyle name="40% - Accent3 3 2 8 2" xfId="14176" xr:uid="{00000000-0005-0000-0000-0000F2360000}"/>
    <cellStyle name="40% - Accent3 3 2 8 2 2" xfId="27725" xr:uid="{00000000-0005-0000-0000-0000F3360000}"/>
    <cellStyle name="40% - Accent3 3 2 8 3" xfId="20878" xr:uid="{00000000-0005-0000-0000-0000F4360000}"/>
    <cellStyle name="40% - Accent3 3 2 9" xfId="3553" xr:uid="{00000000-0005-0000-0000-0000F5360000}"/>
    <cellStyle name="40% - Accent3 3 2 9 2" xfId="15202" xr:uid="{00000000-0005-0000-0000-0000F6360000}"/>
    <cellStyle name="40% - Accent3 3 2 9 2 2" xfId="28751" xr:uid="{00000000-0005-0000-0000-0000F7360000}"/>
    <cellStyle name="40% - Accent3 3 2 9 3" xfId="20879" xr:uid="{00000000-0005-0000-0000-0000F8360000}"/>
    <cellStyle name="40% - Accent3 3 3" xfId="3554" xr:uid="{00000000-0005-0000-0000-0000F9360000}"/>
    <cellStyle name="40% - Accent3 3 3 10" xfId="9318" xr:uid="{00000000-0005-0000-0000-0000FA360000}"/>
    <cellStyle name="40% - Accent3 3 3 10 2" xfId="23793" xr:uid="{00000000-0005-0000-0000-0000FB360000}"/>
    <cellStyle name="40% - Accent3 3 3 11" xfId="20880" xr:uid="{00000000-0005-0000-0000-0000FC360000}"/>
    <cellStyle name="40% - Accent3 3 3 2" xfId="3555" xr:uid="{00000000-0005-0000-0000-0000FD360000}"/>
    <cellStyle name="40% - Accent3 3 3 2 2" xfId="3556" xr:uid="{00000000-0005-0000-0000-0000FE360000}"/>
    <cellStyle name="40% - Accent3 3 3 2 2 2" xfId="11046" xr:uid="{00000000-0005-0000-0000-0000FF360000}"/>
    <cellStyle name="40% - Accent3 3 3 2 2 2 2" xfId="24988" xr:uid="{00000000-0005-0000-0000-000000370000}"/>
    <cellStyle name="40% - Accent3 3 3 2 2 3" xfId="20882" xr:uid="{00000000-0005-0000-0000-000001370000}"/>
    <cellStyle name="40% - Accent3 3 3 2 3" xfId="3557" xr:uid="{00000000-0005-0000-0000-000002370000}"/>
    <cellStyle name="40% - Accent3 3 3 2 3 2" xfId="12819" xr:uid="{00000000-0005-0000-0000-000003370000}"/>
    <cellStyle name="40% - Accent3 3 3 2 3 2 2" xfId="26531" xr:uid="{00000000-0005-0000-0000-000004370000}"/>
    <cellStyle name="40% - Accent3 3 3 2 3 3" xfId="20883" xr:uid="{00000000-0005-0000-0000-000005370000}"/>
    <cellStyle name="40% - Accent3 3 3 2 4" xfId="3558" xr:uid="{00000000-0005-0000-0000-000006370000}"/>
    <cellStyle name="40% - Accent3 3 3 2 4 2" xfId="15209" xr:uid="{00000000-0005-0000-0000-000007370000}"/>
    <cellStyle name="40% - Accent3 3 3 2 4 2 2" xfId="28758" xr:uid="{00000000-0005-0000-0000-000008370000}"/>
    <cellStyle name="40% - Accent3 3 3 2 4 3" xfId="20884" xr:uid="{00000000-0005-0000-0000-000009370000}"/>
    <cellStyle name="40% - Accent3 3 3 2 5" xfId="3559" xr:uid="{00000000-0005-0000-0000-00000A370000}"/>
    <cellStyle name="40% - Accent3 3 3 2 5 2" xfId="16789" xr:uid="{00000000-0005-0000-0000-00000B370000}"/>
    <cellStyle name="40% - Accent3 3 3 2 5 2 2" xfId="30196" xr:uid="{00000000-0005-0000-0000-00000C370000}"/>
    <cellStyle name="40% - Accent3 3 3 2 5 3" xfId="20885" xr:uid="{00000000-0005-0000-0000-00000D370000}"/>
    <cellStyle name="40% - Accent3 3 3 2 6" xfId="9319" xr:uid="{00000000-0005-0000-0000-00000E370000}"/>
    <cellStyle name="40% - Accent3 3 3 2 6 2" xfId="23794" xr:uid="{00000000-0005-0000-0000-00000F370000}"/>
    <cellStyle name="40% - Accent3 3 3 2 7" xfId="20881" xr:uid="{00000000-0005-0000-0000-000010370000}"/>
    <cellStyle name="40% - Accent3 3 3 3" xfId="3560" xr:uid="{00000000-0005-0000-0000-000011370000}"/>
    <cellStyle name="40% - Accent3 3 3 3 2" xfId="3561" xr:uid="{00000000-0005-0000-0000-000012370000}"/>
    <cellStyle name="40% - Accent3 3 3 3 2 2" xfId="15210" xr:uid="{00000000-0005-0000-0000-000013370000}"/>
    <cellStyle name="40% - Accent3 3 3 3 2 2 2" xfId="28759" xr:uid="{00000000-0005-0000-0000-000014370000}"/>
    <cellStyle name="40% - Accent3 3 3 3 2 3" xfId="20887" xr:uid="{00000000-0005-0000-0000-000015370000}"/>
    <cellStyle name="40% - Accent3 3 3 3 3" xfId="11045" xr:uid="{00000000-0005-0000-0000-000016370000}"/>
    <cellStyle name="40% - Accent3 3 3 3 3 2" xfId="24987" xr:uid="{00000000-0005-0000-0000-000017370000}"/>
    <cellStyle name="40% - Accent3 3 3 3 4" xfId="20886" xr:uid="{00000000-0005-0000-0000-000018370000}"/>
    <cellStyle name="40% - Accent3 3 3 4" xfId="3562" xr:uid="{00000000-0005-0000-0000-000019370000}"/>
    <cellStyle name="40% - Accent3 3 3 4 2" xfId="12177" xr:uid="{00000000-0005-0000-0000-00001A370000}"/>
    <cellStyle name="40% - Accent3 3 3 4 2 2" xfId="25889" xr:uid="{00000000-0005-0000-0000-00001B370000}"/>
    <cellStyle name="40% - Accent3 3 3 4 3" xfId="20888" xr:uid="{00000000-0005-0000-0000-00001C370000}"/>
    <cellStyle name="40% - Accent3 3 3 5" xfId="3563" xr:uid="{00000000-0005-0000-0000-00001D370000}"/>
    <cellStyle name="40% - Accent3 3 3 5 2" xfId="12818" xr:uid="{00000000-0005-0000-0000-00001E370000}"/>
    <cellStyle name="40% - Accent3 3 3 5 2 2" xfId="26530" xr:uid="{00000000-0005-0000-0000-00001F370000}"/>
    <cellStyle name="40% - Accent3 3 3 5 3" xfId="20889" xr:uid="{00000000-0005-0000-0000-000020370000}"/>
    <cellStyle name="40% - Accent3 3 3 6" xfId="3564" xr:uid="{00000000-0005-0000-0000-000021370000}"/>
    <cellStyle name="40% - Accent3 3 3 6 2" xfId="13741" xr:uid="{00000000-0005-0000-0000-000022370000}"/>
    <cellStyle name="40% - Accent3 3 3 6 2 2" xfId="27290" xr:uid="{00000000-0005-0000-0000-000023370000}"/>
    <cellStyle name="40% - Accent3 3 3 6 3" xfId="20890" xr:uid="{00000000-0005-0000-0000-000024370000}"/>
    <cellStyle name="40% - Accent3 3 3 7" xfId="3565" xr:uid="{00000000-0005-0000-0000-000025370000}"/>
    <cellStyle name="40% - Accent3 3 3 7 2" xfId="14322" xr:uid="{00000000-0005-0000-0000-000026370000}"/>
    <cellStyle name="40% - Accent3 3 3 7 2 2" xfId="27871" xr:uid="{00000000-0005-0000-0000-000027370000}"/>
    <cellStyle name="40% - Accent3 3 3 7 3" xfId="20891" xr:uid="{00000000-0005-0000-0000-000028370000}"/>
    <cellStyle name="40% - Accent3 3 3 8" xfId="3566" xr:uid="{00000000-0005-0000-0000-000029370000}"/>
    <cellStyle name="40% - Accent3 3 3 8 2" xfId="15208" xr:uid="{00000000-0005-0000-0000-00002A370000}"/>
    <cellStyle name="40% - Accent3 3 3 8 2 2" xfId="28757" xr:uid="{00000000-0005-0000-0000-00002B370000}"/>
    <cellStyle name="40% - Accent3 3 3 8 3" xfId="20892" xr:uid="{00000000-0005-0000-0000-00002C370000}"/>
    <cellStyle name="40% - Accent3 3 3 9" xfId="3567" xr:uid="{00000000-0005-0000-0000-00002D370000}"/>
    <cellStyle name="40% - Accent3 3 3 9 2" xfId="16208" xr:uid="{00000000-0005-0000-0000-00002E370000}"/>
    <cellStyle name="40% - Accent3 3 3 9 2 2" xfId="29615" xr:uid="{00000000-0005-0000-0000-00002F370000}"/>
    <cellStyle name="40% - Accent3 3 3 9 3" xfId="20893" xr:uid="{00000000-0005-0000-0000-000030370000}"/>
    <cellStyle name="40% - Accent3 3 4" xfId="3568" xr:uid="{00000000-0005-0000-0000-000031370000}"/>
    <cellStyle name="40% - Accent3 3 4 2" xfId="3569" xr:uid="{00000000-0005-0000-0000-000032370000}"/>
    <cellStyle name="40% - Accent3 3 4 2 2" xfId="11047" xr:uid="{00000000-0005-0000-0000-000033370000}"/>
    <cellStyle name="40% - Accent3 3 4 2 2 2" xfId="24989" xr:uid="{00000000-0005-0000-0000-000034370000}"/>
    <cellStyle name="40% - Accent3 3 4 2 3" xfId="20895" xr:uid="{00000000-0005-0000-0000-000035370000}"/>
    <cellStyle name="40% - Accent3 3 4 3" xfId="3570" xr:uid="{00000000-0005-0000-0000-000036370000}"/>
    <cellStyle name="40% - Accent3 3 4 3 2" xfId="12820" xr:uid="{00000000-0005-0000-0000-000037370000}"/>
    <cellStyle name="40% - Accent3 3 4 3 2 2" xfId="26532" xr:uid="{00000000-0005-0000-0000-000038370000}"/>
    <cellStyle name="40% - Accent3 3 4 3 3" xfId="20896" xr:uid="{00000000-0005-0000-0000-000039370000}"/>
    <cellStyle name="40% - Accent3 3 4 4" xfId="3571" xr:uid="{00000000-0005-0000-0000-00003A370000}"/>
    <cellStyle name="40% - Accent3 3 4 4 2" xfId="15211" xr:uid="{00000000-0005-0000-0000-00003B370000}"/>
    <cellStyle name="40% - Accent3 3 4 4 2 2" xfId="28760" xr:uid="{00000000-0005-0000-0000-00003C370000}"/>
    <cellStyle name="40% - Accent3 3 4 4 3" xfId="20897" xr:uid="{00000000-0005-0000-0000-00003D370000}"/>
    <cellStyle name="40% - Accent3 3 4 5" xfId="3572" xr:uid="{00000000-0005-0000-0000-00003E370000}"/>
    <cellStyle name="40% - Accent3 3 4 5 2" xfId="17136" xr:uid="{00000000-0005-0000-0000-00003F370000}"/>
    <cellStyle name="40% - Accent3 3 4 5 2 2" xfId="30495" xr:uid="{00000000-0005-0000-0000-000040370000}"/>
    <cellStyle name="40% - Accent3 3 4 5 3" xfId="20898" xr:uid="{00000000-0005-0000-0000-000041370000}"/>
    <cellStyle name="40% - Accent3 3 4 6" xfId="9320" xr:uid="{00000000-0005-0000-0000-000042370000}"/>
    <cellStyle name="40% - Accent3 3 4 6 2" xfId="23795" xr:uid="{00000000-0005-0000-0000-000043370000}"/>
    <cellStyle name="40% - Accent3 3 4 7" xfId="20894" xr:uid="{00000000-0005-0000-0000-000044370000}"/>
    <cellStyle name="40% - Accent3 3 5" xfId="3573" xr:uid="{00000000-0005-0000-0000-000045370000}"/>
    <cellStyle name="40% - Accent3 3 5 2" xfId="3574" xr:uid="{00000000-0005-0000-0000-000046370000}"/>
    <cellStyle name="40% - Accent3 3 5 2 2" xfId="11048" xr:uid="{00000000-0005-0000-0000-000047370000}"/>
    <cellStyle name="40% - Accent3 3 5 2 2 2" xfId="24990" xr:uid="{00000000-0005-0000-0000-000048370000}"/>
    <cellStyle name="40% - Accent3 3 5 2 3" xfId="20900" xr:uid="{00000000-0005-0000-0000-000049370000}"/>
    <cellStyle name="40% - Accent3 3 5 3" xfId="3575" xr:uid="{00000000-0005-0000-0000-00004A370000}"/>
    <cellStyle name="40% - Accent3 3 5 3 2" xfId="12821" xr:uid="{00000000-0005-0000-0000-00004B370000}"/>
    <cellStyle name="40% - Accent3 3 5 3 2 2" xfId="26533" xr:uid="{00000000-0005-0000-0000-00004C370000}"/>
    <cellStyle name="40% - Accent3 3 5 3 3" xfId="20901" xr:uid="{00000000-0005-0000-0000-00004D370000}"/>
    <cellStyle name="40% - Accent3 3 5 4" xfId="3576" xr:uid="{00000000-0005-0000-0000-00004E370000}"/>
    <cellStyle name="40% - Accent3 3 5 4 2" xfId="15212" xr:uid="{00000000-0005-0000-0000-00004F370000}"/>
    <cellStyle name="40% - Accent3 3 5 4 2 2" xfId="28761" xr:uid="{00000000-0005-0000-0000-000050370000}"/>
    <cellStyle name="40% - Accent3 3 5 4 3" xfId="20902" xr:uid="{00000000-0005-0000-0000-000051370000}"/>
    <cellStyle name="40% - Accent3 3 5 5" xfId="3577" xr:uid="{00000000-0005-0000-0000-000052370000}"/>
    <cellStyle name="40% - Accent3 3 5 5 2" xfId="17225" xr:uid="{00000000-0005-0000-0000-000053370000}"/>
    <cellStyle name="40% - Accent3 3 5 5 2 2" xfId="30584" xr:uid="{00000000-0005-0000-0000-000054370000}"/>
    <cellStyle name="40% - Accent3 3 5 5 3" xfId="20903" xr:uid="{00000000-0005-0000-0000-000055370000}"/>
    <cellStyle name="40% - Accent3 3 5 6" xfId="9321" xr:uid="{00000000-0005-0000-0000-000056370000}"/>
    <cellStyle name="40% - Accent3 3 5 6 2" xfId="23796" xr:uid="{00000000-0005-0000-0000-000057370000}"/>
    <cellStyle name="40% - Accent3 3 5 7" xfId="20899" xr:uid="{00000000-0005-0000-0000-000058370000}"/>
    <cellStyle name="40% - Accent3 3 6" xfId="3578" xr:uid="{00000000-0005-0000-0000-000059370000}"/>
    <cellStyle name="40% - Accent3 3 6 2" xfId="3579" xr:uid="{00000000-0005-0000-0000-00005A370000}"/>
    <cellStyle name="40% - Accent3 3 6 2 2" xfId="15213" xr:uid="{00000000-0005-0000-0000-00005B370000}"/>
    <cellStyle name="40% - Accent3 3 6 2 2 2" xfId="28762" xr:uid="{00000000-0005-0000-0000-00005C370000}"/>
    <cellStyle name="40% - Accent3 3 6 2 3" xfId="20905" xr:uid="{00000000-0005-0000-0000-00005D370000}"/>
    <cellStyle name="40% - Accent3 3 6 3" xfId="3580" xr:uid="{00000000-0005-0000-0000-00005E370000}"/>
    <cellStyle name="40% - Accent3 3 6 3 2" xfId="16500" xr:uid="{00000000-0005-0000-0000-00005F370000}"/>
    <cellStyle name="40% - Accent3 3 6 3 2 2" xfId="29907" xr:uid="{00000000-0005-0000-0000-000060370000}"/>
    <cellStyle name="40% - Accent3 3 6 3 3" xfId="20906" xr:uid="{00000000-0005-0000-0000-000061370000}"/>
    <cellStyle name="40% - Accent3 3 6 4" xfId="11040" xr:uid="{00000000-0005-0000-0000-000062370000}"/>
    <cellStyle name="40% - Accent3 3 6 4 2" xfId="24982" xr:uid="{00000000-0005-0000-0000-000063370000}"/>
    <cellStyle name="40% - Accent3 3 6 5" xfId="20904" xr:uid="{00000000-0005-0000-0000-000064370000}"/>
    <cellStyle name="40% - Accent3 3 7" xfId="3581" xr:uid="{00000000-0005-0000-0000-000065370000}"/>
    <cellStyle name="40% - Accent3 3 7 2" xfId="11872" xr:uid="{00000000-0005-0000-0000-000066370000}"/>
    <cellStyle name="40% - Accent3 3 7 2 2" xfId="25587" xr:uid="{00000000-0005-0000-0000-000067370000}"/>
    <cellStyle name="40% - Accent3 3 7 3" xfId="20907" xr:uid="{00000000-0005-0000-0000-000068370000}"/>
    <cellStyle name="40% - Accent3 3 8" xfId="3582" xr:uid="{00000000-0005-0000-0000-000069370000}"/>
    <cellStyle name="40% - Accent3 3 8 2" xfId="12813" xr:uid="{00000000-0005-0000-0000-00006A370000}"/>
    <cellStyle name="40% - Accent3 3 8 2 2" xfId="26525" xr:uid="{00000000-0005-0000-0000-00006B370000}"/>
    <cellStyle name="40% - Accent3 3 8 3" xfId="20908" xr:uid="{00000000-0005-0000-0000-00006C370000}"/>
    <cellStyle name="40% - Accent3 3 9" xfId="3583" xr:uid="{00000000-0005-0000-0000-00006D370000}"/>
    <cellStyle name="40% - Accent3 3 9 2" xfId="13452" xr:uid="{00000000-0005-0000-0000-00006E370000}"/>
    <cellStyle name="40% - Accent3 3 9 2 2" xfId="27001" xr:uid="{00000000-0005-0000-0000-00006F370000}"/>
    <cellStyle name="40% - Accent3 3 9 3" xfId="20909" xr:uid="{00000000-0005-0000-0000-000070370000}"/>
    <cellStyle name="40% - Accent3 30" xfId="23243" xr:uid="{00000000-0005-0000-0000-000071370000}"/>
    <cellStyle name="40% - Accent3 4" xfId="3584" xr:uid="{00000000-0005-0000-0000-000072370000}"/>
    <cellStyle name="40% - Accent3 4 10" xfId="3585" xr:uid="{00000000-0005-0000-0000-000073370000}"/>
    <cellStyle name="40% - Accent3 4 10 2" xfId="15214" xr:uid="{00000000-0005-0000-0000-000074370000}"/>
    <cellStyle name="40% - Accent3 4 10 2 2" xfId="28763" xr:uid="{00000000-0005-0000-0000-000075370000}"/>
    <cellStyle name="40% - Accent3 4 10 3" xfId="20911" xr:uid="{00000000-0005-0000-0000-000076370000}"/>
    <cellStyle name="40% - Accent3 4 11" xfId="3586" xr:uid="{00000000-0005-0000-0000-000077370000}"/>
    <cellStyle name="40% - Accent3 4 11 2" xfId="15876" xr:uid="{00000000-0005-0000-0000-000078370000}"/>
    <cellStyle name="40% - Accent3 4 11 2 2" xfId="29283" xr:uid="{00000000-0005-0000-0000-000079370000}"/>
    <cellStyle name="40% - Accent3 4 11 3" xfId="20912" xr:uid="{00000000-0005-0000-0000-00007A370000}"/>
    <cellStyle name="40% - Accent3 4 12" xfId="9322" xr:uid="{00000000-0005-0000-0000-00007B370000}"/>
    <cellStyle name="40% - Accent3 4 12 2" xfId="23797" xr:uid="{00000000-0005-0000-0000-00007C370000}"/>
    <cellStyle name="40% - Accent3 4 13" xfId="20910" xr:uid="{00000000-0005-0000-0000-00007D370000}"/>
    <cellStyle name="40% - Accent3 4 2" xfId="3587" xr:uid="{00000000-0005-0000-0000-00007E370000}"/>
    <cellStyle name="40% - Accent3 4 2 10" xfId="3588" xr:uid="{00000000-0005-0000-0000-00007F370000}"/>
    <cellStyle name="40% - Accent3 4 2 10 2" xfId="16019" xr:uid="{00000000-0005-0000-0000-000080370000}"/>
    <cellStyle name="40% - Accent3 4 2 10 2 2" xfId="29426" xr:uid="{00000000-0005-0000-0000-000081370000}"/>
    <cellStyle name="40% - Accent3 4 2 10 3" xfId="20914" xr:uid="{00000000-0005-0000-0000-000082370000}"/>
    <cellStyle name="40% - Accent3 4 2 11" xfId="9323" xr:uid="{00000000-0005-0000-0000-000083370000}"/>
    <cellStyle name="40% - Accent3 4 2 11 2" xfId="23798" xr:uid="{00000000-0005-0000-0000-000084370000}"/>
    <cellStyle name="40% - Accent3 4 2 12" xfId="20913" xr:uid="{00000000-0005-0000-0000-000085370000}"/>
    <cellStyle name="40% - Accent3 4 2 2" xfId="3589" xr:uid="{00000000-0005-0000-0000-000086370000}"/>
    <cellStyle name="40% - Accent3 4 2 2 10" xfId="9324" xr:uid="{00000000-0005-0000-0000-000087370000}"/>
    <cellStyle name="40% - Accent3 4 2 2 10 2" xfId="23799" xr:uid="{00000000-0005-0000-0000-000088370000}"/>
    <cellStyle name="40% - Accent3 4 2 2 11" xfId="20915" xr:uid="{00000000-0005-0000-0000-000089370000}"/>
    <cellStyle name="40% - Accent3 4 2 2 2" xfId="3590" xr:uid="{00000000-0005-0000-0000-00008A370000}"/>
    <cellStyle name="40% - Accent3 4 2 2 2 2" xfId="3591" xr:uid="{00000000-0005-0000-0000-00008B370000}"/>
    <cellStyle name="40% - Accent3 4 2 2 2 2 2" xfId="11052" xr:uid="{00000000-0005-0000-0000-00008C370000}"/>
    <cellStyle name="40% - Accent3 4 2 2 2 2 2 2" xfId="24994" xr:uid="{00000000-0005-0000-0000-00008D370000}"/>
    <cellStyle name="40% - Accent3 4 2 2 2 2 3" xfId="20917" xr:uid="{00000000-0005-0000-0000-00008E370000}"/>
    <cellStyle name="40% - Accent3 4 2 2 2 3" xfId="3592" xr:uid="{00000000-0005-0000-0000-00008F370000}"/>
    <cellStyle name="40% - Accent3 4 2 2 2 3 2" xfId="12825" xr:uid="{00000000-0005-0000-0000-000090370000}"/>
    <cellStyle name="40% - Accent3 4 2 2 2 3 2 2" xfId="26537" xr:uid="{00000000-0005-0000-0000-000091370000}"/>
    <cellStyle name="40% - Accent3 4 2 2 2 3 3" xfId="20918" xr:uid="{00000000-0005-0000-0000-000092370000}"/>
    <cellStyle name="40% - Accent3 4 2 2 2 4" xfId="3593" xr:uid="{00000000-0005-0000-0000-000093370000}"/>
    <cellStyle name="40% - Accent3 4 2 2 2 4 2" xfId="15217" xr:uid="{00000000-0005-0000-0000-000094370000}"/>
    <cellStyle name="40% - Accent3 4 2 2 2 4 2 2" xfId="28766" xr:uid="{00000000-0005-0000-0000-000095370000}"/>
    <cellStyle name="40% - Accent3 4 2 2 2 4 3" xfId="20919" xr:uid="{00000000-0005-0000-0000-000096370000}"/>
    <cellStyle name="40% - Accent3 4 2 2 2 5" xfId="3594" xr:uid="{00000000-0005-0000-0000-000097370000}"/>
    <cellStyle name="40% - Accent3 4 2 2 2 5 2" xfId="16889" xr:uid="{00000000-0005-0000-0000-000098370000}"/>
    <cellStyle name="40% - Accent3 4 2 2 2 5 2 2" xfId="30296" xr:uid="{00000000-0005-0000-0000-000099370000}"/>
    <cellStyle name="40% - Accent3 4 2 2 2 5 3" xfId="20920" xr:uid="{00000000-0005-0000-0000-00009A370000}"/>
    <cellStyle name="40% - Accent3 4 2 2 2 6" xfId="9325" xr:uid="{00000000-0005-0000-0000-00009B370000}"/>
    <cellStyle name="40% - Accent3 4 2 2 2 6 2" xfId="23800" xr:uid="{00000000-0005-0000-0000-00009C370000}"/>
    <cellStyle name="40% - Accent3 4 2 2 2 7" xfId="20916" xr:uid="{00000000-0005-0000-0000-00009D370000}"/>
    <cellStyle name="40% - Accent3 4 2 2 3" xfId="3595" xr:uid="{00000000-0005-0000-0000-00009E370000}"/>
    <cellStyle name="40% - Accent3 4 2 2 3 2" xfId="3596" xr:uid="{00000000-0005-0000-0000-00009F370000}"/>
    <cellStyle name="40% - Accent3 4 2 2 3 2 2" xfId="15218" xr:uid="{00000000-0005-0000-0000-0000A0370000}"/>
    <cellStyle name="40% - Accent3 4 2 2 3 2 2 2" xfId="28767" xr:uid="{00000000-0005-0000-0000-0000A1370000}"/>
    <cellStyle name="40% - Accent3 4 2 2 3 2 3" xfId="20922" xr:uid="{00000000-0005-0000-0000-0000A2370000}"/>
    <cellStyle name="40% - Accent3 4 2 2 3 3" xfId="11051" xr:uid="{00000000-0005-0000-0000-0000A3370000}"/>
    <cellStyle name="40% - Accent3 4 2 2 3 3 2" xfId="24993" xr:uid="{00000000-0005-0000-0000-0000A4370000}"/>
    <cellStyle name="40% - Accent3 4 2 2 3 4" xfId="20921" xr:uid="{00000000-0005-0000-0000-0000A5370000}"/>
    <cellStyle name="40% - Accent3 4 2 2 4" xfId="3597" xr:uid="{00000000-0005-0000-0000-0000A6370000}"/>
    <cellStyle name="40% - Accent3 4 2 2 4 2" xfId="12277" xr:uid="{00000000-0005-0000-0000-0000A7370000}"/>
    <cellStyle name="40% - Accent3 4 2 2 4 2 2" xfId="25989" xr:uid="{00000000-0005-0000-0000-0000A8370000}"/>
    <cellStyle name="40% - Accent3 4 2 2 4 3" xfId="20923" xr:uid="{00000000-0005-0000-0000-0000A9370000}"/>
    <cellStyle name="40% - Accent3 4 2 2 5" xfId="3598" xr:uid="{00000000-0005-0000-0000-0000AA370000}"/>
    <cellStyle name="40% - Accent3 4 2 2 5 2" xfId="12824" xr:uid="{00000000-0005-0000-0000-0000AB370000}"/>
    <cellStyle name="40% - Accent3 4 2 2 5 2 2" xfId="26536" xr:uid="{00000000-0005-0000-0000-0000AC370000}"/>
    <cellStyle name="40% - Accent3 4 2 2 5 3" xfId="20924" xr:uid="{00000000-0005-0000-0000-0000AD370000}"/>
    <cellStyle name="40% - Accent3 4 2 2 6" xfId="3599" xr:uid="{00000000-0005-0000-0000-0000AE370000}"/>
    <cellStyle name="40% - Accent3 4 2 2 6 2" xfId="13841" xr:uid="{00000000-0005-0000-0000-0000AF370000}"/>
    <cellStyle name="40% - Accent3 4 2 2 6 2 2" xfId="27390" xr:uid="{00000000-0005-0000-0000-0000B0370000}"/>
    <cellStyle name="40% - Accent3 4 2 2 6 3" xfId="20925" xr:uid="{00000000-0005-0000-0000-0000B1370000}"/>
    <cellStyle name="40% - Accent3 4 2 2 7" xfId="3600" xr:uid="{00000000-0005-0000-0000-0000B2370000}"/>
    <cellStyle name="40% - Accent3 4 2 2 7 2" xfId="14422" xr:uid="{00000000-0005-0000-0000-0000B3370000}"/>
    <cellStyle name="40% - Accent3 4 2 2 7 2 2" xfId="27971" xr:uid="{00000000-0005-0000-0000-0000B4370000}"/>
    <cellStyle name="40% - Accent3 4 2 2 7 3" xfId="20926" xr:uid="{00000000-0005-0000-0000-0000B5370000}"/>
    <cellStyle name="40% - Accent3 4 2 2 8" xfId="3601" xr:uid="{00000000-0005-0000-0000-0000B6370000}"/>
    <cellStyle name="40% - Accent3 4 2 2 8 2" xfId="15216" xr:uid="{00000000-0005-0000-0000-0000B7370000}"/>
    <cellStyle name="40% - Accent3 4 2 2 8 2 2" xfId="28765" xr:uid="{00000000-0005-0000-0000-0000B8370000}"/>
    <cellStyle name="40% - Accent3 4 2 2 8 3" xfId="20927" xr:uid="{00000000-0005-0000-0000-0000B9370000}"/>
    <cellStyle name="40% - Accent3 4 2 2 9" xfId="3602" xr:uid="{00000000-0005-0000-0000-0000BA370000}"/>
    <cellStyle name="40% - Accent3 4 2 2 9 2" xfId="16308" xr:uid="{00000000-0005-0000-0000-0000BB370000}"/>
    <cellStyle name="40% - Accent3 4 2 2 9 2 2" xfId="29715" xr:uid="{00000000-0005-0000-0000-0000BC370000}"/>
    <cellStyle name="40% - Accent3 4 2 2 9 3" xfId="20928" xr:uid="{00000000-0005-0000-0000-0000BD370000}"/>
    <cellStyle name="40% - Accent3 4 2 3" xfId="3603" xr:uid="{00000000-0005-0000-0000-0000BE370000}"/>
    <cellStyle name="40% - Accent3 4 2 3 2" xfId="3604" xr:uid="{00000000-0005-0000-0000-0000BF370000}"/>
    <cellStyle name="40% - Accent3 4 2 3 2 2" xfId="11053" xr:uid="{00000000-0005-0000-0000-0000C0370000}"/>
    <cellStyle name="40% - Accent3 4 2 3 2 2 2" xfId="24995" xr:uid="{00000000-0005-0000-0000-0000C1370000}"/>
    <cellStyle name="40% - Accent3 4 2 3 2 3" xfId="20930" xr:uid="{00000000-0005-0000-0000-0000C2370000}"/>
    <cellStyle name="40% - Accent3 4 2 3 3" xfId="3605" xr:uid="{00000000-0005-0000-0000-0000C3370000}"/>
    <cellStyle name="40% - Accent3 4 2 3 3 2" xfId="12826" xr:uid="{00000000-0005-0000-0000-0000C4370000}"/>
    <cellStyle name="40% - Accent3 4 2 3 3 2 2" xfId="26538" xr:uid="{00000000-0005-0000-0000-0000C5370000}"/>
    <cellStyle name="40% - Accent3 4 2 3 3 3" xfId="20931" xr:uid="{00000000-0005-0000-0000-0000C6370000}"/>
    <cellStyle name="40% - Accent3 4 2 3 4" xfId="3606" xr:uid="{00000000-0005-0000-0000-0000C7370000}"/>
    <cellStyle name="40% - Accent3 4 2 3 4 2" xfId="15219" xr:uid="{00000000-0005-0000-0000-0000C8370000}"/>
    <cellStyle name="40% - Accent3 4 2 3 4 2 2" xfId="28768" xr:uid="{00000000-0005-0000-0000-0000C9370000}"/>
    <cellStyle name="40% - Accent3 4 2 3 4 3" xfId="20932" xr:uid="{00000000-0005-0000-0000-0000CA370000}"/>
    <cellStyle name="40% - Accent3 4 2 3 5" xfId="3607" xr:uid="{00000000-0005-0000-0000-0000CB370000}"/>
    <cellStyle name="40% - Accent3 4 2 3 5 2" xfId="16600" xr:uid="{00000000-0005-0000-0000-0000CC370000}"/>
    <cellStyle name="40% - Accent3 4 2 3 5 2 2" xfId="30007" xr:uid="{00000000-0005-0000-0000-0000CD370000}"/>
    <cellStyle name="40% - Accent3 4 2 3 5 3" xfId="20933" xr:uid="{00000000-0005-0000-0000-0000CE370000}"/>
    <cellStyle name="40% - Accent3 4 2 3 6" xfId="9326" xr:uid="{00000000-0005-0000-0000-0000CF370000}"/>
    <cellStyle name="40% - Accent3 4 2 3 6 2" xfId="23801" xr:uid="{00000000-0005-0000-0000-0000D0370000}"/>
    <cellStyle name="40% - Accent3 4 2 3 7" xfId="20929" xr:uid="{00000000-0005-0000-0000-0000D1370000}"/>
    <cellStyle name="40% - Accent3 4 2 4" xfId="3608" xr:uid="{00000000-0005-0000-0000-0000D2370000}"/>
    <cellStyle name="40% - Accent3 4 2 4 2" xfId="3609" xr:uid="{00000000-0005-0000-0000-0000D3370000}"/>
    <cellStyle name="40% - Accent3 4 2 4 2 2" xfId="15220" xr:uid="{00000000-0005-0000-0000-0000D4370000}"/>
    <cellStyle name="40% - Accent3 4 2 4 2 2 2" xfId="28769" xr:uid="{00000000-0005-0000-0000-0000D5370000}"/>
    <cellStyle name="40% - Accent3 4 2 4 2 3" xfId="20935" xr:uid="{00000000-0005-0000-0000-0000D6370000}"/>
    <cellStyle name="40% - Accent3 4 2 4 3" xfId="11050" xr:uid="{00000000-0005-0000-0000-0000D7370000}"/>
    <cellStyle name="40% - Accent3 4 2 4 3 2" xfId="24992" xr:uid="{00000000-0005-0000-0000-0000D8370000}"/>
    <cellStyle name="40% - Accent3 4 2 4 4" xfId="20934" xr:uid="{00000000-0005-0000-0000-0000D9370000}"/>
    <cellStyle name="40% - Accent3 4 2 5" xfId="3610" xr:uid="{00000000-0005-0000-0000-0000DA370000}"/>
    <cellStyle name="40% - Accent3 4 2 5 2" xfId="11977" xr:uid="{00000000-0005-0000-0000-0000DB370000}"/>
    <cellStyle name="40% - Accent3 4 2 5 2 2" xfId="25692" xr:uid="{00000000-0005-0000-0000-0000DC370000}"/>
    <cellStyle name="40% - Accent3 4 2 5 3" xfId="20936" xr:uid="{00000000-0005-0000-0000-0000DD370000}"/>
    <cellStyle name="40% - Accent3 4 2 6" xfId="3611" xr:uid="{00000000-0005-0000-0000-0000DE370000}"/>
    <cellStyle name="40% - Accent3 4 2 6 2" xfId="12823" xr:uid="{00000000-0005-0000-0000-0000DF370000}"/>
    <cellStyle name="40% - Accent3 4 2 6 2 2" xfId="26535" xr:uid="{00000000-0005-0000-0000-0000E0370000}"/>
    <cellStyle name="40% - Accent3 4 2 6 3" xfId="20937" xr:uid="{00000000-0005-0000-0000-0000E1370000}"/>
    <cellStyle name="40% - Accent3 4 2 7" xfId="3612" xr:uid="{00000000-0005-0000-0000-0000E2370000}"/>
    <cellStyle name="40% - Accent3 4 2 7 2" xfId="13552" xr:uid="{00000000-0005-0000-0000-0000E3370000}"/>
    <cellStyle name="40% - Accent3 4 2 7 2 2" xfId="27101" xr:uid="{00000000-0005-0000-0000-0000E4370000}"/>
    <cellStyle name="40% - Accent3 4 2 7 3" xfId="20938" xr:uid="{00000000-0005-0000-0000-0000E5370000}"/>
    <cellStyle name="40% - Accent3 4 2 8" xfId="3613" xr:uid="{00000000-0005-0000-0000-0000E6370000}"/>
    <cellStyle name="40% - Accent3 4 2 8 2" xfId="14133" xr:uid="{00000000-0005-0000-0000-0000E7370000}"/>
    <cellStyle name="40% - Accent3 4 2 8 2 2" xfId="27682" xr:uid="{00000000-0005-0000-0000-0000E8370000}"/>
    <cellStyle name="40% - Accent3 4 2 8 3" xfId="20939" xr:uid="{00000000-0005-0000-0000-0000E9370000}"/>
    <cellStyle name="40% - Accent3 4 2 9" xfId="3614" xr:uid="{00000000-0005-0000-0000-0000EA370000}"/>
    <cellStyle name="40% - Accent3 4 2 9 2" xfId="15215" xr:uid="{00000000-0005-0000-0000-0000EB370000}"/>
    <cellStyle name="40% - Accent3 4 2 9 2 2" xfId="28764" xr:uid="{00000000-0005-0000-0000-0000EC370000}"/>
    <cellStyle name="40% - Accent3 4 2 9 3" xfId="20940" xr:uid="{00000000-0005-0000-0000-0000ED370000}"/>
    <cellStyle name="40% - Accent3 4 3" xfId="3615" xr:uid="{00000000-0005-0000-0000-0000EE370000}"/>
    <cellStyle name="40% - Accent3 4 3 10" xfId="9327" xr:uid="{00000000-0005-0000-0000-0000EF370000}"/>
    <cellStyle name="40% - Accent3 4 3 10 2" xfId="23802" xr:uid="{00000000-0005-0000-0000-0000F0370000}"/>
    <cellStyle name="40% - Accent3 4 3 11" xfId="20941" xr:uid="{00000000-0005-0000-0000-0000F1370000}"/>
    <cellStyle name="40% - Accent3 4 3 2" xfId="3616" xr:uid="{00000000-0005-0000-0000-0000F2370000}"/>
    <cellStyle name="40% - Accent3 4 3 2 2" xfId="3617" xr:uid="{00000000-0005-0000-0000-0000F3370000}"/>
    <cellStyle name="40% - Accent3 4 3 2 2 2" xfId="11055" xr:uid="{00000000-0005-0000-0000-0000F4370000}"/>
    <cellStyle name="40% - Accent3 4 3 2 2 2 2" xfId="24997" xr:uid="{00000000-0005-0000-0000-0000F5370000}"/>
    <cellStyle name="40% - Accent3 4 3 2 2 3" xfId="20943" xr:uid="{00000000-0005-0000-0000-0000F6370000}"/>
    <cellStyle name="40% - Accent3 4 3 2 3" xfId="3618" xr:uid="{00000000-0005-0000-0000-0000F7370000}"/>
    <cellStyle name="40% - Accent3 4 3 2 3 2" xfId="12828" xr:uid="{00000000-0005-0000-0000-0000F8370000}"/>
    <cellStyle name="40% - Accent3 4 3 2 3 2 2" xfId="26540" xr:uid="{00000000-0005-0000-0000-0000F9370000}"/>
    <cellStyle name="40% - Accent3 4 3 2 3 3" xfId="20944" xr:uid="{00000000-0005-0000-0000-0000FA370000}"/>
    <cellStyle name="40% - Accent3 4 3 2 4" xfId="3619" xr:uid="{00000000-0005-0000-0000-0000FB370000}"/>
    <cellStyle name="40% - Accent3 4 3 2 4 2" xfId="15222" xr:uid="{00000000-0005-0000-0000-0000FC370000}"/>
    <cellStyle name="40% - Accent3 4 3 2 4 2 2" xfId="28771" xr:uid="{00000000-0005-0000-0000-0000FD370000}"/>
    <cellStyle name="40% - Accent3 4 3 2 4 3" xfId="20945" xr:uid="{00000000-0005-0000-0000-0000FE370000}"/>
    <cellStyle name="40% - Accent3 4 3 2 5" xfId="3620" xr:uid="{00000000-0005-0000-0000-0000FF370000}"/>
    <cellStyle name="40% - Accent3 4 3 2 5 2" xfId="16749" xr:uid="{00000000-0005-0000-0000-000000380000}"/>
    <cellStyle name="40% - Accent3 4 3 2 5 2 2" xfId="30156" xr:uid="{00000000-0005-0000-0000-000001380000}"/>
    <cellStyle name="40% - Accent3 4 3 2 5 3" xfId="20946" xr:uid="{00000000-0005-0000-0000-000002380000}"/>
    <cellStyle name="40% - Accent3 4 3 2 6" xfId="9328" xr:uid="{00000000-0005-0000-0000-000003380000}"/>
    <cellStyle name="40% - Accent3 4 3 2 6 2" xfId="23803" xr:uid="{00000000-0005-0000-0000-000004380000}"/>
    <cellStyle name="40% - Accent3 4 3 2 7" xfId="20942" xr:uid="{00000000-0005-0000-0000-000005380000}"/>
    <cellStyle name="40% - Accent3 4 3 3" xfId="3621" xr:uid="{00000000-0005-0000-0000-000006380000}"/>
    <cellStyle name="40% - Accent3 4 3 3 2" xfId="3622" xr:uid="{00000000-0005-0000-0000-000007380000}"/>
    <cellStyle name="40% - Accent3 4 3 3 2 2" xfId="15223" xr:uid="{00000000-0005-0000-0000-000008380000}"/>
    <cellStyle name="40% - Accent3 4 3 3 2 2 2" xfId="28772" xr:uid="{00000000-0005-0000-0000-000009380000}"/>
    <cellStyle name="40% - Accent3 4 3 3 2 3" xfId="20948" xr:uid="{00000000-0005-0000-0000-00000A380000}"/>
    <cellStyle name="40% - Accent3 4 3 3 3" xfId="11054" xr:uid="{00000000-0005-0000-0000-00000B380000}"/>
    <cellStyle name="40% - Accent3 4 3 3 3 2" xfId="24996" xr:uid="{00000000-0005-0000-0000-00000C380000}"/>
    <cellStyle name="40% - Accent3 4 3 3 4" xfId="20947" xr:uid="{00000000-0005-0000-0000-00000D380000}"/>
    <cellStyle name="40% - Accent3 4 3 4" xfId="3623" xr:uid="{00000000-0005-0000-0000-00000E380000}"/>
    <cellStyle name="40% - Accent3 4 3 4 2" xfId="12137" xr:uid="{00000000-0005-0000-0000-00000F380000}"/>
    <cellStyle name="40% - Accent3 4 3 4 2 2" xfId="25849" xr:uid="{00000000-0005-0000-0000-000010380000}"/>
    <cellStyle name="40% - Accent3 4 3 4 3" xfId="20949" xr:uid="{00000000-0005-0000-0000-000011380000}"/>
    <cellStyle name="40% - Accent3 4 3 5" xfId="3624" xr:uid="{00000000-0005-0000-0000-000012380000}"/>
    <cellStyle name="40% - Accent3 4 3 5 2" xfId="12827" xr:uid="{00000000-0005-0000-0000-000013380000}"/>
    <cellStyle name="40% - Accent3 4 3 5 2 2" xfId="26539" xr:uid="{00000000-0005-0000-0000-000014380000}"/>
    <cellStyle name="40% - Accent3 4 3 5 3" xfId="20950" xr:uid="{00000000-0005-0000-0000-000015380000}"/>
    <cellStyle name="40% - Accent3 4 3 6" xfId="3625" xr:uid="{00000000-0005-0000-0000-000016380000}"/>
    <cellStyle name="40% - Accent3 4 3 6 2" xfId="13701" xr:uid="{00000000-0005-0000-0000-000017380000}"/>
    <cellStyle name="40% - Accent3 4 3 6 2 2" xfId="27250" xr:uid="{00000000-0005-0000-0000-000018380000}"/>
    <cellStyle name="40% - Accent3 4 3 6 3" xfId="20951" xr:uid="{00000000-0005-0000-0000-000019380000}"/>
    <cellStyle name="40% - Accent3 4 3 7" xfId="3626" xr:uid="{00000000-0005-0000-0000-00001A380000}"/>
    <cellStyle name="40% - Accent3 4 3 7 2" xfId="14282" xr:uid="{00000000-0005-0000-0000-00001B380000}"/>
    <cellStyle name="40% - Accent3 4 3 7 2 2" xfId="27831" xr:uid="{00000000-0005-0000-0000-00001C380000}"/>
    <cellStyle name="40% - Accent3 4 3 7 3" xfId="20952" xr:uid="{00000000-0005-0000-0000-00001D380000}"/>
    <cellStyle name="40% - Accent3 4 3 8" xfId="3627" xr:uid="{00000000-0005-0000-0000-00001E380000}"/>
    <cellStyle name="40% - Accent3 4 3 8 2" xfId="15221" xr:uid="{00000000-0005-0000-0000-00001F380000}"/>
    <cellStyle name="40% - Accent3 4 3 8 2 2" xfId="28770" xr:uid="{00000000-0005-0000-0000-000020380000}"/>
    <cellStyle name="40% - Accent3 4 3 8 3" xfId="20953" xr:uid="{00000000-0005-0000-0000-000021380000}"/>
    <cellStyle name="40% - Accent3 4 3 9" xfId="3628" xr:uid="{00000000-0005-0000-0000-000022380000}"/>
    <cellStyle name="40% - Accent3 4 3 9 2" xfId="16168" xr:uid="{00000000-0005-0000-0000-000023380000}"/>
    <cellStyle name="40% - Accent3 4 3 9 2 2" xfId="29575" xr:uid="{00000000-0005-0000-0000-000024380000}"/>
    <cellStyle name="40% - Accent3 4 3 9 3" xfId="20954" xr:uid="{00000000-0005-0000-0000-000025380000}"/>
    <cellStyle name="40% - Accent3 4 4" xfId="3629" xr:uid="{00000000-0005-0000-0000-000026380000}"/>
    <cellStyle name="40% - Accent3 4 4 2" xfId="3630" xr:uid="{00000000-0005-0000-0000-000027380000}"/>
    <cellStyle name="40% - Accent3 4 4 2 2" xfId="11056" xr:uid="{00000000-0005-0000-0000-000028380000}"/>
    <cellStyle name="40% - Accent3 4 4 2 2 2" xfId="24998" xr:uid="{00000000-0005-0000-0000-000029380000}"/>
    <cellStyle name="40% - Accent3 4 4 2 3" xfId="20956" xr:uid="{00000000-0005-0000-0000-00002A380000}"/>
    <cellStyle name="40% - Accent3 4 4 3" xfId="3631" xr:uid="{00000000-0005-0000-0000-00002B380000}"/>
    <cellStyle name="40% - Accent3 4 4 3 2" xfId="12829" xr:uid="{00000000-0005-0000-0000-00002C380000}"/>
    <cellStyle name="40% - Accent3 4 4 3 2 2" xfId="26541" xr:uid="{00000000-0005-0000-0000-00002D380000}"/>
    <cellStyle name="40% - Accent3 4 4 3 3" xfId="20957" xr:uid="{00000000-0005-0000-0000-00002E380000}"/>
    <cellStyle name="40% - Accent3 4 4 4" xfId="3632" xr:uid="{00000000-0005-0000-0000-00002F380000}"/>
    <cellStyle name="40% - Accent3 4 4 4 2" xfId="15224" xr:uid="{00000000-0005-0000-0000-000030380000}"/>
    <cellStyle name="40% - Accent3 4 4 4 2 2" xfId="28773" xr:uid="{00000000-0005-0000-0000-000031380000}"/>
    <cellStyle name="40% - Accent3 4 4 4 3" xfId="20958" xr:uid="{00000000-0005-0000-0000-000032380000}"/>
    <cellStyle name="40% - Accent3 4 4 5" xfId="3633" xr:uid="{00000000-0005-0000-0000-000033380000}"/>
    <cellStyle name="40% - Accent3 4 4 5 2" xfId="16457" xr:uid="{00000000-0005-0000-0000-000034380000}"/>
    <cellStyle name="40% - Accent3 4 4 5 2 2" xfId="29864" xr:uid="{00000000-0005-0000-0000-000035380000}"/>
    <cellStyle name="40% - Accent3 4 4 5 3" xfId="20959" xr:uid="{00000000-0005-0000-0000-000036380000}"/>
    <cellStyle name="40% - Accent3 4 4 6" xfId="9329" xr:uid="{00000000-0005-0000-0000-000037380000}"/>
    <cellStyle name="40% - Accent3 4 4 6 2" xfId="23804" xr:uid="{00000000-0005-0000-0000-000038380000}"/>
    <cellStyle name="40% - Accent3 4 4 7" xfId="20955" xr:uid="{00000000-0005-0000-0000-000039380000}"/>
    <cellStyle name="40% - Accent3 4 5" xfId="3634" xr:uid="{00000000-0005-0000-0000-00003A380000}"/>
    <cellStyle name="40% - Accent3 4 5 2" xfId="3635" xr:uid="{00000000-0005-0000-0000-00003B380000}"/>
    <cellStyle name="40% - Accent3 4 5 2 2" xfId="15225" xr:uid="{00000000-0005-0000-0000-00003C380000}"/>
    <cellStyle name="40% - Accent3 4 5 2 2 2" xfId="28774" xr:uid="{00000000-0005-0000-0000-00003D380000}"/>
    <cellStyle name="40% - Accent3 4 5 2 3" xfId="20961" xr:uid="{00000000-0005-0000-0000-00003E380000}"/>
    <cellStyle name="40% - Accent3 4 5 3" xfId="11049" xr:uid="{00000000-0005-0000-0000-00003F380000}"/>
    <cellStyle name="40% - Accent3 4 5 3 2" xfId="24991" xr:uid="{00000000-0005-0000-0000-000040380000}"/>
    <cellStyle name="40% - Accent3 4 5 4" xfId="20960" xr:uid="{00000000-0005-0000-0000-000041380000}"/>
    <cellStyle name="40% - Accent3 4 6" xfId="3636" xr:uid="{00000000-0005-0000-0000-000042380000}"/>
    <cellStyle name="40% - Accent3 4 6 2" xfId="11808" xr:uid="{00000000-0005-0000-0000-000043380000}"/>
    <cellStyle name="40% - Accent3 4 6 2 2" xfId="25523" xr:uid="{00000000-0005-0000-0000-000044380000}"/>
    <cellStyle name="40% - Accent3 4 6 3" xfId="20962" xr:uid="{00000000-0005-0000-0000-000045380000}"/>
    <cellStyle name="40% - Accent3 4 7" xfId="3637" xr:uid="{00000000-0005-0000-0000-000046380000}"/>
    <cellStyle name="40% - Accent3 4 7 2" xfId="12822" xr:uid="{00000000-0005-0000-0000-000047380000}"/>
    <cellStyle name="40% - Accent3 4 7 2 2" xfId="26534" xr:uid="{00000000-0005-0000-0000-000048380000}"/>
    <cellStyle name="40% - Accent3 4 7 3" xfId="20963" xr:uid="{00000000-0005-0000-0000-000049380000}"/>
    <cellStyle name="40% - Accent3 4 8" xfId="3638" xr:uid="{00000000-0005-0000-0000-00004A380000}"/>
    <cellStyle name="40% - Accent3 4 8 2" xfId="13409" xr:uid="{00000000-0005-0000-0000-00004B380000}"/>
    <cellStyle name="40% - Accent3 4 8 2 2" xfId="26958" xr:uid="{00000000-0005-0000-0000-00004C380000}"/>
    <cellStyle name="40% - Accent3 4 8 3" xfId="20964" xr:uid="{00000000-0005-0000-0000-00004D380000}"/>
    <cellStyle name="40% - Accent3 4 9" xfId="3639" xr:uid="{00000000-0005-0000-0000-00004E380000}"/>
    <cellStyle name="40% - Accent3 4 9 2" xfId="13990" xr:uid="{00000000-0005-0000-0000-00004F380000}"/>
    <cellStyle name="40% - Accent3 4 9 2 2" xfId="27539" xr:uid="{00000000-0005-0000-0000-000050380000}"/>
    <cellStyle name="40% - Accent3 4 9 3" xfId="20965" xr:uid="{00000000-0005-0000-0000-000051380000}"/>
    <cellStyle name="40% - Accent3 5" xfId="3640" xr:uid="{00000000-0005-0000-0000-000052380000}"/>
    <cellStyle name="40% - Accent3 5 10" xfId="3641" xr:uid="{00000000-0005-0000-0000-000053380000}"/>
    <cellStyle name="40% - Accent3 5 10 2" xfId="15226" xr:uid="{00000000-0005-0000-0000-000054380000}"/>
    <cellStyle name="40% - Accent3 5 10 2 2" xfId="28775" xr:uid="{00000000-0005-0000-0000-000055380000}"/>
    <cellStyle name="40% - Accent3 5 10 3" xfId="20967" xr:uid="{00000000-0005-0000-0000-000056380000}"/>
    <cellStyle name="40% - Accent3 5 11" xfId="3642" xr:uid="{00000000-0005-0000-0000-000057380000}"/>
    <cellStyle name="40% - Accent3 5 11 2" xfId="15859" xr:uid="{00000000-0005-0000-0000-000058380000}"/>
    <cellStyle name="40% - Accent3 5 11 2 2" xfId="29266" xr:uid="{00000000-0005-0000-0000-000059380000}"/>
    <cellStyle name="40% - Accent3 5 11 3" xfId="20968" xr:uid="{00000000-0005-0000-0000-00005A380000}"/>
    <cellStyle name="40% - Accent3 5 12" xfId="9330" xr:uid="{00000000-0005-0000-0000-00005B380000}"/>
    <cellStyle name="40% - Accent3 5 12 2" xfId="23805" xr:uid="{00000000-0005-0000-0000-00005C380000}"/>
    <cellStyle name="40% - Accent3 5 13" xfId="20966" xr:uid="{00000000-0005-0000-0000-00005D380000}"/>
    <cellStyle name="40% - Accent3 5 2" xfId="3643" xr:uid="{00000000-0005-0000-0000-00005E380000}"/>
    <cellStyle name="40% - Accent3 5 2 10" xfId="3644" xr:uid="{00000000-0005-0000-0000-00005F380000}"/>
    <cellStyle name="40% - Accent3 5 2 10 2" xfId="16002" xr:uid="{00000000-0005-0000-0000-000060380000}"/>
    <cellStyle name="40% - Accent3 5 2 10 2 2" xfId="29409" xr:uid="{00000000-0005-0000-0000-000061380000}"/>
    <cellStyle name="40% - Accent3 5 2 10 3" xfId="20970" xr:uid="{00000000-0005-0000-0000-000062380000}"/>
    <cellStyle name="40% - Accent3 5 2 11" xfId="9331" xr:uid="{00000000-0005-0000-0000-000063380000}"/>
    <cellStyle name="40% - Accent3 5 2 11 2" xfId="23806" xr:uid="{00000000-0005-0000-0000-000064380000}"/>
    <cellStyle name="40% - Accent3 5 2 12" xfId="20969" xr:uid="{00000000-0005-0000-0000-000065380000}"/>
    <cellStyle name="40% - Accent3 5 2 2" xfId="3645" xr:uid="{00000000-0005-0000-0000-000066380000}"/>
    <cellStyle name="40% - Accent3 5 2 2 10" xfId="9332" xr:uid="{00000000-0005-0000-0000-000067380000}"/>
    <cellStyle name="40% - Accent3 5 2 2 10 2" xfId="23807" xr:uid="{00000000-0005-0000-0000-000068380000}"/>
    <cellStyle name="40% - Accent3 5 2 2 11" xfId="20971" xr:uid="{00000000-0005-0000-0000-000069380000}"/>
    <cellStyle name="40% - Accent3 5 2 2 2" xfId="3646" xr:uid="{00000000-0005-0000-0000-00006A380000}"/>
    <cellStyle name="40% - Accent3 5 2 2 2 2" xfId="3647" xr:uid="{00000000-0005-0000-0000-00006B380000}"/>
    <cellStyle name="40% - Accent3 5 2 2 2 2 2" xfId="11060" xr:uid="{00000000-0005-0000-0000-00006C380000}"/>
    <cellStyle name="40% - Accent3 5 2 2 2 2 2 2" xfId="25002" xr:uid="{00000000-0005-0000-0000-00006D380000}"/>
    <cellStyle name="40% - Accent3 5 2 2 2 2 3" xfId="20973" xr:uid="{00000000-0005-0000-0000-00006E380000}"/>
    <cellStyle name="40% - Accent3 5 2 2 2 3" xfId="3648" xr:uid="{00000000-0005-0000-0000-00006F380000}"/>
    <cellStyle name="40% - Accent3 5 2 2 2 3 2" xfId="12833" xr:uid="{00000000-0005-0000-0000-000070380000}"/>
    <cellStyle name="40% - Accent3 5 2 2 2 3 2 2" xfId="26545" xr:uid="{00000000-0005-0000-0000-000071380000}"/>
    <cellStyle name="40% - Accent3 5 2 2 2 3 3" xfId="20974" xr:uid="{00000000-0005-0000-0000-000072380000}"/>
    <cellStyle name="40% - Accent3 5 2 2 2 4" xfId="3649" xr:uid="{00000000-0005-0000-0000-000073380000}"/>
    <cellStyle name="40% - Accent3 5 2 2 2 4 2" xfId="15229" xr:uid="{00000000-0005-0000-0000-000074380000}"/>
    <cellStyle name="40% - Accent3 5 2 2 2 4 2 2" xfId="28778" xr:uid="{00000000-0005-0000-0000-000075380000}"/>
    <cellStyle name="40% - Accent3 5 2 2 2 4 3" xfId="20975" xr:uid="{00000000-0005-0000-0000-000076380000}"/>
    <cellStyle name="40% - Accent3 5 2 2 2 5" xfId="3650" xr:uid="{00000000-0005-0000-0000-000077380000}"/>
    <cellStyle name="40% - Accent3 5 2 2 2 5 2" xfId="16872" xr:uid="{00000000-0005-0000-0000-000078380000}"/>
    <cellStyle name="40% - Accent3 5 2 2 2 5 2 2" xfId="30279" xr:uid="{00000000-0005-0000-0000-000079380000}"/>
    <cellStyle name="40% - Accent3 5 2 2 2 5 3" xfId="20976" xr:uid="{00000000-0005-0000-0000-00007A380000}"/>
    <cellStyle name="40% - Accent3 5 2 2 2 6" xfId="9333" xr:uid="{00000000-0005-0000-0000-00007B380000}"/>
    <cellStyle name="40% - Accent3 5 2 2 2 6 2" xfId="23808" xr:uid="{00000000-0005-0000-0000-00007C380000}"/>
    <cellStyle name="40% - Accent3 5 2 2 2 7" xfId="20972" xr:uid="{00000000-0005-0000-0000-00007D380000}"/>
    <cellStyle name="40% - Accent3 5 2 2 3" xfId="3651" xr:uid="{00000000-0005-0000-0000-00007E380000}"/>
    <cellStyle name="40% - Accent3 5 2 2 3 2" xfId="3652" xr:uid="{00000000-0005-0000-0000-00007F380000}"/>
    <cellStyle name="40% - Accent3 5 2 2 3 2 2" xfId="15230" xr:uid="{00000000-0005-0000-0000-000080380000}"/>
    <cellStyle name="40% - Accent3 5 2 2 3 2 2 2" xfId="28779" xr:uid="{00000000-0005-0000-0000-000081380000}"/>
    <cellStyle name="40% - Accent3 5 2 2 3 2 3" xfId="20978" xr:uid="{00000000-0005-0000-0000-000082380000}"/>
    <cellStyle name="40% - Accent3 5 2 2 3 3" xfId="11059" xr:uid="{00000000-0005-0000-0000-000083380000}"/>
    <cellStyle name="40% - Accent3 5 2 2 3 3 2" xfId="25001" xr:uid="{00000000-0005-0000-0000-000084380000}"/>
    <cellStyle name="40% - Accent3 5 2 2 3 4" xfId="20977" xr:uid="{00000000-0005-0000-0000-000085380000}"/>
    <cellStyle name="40% - Accent3 5 2 2 4" xfId="3653" xr:uid="{00000000-0005-0000-0000-000086380000}"/>
    <cellStyle name="40% - Accent3 5 2 2 4 2" xfId="12260" xr:uid="{00000000-0005-0000-0000-000087380000}"/>
    <cellStyle name="40% - Accent3 5 2 2 4 2 2" xfId="25972" xr:uid="{00000000-0005-0000-0000-000088380000}"/>
    <cellStyle name="40% - Accent3 5 2 2 4 3" xfId="20979" xr:uid="{00000000-0005-0000-0000-000089380000}"/>
    <cellStyle name="40% - Accent3 5 2 2 5" xfId="3654" xr:uid="{00000000-0005-0000-0000-00008A380000}"/>
    <cellStyle name="40% - Accent3 5 2 2 5 2" xfId="12832" xr:uid="{00000000-0005-0000-0000-00008B380000}"/>
    <cellStyle name="40% - Accent3 5 2 2 5 2 2" xfId="26544" xr:uid="{00000000-0005-0000-0000-00008C380000}"/>
    <cellStyle name="40% - Accent3 5 2 2 5 3" xfId="20980" xr:uid="{00000000-0005-0000-0000-00008D380000}"/>
    <cellStyle name="40% - Accent3 5 2 2 6" xfId="3655" xr:uid="{00000000-0005-0000-0000-00008E380000}"/>
    <cellStyle name="40% - Accent3 5 2 2 6 2" xfId="13824" xr:uid="{00000000-0005-0000-0000-00008F380000}"/>
    <cellStyle name="40% - Accent3 5 2 2 6 2 2" xfId="27373" xr:uid="{00000000-0005-0000-0000-000090380000}"/>
    <cellStyle name="40% - Accent3 5 2 2 6 3" xfId="20981" xr:uid="{00000000-0005-0000-0000-000091380000}"/>
    <cellStyle name="40% - Accent3 5 2 2 7" xfId="3656" xr:uid="{00000000-0005-0000-0000-000092380000}"/>
    <cellStyle name="40% - Accent3 5 2 2 7 2" xfId="14405" xr:uid="{00000000-0005-0000-0000-000093380000}"/>
    <cellStyle name="40% - Accent3 5 2 2 7 2 2" xfId="27954" xr:uid="{00000000-0005-0000-0000-000094380000}"/>
    <cellStyle name="40% - Accent3 5 2 2 7 3" xfId="20982" xr:uid="{00000000-0005-0000-0000-000095380000}"/>
    <cellStyle name="40% - Accent3 5 2 2 8" xfId="3657" xr:uid="{00000000-0005-0000-0000-000096380000}"/>
    <cellStyle name="40% - Accent3 5 2 2 8 2" xfId="15228" xr:uid="{00000000-0005-0000-0000-000097380000}"/>
    <cellStyle name="40% - Accent3 5 2 2 8 2 2" xfId="28777" xr:uid="{00000000-0005-0000-0000-000098380000}"/>
    <cellStyle name="40% - Accent3 5 2 2 8 3" xfId="20983" xr:uid="{00000000-0005-0000-0000-000099380000}"/>
    <cellStyle name="40% - Accent3 5 2 2 9" xfId="3658" xr:uid="{00000000-0005-0000-0000-00009A380000}"/>
    <cellStyle name="40% - Accent3 5 2 2 9 2" xfId="16291" xr:uid="{00000000-0005-0000-0000-00009B380000}"/>
    <cellStyle name="40% - Accent3 5 2 2 9 2 2" xfId="29698" xr:uid="{00000000-0005-0000-0000-00009C380000}"/>
    <cellStyle name="40% - Accent3 5 2 2 9 3" xfId="20984" xr:uid="{00000000-0005-0000-0000-00009D380000}"/>
    <cellStyle name="40% - Accent3 5 2 3" xfId="3659" xr:uid="{00000000-0005-0000-0000-00009E380000}"/>
    <cellStyle name="40% - Accent3 5 2 3 2" xfId="3660" xr:uid="{00000000-0005-0000-0000-00009F380000}"/>
    <cellStyle name="40% - Accent3 5 2 3 2 2" xfId="11061" xr:uid="{00000000-0005-0000-0000-0000A0380000}"/>
    <cellStyle name="40% - Accent3 5 2 3 2 2 2" xfId="25003" xr:uid="{00000000-0005-0000-0000-0000A1380000}"/>
    <cellStyle name="40% - Accent3 5 2 3 2 3" xfId="20986" xr:uid="{00000000-0005-0000-0000-0000A2380000}"/>
    <cellStyle name="40% - Accent3 5 2 3 3" xfId="3661" xr:uid="{00000000-0005-0000-0000-0000A3380000}"/>
    <cellStyle name="40% - Accent3 5 2 3 3 2" xfId="12834" xr:uid="{00000000-0005-0000-0000-0000A4380000}"/>
    <cellStyle name="40% - Accent3 5 2 3 3 2 2" xfId="26546" xr:uid="{00000000-0005-0000-0000-0000A5380000}"/>
    <cellStyle name="40% - Accent3 5 2 3 3 3" xfId="20987" xr:uid="{00000000-0005-0000-0000-0000A6380000}"/>
    <cellStyle name="40% - Accent3 5 2 3 4" xfId="3662" xr:uid="{00000000-0005-0000-0000-0000A7380000}"/>
    <cellStyle name="40% - Accent3 5 2 3 4 2" xfId="15231" xr:uid="{00000000-0005-0000-0000-0000A8380000}"/>
    <cellStyle name="40% - Accent3 5 2 3 4 2 2" xfId="28780" xr:uid="{00000000-0005-0000-0000-0000A9380000}"/>
    <cellStyle name="40% - Accent3 5 2 3 4 3" xfId="20988" xr:uid="{00000000-0005-0000-0000-0000AA380000}"/>
    <cellStyle name="40% - Accent3 5 2 3 5" xfId="3663" xr:uid="{00000000-0005-0000-0000-0000AB380000}"/>
    <cellStyle name="40% - Accent3 5 2 3 5 2" xfId="16583" xr:uid="{00000000-0005-0000-0000-0000AC380000}"/>
    <cellStyle name="40% - Accent3 5 2 3 5 2 2" xfId="29990" xr:uid="{00000000-0005-0000-0000-0000AD380000}"/>
    <cellStyle name="40% - Accent3 5 2 3 5 3" xfId="20989" xr:uid="{00000000-0005-0000-0000-0000AE380000}"/>
    <cellStyle name="40% - Accent3 5 2 3 6" xfId="9334" xr:uid="{00000000-0005-0000-0000-0000AF380000}"/>
    <cellStyle name="40% - Accent3 5 2 3 6 2" xfId="23809" xr:uid="{00000000-0005-0000-0000-0000B0380000}"/>
    <cellStyle name="40% - Accent3 5 2 3 7" xfId="20985" xr:uid="{00000000-0005-0000-0000-0000B1380000}"/>
    <cellStyle name="40% - Accent3 5 2 4" xfId="3664" xr:uid="{00000000-0005-0000-0000-0000B2380000}"/>
    <cellStyle name="40% - Accent3 5 2 4 2" xfId="3665" xr:uid="{00000000-0005-0000-0000-0000B3380000}"/>
    <cellStyle name="40% - Accent3 5 2 4 2 2" xfId="15232" xr:uid="{00000000-0005-0000-0000-0000B4380000}"/>
    <cellStyle name="40% - Accent3 5 2 4 2 2 2" xfId="28781" xr:uid="{00000000-0005-0000-0000-0000B5380000}"/>
    <cellStyle name="40% - Accent3 5 2 4 2 3" xfId="20991" xr:uid="{00000000-0005-0000-0000-0000B6380000}"/>
    <cellStyle name="40% - Accent3 5 2 4 3" xfId="11058" xr:uid="{00000000-0005-0000-0000-0000B7380000}"/>
    <cellStyle name="40% - Accent3 5 2 4 3 2" xfId="25000" xr:uid="{00000000-0005-0000-0000-0000B8380000}"/>
    <cellStyle name="40% - Accent3 5 2 4 4" xfId="20990" xr:uid="{00000000-0005-0000-0000-0000B9380000}"/>
    <cellStyle name="40% - Accent3 5 2 5" xfId="3666" xr:uid="{00000000-0005-0000-0000-0000BA380000}"/>
    <cellStyle name="40% - Accent3 5 2 5 2" xfId="11960" xr:uid="{00000000-0005-0000-0000-0000BB380000}"/>
    <cellStyle name="40% - Accent3 5 2 5 2 2" xfId="25675" xr:uid="{00000000-0005-0000-0000-0000BC380000}"/>
    <cellStyle name="40% - Accent3 5 2 5 3" xfId="20992" xr:uid="{00000000-0005-0000-0000-0000BD380000}"/>
    <cellStyle name="40% - Accent3 5 2 6" xfId="3667" xr:uid="{00000000-0005-0000-0000-0000BE380000}"/>
    <cellStyle name="40% - Accent3 5 2 6 2" xfId="12831" xr:uid="{00000000-0005-0000-0000-0000BF380000}"/>
    <cellStyle name="40% - Accent3 5 2 6 2 2" xfId="26543" xr:uid="{00000000-0005-0000-0000-0000C0380000}"/>
    <cellStyle name="40% - Accent3 5 2 6 3" xfId="20993" xr:uid="{00000000-0005-0000-0000-0000C1380000}"/>
    <cellStyle name="40% - Accent3 5 2 7" xfId="3668" xr:uid="{00000000-0005-0000-0000-0000C2380000}"/>
    <cellStyle name="40% - Accent3 5 2 7 2" xfId="13535" xr:uid="{00000000-0005-0000-0000-0000C3380000}"/>
    <cellStyle name="40% - Accent3 5 2 7 2 2" xfId="27084" xr:uid="{00000000-0005-0000-0000-0000C4380000}"/>
    <cellStyle name="40% - Accent3 5 2 7 3" xfId="20994" xr:uid="{00000000-0005-0000-0000-0000C5380000}"/>
    <cellStyle name="40% - Accent3 5 2 8" xfId="3669" xr:uid="{00000000-0005-0000-0000-0000C6380000}"/>
    <cellStyle name="40% - Accent3 5 2 8 2" xfId="14116" xr:uid="{00000000-0005-0000-0000-0000C7380000}"/>
    <cellStyle name="40% - Accent3 5 2 8 2 2" xfId="27665" xr:uid="{00000000-0005-0000-0000-0000C8380000}"/>
    <cellStyle name="40% - Accent3 5 2 8 3" xfId="20995" xr:uid="{00000000-0005-0000-0000-0000C9380000}"/>
    <cellStyle name="40% - Accent3 5 2 9" xfId="3670" xr:uid="{00000000-0005-0000-0000-0000CA380000}"/>
    <cellStyle name="40% - Accent3 5 2 9 2" xfId="15227" xr:uid="{00000000-0005-0000-0000-0000CB380000}"/>
    <cellStyle name="40% - Accent3 5 2 9 2 2" xfId="28776" xr:uid="{00000000-0005-0000-0000-0000CC380000}"/>
    <cellStyle name="40% - Accent3 5 2 9 3" xfId="20996" xr:uid="{00000000-0005-0000-0000-0000CD380000}"/>
    <cellStyle name="40% - Accent3 5 3" xfId="3671" xr:uid="{00000000-0005-0000-0000-0000CE380000}"/>
    <cellStyle name="40% - Accent3 5 3 10" xfId="9335" xr:uid="{00000000-0005-0000-0000-0000CF380000}"/>
    <cellStyle name="40% - Accent3 5 3 10 2" xfId="23810" xr:uid="{00000000-0005-0000-0000-0000D0380000}"/>
    <cellStyle name="40% - Accent3 5 3 11" xfId="20997" xr:uid="{00000000-0005-0000-0000-0000D1380000}"/>
    <cellStyle name="40% - Accent3 5 3 2" xfId="3672" xr:uid="{00000000-0005-0000-0000-0000D2380000}"/>
    <cellStyle name="40% - Accent3 5 3 2 2" xfId="3673" xr:uid="{00000000-0005-0000-0000-0000D3380000}"/>
    <cellStyle name="40% - Accent3 5 3 2 2 2" xfId="11063" xr:uid="{00000000-0005-0000-0000-0000D4380000}"/>
    <cellStyle name="40% - Accent3 5 3 2 2 2 2" xfId="25005" xr:uid="{00000000-0005-0000-0000-0000D5380000}"/>
    <cellStyle name="40% - Accent3 5 3 2 2 3" xfId="20999" xr:uid="{00000000-0005-0000-0000-0000D6380000}"/>
    <cellStyle name="40% - Accent3 5 3 2 3" xfId="3674" xr:uid="{00000000-0005-0000-0000-0000D7380000}"/>
    <cellStyle name="40% - Accent3 5 3 2 3 2" xfId="12836" xr:uid="{00000000-0005-0000-0000-0000D8380000}"/>
    <cellStyle name="40% - Accent3 5 3 2 3 2 2" xfId="26548" xr:uid="{00000000-0005-0000-0000-0000D9380000}"/>
    <cellStyle name="40% - Accent3 5 3 2 3 3" xfId="21000" xr:uid="{00000000-0005-0000-0000-0000DA380000}"/>
    <cellStyle name="40% - Accent3 5 3 2 4" xfId="3675" xr:uid="{00000000-0005-0000-0000-0000DB380000}"/>
    <cellStyle name="40% - Accent3 5 3 2 4 2" xfId="15234" xr:uid="{00000000-0005-0000-0000-0000DC380000}"/>
    <cellStyle name="40% - Accent3 5 3 2 4 2 2" xfId="28783" xr:uid="{00000000-0005-0000-0000-0000DD380000}"/>
    <cellStyle name="40% - Accent3 5 3 2 4 3" xfId="21001" xr:uid="{00000000-0005-0000-0000-0000DE380000}"/>
    <cellStyle name="40% - Accent3 5 3 2 5" xfId="3676" xr:uid="{00000000-0005-0000-0000-0000DF380000}"/>
    <cellStyle name="40% - Accent3 5 3 2 5 2" xfId="16732" xr:uid="{00000000-0005-0000-0000-0000E0380000}"/>
    <cellStyle name="40% - Accent3 5 3 2 5 2 2" xfId="30139" xr:uid="{00000000-0005-0000-0000-0000E1380000}"/>
    <cellStyle name="40% - Accent3 5 3 2 5 3" xfId="21002" xr:uid="{00000000-0005-0000-0000-0000E2380000}"/>
    <cellStyle name="40% - Accent3 5 3 2 6" xfId="9336" xr:uid="{00000000-0005-0000-0000-0000E3380000}"/>
    <cellStyle name="40% - Accent3 5 3 2 6 2" xfId="23811" xr:uid="{00000000-0005-0000-0000-0000E4380000}"/>
    <cellStyle name="40% - Accent3 5 3 2 7" xfId="20998" xr:uid="{00000000-0005-0000-0000-0000E5380000}"/>
    <cellStyle name="40% - Accent3 5 3 3" xfId="3677" xr:uid="{00000000-0005-0000-0000-0000E6380000}"/>
    <cellStyle name="40% - Accent3 5 3 3 2" xfId="3678" xr:uid="{00000000-0005-0000-0000-0000E7380000}"/>
    <cellStyle name="40% - Accent3 5 3 3 2 2" xfId="15235" xr:uid="{00000000-0005-0000-0000-0000E8380000}"/>
    <cellStyle name="40% - Accent3 5 3 3 2 2 2" xfId="28784" xr:uid="{00000000-0005-0000-0000-0000E9380000}"/>
    <cellStyle name="40% - Accent3 5 3 3 2 3" xfId="21004" xr:uid="{00000000-0005-0000-0000-0000EA380000}"/>
    <cellStyle name="40% - Accent3 5 3 3 3" xfId="11062" xr:uid="{00000000-0005-0000-0000-0000EB380000}"/>
    <cellStyle name="40% - Accent3 5 3 3 3 2" xfId="25004" xr:uid="{00000000-0005-0000-0000-0000EC380000}"/>
    <cellStyle name="40% - Accent3 5 3 3 4" xfId="21003" xr:uid="{00000000-0005-0000-0000-0000ED380000}"/>
    <cellStyle name="40% - Accent3 5 3 4" xfId="3679" xr:uid="{00000000-0005-0000-0000-0000EE380000}"/>
    <cellStyle name="40% - Accent3 5 3 4 2" xfId="12120" xr:uid="{00000000-0005-0000-0000-0000EF380000}"/>
    <cellStyle name="40% - Accent3 5 3 4 2 2" xfId="25832" xr:uid="{00000000-0005-0000-0000-0000F0380000}"/>
    <cellStyle name="40% - Accent3 5 3 4 3" xfId="21005" xr:uid="{00000000-0005-0000-0000-0000F1380000}"/>
    <cellStyle name="40% - Accent3 5 3 5" xfId="3680" xr:uid="{00000000-0005-0000-0000-0000F2380000}"/>
    <cellStyle name="40% - Accent3 5 3 5 2" xfId="12835" xr:uid="{00000000-0005-0000-0000-0000F3380000}"/>
    <cellStyle name="40% - Accent3 5 3 5 2 2" xfId="26547" xr:uid="{00000000-0005-0000-0000-0000F4380000}"/>
    <cellStyle name="40% - Accent3 5 3 5 3" xfId="21006" xr:uid="{00000000-0005-0000-0000-0000F5380000}"/>
    <cellStyle name="40% - Accent3 5 3 6" xfId="3681" xr:uid="{00000000-0005-0000-0000-0000F6380000}"/>
    <cellStyle name="40% - Accent3 5 3 6 2" xfId="13684" xr:uid="{00000000-0005-0000-0000-0000F7380000}"/>
    <cellStyle name="40% - Accent3 5 3 6 2 2" xfId="27233" xr:uid="{00000000-0005-0000-0000-0000F8380000}"/>
    <cellStyle name="40% - Accent3 5 3 6 3" xfId="21007" xr:uid="{00000000-0005-0000-0000-0000F9380000}"/>
    <cellStyle name="40% - Accent3 5 3 7" xfId="3682" xr:uid="{00000000-0005-0000-0000-0000FA380000}"/>
    <cellStyle name="40% - Accent3 5 3 7 2" xfId="14265" xr:uid="{00000000-0005-0000-0000-0000FB380000}"/>
    <cellStyle name="40% - Accent3 5 3 7 2 2" xfId="27814" xr:uid="{00000000-0005-0000-0000-0000FC380000}"/>
    <cellStyle name="40% - Accent3 5 3 7 3" xfId="21008" xr:uid="{00000000-0005-0000-0000-0000FD380000}"/>
    <cellStyle name="40% - Accent3 5 3 8" xfId="3683" xr:uid="{00000000-0005-0000-0000-0000FE380000}"/>
    <cellStyle name="40% - Accent3 5 3 8 2" xfId="15233" xr:uid="{00000000-0005-0000-0000-0000FF380000}"/>
    <cellStyle name="40% - Accent3 5 3 8 2 2" xfId="28782" xr:uid="{00000000-0005-0000-0000-000000390000}"/>
    <cellStyle name="40% - Accent3 5 3 8 3" xfId="21009" xr:uid="{00000000-0005-0000-0000-000001390000}"/>
    <cellStyle name="40% - Accent3 5 3 9" xfId="3684" xr:uid="{00000000-0005-0000-0000-000002390000}"/>
    <cellStyle name="40% - Accent3 5 3 9 2" xfId="16151" xr:uid="{00000000-0005-0000-0000-000003390000}"/>
    <cellStyle name="40% - Accent3 5 3 9 2 2" xfId="29558" xr:uid="{00000000-0005-0000-0000-000004390000}"/>
    <cellStyle name="40% - Accent3 5 3 9 3" xfId="21010" xr:uid="{00000000-0005-0000-0000-000005390000}"/>
    <cellStyle name="40% - Accent3 5 4" xfId="3685" xr:uid="{00000000-0005-0000-0000-000006390000}"/>
    <cellStyle name="40% - Accent3 5 4 2" xfId="3686" xr:uid="{00000000-0005-0000-0000-000007390000}"/>
    <cellStyle name="40% - Accent3 5 4 2 2" xfId="11064" xr:uid="{00000000-0005-0000-0000-000008390000}"/>
    <cellStyle name="40% - Accent3 5 4 2 2 2" xfId="25006" xr:uid="{00000000-0005-0000-0000-000009390000}"/>
    <cellStyle name="40% - Accent3 5 4 2 3" xfId="21012" xr:uid="{00000000-0005-0000-0000-00000A390000}"/>
    <cellStyle name="40% - Accent3 5 4 3" xfId="3687" xr:uid="{00000000-0005-0000-0000-00000B390000}"/>
    <cellStyle name="40% - Accent3 5 4 3 2" xfId="12837" xr:uid="{00000000-0005-0000-0000-00000C390000}"/>
    <cellStyle name="40% - Accent3 5 4 3 2 2" xfId="26549" xr:uid="{00000000-0005-0000-0000-00000D390000}"/>
    <cellStyle name="40% - Accent3 5 4 3 3" xfId="21013" xr:uid="{00000000-0005-0000-0000-00000E390000}"/>
    <cellStyle name="40% - Accent3 5 4 4" xfId="3688" xr:uid="{00000000-0005-0000-0000-00000F390000}"/>
    <cellStyle name="40% - Accent3 5 4 4 2" xfId="15236" xr:uid="{00000000-0005-0000-0000-000010390000}"/>
    <cellStyle name="40% - Accent3 5 4 4 2 2" xfId="28785" xr:uid="{00000000-0005-0000-0000-000011390000}"/>
    <cellStyle name="40% - Accent3 5 4 4 3" xfId="21014" xr:uid="{00000000-0005-0000-0000-000012390000}"/>
    <cellStyle name="40% - Accent3 5 4 5" xfId="3689" xr:uid="{00000000-0005-0000-0000-000013390000}"/>
    <cellStyle name="40% - Accent3 5 4 5 2" xfId="16440" xr:uid="{00000000-0005-0000-0000-000014390000}"/>
    <cellStyle name="40% - Accent3 5 4 5 2 2" xfId="29847" xr:uid="{00000000-0005-0000-0000-000015390000}"/>
    <cellStyle name="40% - Accent3 5 4 5 3" xfId="21015" xr:uid="{00000000-0005-0000-0000-000016390000}"/>
    <cellStyle name="40% - Accent3 5 4 6" xfId="9337" xr:uid="{00000000-0005-0000-0000-000017390000}"/>
    <cellStyle name="40% - Accent3 5 4 6 2" xfId="23812" xr:uid="{00000000-0005-0000-0000-000018390000}"/>
    <cellStyle name="40% - Accent3 5 4 7" xfId="21011" xr:uid="{00000000-0005-0000-0000-000019390000}"/>
    <cellStyle name="40% - Accent3 5 5" xfId="3690" xr:uid="{00000000-0005-0000-0000-00001A390000}"/>
    <cellStyle name="40% - Accent3 5 5 2" xfId="3691" xr:uid="{00000000-0005-0000-0000-00001B390000}"/>
    <cellStyle name="40% - Accent3 5 5 2 2" xfId="15237" xr:uid="{00000000-0005-0000-0000-00001C390000}"/>
    <cellStyle name="40% - Accent3 5 5 2 2 2" xfId="28786" xr:uid="{00000000-0005-0000-0000-00001D390000}"/>
    <cellStyle name="40% - Accent3 5 5 2 3" xfId="21017" xr:uid="{00000000-0005-0000-0000-00001E390000}"/>
    <cellStyle name="40% - Accent3 5 5 3" xfId="11057" xr:uid="{00000000-0005-0000-0000-00001F390000}"/>
    <cellStyle name="40% - Accent3 5 5 3 2" xfId="24999" xr:uid="{00000000-0005-0000-0000-000020390000}"/>
    <cellStyle name="40% - Accent3 5 5 4" xfId="21016" xr:uid="{00000000-0005-0000-0000-000021390000}"/>
    <cellStyle name="40% - Accent3 5 6" xfId="3692" xr:uid="{00000000-0005-0000-0000-000022390000}"/>
    <cellStyle name="40% - Accent3 5 6 2" xfId="11791" xr:uid="{00000000-0005-0000-0000-000023390000}"/>
    <cellStyle name="40% - Accent3 5 6 2 2" xfId="25506" xr:uid="{00000000-0005-0000-0000-000024390000}"/>
    <cellStyle name="40% - Accent3 5 6 3" xfId="21018" xr:uid="{00000000-0005-0000-0000-000025390000}"/>
    <cellStyle name="40% - Accent3 5 7" xfId="3693" xr:uid="{00000000-0005-0000-0000-000026390000}"/>
    <cellStyle name="40% - Accent3 5 7 2" xfId="12830" xr:uid="{00000000-0005-0000-0000-000027390000}"/>
    <cellStyle name="40% - Accent3 5 7 2 2" xfId="26542" xr:uid="{00000000-0005-0000-0000-000028390000}"/>
    <cellStyle name="40% - Accent3 5 7 3" xfId="21019" xr:uid="{00000000-0005-0000-0000-000029390000}"/>
    <cellStyle name="40% - Accent3 5 8" xfId="3694" xr:uid="{00000000-0005-0000-0000-00002A390000}"/>
    <cellStyle name="40% - Accent3 5 8 2" xfId="13392" xr:uid="{00000000-0005-0000-0000-00002B390000}"/>
    <cellStyle name="40% - Accent3 5 8 2 2" xfId="26941" xr:uid="{00000000-0005-0000-0000-00002C390000}"/>
    <cellStyle name="40% - Accent3 5 8 3" xfId="21020" xr:uid="{00000000-0005-0000-0000-00002D390000}"/>
    <cellStyle name="40% - Accent3 5 9" xfId="3695" xr:uid="{00000000-0005-0000-0000-00002E390000}"/>
    <cellStyle name="40% - Accent3 5 9 2" xfId="13973" xr:uid="{00000000-0005-0000-0000-00002F390000}"/>
    <cellStyle name="40% - Accent3 5 9 2 2" xfId="27522" xr:uid="{00000000-0005-0000-0000-000030390000}"/>
    <cellStyle name="40% - Accent3 5 9 3" xfId="21021" xr:uid="{00000000-0005-0000-0000-000031390000}"/>
    <cellStyle name="40% - Accent3 6" xfId="3696" xr:uid="{00000000-0005-0000-0000-000032390000}"/>
    <cellStyle name="40% - Accent3 6 10" xfId="3697" xr:uid="{00000000-0005-0000-0000-000033390000}"/>
    <cellStyle name="40% - Accent3 6 10 2" xfId="15238" xr:uid="{00000000-0005-0000-0000-000034390000}"/>
    <cellStyle name="40% - Accent3 6 10 2 2" xfId="28787" xr:uid="{00000000-0005-0000-0000-000035390000}"/>
    <cellStyle name="40% - Accent3 6 10 3" xfId="21023" xr:uid="{00000000-0005-0000-0000-000036390000}"/>
    <cellStyle name="40% - Accent3 6 11" xfId="3698" xr:uid="{00000000-0005-0000-0000-000037390000}"/>
    <cellStyle name="40% - Accent3 6 11 2" xfId="15965" xr:uid="{00000000-0005-0000-0000-000038390000}"/>
    <cellStyle name="40% - Accent3 6 11 2 2" xfId="29372" xr:uid="{00000000-0005-0000-0000-000039390000}"/>
    <cellStyle name="40% - Accent3 6 11 3" xfId="21024" xr:uid="{00000000-0005-0000-0000-00003A390000}"/>
    <cellStyle name="40% - Accent3 6 12" xfId="9338" xr:uid="{00000000-0005-0000-0000-00003B390000}"/>
    <cellStyle name="40% - Accent3 6 12 2" xfId="23813" xr:uid="{00000000-0005-0000-0000-00003C390000}"/>
    <cellStyle name="40% - Accent3 6 13" xfId="21022" xr:uid="{00000000-0005-0000-0000-00003D390000}"/>
    <cellStyle name="40% - Accent3 6 2" xfId="3699" xr:uid="{00000000-0005-0000-0000-00003E390000}"/>
    <cellStyle name="40% - Accent3 6 2 10" xfId="3700" xr:uid="{00000000-0005-0000-0000-00003F390000}"/>
    <cellStyle name="40% - Accent3 6 2 10 2" xfId="16108" xr:uid="{00000000-0005-0000-0000-000040390000}"/>
    <cellStyle name="40% - Accent3 6 2 10 2 2" xfId="29515" xr:uid="{00000000-0005-0000-0000-000041390000}"/>
    <cellStyle name="40% - Accent3 6 2 10 3" xfId="21026" xr:uid="{00000000-0005-0000-0000-000042390000}"/>
    <cellStyle name="40% - Accent3 6 2 11" xfId="9339" xr:uid="{00000000-0005-0000-0000-000043390000}"/>
    <cellStyle name="40% - Accent3 6 2 11 2" xfId="23814" xr:uid="{00000000-0005-0000-0000-000044390000}"/>
    <cellStyle name="40% - Accent3 6 2 12" xfId="21025" xr:uid="{00000000-0005-0000-0000-000045390000}"/>
    <cellStyle name="40% - Accent3 6 2 2" xfId="3701" xr:uid="{00000000-0005-0000-0000-000046390000}"/>
    <cellStyle name="40% - Accent3 6 2 2 10" xfId="9340" xr:uid="{00000000-0005-0000-0000-000047390000}"/>
    <cellStyle name="40% - Accent3 6 2 2 10 2" xfId="23815" xr:uid="{00000000-0005-0000-0000-000048390000}"/>
    <cellStyle name="40% - Accent3 6 2 2 11" xfId="21027" xr:uid="{00000000-0005-0000-0000-000049390000}"/>
    <cellStyle name="40% - Accent3 6 2 2 2" xfId="3702" xr:uid="{00000000-0005-0000-0000-00004A390000}"/>
    <cellStyle name="40% - Accent3 6 2 2 2 2" xfId="3703" xr:uid="{00000000-0005-0000-0000-00004B390000}"/>
    <cellStyle name="40% - Accent3 6 2 2 2 2 2" xfId="11068" xr:uid="{00000000-0005-0000-0000-00004C390000}"/>
    <cellStyle name="40% - Accent3 6 2 2 2 2 2 2" xfId="25010" xr:uid="{00000000-0005-0000-0000-00004D390000}"/>
    <cellStyle name="40% - Accent3 6 2 2 2 2 3" xfId="21029" xr:uid="{00000000-0005-0000-0000-00004E390000}"/>
    <cellStyle name="40% - Accent3 6 2 2 2 3" xfId="3704" xr:uid="{00000000-0005-0000-0000-00004F390000}"/>
    <cellStyle name="40% - Accent3 6 2 2 2 3 2" xfId="12841" xr:uid="{00000000-0005-0000-0000-000050390000}"/>
    <cellStyle name="40% - Accent3 6 2 2 2 3 2 2" xfId="26553" xr:uid="{00000000-0005-0000-0000-000051390000}"/>
    <cellStyle name="40% - Accent3 6 2 2 2 3 3" xfId="21030" xr:uid="{00000000-0005-0000-0000-000052390000}"/>
    <cellStyle name="40% - Accent3 6 2 2 2 4" xfId="3705" xr:uid="{00000000-0005-0000-0000-000053390000}"/>
    <cellStyle name="40% - Accent3 6 2 2 2 4 2" xfId="15241" xr:uid="{00000000-0005-0000-0000-000054390000}"/>
    <cellStyle name="40% - Accent3 6 2 2 2 4 2 2" xfId="28790" xr:uid="{00000000-0005-0000-0000-000055390000}"/>
    <cellStyle name="40% - Accent3 6 2 2 2 4 3" xfId="21031" xr:uid="{00000000-0005-0000-0000-000056390000}"/>
    <cellStyle name="40% - Accent3 6 2 2 2 5" xfId="3706" xr:uid="{00000000-0005-0000-0000-000057390000}"/>
    <cellStyle name="40% - Accent3 6 2 2 2 5 2" xfId="16978" xr:uid="{00000000-0005-0000-0000-000058390000}"/>
    <cellStyle name="40% - Accent3 6 2 2 2 5 2 2" xfId="30385" xr:uid="{00000000-0005-0000-0000-000059390000}"/>
    <cellStyle name="40% - Accent3 6 2 2 2 5 3" xfId="21032" xr:uid="{00000000-0005-0000-0000-00005A390000}"/>
    <cellStyle name="40% - Accent3 6 2 2 2 6" xfId="9341" xr:uid="{00000000-0005-0000-0000-00005B390000}"/>
    <cellStyle name="40% - Accent3 6 2 2 2 6 2" xfId="23816" xr:uid="{00000000-0005-0000-0000-00005C390000}"/>
    <cellStyle name="40% - Accent3 6 2 2 2 7" xfId="21028" xr:uid="{00000000-0005-0000-0000-00005D390000}"/>
    <cellStyle name="40% - Accent3 6 2 2 3" xfId="3707" xr:uid="{00000000-0005-0000-0000-00005E390000}"/>
    <cellStyle name="40% - Accent3 6 2 2 3 2" xfId="3708" xr:uid="{00000000-0005-0000-0000-00005F390000}"/>
    <cellStyle name="40% - Accent3 6 2 2 3 2 2" xfId="15242" xr:uid="{00000000-0005-0000-0000-000060390000}"/>
    <cellStyle name="40% - Accent3 6 2 2 3 2 2 2" xfId="28791" xr:uid="{00000000-0005-0000-0000-000061390000}"/>
    <cellStyle name="40% - Accent3 6 2 2 3 2 3" xfId="21034" xr:uid="{00000000-0005-0000-0000-000062390000}"/>
    <cellStyle name="40% - Accent3 6 2 2 3 3" xfId="11067" xr:uid="{00000000-0005-0000-0000-000063390000}"/>
    <cellStyle name="40% - Accent3 6 2 2 3 3 2" xfId="25009" xr:uid="{00000000-0005-0000-0000-000064390000}"/>
    <cellStyle name="40% - Accent3 6 2 2 3 4" xfId="21033" xr:uid="{00000000-0005-0000-0000-000065390000}"/>
    <cellStyle name="40% - Accent3 6 2 2 4" xfId="3709" xr:uid="{00000000-0005-0000-0000-000066390000}"/>
    <cellStyle name="40% - Accent3 6 2 2 4 2" xfId="12366" xr:uid="{00000000-0005-0000-0000-000067390000}"/>
    <cellStyle name="40% - Accent3 6 2 2 4 2 2" xfId="26078" xr:uid="{00000000-0005-0000-0000-000068390000}"/>
    <cellStyle name="40% - Accent3 6 2 2 4 3" xfId="21035" xr:uid="{00000000-0005-0000-0000-000069390000}"/>
    <cellStyle name="40% - Accent3 6 2 2 5" xfId="3710" xr:uid="{00000000-0005-0000-0000-00006A390000}"/>
    <cellStyle name="40% - Accent3 6 2 2 5 2" xfId="12840" xr:uid="{00000000-0005-0000-0000-00006B390000}"/>
    <cellStyle name="40% - Accent3 6 2 2 5 2 2" xfId="26552" xr:uid="{00000000-0005-0000-0000-00006C390000}"/>
    <cellStyle name="40% - Accent3 6 2 2 5 3" xfId="21036" xr:uid="{00000000-0005-0000-0000-00006D390000}"/>
    <cellStyle name="40% - Accent3 6 2 2 6" xfId="3711" xr:uid="{00000000-0005-0000-0000-00006E390000}"/>
    <cellStyle name="40% - Accent3 6 2 2 6 2" xfId="13930" xr:uid="{00000000-0005-0000-0000-00006F390000}"/>
    <cellStyle name="40% - Accent3 6 2 2 6 2 2" xfId="27479" xr:uid="{00000000-0005-0000-0000-000070390000}"/>
    <cellStyle name="40% - Accent3 6 2 2 6 3" xfId="21037" xr:uid="{00000000-0005-0000-0000-000071390000}"/>
    <cellStyle name="40% - Accent3 6 2 2 7" xfId="3712" xr:uid="{00000000-0005-0000-0000-000072390000}"/>
    <cellStyle name="40% - Accent3 6 2 2 7 2" xfId="14511" xr:uid="{00000000-0005-0000-0000-000073390000}"/>
    <cellStyle name="40% - Accent3 6 2 2 7 2 2" xfId="28060" xr:uid="{00000000-0005-0000-0000-000074390000}"/>
    <cellStyle name="40% - Accent3 6 2 2 7 3" xfId="21038" xr:uid="{00000000-0005-0000-0000-000075390000}"/>
    <cellStyle name="40% - Accent3 6 2 2 8" xfId="3713" xr:uid="{00000000-0005-0000-0000-000076390000}"/>
    <cellStyle name="40% - Accent3 6 2 2 8 2" xfId="15240" xr:uid="{00000000-0005-0000-0000-000077390000}"/>
    <cellStyle name="40% - Accent3 6 2 2 8 2 2" xfId="28789" xr:uid="{00000000-0005-0000-0000-000078390000}"/>
    <cellStyle name="40% - Accent3 6 2 2 8 3" xfId="21039" xr:uid="{00000000-0005-0000-0000-000079390000}"/>
    <cellStyle name="40% - Accent3 6 2 2 9" xfId="3714" xr:uid="{00000000-0005-0000-0000-00007A390000}"/>
    <cellStyle name="40% - Accent3 6 2 2 9 2" xfId="16397" xr:uid="{00000000-0005-0000-0000-00007B390000}"/>
    <cellStyle name="40% - Accent3 6 2 2 9 2 2" xfId="29804" xr:uid="{00000000-0005-0000-0000-00007C390000}"/>
    <cellStyle name="40% - Accent3 6 2 2 9 3" xfId="21040" xr:uid="{00000000-0005-0000-0000-00007D390000}"/>
    <cellStyle name="40% - Accent3 6 2 3" xfId="3715" xr:uid="{00000000-0005-0000-0000-00007E390000}"/>
    <cellStyle name="40% - Accent3 6 2 3 2" xfId="3716" xr:uid="{00000000-0005-0000-0000-00007F390000}"/>
    <cellStyle name="40% - Accent3 6 2 3 2 2" xfId="11069" xr:uid="{00000000-0005-0000-0000-000080390000}"/>
    <cellStyle name="40% - Accent3 6 2 3 2 2 2" xfId="25011" xr:uid="{00000000-0005-0000-0000-000081390000}"/>
    <cellStyle name="40% - Accent3 6 2 3 2 3" xfId="21042" xr:uid="{00000000-0005-0000-0000-000082390000}"/>
    <cellStyle name="40% - Accent3 6 2 3 3" xfId="3717" xr:uid="{00000000-0005-0000-0000-000083390000}"/>
    <cellStyle name="40% - Accent3 6 2 3 3 2" xfId="12842" xr:uid="{00000000-0005-0000-0000-000084390000}"/>
    <cellStyle name="40% - Accent3 6 2 3 3 2 2" xfId="26554" xr:uid="{00000000-0005-0000-0000-000085390000}"/>
    <cellStyle name="40% - Accent3 6 2 3 3 3" xfId="21043" xr:uid="{00000000-0005-0000-0000-000086390000}"/>
    <cellStyle name="40% - Accent3 6 2 3 4" xfId="3718" xr:uid="{00000000-0005-0000-0000-000087390000}"/>
    <cellStyle name="40% - Accent3 6 2 3 4 2" xfId="15243" xr:uid="{00000000-0005-0000-0000-000088390000}"/>
    <cellStyle name="40% - Accent3 6 2 3 4 2 2" xfId="28792" xr:uid="{00000000-0005-0000-0000-000089390000}"/>
    <cellStyle name="40% - Accent3 6 2 3 4 3" xfId="21044" xr:uid="{00000000-0005-0000-0000-00008A390000}"/>
    <cellStyle name="40% - Accent3 6 2 3 5" xfId="3719" xr:uid="{00000000-0005-0000-0000-00008B390000}"/>
    <cellStyle name="40% - Accent3 6 2 3 5 2" xfId="16689" xr:uid="{00000000-0005-0000-0000-00008C390000}"/>
    <cellStyle name="40% - Accent3 6 2 3 5 2 2" xfId="30096" xr:uid="{00000000-0005-0000-0000-00008D390000}"/>
    <cellStyle name="40% - Accent3 6 2 3 5 3" xfId="21045" xr:uid="{00000000-0005-0000-0000-00008E390000}"/>
    <cellStyle name="40% - Accent3 6 2 3 6" xfId="9342" xr:uid="{00000000-0005-0000-0000-00008F390000}"/>
    <cellStyle name="40% - Accent3 6 2 3 6 2" xfId="23817" xr:uid="{00000000-0005-0000-0000-000090390000}"/>
    <cellStyle name="40% - Accent3 6 2 3 7" xfId="21041" xr:uid="{00000000-0005-0000-0000-000091390000}"/>
    <cellStyle name="40% - Accent3 6 2 4" xfId="3720" xr:uid="{00000000-0005-0000-0000-000092390000}"/>
    <cellStyle name="40% - Accent3 6 2 4 2" xfId="3721" xr:uid="{00000000-0005-0000-0000-000093390000}"/>
    <cellStyle name="40% - Accent3 6 2 4 2 2" xfId="15244" xr:uid="{00000000-0005-0000-0000-000094390000}"/>
    <cellStyle name="40% - Accent3 6 2 4 2 2 2" xfId="28793" xr:uid="{00000000-0005-0000-0000-000095390000}"/>
    <cellStyle name="40% - Accent3 6 2 4 2 3" xfId="21047" xr:uid="{00000000-0005-0000-0000-000096390000}"/>
    <cellStyle name="40% - Accent3 6 2 4 3" xfId="11066" xr:uid="{00000000-0005-0000-0000-000097390000}"/>
    <cellStyle name="40% - Accent3 6 2 4 3 2" xfId="25008" xr:uid="{00000000-0005-0000-0000-000098390000}"/>
    <cellStyle name="40% - Accent3 6 2 4 4" xfId="21046" xr:uid="{00000000-0005-0000-0000-000099390000}"/>
    <cellStyle name="40% - Accent3 6 2 5" xfId="3722" xr:uid="{00000000-0005-0000-0000-00009A390000}"/>
    <cellStyle name="40% - Accent3 6 2 5 2" xfId="12066" xr:uid="{00000000-0005-0000-0000-00009B390000}"/>
    <cellStyle name="40% - Accent3 6 2 5 2 2" xfId="25781" xr:uid="{00000000-0005-0000-0000-00009C390000}"/>
    <cellStyle name="40% - Accent3 6 2 5 3" xfId="21048" xr:uid="{00000000-0005-0000-0000-00009D390000}"/>
    <cellStyle name="40% - Accent3 6 2 6" xfId="3723" xr:uid="{00000000-0005-0000-0000-00009E390000}"/>
    <cellStyle name="40% - Accent3 6 2 6 2" xfId="12839" xr:uid="{00000000-0005-0000-0000-00009F390000}"/>
    <cellStyle name="40% - Accent3 6 2 6 2 2" xfId="26551" xr:uid="{00000000-0005-0000-0000-0000A0390000}"/>
    <cellStyle name="40% - Accent3 6 2 6 3" xfId="21049" xr:uid="{00000000-0005-0000-0000-0000A1390000}"/>
    <cellStyle name="40% - Accent3 6 2 7" xfId="3724" xr:uid="{00000000-0005-0000-0000-0000A2390000}"/>
    <cellStyle name="40% - Accent3 6 2 7 2" xfId="13641" xr:uid="{00000000-0005-0000-0000-0000A3390000}"/>
    <cellStyle name="40% - Accent3 6 2 7 2 2" xfId="27190" xr:uid="{00000000-0005-0000-0000-0000A4390000}"/>
    <cellStyle name="40% - Accent3 6 2 7 3" xfId="21050" xr:uid="{00000000-0005-0000-0000-0000A5390000}"/>
    <cellStyle name="40% - Accent3 6 2 8" xfId="3725" xr:uid="{00000000-0005-0000-0000-0000A6390000}"/>
    <cellStyle name="40% - Accent3 6 2 8 2" xfId="14222" xr:uid="{00000000-0005-0000-0000-0000A7390000}"/>
    <cellStyle name="40% - Accent3 6 2 8 2 2" xfId="27771" xr:uid="{00000000-0005-0000-0000-0000A8390000}"/>
    <cellStyle name="40% - Accent3 6 2 8 3" xfId="21051" xr:uid="{00000000-0005-0000-0000-0000A9390000}"/>
    <cellStyle name="40% - Accent3 6 2 9" xfId="3726" xr:uid="{00000000-0005-0000-0000-0000AA390000}"/>
    <cellStyle name="40% - Accent3 6 2 9 2" xfId="15239" xr:uid="{00000000-0005-0000-0000-0000AB390000}"/>
    <cellStyle name="40% - Accent3 6 2 9 2 2" xfId="28788" xr:uid="{00000000-0005-0000-0000-0000AC390000}"/>
    <cellStyle name="40% - Accent3 6 2 9 3" xfId="21052" xr:uid="{00000000-0005-0000-0000-0000AD390000}"/>
    <cellStyle name="40% - Accent3 6 3" xfId="3727" xr:uid="{00000000-0005-0000-0000-0000AE390000}"/>
    <cellStyle name="40% - Accent3 6 3 10" xfId="9343" xr:uid="{00000000-0005-0000-0000-0000AF390000}"/>
    <cellStyle name="40% - Accent3 6 3 10 2" xfId="23818" xr:uid="{00000000-0005-0000-0000-0000B0390000}"/>
    <cellStyle name="40% - Accent3 6 3 11" xfId="21053" xr:uid="{00000000-0005-0000-0000-0000B1390000}"/>
    <cellStyle name="40% - Accent3 6 3 2" xfId="3728" xr:uid="{00000000-0005-0000-0000-0000B2390000}"/>
    <cellStyle name="40% - Accent3 6 3 2 2" xfId="3729" xr:uid="{00000000-0005-0000-0000-0000B3390000}"/>
    <cellStyle name="40% - Accent3 6 3 2 2 2" xfId="11071" xr:uid="{00000000-0005-0000-0000-0000B4390000}"/>
    <cellStyle name="40% - Accent3 6 3 2 2 2 2" xfId="25013" xr:uid="{00000000-0005-0000-0000-0000B5390000}"/>
    <cellStyle name="40% - Accent3 6 3 2 2 3" xfId="21055" xr:uid="{00000000-0005-0000-0000-0000B6390000}"/>
    <cellStyle name="40% - Accent3 6 3 2 3" xfId="3730" xr:uid="{00000000-0005-0000-0000-0000B7390000}"/>
    <cellStyle name="40% - Accent3 6 3 2 3 2" xfId="12844" xr:uid="{00000000-0005-0000-0000-0000B8390000}"/>
    <cellStyle name="40% - Accent3 6 3 2 3 2 2" xfId="26556" xr:uid="{00000000-0005-0000-0000-0000B9390000}"/>
    <cellStyle name="40% - Accent3 6 3 2 3 3" xfId="21056" xr:uid="{00000000-0005-0000-0000-0000BA390000}"/>
    <cellStyle name="40% - Accent3 6 3 2 4" xfId="3731" xr:uid="{00000000-0005-0000-0000-0000BB390000}"/>
    <cellStyle name="40% - Accent3 6 3 2 4 2" xfId="15246" xr:uid="{00000000-0005-0000-0000-0000BC390000}"/>
    <cellStyle name="40% - Accent3 6 3 2 4 2 2" xfId="28795" xr:uid="{00000000-0005-0000-0000-0000BD390000}"/>
    <cellStyle name="40% - Accent3 6 3 2 4 3" xfId="21057" xr:uid="{00000000-0005-0000-0000-0000BE390000}"/>
    <cellStyle name="40% - Accent3 6 3 2 5" xfId="3732" xr:uid="{00000000-0005-0000-0000-0000BF390000}"/>
    <cellStyle name="40% - Accent3 6 3 2 5 2" xfId="16835" xr:uid="{00000000-0005-0000-0000-0000C0390000}"/>
    <cellStyle name="40% - Accent3 6 3 2 5 2 2" xfId="30242" xr:uid="{00000000-0005-0000-0000-0000C1390000}"/>
    <cellStyle name="40% - Accent3 6 3 2 5 3" xfId="21058" xr:uid="{00000000-0005-0000-0000-0000C2390000}"/>
    <cellStyle name="40% - Accent3 6 3 2 6" xfId="9344" xr:uid="{00000000-0005-0000-0000-0000C3390000}"/>
    <cellStyle name="40% - Accent3 6 3 2 6 2" xfId="23819" xr:uid="{00000000-0005-0000-0000-0000C4390000}"/>
    <cellStyle name="40% - Accent3 6 3 2 7" xfId="21054" xr:uid="{00000000-0005-0000-0000-0000C5390000}"/>
    <cellStyle name="40% - Accent3 6 3 3" xfId="3733" xr:uid="{00000000-0005-0000-0000-0000C6390000}"/>
    <cellStyle name="40% - Accent3 6 3 3 2" xfId="3734" xr:uid="{00000000-0005-0000-0000-0000C7390000}"/>
    <cellStyle name="40% - Accent3 6 3 3 2 2" xfId="15247" xr:uid="{00000000-0005-0000-0000-0000C8390000}"/>
    <cellStyle name="40% - Accent3 6 3 3 2 2 2" xfId="28796" xr:uid="{00000000-0005-0000-0000-0000C9390000}"/>
    <cellStyle name="40% - Accent3 6 3 3 2 3" xfId="21060" xr:uid="{00000000-0005-0000-0000-0000CA390000}"/>
    <cellStyle name="40% - Accent3 6 3 3 3" xfId="11070" xr:uid="{00000000-0005-0000-0000-0000CB390000}"/>
    <cellStyle name="40% - Accent3 6 3 3 3 2" xfId="25012" xr:uid="{00000000-0005-0000-0000-0000CC390000}"/>
    <cellStyle name="40% - Accent3 6 3 3 4" xfId="21059" xr:uid="{00000000-0005-0000-0000-0000CD390000}"/>
    <cellStyle name="40% - Accent3 6 3 4" xfId="3735" xr:uid="{00000000-0005-0000-0000-0000CE390000}"/>
    <cellStyle name="40% - Accent3 6 3 4 2" xfId="12223" xr:uid="{00000000-0005-0000-0000-0000CF390000}"/>
    <cellStyle name="40% - Accent3 6 3 4 2 2" xfId="25935" xr:uid="{00000000-0005-0000-0000-0000D0390000}"/>
    <cellStyle name="40% - Accent3 6 3 4 3" xfId="21061" xr:uid="{00000000-0005-0000-0000-0000D1390000}"/>
    <cellStyle name="40% - Accent3 6 3 5" xfId="3736" xr:uid="{00000000-0005-0000-0000-0000D2390000}"/>
    <cellStyle name="40% - Accent3 6 3 5 2" xfId="12843" xr:uid="{00000000-0005-0000-0000-0000D3390000}"/>
    <cellStyle name="40% - Accent3 6 3 5 2 2" xfId="26555" xr:uid="{00000000-0005-0000-0000-0000D4390000}"/>
    <cellStyle name="40% - Accent3 6 3 5 3" xfId="21062" xr:uid="{00000000-0005-0000-0000-0000D5390000}"/>
    <cellStyle name="40% - Accent3 6 3 6" xfId="3737" xr:uid="{00000000-0005-0000-0000-0000D6390000}"/>
    <cellStyle name="40% - Accent3 6 3 6 2" xfId="13787" xr:uid="{00000000-0005-0000-0000-0000D7390000}"/>
    <cellStyle name="40% - Accent3 6 3 6 2 2" xfId="27336" xr:uid="{00000000-0005-0000-0000-0000D8390000}"/>
    <cellStyle name="40% - Accent3 6 3 6 3" xfId="21063" xr:uid="{00000000-0005-0000-0000-0000D9390000}"/>
    <cellStyle name="40% - Accent3 6 3 7" xfId="3738" xr:uid="{00000000-0005-0000-0000-0000DA390000}"/>
    <cellStyle name="40% - Accent3 6 3 7 2" xfId="14368" xr:uid="{00000000-0005-0000-0000-0000DB390000}"/>
    <cellStyle name="40% - Accent3 6 3 7 2 2" xfId="27917" xr:uid="{00000000-0005-0000-0000-0000DC390000}"/>
    <cellStyle name="40% - Accent3 6 3 7 3" xfId="21064" xr:uid="{00000000-0005-0000-0000-0000DD390000}"/>
    <cellStyle name="40% - Accent3 6 3 8" xfId="3739" xr:uid="{00000000-0005-0000-0000-0000DE390000}"/>
    <cellStyle name="40% - Accent3 6 3 8 2" xfId="15245" xr:uid="{00000000-0005-0000-0000-0000DF390000}"/>
    <cellStyle name="40% - Accent3 6 3 8 2 2" xfId="28794" xr:uid="{00000000-0005-0000-0000-0000E0390000}"/>
    <cellStyle name="40% - Accent3 6 3 8 3" xfId="21065" xr:uid="{00000000-0005-0000-0000-0000E1390000}"/>
    <cellStyle name="40% - Accent3 6 3 9" xfId="3740" xr:uid="{00000000-0005-0000-0000-0000E2390000}"/>
    <cellStyle name="40% - Accent3 6 3 9 2" xfId="16254" xr:uid="{00000000-0005-0000-0000-0000E3390000}"/>
    <cellStyle name="40% - Accent3 6 3 9 2 2" xfId="29661" xr:uid="{00000000-0005-0000-0000-0000E4390000}"/>
    <cellStyle name="40% - Accent3 6 3 9 3" xfId="21066" xr:uid="{00000000-0005-0000-0000-0000E5390000}"/>
    <cellStyle name="40% - Accent3 6 4" xfId="3741" xr:uid="{00000000-0005-0000-0000-0000E6390000}"/>
    <cellStyle name="40% - Accent3 6 4 2" xfId="3742" xr:uid="{00000000-0005-0000-0000-0000E7390000}"/>
    <cellStyle name="40% - Accent3 6 4 2 2" xfId="11072" xr:uid="{00000000-0005-0000-0000-0000E8390000}"/>
    <cellStyle name="40% - Accent3 6 4 2 2 2" xfId="25014" xr:uid="{00000000-0005-0000-0000-0000E9390000}"/>
    <cellStyle name="40% - Accent3 6 4 2 3" xfId="21068" xr:uid="{00000000-0005-0000-0000-0000EA390000}"/>
    <cellStyle name="40% - Accent3 6 4 3" xfId="3743" xr:uid="{00000000-0005-0000-0000-0000EB390000}"/>
    <cellStyle name="40% - Accent3 6 4 3 2" xfId="12845" xr:uid="{00000000-0005-0000-0000-0000EC390000}"/>
    <cellStyle name="40% - Accent3 6 4 3 2 2" xfId="26557" xr:uid="{00000000-0005-0000-0000-0000ED390000}"/>
    <cellStyle name="40% - Accent3 6 4 3 3" xfId="21069" xr:uid="{00000000-0005-0000-0000-0000EE390000}"/>
    <cellStyle name="40% - Accent3 6 4 4" xfId="3744" xr:uid="{00000000-0005-0000-0000-0000EF390000}"/>
    <cellStyle name="40% - Accent3 6 4 4 2" xfId="15248" xr:uid="{00000000-0005-0000-0000-0000F0390000}"/>
    <cellStyle name="40% - Accent3 6 4 4 2 2" xfId="28797" xr:uid="{00000000-0005-0000-0000-0000F1390000}"/>
    <cellStyle name="40% - Accent3 6 4 4 3" xfId="21070" xr:uid="{00000000-0005-0000-0000-0000F2390000}"/>
    <cellStyle name="40% - Accent3 6 4 5" xfId="3745" xr:uid="{00000000-0005-0000-0000-0000F3390000}"/>
    <cellStyle name="40% - Accent3 6 4 5 2" xfId="16546" xr:uid="{00000000-0005-0000-0000-0000F4390000}"/>
    <cellStyle name="40% - Accent3 6 4 5 2 2" xfId="29953" xr:uid="{00000000-0005-0000-0000-0000F5390000}"/>
    <cellStyle name="40% - Accent3 6 4 5 3" xfId="21071" xr:uid="{00000000-0005-0000-0000-0000F6390000}"/>
    <cellStyle name="40% - Accent3 6 4 6" xfId="9345" xr:uid="{00000000-0005-0000-0000-0000F7390000}"/>
    <cellStyle name="40% - Accent3 6 4 6 2" xfId="23820" xr:uid="{00000000-0005-0000-0000-0000F8390000}"/>
    <cellStyle name="40% - Accent3 6 4 7" xfId="21067" xr:uid="{00000000-0005-0000-0000-0000F9390000}"/>
    <cellStyle name="40% - Accent3 6 5" xfId="3746" xr:uid="{00000000-0005-0000-0000-0000FA390000}"/>
    <cellStyle name="40% - Accent3 6 5 2" xfId="3747" xr:uid="{00000000-0005-0000-0000-0000FB390000}"/>
    <cellStyle name="40% - Accent3 6 5 2 2" xfId="15249" xr:uid="{00000000-0005-0000-0000-0000FC390000}"/>
    <cellStyle name="40% - Accent3 6 5 2 2 2" xfId="28798" xr:uid="{00000000-0005-0000-0000-0000FD390000}"/>
    <cellStyle name="40% - Accent3 6 5 2 3" xfId="21073" xr:uid="{00000000-0005-0000-0000-0000FE390000}"/>
    <cellStyle name="40% - Accent3 6 5 3" xfId="11065" xr:uid="{00000000-0005-0000-0000-0000FF390000}"/>
    <cellStyle name="40% - Accent3 6 5 3 2" xfId="25007" xr:uid="{00000000-0005-0000-0000-0000003A0000}"/>
    <cellStyle name="40% - Accent3 6 5 4" xfId="21072" xr:uid="{00000000-0005-0000-0000-0000013A0000}"/>
    <cellStyle name="40% - Accent3 6 6" xfId="3748" xr:uid="{00000000-0005-0000-0000-0000023A0000}"/>
    <cellStyle name="40% - Accent3 6 6 2" xfId="11921" xr:uid="{00000000-0005-0000-0000-0000033A0000}"/>
    <cellStyle name="40% - Accent3 6 6 2 2" xfId="25636" xr:uid="{00000000-0005-0000-0000-0000043A0000}"/>
    <cellStyle name="40% - Accent3 6 6 3" xfId="21074" xr:uid="{00000000-0005-0000-0000-0000053A0000}"/>
    <cellStyle name="40% - Accent3 6 7" xfId="3749" xr:uid="{00000000-0005-0000-0000-0000063A0000}"/>
    <cellStyle name="40% - Accent3 6 7 2" xfId="12838" xr:uid="{00000000-0005-0000-0000-0000073A0000}"/>
    <cellStyle name="40% - Accent3 6 7 2 2" xfId="26550" xr:uid="{00000000-0005-0000-0000-0000083A0000}"/>
    <cellStyle name="40% - Accent3 6 7 3" xfId="21075" xr:uid="{00000000-0005-0000-0000-0000093A0000}"/>
    <cellStyle name="40% - Accent3 6 8" xfId="3750" xr:uid="{00000000-0005-0000-0000-00000A3A0000}"/>
    <cellStyle name="40% - Accent3 6 8 2" xfId="13498" xr:uid="{00000000-0005-0000-0000-00000B3A0000}"/>
    <cellStyle name="40% - Accent3 6 8 2 2" xfId="27047" xr:uid="{00000000-0005-0000-0000-00000C3A0000}"/>
    <cellStyle name="40% - Accent3 6 8 3" xfId="21076" xr:uid="{00000000-0005-0000-0000-00000D3A0000}"/>
    <cellStyle name="40% - Accent3 6 9" xfId="3751" xr:uid="{00000000-0005-0000-0000-00000E3A0000}"/>
    <cellStyle name="40% - Accent3 6 9 2" xfId="14079" xr:uid="{00000000-0005-0000-0000-00000F3A0000}"/>
    <cellStyle name="40% - Accent3 6 9 2 2" xfId="27628" xr:uid="{00000000-0005-0000-0000-0000103A0000}"/>
    <cellStyle name="40% - Accent3 6 9 3" xfId="21077" xr:uid="{00000000-0005-0000-0000-0000113A0000}"/>
    <cellStyle name="40% - Accent3 7" xfId="3752" xr:uid="{00000000-0005-0000-0000-0000123A0000}"/>
    <cellStyle name="40% - Accent3 7 10" xfId="3753" xr:uid="{00000000-0005-0000-0000-0000133A0000}"/>
    <cellStyle name="40% - Accent3 7 10 2" xfId="15982" xr:uid="{00000000-0005-0000-0000-0000143A0000}"/>
    <cellStyle name="40% - Accent3 7 10 2 2" xfId="29389" xr:uid="{00000000-0005-0000-0000-0000153A0000}"/>
    <cellStyle name="40% - Accent3 7 10 3" xfId="21079" xr:uid="{00000000-0005-0000-0000-0000163A0000}"/>
    <cellStyle name="40% - Accent3 7 11" xfId="9346" xr:uid="{00000000-0005-0000-0000-0000173A0000}"/>
    <cellStyle name="40% - Accent3 7 11 2" xfId="23821" xr:uid="{00000000-0005-0000-0000-0000183A0000}"/>
    <cellStyle name="40% - Accent3 7 12" xfId="21078" xr:uid="{00000000-0005-0000-0000-0000193A0000}"/>
    <cellStyle name="40% - Accent3 7 2" xfId="3754" xr:uid="{00000000-0005-0000-0000-00001A3A0000}"/>
    <cellStyle name="40% - Accent3 7 2 10" xfId="9347" xr:uid="{00000000-0005-0000-0000-00001B3A0000}"/>
    <cellStyle name="40% - Accent3 7 2 10 2" xfId="23822" xr:uid="{00000000-0005-0000-0000-00001C3A0000}"/>
    <cellStyle name="40% - Accent3 7 2 11" xfId="21080" xr:uid="{00000000-0005-0000-0000-00001D3A0000}"/>
    <cellStyle name="40% - Accent3 7 2 2" xfId="3755" xr:uid="{00000000-0005-0000-0000-00001E3A0000}"/>
    <cellStyle name="40% - Accent3 7 2 2 2" xfId="3756" xr:uid="{00000000-0005-0000-0000-00001F3A0000}"/>
    <cellStyle name="40% - Accent3 7 2 2 2 2" xfId="11075" xr:uid="{00000000-0005-0000-0000-0000203A0000}"/>
    <cellStyle name="40% - Accent3 7 2 2 2 2 2" xfId="25017" xr:uid="{00000000-0005-0000-0000-0000213A0000}"/>
    <cellStyle name="40% - Accent3 7 2 2 2 3" xfId="21082" xr:uid="{00000000-0005-0000-0000-0000223A0000}"/>
    <cellStyle name="40% - Accent3 7 2 2 3" xfId="3757" xr:uid="{00000000-0005-0000-0000-0000233A0000}"/>
    <cellStyle name="40% - Accent3 7 2 2 3 2" xfId="12848" xr:uid="{00000000-0005-0000-0000-0000243A0000}"/>
    <cellStyle name="40% - Accent3 7 2 2 3 2 2" xfId="26560" xr:uid="{00000000-0005-0000-0000-0000253A0000}"/>
    <cellStyle name="40% - Accent3 7 2 2 3 3" xfId="21083" xr:uid="{00000000-0005-0000-0000-0000263A0000}"/>
    <cellStyle name="40% - Accent3 7 2 2 4" xfId="3758" xr:uid="{00000000-0005-0000-0000-0000273A0000}"/>
    <cellStyle name="40% - Accent3 7 2 2 4 2" xfId="15252" xr:uid="{00000000-0005-0000-0000-0000283A0000}"/>
    <cellStyle name="40% - Accent3 7 2 2 4 2 2" xfId="28801" xr:uid="{00000000-0005-0000-0000-0000293A0000}"/>
    <cellStyle name="40% - Accent3 7 2 2 4 3" xfId="21084" xr:uid="{00000000-0005-0000-0000-00002A3A0000}"/>
    <cellStyle name="40% - Accent3 7 2 2 5" xfId="3759" xr:uid="{00000000-0005-0000-0000-00002B3A0000}"/>
    <cellStyle name="40% - Accent3 7 2 2 5 2" xfId="16852" xr:uid="{00000000-0005-0000-0000-00002C3A0000}"/>
    <cellStyle name="40% - Accent3 7 2 2 5 2 2" xfId="30259" xr:uid="{00000000-0005-0000-0000-00002D3A0000}"/>
    <cellStyle name="40% - Accent3 7 2 2 5 3" xfId="21085" xr:uid="{00000000-0005-0000-0000-00002E3A0000}"/>
    <cellStyle name="40% - Accent3 7 2 2 6" xfId="9348" xr:uid="{00000000-0005-0000-0000-00002F3A0000}"/>
    <cellStyle name="40% - Accent3 7 2 2 6 2" xfId="23823" xr:uid="{00000000-0005-0000-0000-0000303A0000}"/>
    <cellStyle name="40% - Accent3 7 2 2 7" xfId="21081" xr:uid="{00000000-0005-0000-0000-0000313A0000}"/>
    <cellStyle name="40% - Accent3 7 2 3" xfId="3760" xr:uid="{00000000-0005-0000-0000-0000323A0000}"/>
    <cellStyle name="40% - Accent3 7 2 3 2" xfId="3761" xr:uid="{00000000-0005-0000-0000-0000333A0000}"/>
    <cellStyle name="40% - Accent3 7 2 3 2 2" xfId="15253" xr:uid="{00000000-0005-0000-0000-0000343A0000}"/>
    <cellStyle name="40% - Accent3 7 2 3 2 2 2" xfId="28802" xr:uid="{00000000-0005-0000-0000-0000353A0000}"/>
    <cellStyle name="40% - Accent3 7 2 3 2 3" xfId="21087" xr:uid="{00000000-0005-0000-0000-0000363A0000}"/>
    <cellStyle name="40% - Accent3 7 2 3 3" xfId="11074" xr:uid="{00000000-0005-0000-0000-0000373A0000}"/>
    <cellStyle name="40% - Accent3 7 2 3 3 2" xfId="25016" xr:uid="{00000000-0005-0000-0000-0000383A0000}"/>
    <cellStyle name="40% - Accent3 7 2 3 4" xfId="21086" xr:uid="{00000000-0005-0000-0000-0000393A0000}"/>
    <cellStyle name="40% - Accent3 7 2 4" xfId="3762" xr:uid="{00000000-0005-0000-0000-00003A3A0000}"/>
    <cellStyle name="40% - Accent3 7 2 4 2" xfId="12240" xr:uid="{00000000-0005-0000-0000-00003B3A0000}"/>
    <cellStyle name="40% - Accent3 7 2 4 2 2" xfId="25952" xr:uid="{00000000-0005-0000-0000-00003C3A0000}"/>
    <cellStyle name="40% - Accent3 7 2 4 3" xfId="21088" xr:uid="{00000000-0005-0000-0000-00003D3A0000}"/>
    <cellStyle name="40% - Accent3 7 2 5" xfId="3763" xr:uid="{00000000-0005-0000-0000-00003E3A0000}"/>
    <cellStyle name="40% - Accent3 7 2 5 2" xfId="12847" xr:uid="{00000000-0005-0000-0000-00003F3A0000}"/>
    <cellStyle name="40% - Accent3 7 2 5 2 2" xfId="26559" xr:uid="{00000000-0005-0000-0000-0000403A0000}"/>
    <cellStyle name="40% - Accent3 7 2 5 3" xfId="21089" xr:uid="{00000000-0005-0000-0000-0000413A0000}"/>
    <cellStyle name="40% - Accent3 7 2 6" xfId="3764" xr:uid="{00000000-0005-0000-0000-0000423A0000}"/>
    <cellStyle name="40% - Accent3 7 2 6 2" xfId="13804" xr:uid="{00000000-0005-0000-0000-0000433A0000}"/>
    <cellStyle name="40% - Accent3 7 2 6 2 2" xfId="27353" xr:uid="{00000000-0005-0000-0000-0000443A0000}"/>
    <cellStyle name="40% - Accent3 7 2 6 3" xfId="21090" xr:uid="{00000000-0005-0000-0000-0000453A0000}"/>
    <cellStyle name="40% - Accent3 7 2 7" xfId="3765" xr:uid="{00000000-0005-0000-0000-0000463A0000}"/>
    <cellStyle name="40% - Accent3 7 2 7 2" xfId="14385" xr:uid="{00000000-0005-0000-0000-0000473A0000}"/>
    <cellStyle name="40% - Accent3 7 2 7 2 2" xfId="27934" xr:uid="{00000000-0005-0000-0000-0000483A0000}"/>
    <cellStyle name="40% - Accent3 7 2 7 3" xfId="21091" xr:uid="{00000000-0005-0000-0000-0000493A0000}"/>
    <cellStyle name="40% - Accent3 7 2 8" xfId="3766" xr:uid="{00000000-0005-0000-0000-00004A3A0000}"/>
    <cellStyle name="40% - Accent3 7 2 8 2" xfId="15251" xr:uid="{00000000-0005-0000-0000-00004B3A0000}"/>
    <cellStyle name="40% - Accent3 7 2 8 2 2" xfId="28800" xr:uid="{00000000-0005-0000-0000-00004C3A0000}"/>
    <cellStyle name="40% - Accent3 7 2 8 3" xfId="21092" xr:uid="{00000000-0005-0000-0000-00004D3A0000}"/>
    <cellStyle name="40% - Accent3 7 2 9" xfId="3767" xr:uid="{00000000-0005-0000-0000-00004E3A0000}"/>
    <cellStyle name="40% - Accent3 7 2 9 2" xfId="16271" xr:uid="{00000000-0005-0000-0000-00004F3A0000}"/>
    <cellStyle name="40% - Accent3 7 2 9 2 2" xfId="29678" xr:uid="{00000000-0005-0000-0000-0000503A0000}"/>
    <cellStyle name="40% - Accent3 7 2 9 3" xfId="21093" xr:uid="{00000000-0005-0000-0000-0000513A0000}"/>
    <cellStyle name="40% - Accent3 7 3" xfId="3768" xr:uid="{00000000-0005-0000-0000-0000523A0000}"/>
    <cellStyle name="40% - Accent3 7 3 2" xfId="3769" xr:uid="{00000000-0005-0000-0000-0000533A0000}"/>
    <cellStyle name="40% - Accent3 7 3 2 2" xfId="11076" xr:uid="{00000000-0005-0000-0000-0000543A0000}"/>
    <cellStyle name="40% - Accent3 7 3 2 2 2" xfId="25018" xr:uid="{00000000-0005-0000-0000-0000553A0000}"/>
    <cellStyle name="40% - Accent3 7 3 2 3" xfId="21095" xr:uid="{00000000-0005-0000-0000-0000563A0000}"/>
    <cellStyle name="40% - Accent3 7 3 3" xfId="3770" xr:uid="{00000000-0005-0000-0000-0000573A0000}"/>
    <cellStyle name="40% - Accent3 7 3 3 2" xfId="12849" xr:uid="{00000000-0005-0000-0000-0000583A0000}"/>
    <cellStyle name="40% - Accent3 7 3 3 2 2" xfId="26561" xr:uid="{00000000-0005-0000-0000-0000593A0000}"/>
    <cellStyle name="40% - Accent3 7 3 3 3" xfId="21096" xr:uid="{00000000-0005-0000-0000-00005A3A0000}"/>
    <cellStyle name="40% - Accent3 7 3 4" xfId="3771" xr:uid="{00000000-0005-0000-0000-00005B3A0000}"/>
    <cellStyle name="40% - Accent3 7 3 4 2" xfId="15254" xr:uid="{00000000-0005-0000-0000-00005C3A0000}"/>
    <cellStyle name="40% - Accent3 7 3 4 2 2" xfId="28803" xr:uid="{00000000-0005-0000-0000-00005D3A0000}"/>
    <cellStyle name="40% - Accent3 7 3 4 3" xfId="21097" xr:uid="{00000000-0005-0000-0000-00005E3A0000}"/>
    <cellStyle name="40% - Accent3 7 3 5" xfId="3772" xr:uid="{00000000-0005-0000-0000-00005F3A0000}"/>
    <cellStyle name="40% - Accent3 7 3 5 2" xfId="16563" xr:uid="{00000000-0005-0000-0000-0000603A0000}"/>
    <cellStyle name="40% - Accent3 7 3 5 2 2" xfId="29970" xr:uid="{00000000-0005-0000-0000-0000613A0000}"/>
    <cellStyle name="40% - Accent3 7 3 5 3" xfId="21098" xr:uid="{00000000-0005-0000-0000-0000623A0000}"/>
    <cellStyle name="40% - Accent3 7 3 6" xfId="9349" xr:uid="{00000000-0005-0000-0000-0000633A0000}"/>
    <cellStyle name="40% - Accent3 7 3 6 2" xfId="23824" xr:uid="{00000000-0005-0000-0000-0000643A0000}"/>
    <cellStyle name="40% - Accent3 7 3 7" xfId="21094" xr:uid="{00000000-0005-0000-0000-0000653A0000}"/>
    <cellStyle name="40% - Accent3 7 4" xfId="3773" xr:uid="{00000000-0005-0000-0000-0000663A0000}"/>
    <cellStyle name="40% - Accent3 7 4 2" xfId="3774" xr:uid="{00000000-0005-0000-0000-0000673A0000}"/>
    <cellStyle name="40% - Accent3 7 4 2 2" xfId="15255" xr:uid="{00000000-0005-0000-0000-0000683A0000}"/>
    <cellStyle name="40% - Accent3 7 4 2 2 2" xfId="28804" xr:uid="{00000000-0005-0000-0000-0000693A0000}"/>
    <cellStyle name="40% - Accent3 7 4 2 3" xfId="21100" xr:uid="{00000000-0005-0000-0000-00006A3A0000}"/>
    <cellStyle name="40% - Accent3 7 4 3" xfId="11073" xr:uid="{00000000-0005-0000-0000-00006B3A0000}"/>
    <cellStyle name="40% - Accent3 7 4 3 2" xfId="25015" xr:uid="{00000000-0005-0000-0000-00006C3A0000}"/>
    <cellStyle name="40% - Accent3 7 4 4" xfId="21099" xr:uid="{00000000-0005-0000-0000-00006D3A0000}"/>
    <cellStyle name="40% - Accent3 7 5" xfId="3775" xr:uid="{00000000-0005-0000-0000-00006E3A0000}"/>
    <cellStyle name="40% - Accent3 7 5 2" xfId="11938" xr:uid="{00000000-0005-0000-0000-00006F3A0000}"/>
    <cellStyle name="40% - Accent3 7 5 2 2" xfId="25653" xr:uid="{00000000-0005-0000-0000-0000703A0000}"/>
    <cellStyle name="40% - Accent3 7 5 3" xfId="21101" xr:uid="{00000000-0005-0000-0000-0000713A0000}"/>
    <cellStyle name="40% - Accent3 7 6" xfId="3776" xr:uid="{00000000-0005-0000-0000-0000723A0000}"/>
    <cellStyle name="40% - Accent3 7 6 2" xfId="12846" xr:uid="{00000000-0005-0000-0000-0000733A0000}"/>
    <cellStyle name="40% - Accent3 7 6 2 2" xfId="26558" xr:uid="{00000000-0005-0000-0000-0000743A0000}"/>
    <cellStyle name="40% - Accent3 7 6 3" xfId="21102" xr:uid="{00000000-0005-0000-0000-0000753A0000}"/>
    <cellStyle name="40% - Accent3 7 7" xfId="3777" xr:uid="{00000000-0005-0000-0000-0000763A0000}"/>
    <cellStyle name="40% - Accent3 7 7 2" xfId="13515" xr:uid="{00000000-0005-0000-0000-0000773A0000}"/>
    <cellStyle name="40% - Accent3 7 7 2 2" xfId="27064" xr:uid="{00000000-0005-0000-0000-0000783A0000}"/>
    <cellStyle name="40% - Accent3 7 7 3" xfId="21103" xr:uid="{00000000-0005-0000-0000-0000793A0000}"/>
    <cellStyle name="40% - Accent3 7 8" xfId="3778" xr:uid="{00000000-0005-0000-0000-00007A3A0000}"/>
    <cellStyle name="40% - Accent3 7 8 2" xfId="14096" xr:uid="{00000000-0005-0000-0000-00007B3A0000}"/>
    <cellStyle name="40% - Accent3 7 8 2 2" xfId="27645" xr:uid="{00000000-0005-0000-0000-00007C3A0000}"/>
    <cellStyle name="40% - Accent3 7 8 3" xfId="21104" xr:uid="{00000000-0005-0000-0000-00007D3A0000}"/>
    <cellStyle name="40% - Accent3 7 9" xfId="3779" xr:uid="{00000000-0005-0000-0000-00007E3A0000}"/>
    <cellStyle name="40% - Accent3 7 9 2" xfId="15250" xr:uid="{00000000-0005-0000-0000-00007F3A0000}"/>
    <cellStyle name="40% - Accent3 7 9 2 2" xfId="28799" xr:uid="{00000000-0005-0000-0000-0000803A0000}"/>
    <cellStyle name="40% - Accent3 7 9 3" xfId="21105" xr:uid="{00000000-0005-0000-0000-0000813A0000}"/>
    <cellStyle name="40% - Accent3 8" xfId="3780" xr:uid="{00000000-0005-0000-0000-0000823A0000}"/>
    <cellStyle name="40% - Accent3 8 10" xfId="9350" xr:uid="{00000000-0005-0000-0000-0000833A0000}"/>
    <cellStyle name="40% - Accent3 8 10 2" xfId="23825" xr:uid="{00000000-0005-0000-0000-0000843A0000}"/>
    <cellStyle name="40% - Accent3 8 11" xfId="21106" xr:uid="{00000000-0005-0000-0000-0000853A0000}"/>
    <cellStyle name="40% - Accent3 8 2" xfId="3781" xr:uid="{00000000-0005-0000-0000-0000863A0000}"/>
    <cellStyle name="40% - Accent3 8 2 2" xfId="3782" xr:uid="{00000000-0005-0000-0000-0000873A0000}"/>
    <cellStyle name="40% - Accent3 8 2 2 2" xfId="11078" xr:uid="{00000000-0005-0000-0000-0000883A0000}"/>
    <cellStyle name="40% - Accent3 8 2 2 2 2" xfId="25020" xr:uid="{00000000-0005-0000-0000-0000893A0000}"/>
    <cellStyle name="40% - Accent3 8 2 2 3" xfId="21108" xr:uid="{00000000-0005-0000-0000-00008A3A0000}"/>
    <cellStyle name="40% - Accent3 8 2 3" xfId="3783" xr:uid="{00000000-0005-0000-0000-00008B3A0000}"/>
    <cellStyle name="40% - Accent3 8 2 3 2" xfId="12851" xr:uid="{00000000-0005-0000-0000-00008C3A0000}"/>
    <cellStyle name="40% - Accent3 8 2 3 2 2" xfId="26563" xr:uid="{00000000-0005-0000-0000-00008D3A0000}"/>
    <cellStyle name="40% - Accent3 8 2 3 3" xfId="21109" xr:uid="{00000000-0005-0000-0000-00008E3A0000}"/>
    <cellStyle name="40% - Accent3 8 2 4" xfId="3784" xr:uid="{00000000-0005-0000-0000-00008F3A0000}"/>
    <cellStyle name="40% - Accent3 8 2 4 2" xfId="15257" xr:uid="{00000000-0005-0000-0000-0000903A0000}"/>
    <cellStyle name="40% - Accent3 8 2 4 2 2" xfId="28806" xr:uid="{00000000-0005-0000-0000-0000913A0000}"/>
    <cellStyle name="40% - Accent3 8 2 4 3" xfId="21110" xr:uid="{00000000-0005-0000-0000-0000923A0000}"/>
    <cellStyle name="40% - Accent3 8 2 5" xfId="3785" xr:uid="{00000000-0005-0000-0000-0000933A0000}"/>
    <cellStyle name="40% - Accent3 8 2 5 2" xfId="16709" xr:uid="{00000000-0005-0000-0000-0000943A0000}"/>
    <cellStyle name="40% - Accent3 8 2 5 2 2" xfId="30116" xr:uid="{00000000-0005-0000-0000-0000953A0000}"/>
    <cellStyle name="40% - Accent3 8 2 5 3" xfId="21111" xr:uid="{00000000-0005-0000-0000-0000963A0000}"/>
    <cellStyle name="40% - Accent3 8 2 6" xfId="9351" xr:uid="{00000000-0005-0000-0000-0000973A0000}"/>
    <cellStyle name="40% - Accent3 8 2 6 2" xfId="23826" xr:uid="{00000000-0005-0000-0000-0000983A0000}"/>
    <cellStyle name="40% - Accent3 8 2 7" xfId="21107" xr:uid="{00000000-0005-0000-0000-0000993A0000}"/>
    <cellStyle name="40% - Accent3 8 3" xfId="3786" xr:uid="{00000000-0005-0000-0000-00009A3A0000}"/>
    <cellStyle name="40% - Accent3 8 3 2" xfId="3787" xr:uid="{00000000-0005-0000-0000-00009B3A0000}"/>
    <cellStyle name="40% - Accent3 8 3 2 2" xfId="15258" xr:uid="{00000000-0005-0000-0000-00009C3A0000}"/>
    <cellStyle name="40% - Accent3 8 3 2 2 2" xfId="28807" xr:uid="{00000000-0005-0000-0000-00009D3A0000}"/>
    <cellStyle name="40% - Accent3 8 3 2 3" xfId="21113" xr:uid="{00000000-0005-0000-0000-00009E3A0000}"/>
    <cellStyle name="40% - Accent3 8 3 3" xfId="11077" xr:uid="{00000000-0005-0000-0000-00009F3A0000}"/>
    <cellStyle name="40% - Accent3 8 3 3 2" xfId="25019" xr:uid="{00000000-0005-0000-0000-0000A03A0000}"/>
    <cellStyle name="40% - Accent3 8 3 4" xfId="21112" xr:uid="{00000000-0005-0000-0000-0000A13A0000}"/>
    <cellStyle name="40% - Accent3 8 4" xfId="3788" xr:uid="{00000000-0005-0000-0000-0000A23A0000}"/>
    <cellStyle name="40% - Accent3 8 4 2" xfId="12087" xr:uid="{00000000-0005-0000-0000-0000A33A0000}"/>
    <cellStyle name="40% - Accent3 8 4 2 2" xfId="25801" xr:uid="{00000000-0005-0000-0000-0000A43A0000}"/>
    <cellStyle name="40% - Accent3 8 4 3" xfId="21114" xr:uid="{00000000-0005-0000-0000-0000A53A0000}"/>
    <cellStyle name="40% - Accent3 8 5" xfId="3789" xr:uid="{00000000-0005-0000-0000-0000A63A0000}"/>
    <cellStyle name="40% - Accent3 8 5 2" xfId="12850" xr:uid="{00000000-0005-0000-0000-0000A73A0000}"/>
    <cellStyle name="40% - Accent3 8 5 2 2" xfId="26562" xr:uid="{00000000-0005-0000-0000-0000A83A0000}"/>
    <cellStyle name="40% - Accent3 8 5 3" xfId="21115" xr:uid="{00000000-0005-0000-0000-0000A93A0000}"/>
    <cellStyle name="40% - Accent3 8 6" xfId="3790" xr:uid="{00000000-0005-0000-0000-0000AA3A0000}"/>
    <cellStyle name="40% - Accent3 8 6 2" xfId="13661" xr:uid="{00000000-0005-0000-0000-0000AB3A0000}"/>
    <cellStyle name="40% - Accent3 8 6 2 2" xfId="27210" xr:uid="{00000000-0005-0000-0000-0000AC3A0000}"/>
    <cellStyle name="40% - Accent3 8 6 3" xfId="21116" xr:uid="{00000000-0005-0000-0000-0000AD3A0000}"/>
    <cellStyle name="40% - Accent3 8 7" xfId="3791" xr:uid="{00000000-0005-0000-0000-0000AE3A0000}"/>
    <cellStyle name="40% - Accent3 8 7 2" xfId="14242" xr:uid="{00000000-0005-0000-0000-0000AF3A0000}"/>
    <cellStyle name="40% - Accent3 8 7 2 2" xfId="27791" xr:uid="{00000000-0005-0000-0000-0000B03A0000}"/>
    <cellStyle name="40% - Accent3 8 7 3" xfId="21117" xr:uid="{00000000-0005-0000-0000-0000B13A0000}"/>
    <cellStyle name="40% - Accent3 8 8" xfId="3792" xr:uid="{00000000-0005-0000-0000-0000B23A0000}"/>
    <cellStyle name="40% - Accent3 8 8 2" xfId="15256" xr:uid="{00000000-0005-0000-0000-0000B33A0000}"/>
    <cellStyle name="40% - Accent3 8 8 2 2" xfId="28805" xr:uid="{00000000-0005-0000-0000-0000B43A0000}"/>
    <cellStyle name="40% - Accent3 8 8 3" xfId="21118" xr:uid="{00000000-0005-0000-0000-0000B53A0000}"/>
    <cellStyle name="40% - Accent3 8 9" xfId="3793" xr:uid="{00000000-0005-0000-0000-0000B63A0000}"/>
    <cellStyle name="40% - Accent3 8 9 2" xfId="16128" xr:uid="{00000000-0005-0000-0000-0000B73A0000}"/>
    <cellStyle name="40% - Accent3 8 9 2 2" xfId="29535" xr:uid="{00000000-0005-0000-0000-0000B83A0000}"/>
    <cellStyle name="40% - Accent3 8 9 3" xfId="21119" xr:uid="{00000000-0005-0000-0000-0000B93A0000}"/>
    <cellStyle name="40% - Accent3 9" xfId="3794" xr:uid="{00000000-0005-0000-0000-0000BA3A0000}"/>
    <cellStyle name="40% - Accent3 9 2" xfId="3795" xr:uid="{00000000-0005-0000-0000-0000BB3A0000}"/>
    <cellStyle name="40% - Accent3 9 2 2" xfId="11079" xr:uid="{00000000-0005-0000-0000-0000BC3A0000}"/>
    <cellStyle name="40% - Accent3 9 2 2 2" xfId="25021" xr:uid="{00000000-0005-0000-0000-0000BD3A0000}"/>
    <cellStyle name="40% - Accent3 9 2 3" xfId="21121" xr:uid="{00000000-0005-0000-0000-0000BE3A0000}"/>
    <cellStyle name="40% - Accent3 9 3" xfId="3796" xr:uid="{00000000-0005-0000-0000-0000BF3A0000}"/>
    <cellStyle name="40% - Accent3 9 3 2" xfId="12852" xr:uid="{00000000-0005-0000-0000-0000C03A0000}"/>
    <cellStyle name="40% - Accent3 9 3 2 2" xfId="26564" xr:uid="{00000000-0005-0000-0000-0000C13A0000}"/>
    <cellStyle name="40% - Accent3 9 3 3" xfId="21122" xr:uid="{00000000-0005-0000-0000-0000C23A0000}"/>
    <cellStyle name="40% - Accent3 9 4" xfId="3797" xr:uid="{00000000-0005-0000-0000-0000C33A0000}"/>
    <cellStyle name="40% - Accent3 9 4 2" xfId="15259" xr:uid="{00000000-0005-0000-0000-0000C43A0000}"/>
    <cellStyle name="40% - Accent3 9 4 2 2" xfId="28808" xr:uid="{00000000-0005-0000-0000-0000C53A0000}"/>
    <cellStyle name="40% - Accent3 9 4 3" xfId="21123" xr:uid="{00000000-0005-0000-0000-0000C63A0000}"/>
    <cellStyle name="40% - Accent3 9 5" xfId="3798" xr:uid="{00000000-0005-0000-0000-0000C73A0000}"/>
    <cellStyle name="40% - Accent3 9 5 2" xfId="17093" xr:uid="{00000000-0005-0000-0000-0000C83A0000}"/>
    <cellStyle name="40% - Accent3 9 5 2 2" xfId="30452" xr:uid="{00000000-0005-0000-0000-0000C93A0000}"/>
    <cellStyle name="40% - Accent3 9 5 3" xfId="21124" xr:uid="{00000000-0005-0000-0000-0000CA3A0000}"/>
    <cellStyle name="40% - Accent3 9 6" xfId="9352" xr:uid="{00000000-0005-0000-0000-0000CB3A0000}"/>
    <cellStyle name="40% - Accent3 9 6 2" xfId="23827" xr:uid="{00000000-0005-0000-0000-0000CC3A0000}"/>
    <cellStyle name="40% - Accent3 9 7" xfId="21120" xr:uid="{00000000-0005-0000-0000-0000CD3A0000}"/>
    <cellStyle name="40% - Accent4" xfId="31" builtinId="43" customBuiltin="1"/>
    <cellStyle name="40% - Accent4 10" xfId="3799" xr:uid="{00000000-0005-0000-0000-0000CF3A0000}"/>
    <cellStyle name="40% - Accent4 10 2" xfId="3800" xr:uid="{00000000-0005-0000-0000-0000D03A0000}"/>
    <cellStyle name="40% - Accent4 10 2 2" xfId="3801" xr:uid="{00000000-0005-0000-0000-0000D13A0000}"/>
    <cellStyle name="40% - Accent4 10 2 2 2" xfId="12855" xr:uid="{00000000-0005-0000-0000-0000D23A0000}"/>
    <cellStyle name="40% - Accent4 10 2 2 2 2" xfId="26567" xr:uid="{00000000-0005-0000-0000-0000D33A0000}"/>
    <cellStyle name="40% - Accent4 10 2 2 3" xfId="21127" xr:uid="{00000000-0005-0000-0000-0000D43A0000}"/>
    <cellStyle name="40% - Accent4 10 2 3" xfId="3802" xr:uid="{00000000-0005-0000-0000-0000D53A0000}"/>
    <cellStyle name="40% - Accent4 10 2 3 2" xfId="15262" xr:uid="{00000000-0005-0000-0000-0000D63A0000}"/>
    <cellStyle name="40% - Accent4 10 2 3 2 2" xfId="28811" xr:uid="{00000000-0005-0000-0000-0000D73A0000}"/>
    <cellStyle name="40% - Accent4 10 2 3 3" xfId="21128" xr:uid="{00000000-0005-0000-0000-0000D83A0000}"/>
    <cellStyle name="40% - Accent4 10 2 4" xfId="11081" xr:uid="{00000000-0005-0000-0000-0000D93A0000}"/>
    <cellStyle name="40% - Accent4 10 2 4 2" xfId="25023" xr:uid="{00000000-0005-0000-0000-0000DA3A0000}"/>
    <cellStyle name="40% - Accent4 10 2 5" xfId="21126" xr:uid="{00000000-0005-0000-0000-0000DB3A0000}"/>
    <cellStyle name="40% - Accent4 10 3" xfId="3803" xr:uid="{00000000-0005-0000-0000-0000DC3A0000}"/>
    <cellStyle name="40% - Accent4 10 3 2" xfId="12854" xr:uid="{00000000-0005-0000-0000-0000DD3A0000}"/>
    <cellStyle name="40% - Accent4 10 3 2 2" xfId="26566" xr:uid="{00000000-0005-0000-0000-0000DE3A0000}"/>
    <cellStyle name="40% - Accent4 10 3 3" xfId="21129" xr:uid="{00000000-0005-0000-0000-0000DF3A0000}"/>
    <cellStyle name="40% - Accent4 10 4" xfId="3804" xr:uid="{00000000-0005-0000-0000-0000E03A0000}"/>
    <cellStyle name="40% - Accent4 10 4 2" xfId="15261" xr:uid="{00000000-0005-0000-0000-0000E13A0000}"/>
    <cellStyle name="40% - Accent4 10 4 2 2" xfId="28810" xr:uid="{00000000-0005-0000-0000-0000E23A0000}"/>
    <cellStyle name="40% - Accent4 10 4 3" xfId="21130" xr:uid="{00000000-0005-0000-0000-0000E33A0000}"/>
    <cellStyle name="40% - Accent4 10 5" xfId="3805" xr:uid="{00000000-0005-0000-0000-0000E43A0000}"/>
    <cellStyle name="40% - Accent4 10 5 2" xfId="17183" xr:uid="{00000000-0005-0000-0000-0000E53A0000}"/>
    <cellStyle name="40% - Accent4 10 5 2 2" xfId="30542" xr:uid="{00000000-0005-0000-0000-0000E63A0000}"/>
    <cellStyle name="40% - Accent4 10 5 3" xfId="21131" xr:uid="{00000000-0005-0000-0000-0000E73A0000}"/>
    <cellStyle name="40% - Accent4 10 6" xfId="9354" xr:uid="{00000000-0005-0000-0000-0000E83A0000}"/>
    <cellStyle name="40% - Accent4 10 6 2" xfId="23829" xr:uid="{00000000-0005-0000-0000-0000E93A0000}"/>
    <cellStyle name="40% - Accent4 10 7" xfId="21125" xr:uid="{00000000-0005-0000-0000-0000EA3A0000}"/>
    <cellStyle name="40% - Accent4 11" xfId="3806" xr:uid="{00000000-0005-0000-0000-0000EB3A0000}"/>
    <cellStyle name="40% - Accent4 11 2" xfId="3807" xr:uid="{00000000-0005-0000-0000-0000EC3A0000}"/>
    <cellStyle name="40% - Accent4 11 2 2" xfId="11082" xr:uid="{00000000-0005-0000-0000-0000ED3A0000}"/>
    <cellStyle name="40% - Accent4 11 2 2 2" xfId="25024" xr:uid="{00000000-0005-0000-0000-0000EE3A0000}"/>
    <cellStyle name="40% - Accent4 11 2 3" xfId="21133" xr:uid="{00000000-0005-0000-0000-0000EF3A0000}"/>
    <cellStyle name="40% - Accent4 11 3" xfId="3808" xr:uid="{00000000-0005-0000-0000-0000F03A0000}"/>
    <cellStyle name="40% - Accent4 11 3 2" xfId="12856" xr:uid="{00000000-0005-0000-0000-0000F13A0000}"/>
    <cellStyle name="40% - Accent4 11 3 2 2" xfId="26568" xr:uid="{00000000-0005-0000-0000-0000F23A0000}"/>
    <cellStyle name="40% - Accent4 11 3 3" xfId="21134" xr:uid="{00000000-0005-0000-0000-0000F33A0000}"/>
    <cellStyle name="40% - Accent4 11 4" xfId="3809" xr:uid="{00000000-0005-0000-0000-0000F43A0000}"/>
    <cellStyle name="40% - Accent4 11 4 2" xfId="15263" xr:uid="{00000000-0005-0000-0000-0000F53A0000}"/>
    <cellStyle name="40% - Accent4 11 4 2 2" xfId="28812" xr:uid="{00000000-0005-0000-0000-0000F63A0000}"/>
    <cellStyle name="40% - Accent4 11 4 3" xfId="21135" xr:uid="{00000000-0005-0000-0000-0000F73A0000}"/>
    <cellStyle name="40% - Accent4 11 5" xfId="3810" xr:uid="{00000000-0005-0000-0000-0000F83A0000}"/>
    <cellStyle name="40% - Accent4 11 5 2" xfId="17272" xr:uid="{00000000-0005-0000-0000-0000F93A0000}"/>
    <cellStyle name="40% - Accent4 11 5 2 2" xfId="30631" xr:uid="{00000000-0005-0000-0000-0000FA3A0000}"/>
    <cellStyle name="40% - Accent4 11 5 3" xfId="21136" xr:uid="{00000000-0005-0000-0000-0000FB3A0000}"/>
    <cellStyle name="40% - Accent4 11 6" xfId="9355" xr:uid="{00000000-0005-0000-0000-0000FC3A0000}"/>
    <cellStyle name="40% - Accent4 11 6 2" xfId="23830" xr:uid="{00000000-0005-0000-0000-0000FD3A0000}"/>
    <cellStyle name="40% - Accent4 11 7" xfId="21132" xr:uid="{00000000-0005-0000-0000-0000FE3A0000}"/>
    <cellStyle name="40% - Accent4 12" xfId="3811" xr:uid="{00000000-0005-0000-0000-0000FF3A0000}"/>
    <cellStyle name="40% - Accent4 12 2" xfId="3812" xr:uid="{00000000-0005-0000-0000-0000003B0000}"/>
    <cellStyle name="40% - Accent4 12 2 2" xfId="3813" xr:uid="{00000000-0005-0000-0000-0000013B0000}"/>
    <cellStyle name="40% - Accent4 12 2 2 2" xfId="11084" xr:uid="{00000000-0005-0000-0000-0000023B0000}"/>
    <cellStyle name="40% - Accent4 12 2 2 2 2" xfId="25026" xr:uid="{00000000-0005-0000-0000-0000033B0000}"/>
    <cellStyle name="40% - Accent4 12 2 2 3" xfId="21139" xr:uid="{00000000-0005-0000-0000-0000043B0000}"/>
    <cellStyle name="40% - Accent4 12 2 3" xfId="3814" xr:uid="{00000000-0005-0000-0000-0000053B0000}"/>
    <cellStyle name="40% - Accent4 12 2 3 2" xfId="12858" xr:uid="{00000000-0005-0000-0000-0000063B0000}"/>
    <cellStyle name="40% - Accent4 12 2 3 2 2" xfId="26570" xr:uid="{00000000-0005-0000-0000-0000073B0000}"/>
    <cellStyle name="40% - Accent4 12 2 3 3" xfId="21140" xr:uid="{00000000-0005-0000-0000-0000083B0000}"/>
    <cellStyle name="40% - Accent4 12 2 4" xfId="3815" xr:uid="{00000000-0005-0000-0000-0000093B0000}"/>
    <cellStyle name="40% - Accent4 12 2 4 2" xfId="15265" xr:uid="{00000000-0005-0000-0000-00000A3B0000}"/>
    <cellStyle name="40% - Accent4 12 2 4 2 2" xfId="28814" xr:uid="{00000000-0005-0000-0000-00000B3B0000}"/>
    <cellStyle name="40% - Accent4 12 2 4 3" xfId="21141" xr:uid="{00000000-0005-0000-0000-00000C3B0000}"/>
    <cellStyle name="40% - Accent4 12 2 5" xfId="9357" xr:uid="{00000000-0005-0000-0000-00000D3B0000}"/>
    <cellStyle name="40% - Accent4 12 2 5 2" xfId="23832" xr:uid="{00000000-0005-0000-0000-00000E3B0000}"/>
    <cellStyle name="40% - Accent4 12 2 6" xfId="21138" xr:uid="{00000000-0005-0000-0000-00000F3B0000}"/>
    <cellStyle name="40% - Accent4 12 3" xfId="3816" xr:uid="{00000000-0005-0000-0000-0000103B0000}"/>
    <cellStyle name="40% - Accent4 12 3 2" xfId="11083" xr:uid="{00000000-0005-0000-0000-0000113B0000}"/>
    <cellStyle name="40% - Accent4 12 3 2 2" xfId="25025" xr:uid="{00000000-0005-0000-0000-0000123B0000}"/>
    <cellStyle name="40% - Accent4 12 3 3" xfId="21142" xr:uid="{00000000-0005-0000-0000-0000133B0000}"/>
    <cellStyle name="40% - Accent4 12 4" xfId="3817" xr:uid="{00000000-0005-0000-0000-0000143B0000}"/>
    <cellStyle name="40% - Accent4 12 4 2" xfId="12857" xr:uid="{00000000-0005-0000-0000-0000153B0000}"/>
    <cellStyle name="40% - Accent4 12 4 2 2" xfId="26569" xr:uid="{00000000-0005-0000-0000-0000163B0000}"/>
    <cellStyle name="40% - Accent4 12 4 3" xfId="21143" xr:uid="{00000000-0005-0000-0000-0000173B0000}"/>
    <cellStyle name="40% - Accent4 12 5" xfId="3818" xr:uid="{00000000-0005-0000-0000-0000183B0000}"/>
    <cellStyle name="40% - Accent4 12 5 2" xfId="15264" xr:uid="{00000000-0005-0000-0000-0000193B0000}"/>
    <cellStyle name="40% - Accent4 12 5 2 2" xfId="28813" xr:uid="{00000000-0005-0000-0000-00001A3B0000}"/>
    <cellStyle name="40% - Accent4 12 5 3" xfId="21144" xr:uid="{00000000-0005-0000-0000-00001B3B0000}"/>
    <cellStyle name="40% - Accent4 12 6" xfId="3819" xr:uid="{00000000-0005-0000-0000-00001C3B0000}"/>
    <cellStyle name="40% - Accent4 12 6 2" xfId="16424" xr:uid="{00000000-0005-0000-0000-00001D3B0000}"/>
    <cellStyle name="40% - Accent4 12 6 2 2" xfId="29831" xr:uid="{00000000-0005-0000-0000-00001E3B0000}"/>
    <cellStyle name="40% - Accent4 12 6 3" xfId="21145" xr:uid="{00000000-0005-0000-0000-00001F3B0000}"/>
    <cellStyle name="40% - Accent4 12 7" xfId="9356" xr:uid="{00000000-0005-0000-0000-0000203B0000}"/>
    <cellStyle name="40% - Accent4 12 7 2" xfId="23831" xr:uid="{00000000-0005-0000-0000-0000213B0000}"/>
    <cellStyle name="40% - Accent4 12 8" xfId="21137" xr:uid="{00000000-0005-0000-0000-0000223B0000}"/>
    <cellStyle name="40% - Accent4 13" xfId="3820" xr:uid="{00000000-0005-0000-0000-0000233B0000}"/>
    <cellStyle name="40% - Accent4 13 2" xfId="3821" xr:uid="{00000000-0005-0000-0000-0000243B0000}"/>
    <cellStyle name="40% - Accent4 13 2 2" xfId="11085" xr:uid="{00000000-0005-0000-0000-0000253B0000}"/>
    <cellStyle name="40% - Accent4 13 2 2 2" xfId="25027" xr:uid="{00000000-0005-0000-0000-0000263B0000}"/>
    <cellStyle name="40% - Accent4 13 2 3" xfId="21147" xr:uid="{00000000-0005-0000-0000-0000273B0000}"/>
    <cellStyle name="40% - Accent4 13 3" xfId="3822" xr:uid="{00000000-0005-0000-0000-0000283B0000}"/>
    <cellStyle name="40% - Accent4 13 3 2" xfId="12859" xr:uid="{00000000-0005-0000-0000-0000293B0000}"/>
    <cellStyle name="40% - Accent4 13 3 2 2" xfId="26571" xr:uid="{00000000-0005-0000-0000-00002A3B0000}"/>
    <cellStyle name="40% - Accent4 13 3 3" xfId="21148" xr:uid="{00000000-0005-0000-0000-00002B3B0000}"/>
    <cellStyle name="40% - Accent4 13 4" xfId="3823" xr:uid="{00000000-0005-0000-0000-00002C3B0000}"/>
    <cellStyle name="40% - Accent4 13 4 2" xfId="15266" xr:uid="{00000000-0005-0000-0000-00002D3B0000}"/>
    <cellStyle name="40% - Accent4 13 4 2 2" xfId="28815" xr:uid="{00000000-0005-0000-0000-00002E3B0000}"/>
    <cellStyle name="40% - Accent4 13 4 3" xfId="21149" xr:uid="{00000000-0005-0000-0000-00002F3B0000}"/>
    <cellStyle name="40% - Accent4 13 5" xfId="9358" xr:uid="{00000000-0005-0000-0000-0000303B0000}"/>
    <cellStyle name="40% - Accent4 13 5 2" xfId="23833" xr:uid="{00000000-0005-0000-0000-0000313B0000}"/>
    <cellStyle name="40% - Accent4 13 6" xfId="21146" xr:uid="{00000000-0005-0000-0000-0000323B0000}"/>
    <cellStyle name="40% - Accent4 14" xfId="3824" xr:uid="{00000000-0005-0000-0000-0000333B0000}"/>
    <cellStyle name="40% - Accent4 14 2" xfId="3825" xr:uid="{00000000-0005-0000-0000-0000343B0000}"/>
    <cellStyle name="40% - Accent4 14 2 2" xfId="11086" xr:uid="{00000000-0005-0000-0000-0000353B0000}"/>
    <cellStyle name="40% - Accent4 14 2 2 2" xfId="25028" xr:uid="{00000000-0005-0000-0000-0000363B0000}"/>
    <cellStyle name="40% - Accent4 14 2 3" xfId="21151" xr:uid="{00000000-0005-0000-0000-0000373B0000}"/>
    <cellStyle name="40% - Accent4 14 3" xfId="3826" xr:uid="{00000000-0005-0000-0000-0000383B0000}"/>
    <cellStyle name="40% - Accent4 14 3 2" xfId="12860" xr:uid="{00000000-0005-0000-0000-0000393B0000}"/>
    <cellStyle name="40% - Accent4 14 3 2 2" xfId="26572" xr:uid="{00000000-0005-0000-0000-00003A3B0000}"/>
    <cellStyle name="40% - Accent4 14 3 3" xfId="21152" xr:uid="{00000000-0005-0000-0000-00003B3B0000}"/>
    <cellStyle name="40% - Accent4 14 4" xfId="3827" xr:uid="{00000000-0005-0000-0000-00003C3B0000}"/>
    <cellStyle name="40% - Accent4 14 4 2" xfId="15267" xr:uid="{00000000-0005-0000-0000-00003D3B0000}"/>
    <cellStyle name="40% - Accent4 14 4 2 2" xfId="28816" xr:uid="{00000000-0005-0000-0000-00003E3B0000}"/>
    <cellStyle name="40% - Accent4 14 4 3" xfId="21153" xr:uid="{00000000-0005-0000-0000-00003F3B0000}"/>
    <cellStyle name="40% - Accent4 14 5" xfId="9359" xr:uid="{00000000-0005-0000-0000-0000403B0000}"/>
    <cellStyle name="40% - Accent4 14 5 2" xfId="23834" xr:uid="{00000000-0005-0000-0000-0000413B0000}"/>
    <cellStyle name="40% - Accent4 14 6" xfId="21150" xr:uid="{00000000-0005-0000-0000-0000423B0000}"/>
    <cellStyle name="40% - Accent4 15" xfId="3828" xr:uid="{00000000-0005-0000-0000-0000433B0000}"/>
    <cellStyle name="40% - Accent4 15 2" xfId="3829" xr:uid="{00000000-0005-0000-0000-0000443B0000}"/>
    <cellStyle name="40% - Accent4 15 2 2" xfId="11087" xr:uid="{00000000-0005-0000-0000-0000453B0000}"/>
    <cellStyle name="40% - Accent4 15 2 2 2" xfId="25029" xr:uid="{00000000-0005-0000-0000-0000463B0000}"/>
    <cellStyle name="40% - Accent4 15 2 3" xfId="21155" xr:uid="{00000000-0005-0000-0000-0000473B0000}"/>
    <cellStyle name="40% - Accent4 15 3" xfId="3830" xr:uid="{00000000-0005-0000-0000-0000483B0000}"/>
    <cellStyle name="40% - Accent4 15 3 2" xfId="12861" xr:uid="{00000000-0005-0000-0000-0000493B0000}"/>
    <cellStyle name="40% - Accent4 15 3 2 2" xfId="26573" xr:uid="{00000000-0005-0000-0000-00004A3B0000}"/>
    <cellStyle name="40% - Accent4 15 3 3" xfId="21156" xr:uid="{00000000-0005-0000-0000-00004B3B0000}"/>
    <cellStyle name="40% - Accent4 15 4" xfId="3831" xr:uid="{00000000-0005-0000-0000-00004C3B0000}"/>
    <cellStyle name="40% - Accent4 15 4 2" xfId="15268" xr:uid="{00000000-0005-0000-0000-00004D3B0000}"/>
    <cellStyle name="40% - Accent4 15 4 2 2" xfId="28817" xr:uid="{00000000-0005-0000-0000-00004E3B0000}"/>
    <cellStyle name="40% - Accent4 15 4 3" xfId="21157" xr:uid="{00000000-0005-0000-0000-00004F3B0000}"/>
    <cellStyle name="40% - Accent4 15 5" xfId="9360" xr:uid="{00000000-0005-0000-0000-0000503B0000}"/>
    <cellStyle name="40% - Accent4 15 5 2" xfId="23835" xr:uid="{00000000-0005-0000-0000-0000513B0000}"/>
    <cellStyle name="40% - Accent4 15 6" xfId="21154" xr:uid="{00000000-0005-0000-0000-0000523B0000}"/>
    <cellStyle name="40% - Accent4 16" xfId="3832" xr:uid="{00000000-0005-0000-0000-0000533B0000}"/>
    <cellStyle name="40% - Accent4 16 2" xfId="3833" xr:uid="{00000000-0005-0000-0000-0000543B0000}"/>
    <cellStyle name="40% - Accent4 16 2 2" xfId="11088" xr:uid="{00000000-0005-0000-0000-0000553B0000}"/>
    <cellStyle name="40% - Accent4 16 2 2 2" xfId="25030" xr:uid="{00000000-0005-0000-0000-0000563B0000}"/>
    <cellStyle name="40% - Accent4 16 2 3" xfId="21159" xr:uid="{00000000-0005-0000-0000-0000573B0000}"/>
    <cellStyle name="40% - Accent4 16 3" xfId="3834" xr:uid="{00000000-0005-0000-0000-0000583B0000}"/>
    <cellStyle name="40% - Accent4 16 3 2" xfId="12862" xr:uid="{00000000-0005-0000-0000-0000593B0000}"/>
    <cellStyle name="40% - Accent4 16 3 2 2" xfId="26574" xr:uid="{00000000-0005-0000-0000-00005A3B0000}"/>
    <cellStyle name="40% - Accent4 16 3 3" xfId="21160" xr:uid="{00000000-0005-0000-0000-00005B3B0000}"/>
    <cellStyle name="40% - Accent4 16 4" xfId="3835" xr:uid="{00000000-0005-0000-0000-00005C3B0000}"/>
    <cellStyle name="40% - Accent4 16 4 2" xfId="15269" xr:uid="{00000000-0005-0000-0000-00005D3B0000}"/>
    <cellStyle name="40% - Accent4 16 4 2 2" xfId="28818" xr:uid="{00000000-0005-0000-0000-00005E3B0000}"/>
    <cellStyle name="40% - Accent4 16 4 3" xfId="21161" xr:uid="{00000000-0005-0000-0000-00005F3B0000}"/>
    <cellStyle name="40% - Accent4 16 5" xfId="9361" xr:uid="{00000000-0005-0000-0000-0000603B0000}"/>
    <cellStyle name="40% - Accent4 16 5 2" xfId="23836" xr:uid="{00000000-0005-0000-0000-0000613B0000}"/>
    <cellStyle name="40% - Accent4 16 6" xfId="21158" xr:uid="{00000000-0005-0000-0000-0000623B0000}"/>
    <cellStyle name="40% - Accent4 17" xfId="3836" xr:uid="{00000000-0005-0000-0000-0000633B0000}"/>
    <cellStyle name="40% - Accent4 17 2" xfId="3837" xr:uid="{00000000-0005-0000-0000-0000643B0000}"/>
    <cellStyle name="40% - Accent4 17 2 2" xfId="11089" xr:uid="{00000000-0005-0000-0000-0000653B0000}"/>
    <cellStyle name="40% - Accent4 17 2 2 2" xfId="25031" xr:uid="{00000000-0005-0000-0000-0000663B0000}"/>
    <cellStyle name="40% - Accent4 17 2 3" xfId="21163" xr:uid="{00000000-0005-0000-0000-0000673B0000}"/>
    <cellStyle name="40% - Accent4 17 3" xfId="3838" xr:uid="{00000000-0005-0000-0000-0000683B0000}"/>
    <cellStyle name="40% - Accent4 17 3 2" xfId="12863" xr:uid="{00000000-0005-0000-0000-0000693B0000}"/>
    <cellStyle name="40% - Accent4 17 3 2 2" xfId="26575" xr:uid="{00000000-0005-0000-0000-00006A3B0000}"/>
    <cellStyle name="40% - Accent4 17 3 3" xfId="21164" xr:uid="{00000000-0005-0000-0000-00006B3B0000}"/>
    <cellStyle name="40% - Accent4 17 4" xfId="3839" xr:uid="{00000000-0005-0000-0000-00006C3B0000}"/>
    <cellStyle name="40% - Accent4 17 4 2" xfId="15270" xr:uid="{00000000-0005-0000-0000-00006D3B0000}"/>
    <cellStyle name="40% - Accent4 17 4 2 2" xfId="28819" xr:uid="{00000000-0005-0000-0000-00006E3B0000}"/>
    <cellStyle name="40% - Accent4 17 4 3" xfId="21165" xr:uid="{00000000-0005-0000-0000-00006F3B0000}"/>
    <cellStyle name="40% - Accent4 17 5" xfId="9362" xr:uid="{00000000-0005-0000-0000-0000703B0000}"/>
    <cellStyle name="40% - Accent4 17 5 2" xfId="23837" xr:uid="{00000000-0005-0000-0000-0000713B0000}"/>
    <cellStyle name="40% - Accent4 17 6" xfId="21162" xr:uid="{00000000-0005-0000-0000-0000723B0000}"/>
    <cellStyle name="40% - Accent4 18" xfId="3840" xr:uid="{00000000-0005-0000-0000-0000733B0000}"/>
    <cellStyle name="40% - Accent4 18 2" xfId="3841" xr:uid="{00000000-0005-0000-0000-0000743B0000}"/>
    <cellStyle name="40% - Accent4 18 2 2" xfId="11090" xr:uid="{00000000-0005-0000-0000-0000753B0000}"/>
    <cellStyle name="40% - Accent4 18 2 2 2" xfId="25032" xr:uid="{00000000-0005-0000-0000-0000763B0000}"/>
    <cellStyle name="40% - Accent4 18 2 3" xfId="21167" xr:uid="{00000000-0005-0000-0000-0000773B0000}"/>
    <cellStyle name="40% - Accent4 18 3" xfId="3842" xr:uid="{00000000-0005-0000-0000-0000783B0000}"/>
    <cellStyle name="40% - Accent4 18 3 2" xfId="12864" xr:uid="{00000000-0005-0000-0000-0000793B0000}"/>
    <cellStyle name="40% - Accent4 18 3 2 2" xfId="26576" xr:uid="{00000000-0005-0000-0000-00007A3B0000}"/>
    <cellStyle name="40% - Accent4 18 3 3" xfId="21168" xr:uid="{00000000-0005-0000-0000-00007B3B0000}"/>
    <cellStyle name="40% - Accent4 18 4" xfId="3843" xr:uid="{00000000-0005-0000-0000-00007C3B0000}"/>
    <cellStyle name="40% - Accent4 18 4 2" xfId="15271" xr:uid="{00000000-0005-0000-0000-00007D3B0000}"/>
    <cellStyle name="40% - Accent4 18 4 2 2" xfId="28820" xr:uid="{00000000-0005-0000-0000-00007E3B0000}"/>
    <cellStyle name="40% - Accent4 18 4 3" xfId="21169" xr:uid="{00000000-0005-0000-0000-00007F3B0000}"/>
    <cellStyle name="40% - Accent4 18 5" xfId="9363" xr:uid="{00000000-0005-0000-0000-0000803B0000}"/>
    <cellStyle name="40% - Accent4 18 5 2" xfId="23838" xr:uid="{00000000-0005-0000-0000-0000813B0000}"/>
    <cellStyle name="40% - Accent4 18 6" xfId="21166" xr:uid="{00000000-0005-0000-0000-0000823B0000}"/>
    <cellStyle name="40% - Accent4 19" xfId="3844" xr:uid="{00000000-0005-0000-0000-0000833B0000}"/>
    <cellStyle name="40% - Accent4 19 2" xfId="3845" xr:uid="{00000000-0005-0000-0000-0000843B0000}"/>
    <cellStyle name="40% - Accent4 19 2 2" xfId="11708" xr:uid="{00000000-0005-0000-0000-0000853B0000}"/>
    <cellStyle name="40% - Accent4 19 2 2 2" xfId="25428" xr:uid="{00000000-0005-0000-0000-0000863B0000}"/>
    <cellStyle name="40% - Accent4 19 2 3" xfId="21171" xr:uid="{00000000-0005-0000-0000-0000873B0000}"/>
    <cellStyle name="40% - Accent4 19 3" xfId="3846" xr:uid="{00000000-0005-0000-0000-0000883B0000}"/>
    <cellStyle name="40% - Accent4 19 3 2" xfId="12865" xr:uid="{00000000-0005-0000-0000-0000893B0000}"/>
    <cellStyle name="40% - Accent4 19 3 2 2" xfId="26577" xr:uid="{00000000-0005-0000-0000-00008A3B0000}"/>
    <cellStyle name="40% - Accent4 19 3 3" xfId="21172" xr:uid="{00000000-0005-0000-0000-00008B3B0000}"/>
    <cellStyle name="40% - Accent4 19 4" xfId="3847" xr:uid="{00000000-0005-0000-0000-00008C3B0000}"/>
    <cellStyle name="40% - Accent4 19 4 2" xfId="15272" xr:uid="{00000000-0005-0000-0000-00008D3B0000}"/>
    <cellStyle name="40% - Accent4 19 4 2 2" xfId="28821" xr:uid="{00000000-0005-0000-0000-00008E3B0000}"/>
    <cellStyle name="40% - Accent4 19 4 3" xfId="21173" xr:uid="{00000000-0005-0000-0000-00008F3B0000}"/>
    <cellStyle name="40% - Accent4 19 5" xfId="10460" xr:uid="{00000000-0005-0000-0000-0000903B0000}"/>
    <cellStyle name="40% - Accent4 19 5 2" xfId="24419" xr:uid="{00000000-0005-0000-0000-0000913B0000}"/>
    <cellStyle name="40% - Accent4 19 6" xfId="21170" xr:uid="{00000000-0005-0000-0000-0000923B0000}"/>
    <cellStyle name="40% - Accent4 2" xfId="3848" xr:uid="{00000000-0005-0000-0000-0000933B0000}"/>
    <cellStyle name="40% - Accent4 2 10" xfId="3849" xr:uid="{00000000-0005-0000-0000-0000943B0000}"/>
    <cellStyle name="40% - Accent4 2 10 2" xfId="3850" xr:uid="{00000000-0005-0000-0000-0000953B0000}"/>
    <cellStyle name="40% - Accent4 2 10 2 2" xfId="15274" xr:uid="{00000000-0005-0000-0000-0000963B0000}"/>
    <cellStyle name="40% - Accent4 2 10 2 2 2" xfId="28823" xr:uid="{00000000-0005-0000-0000-0000973B0000}"/>
    <cellStyle name="40% - Accent4 2 10 2 3" xfId="21176" xr:uid="{00000000-0005-0000-0000-0000983B0000}"/>
    <cellStyle name="40% - Accent4 2 10 3" xfId="11832" xr:uid="{00000000-0005-0000-0000-0000993B0000}"/>
    <cellStyle name="40% - Accent4 2 10 3 2" xfId="25547" xr:uid="{00000000-0005-0000-0000-00009A3B0000}"/>
    <cellStyle name="40% - Accent4 2 10 4" xfId="21175" xr:uid="{00000000-0005-0000-0000-00009B3B0000}"/>
    <cellStyle name="40% - Accent4 2 11" xfId="3851" xr:uid="{00000000-0005-0000-0000-00009C3B0000}"/>
    <cellStyle name="40% - Accent4 2 11 2" xfId="12866" xr:uid="{00000000-0005-0000-0000-00009D3B0000}"/>
    <cellStyle name="40% - Accent4 2 11 2 2" xfId="26578" xr:uid="{00000000-0005-0000-0000-00009E3B0000}"/>
    <cellStyle name="40% - Accent4 2 11 3" xfId="21177" xr:uid="{00000000-0005-0000-0000-00009F3B0000}"/>
    <cellStyle name="40% - Accent4 2 12" xfId="3852" xr:uid="{00000000-0005-0000-0000-0000A03B0000}"/>
    <cellStyle name="40% - Accent4 2 12 2" xfId="13431" xr:uid="{00000000-0005-0000-0000-0000A13B0000}"/>
    <cellStyle name="40% - Accent4 2 12 2 2" xfId="26980" xr:uid="{00000000-0005-0000-0000-0000A23B0000}"/>
    <cellStyle name="40% - Accent4 2 12 3" xfId="21178" xr:uid="{00000000-0005-0000-0000-0000A33B0000}"/>
    <cellStyle name="40% - Accent4 2 13" xfId="3853" xr:uid="{00000000-0005-0000-0000-0000A43B0000}"/>
    <cellStyle name="40% - Accent4 2 13 2" xfId="14012" xr:uid="{00000000-0005-0000-0000-0000A53B0000}"/>
    <cellStyle name="40% - Accent4 2 13 2 2" xfId="27561" xr:uid="{00000000-0005-0000-0000-0000A63B0000}"/>
    <cellStyle name="40% - Accent4 2 13 3" xfId="21179" xr:uid="{00000000-0005-0000-0000-0000A73B0000}"/>
    <cellStyle name="40% - Accent4 2 14" xfId="3854" xr:uid="{00000000-0005-0000-0000-0000A83B0000}"/>
    <cellStyle name="40% - Accent4 2 14 2" xfId="15273" xr:uid="{00000000-0005-0000-0000-0000A93B0000}"/>
    <cellStyle name="40% - Accent4 2 14 2 2" xfId="28822" xr:uid="{00000000-0005-0000-0000-0000AA3B0000}"/>
    <cellStyle name="40% - Accent4 2 14 3" xfId="21180" xr:uid="{00000000-0005-0000-0000-0000AB3B0000}"/>
    <cellStyle name="40% - Accent4 2 15" xfId="3855" xr:uid="{00000000-0005-0000-0000-0000AC3B0000}"/>
    <cellStyle name="40% - Accent4 2 15 2" xfId="15898" xr:uid="{00000000-0005-0000-0000-0000AD3B0000}"/>
    <cellStyle name="40% - Accent4 2 15 2 2" xfId="29305" xr:uid="{00000000-0005-0000-0000-0000AE3B0000}"/>
    <cellStyle name="40% - Accent4 2 15 3" xfId="21181" xr:uid="{00000000-0005-0000-0000-0000AF3B0000}"/>
    <cellStyle name="40% - Accent4 2 16" xfId="9364" xr:uid="{00000000-0005-0000-0000-0000B03B0000}"/>
    <cellStyle name="40% - Accent4 2 16 2" xfId="23839" xr:uid="{00000000-0005-0000-0000-0000B13B0000}"/>
    <cellStyle name="40% - Accent4 2 17" xfId="21174" xr:uid="{00000000-0005-0000-0000-0000B23B0000}"/>
    <cellStyle name="40% - Accent4 2 2" xfId="3856" xr:uid="{00000000-0005-0000-0000-0000B33B0000}"/>
    <cellStyle name="40% - Accent4 2 2 10" xfId="3857" xr:uid="{00000000-0005-0000-0000-0000B43B0000}"/>
    <cellStyle name="40% - Accent4 2 2 10 2" xfId="15275" xr:uid="{00000000-0005-0000-0000-0000B53B0000}"/>
    <cellStyle name="40% - Accent4 2 2 10 2 2" xfId="28824" xr:uid="{00000000-0005-0000-0000-0000B63B0000}"/>
    <cellStyle name="40% - Accent4 2 2 10 3" xfId="21183" xr:uid="{00000000-0005-0000-0000-0000B73B0000}"/>
    <cellStyle name="40% - Accent4 2 2 11" xfId="3858" xr:uid="{00000000-0005-0000-0000-0000B83B0000}"/>
    <cellStyle name="40% - Accent4 2 2 11 2" xfId="15944" xr:uid="{00000000-0005-0000-0000-0000B93B0000}"/>
    <cellStyle name="40% - Accent4 2 2 11 2 2" xfId="29351" xr:uid="{00000000-0005-0000-0000-0000BA3B0000}"/>
    <cellStyle name="40% - Accent4 2 2 11 3" xfId="21184" xr:uid="{00000000-0005-0000-0000-0000BB3B0000}"/>
    <cellStyle name="40% - Accent4 2 2 12" xfId="9365" xr:uid="{00000000-0005-0000-0000-0000BC3B0000}"/>
    <cellStyle name="40% - Accent4 2 2 12 2" xfId="23840" xr:uid="{00000000-0005-0000-0000-0000BD3B0000}"/>
    <cellStyle name="40% - Accent4 2 2 13" xfId="21182" xr:uid="{00000000-0005-0000-0000-0000BE3B0000}"/>
    <cellStyle name="40% - Accent4 2 2 2" xfId="3859" xr:uid="{00000000-0005-0000-0000-0000BF3B0000}"/>
    <cellStyle name="40% - Accent4 2 2 2 10" xfId="3860" xr:uid="{00000000-0005-0000-0000-0000C03B0000}"/>
    <cellStyle name="40% - Accent4 2 2 2 10 2" xfId="16087" xr:uid="{00000000-0005-0000-0000-0000C13B0000}"/>
    <cellStyle name="40% - Accent4 2 2 2 10 2 2" xfId="29494" xr:uid="{00000000-0005-0000-0000-0000C23B0000}"/>
    <cellStyle name="40% - Accent4 2 2 2 10 3" xfId="21186" xr:uid="{00000000-0005-0000-0000-0000C33B0000}"/>
    <cellStyle name="40% - Accent4 2 2 2 11" xfId="9366" xr:uid="{00000000-0005-0000-0000-0000C43B0000}"/>
    <cellStyle name="40% - Accent4 2 2 2 11 2" xfId="23841" xr:uid="{00000000-0005-0000-0000-0000C53B0000}"/>
    <cellStyle name="40% - Accent4 2 2 2 12" xfId="21185" xr:uid="{00000000-0005-0000-0000-0000C63B0000}"/>
    <cellStyle name="40% - Accent4 2 2 2 2" xfId="3861" xr:uid="{00000000-0005-0000-0000-0000C73B0000}"/>
    <cellStyle name="40% - Accent4 2 2 2 2 10" xfId="9367" xr:uid="{00000000-0005-0000-0000-0000C83B0000}"/>
    <cellStyle name="40% - Accent4 2 2 2 2 10 2" xfId="23842" xr:uid="{00000000-0005-0000-0000-0000C93B0000}"/>
    <cellStyle name="40% - Accent4 2 2 2 2 11" xfId="21187" xr:uid="{00000000-0005-0000-0000-0000CA3B0000}"/>
    <cellStyle name="40% - Accent4 2 2 2 2 2" xfId="3862" xr:uid="{00000000-0005-0000-0000-0000CB3B0000}"/>
    <cellStyle name="40% - Accent4 2 2 2 2 2 2" xfId="3863" xr:uid="{00000000-0005-0000-0000-0000CC3B0000}"/>
    <cellStyle name="40% - Accent4 2 2 2 2 2 2 2" xfId="11095" xr:uid="{00000000-0005-0000-0000-0000CD3B0000}"/>
    <cellStyle name="40% - Accent4 2 2 2 2 2 2 2 2" xfId="25037" xr:uid="{00000000-0005-0000-0000-0000CE3B0000}"/>
    <cellStyle name="40% - Accent4 2 2 2 2 2 2 3" xfId="21189" xr:uid="{00000000-0005-0000-0000-0000CF3B0000}"/>
    <cellStyle name="40% - Accent4 2 2 2 2 2 3" xfId="3864" xr:uid="{00000000-0005-0000-0000-0000D03B0000}"/>
    <cellStyle name="40% - Accent4 2 2 2 2 2 3 2" xfId="12870" xr:uid="{00000000-0005-0000-0000-0000D13B0000}"/>
    <cellStyle name="40% - Accent4 2 2 2 2 2 3 2 2" xfId="26582" xr:uid="{00000000-0005-0000-0000-0000D23B0000}"/>
    <cellStyle name="40% - Accent4 2 2 2 2 2 3 3" xfId="21190" xr:uid="{00000000-0005-0000-0000-0000D33B0000}"/>
    <cellStyle name="40% - Accent4 2 2 2 2 2 4" xfId="3865" xr:uid="{00000000-0005-0000-0000-0000D43B0000}"/>
    <cellStyle name="40% - Accent4 2 2 2 2 2 4 2" xfId="15278" xr:uid="{00000000-0005-0000-0000-0000D53B0000}"/>
    <cellStyle name="40% - Accent4 2 2 2 2 2 4 2 2" xfId="28827" xr:uid="{00000000-0005-0000-0000-0000D63B0000}"/>
    <cellStyle name="40% - Accent4 2 2 2 2 2 4 3" xfId="21191" xr:uid="{00000000-0005-0000-0000-0000D73B0000}"/>
    <cellStyle name="40% - Accent4 2 2 2 2 2 5" xfId="3866" xr:uid="{00000000-0005-0000-0000-0000D83B0000}"/>
    <cellStyle name="40% - Accent4 2 2 2 2 2 5 2" xfId="16957" xr:uid="{00000000-0005-0000-0000-0000D93B0000}"/>
    <cellStyle name="40% - Accent4 2 2 2 2 2 5 2 2" xfId="30364" xr:uid="{00000000-0005-0000-0000-0000DA3B0000}"/>
    <cellStyle name="40% - Accent4 2 2 2 2 2 5 3" xfId="21192" xr:uid="{00000000-0005-0000-0000-0000DB3B0000}"/>
    <cellStyle name="40% - Accent4 2 2 2 2 2 6" xfId="9368" xr:uid="{00000000-0005-0000-0000-0000DC3B0000}"/>
    <cellStyle name="40% - Accent4 2 2 2 2 2 6 2" xfId="23843" xr:uid="{00000000-0005-0000-0000-0000DD3B0000}"/>
    <cellStyle name="40% - Accent4 2 2 2 2 2 7" xfId="21188" xr:uid="{00000000-0005-0000-0000-0000DE3B0000}"/>
    <cellStyle name="40% - Accent4 2 2 2 2 3" xfId="3867" xr:uid="{00000000-0005-0000-0000-0000DF3B0000}"/>
    <cellStyle name="40% - Accent4 2 2 2 2 3 2" xfId="3868" xr:uid="{00000000-0005-0000-0000-0000E03B0000}"/>
    <cellStyle name="40% - Accent4 2 2 2 2 3 2 2" xfId="15279" xr:uid="{00000000-0005-0000-0000-0000E13B0000}"/>
    <cellStyle name="40% - Accent4 2 2 2 2 3 2 2 2" xfId="28828" xr:uid="{00000000-0005-0000-0000-0000E23B0000}"/>
    <cellStyle name="40% - Accent4 2 2 2 2 3 2 3" xfId="21194" xr:uid="{00000000-0005-0000-0000-0000E33B0000}"/>
    <cellStyle name="40% - Accent4 2 2 2 2 3 3" xfId="11094" xr:uid="{00000000-0005-0000-0000-0000E43B0000}"/>
    <cellStyle name="40% - Accent4 2 2 2 2 3 3 2" xfId="25036" xr:uid="{00000000-0005-0000-0000-0000E53B0000}"/>
    <cellStyle name="40% - Accent4 2 2 2 2 3 4" xfId="21193" xr:uid="{00000000-0005-0000-0000-0000E63B0000}"/>
    <cellStyle name="40% - Accent4 2 2 2 2 4" xfId="3869" xr:uid="{00000000-0005-0000-0000-0000E73B0000}"/>
    <cellStyle name="40% - Accent4 2 2 2 2 4 2" xfId="12345" xr:uid="{00000000-0005-0000-0000-0000E83B0000}"/>
    <cellStyle name="40% - Accent4 2 2 2 2 4 2 2" xfId="26057" xr:uid="{00000000-0005-0000-0000-0000E93B0000}"/>
    <cellStyle name="40% - Accent4 2 2 2 2 4 3" xfId="21195" xr:uid="{00000000-0005-0000-0000-0000EA3B0000}"/>
    <cellStyle name="40% - Accent4 2 2 2 2 5" xfId="3870" xr:uid="{00000000-0005-0000-0000-0000EB3B0000}"/>
    <cellStyle name="40% - Accent4 2 2 2 2 5 2" xfId="12869" xr:uid="{00000000-0005-0000-0000-0000EC3B0000}"/>
    <cellStyle name="40% - Accent4 2 2 2 2 5 2 2" xfId="26581" xr:uid="{00000000-0005-0000-0000-0000ED3B0000}"/>
    <cellStyle name="40% - Accent4 2 2 2 2 5 3" xfId="21196" xr:uid="{00000000-0005-0000-0000-0000EE3B0000}"/>
    <cellStyle name="40% - Accent4 2 2 2 2 6" xfId="3871" xr:uid="{00000000-0005-0000-0000-0000EF3B0000}"/>
    <cellStyle name="40% - Accent4 2 2 2 2 6 2" xfId="13909" xr:uid="{00000000-0005-0000-0000-0000F03B0000}"/>
    <cellStyle name="40% - Accent4 2 2 2 2 6 2 2" xfId="27458" xr:uid="{00000000-0005-0000-0000-0000F13B0000}"/>
    <cellStyle name="40% - Accent4 2 2 2 2 6 3" xfId="21197" xr:uid="{00000000-0005-0000-0000-0000F23B0000}"/>
    <cellStyle name="40% - Accent4 2 2 2 2 7" xfId="3872" xr:uid="{00000000-0005-0000-0000-0000F33B0000}"/>
    <cellStyle name="40% - Accent4 2 2 2 2 7 2" xfId="14490" xr:uid="{00000000-0005-0000-0000-0000F43B0000}"/>
    <cellStyle name="40% - Accent4 2 2 2 2 7 2 2" xfId="28039" xr:uid="{00000000-0005-0000-0000-0000F53B0000}"/>
    <cellStyle name="40% - Accent4 2 2 2 2 7 3" xfId="21198" xr:uid="{00000000-0005-0000-0000-0000F63B0000}"/>
    <cellStyle name="40% - Accent4 2 2 2 2 8" xfId="3873" xr:uid="{00000000-0005-0000-0000-0000F73B0000}"/>
    <cellStyle name="40% - Accent4 2 2 2 2 8 2" xfId="15277" xr:uid="{00000000-0005-0000-0000-0000F83B0000}"/>
    <cellStyle name="40% - Accent4 2 2 2 2 8 2 2" xfId="28826" xr:uid="{00000000-0005-0000-0000-0000F93B0000}"/>
    <cellStyle name="40% - Accent4 2 2 2 2 8 3" xfId="21199" xr:uid="{00000000-0005-0000-0000-0000FA3B0000}"/>
    <cellStyle name="40% - Accent4 2 2 2 2 9" xfId="3874" xr:uid="{00000000-0005-0000-0000-0000FB3B0000}"/>
    <cellStyle name="40% - Accent4 2 2 2 2 9 2" xfId="16376" xr:uid="{00000000-0005-0000-0000-0000FC3B0000}"/>
    <cellStyle name="40% - Accent4 2 2 2 2 9 2 2" xfId="29783" xr:uid="{00000000-0005-0000-0000-0000FD3B0000}"/>
    <cellStyle name="40% - Accent4 2 2 2 2 9 3" xfId="21200" xr:uid="{00000000-0005-0000-0000-0000FE3B0000}"/>
    <cellStyle name="40% - Accent4 2 2 2 3" xfId="3875" xr:uid="{00000000-0005-0000-0000-0000FF3B0000}"/>
    <cellStyle name="40% - Accent4 2 2 2 3 2" xfId="3876" xr:uid="{00000000-0005-0000-0000-0000003C0000}"/>
    <cellStyle name="40% - Accent4 2 2 2 3 2 2" xfId="11096" xr:uid="{00000000-0005-0000-0000-0000013C0000}"/>
    <cellStyle name="40% - Accent4 2 2 2 3 2 2 2" xfId="25038" xr:uid="{00000000-0005-0000-0000-0000023C0000}"/>
    <cellStyle name="40% - Accent4 2 2 2 3 2 3" xfId="21202" xr:uid="{00000000-0005-0000-0000-0000033C0000}"/>
    <cellStyle name="40% - Accent4 2 2 2 3 3" xfId="3877" xr:uid="{00000000-0005-0000-0000-0000043C0000}"/>
    <cellStyle name="40% - Accent4 2 2 2 3 3 2" xfId="12871" xr:uid="{00000000-0005-0000-0000-0000053C0000}"/>
    <cellStyle name="40% - Accent4 2 2 2 3 3 2 2" xfId="26583" xr:uid="{00000000-0005-0000-0000-0000063C0000}"/>
    <cellStyle name="40% - Accent4 2 2 2 3 3 3" xfId="21203" xr:uid="{00000000-0005-0000-0000-0000073C0000}"/>
    <cellStyle name="40% - Accent4 2 2 2 3 4" xfId="3878" xr:uid="{00000000-0005-0000-0000-0000083C0000}"/>
    <cellStyle name="40% - Accent4 2 2 2 3 4 2" xfId="15280" xr:uid="{00000000-0005-0000-0000-0000093C0000}"/>
    <cellStyle name="40% - Accent4 2 2 2 3 4 2 2" xfId="28829" xr:uid="{00000000-0005-0000-0000-00000A3C0000}"/>
    <cellStyle name="40% - Accent4 2 2 2 3 4 3" xfId="21204" xr:uid="{00000000-0005-0000-0000-00000B3C0000}"/>
    <cellStyle name="40% - Accent4 2 2 2 3 5" xfId="3879" xr:uid="{00000000-0005-0000-0000-00000C3C0000}"/>
    <cellStyle name="40% - Accent4 2 2 2 3 5 2" xfId="16668" xr:uid="{00000000-0005-0000-0000-00000D3C0000}"/>
    <cellStyle name="40% - Accent4 2 2 2 3 5 2 2" xfId="30075" xr:uid="{00000000-0005-0000-0000-00000E3C0000}"/>
    <cellStyle name="40% - Accent4 2 2 2 3 5 3" xfId="21205" xr:uid="{00000000-0005-0000-0000-00000F3C0000}"/>
    <cellStyle name="40% - Accent4 2 2 2 3 6" xfId="9369" xr:uid="{00000000-0005-0000-0000-0000103C0000}"/>
    <cellStyle name="40% - Accent4 2 2 2 3 6 2" xfId="23844" xr:uid="{00000000-0005-0000-0000-0000113C0000}"/>
    <cellStyle name="40% - Accent4 2 2 2 3 7" xfId="21201" xr:uid="{00000000-0005-0000-0000-0000123C0000}"/>
    <cellStyle name="40% - Accent4 2 2 2 4" xfId="3880" xr:uid="{00000000-0005-0000-0000-0000133C0000}"/>
    <cellStyle name="40% - Accent4 2 2 2 4 2" xfId="3881" xr:uid="{00000000-0005-0000-0000-0000143C0000}"/>
    <cellStyle name="40% - Accent4 2 2 2 4 2 2" xfId="15281" xr:uid="{00000000-0005-0000-0000-0000153C0000}"/>
    <cellStyle name="40% - Accent4 2 2 2 4 2 2 2" xfId="28830" xr:uid="{00000000-0005-0000-0000-0000163C0000}"/>
    <cellStyle name="40% - Accent4 2 2 2 4 2 3" xfId="21207" xr:uid="{00000000-0005-0000-0000-0000173C0000}"/>
    <cellStyle name="40% - Accent4 2 2 2 4 3" xfId="11093" xr:uid="{00000000-0005-0000-0000-0000183C0000}"/>
    <cellStyle name="40% - Accent4 2 2 2 4 3 2" xfId="25035" xr:uid="{00000000-0005-0000-0000-0000193C0000}"/>
    <cellStyle name="40% - Accent4 2 2 2 4 4" xfId="21206" xr:uid="{00000000-0005-0000-0000-00001A3C0000}"/>
    <cellStyle name="40% - Accent4 2 2 2 5" xfId="3882" xr:uid="{00000000-0005-0000-0000-00001B3C0000}"/>
    <cellStyle name="40% - Accent4 2 2 2 5 2" xfId="12045" xr:uid="{00000000-0005-0000-0000-00001C3C0000}"/>
    <cellStyle name="40% - Accent4 2 2 2 5 2 2" xfId="25760" xr:uid="{00000000-0005-0000-0000-00001D3C0000}"/>
    <cellStyle name="40% - Accent4 2 2 2 5 3" xfId="21208" xr:uid="{00000000-0005-0000-0000-00001E3C0000}"/>
    <cellStyle name="40% - Accent4 2 2 2 6" xfId="3883" xr:uid="{00000000-0005-0000-0000-00001F3C0000}"/>
    <cellStyle name="40% - Accent4 2 2 2 6 2" xfId="12868" xr:uid="{00000000-0005-0000-0000-0000203C0000}"/>
    <cellStyle name="40% - Accent4 2 2 2 6 2 2" xfId="26580" xr:uid="{00000000-0005-0000-0000-0000213C0000}"/>
    <cellStyle name="40% - Accent4 2 2 2 6 3" xfId="21209" xr:uid="{00000000-0005-0000-0000-0000223C0000}"/>
    <cellStyle name="40% - Accent4 2 2 2 7" xfId="3884" xr:uid="{00000000-0005-0000-0000-0000233C0000}"/>
    <cellStyle name="40% - Accent4 2 2 2 7 2" xfId="13620" xr:uid="{00000000-0005-0000-0000-0000243C0000}"/>
    <cellStyle name="40% - Accent4 2 2 2 7 2 2" xfId="27169" xr:uid="{00000000-0005-0000-0000-0000253C0000}"/>
    <cellStyle name="40% - Accent4 2 2 2 7 3" xfId="21210" xr:uid="{00000000-0005-0000-0000-0000263C0000}"/>
    <cellStyle name="40% - Accent4 2 2 2 8" xfId="3885" xr:uid="{00000000-0005-0000-0000-0000273C0000}"/>
    <cellStyle name="40% - Accent4 2 2 2 8 2" xfId="14201" xr:uid="{00000000-0005-0000-0000-0000283C0000}"/>
    <cellStyle name="40% - Accent4 2 2 2 8 2 2" xfId="27750" xr:uid="{00000000-0005-0000-0000-0000293C0000}"/>
    <cellStyle name="40% - Accent4 2 2 2 8 3" xfId="21211" xr:uid="{00000000-0005-0000-0000-00002A3C0000}"/>
    <cellStyle name="40% - Accent4 2 2 2 9" xfId="3886" xr:uid="{00000000-0005-0000-0000-00002B3C0000}"/>
    <cellStyle name="40% - Accent4 2 2 2 9 2" xfId="15276" xr:uid="{00000000-0005-0000-0000-00002C3C0000}"/>
    <cellStyle name="40% - Accent4 2 2 2 9 2 2" xfId="28825" xr:uid="{00000000-0005-0000-0000-00002D3C0000}"/>
    <cellStyle name="40% - Accent4 2 2 2 9 3" xfId="21212" xr:uid="{00000000-0005-0000-0000-00002E3C0000}"/>
    <cellStyle name="40% - Accent4 2 2 3" xfId="3887" xr:uid="{00000000-0005-0000-0000-00002F3C0000}"/>
    <cellStyle name="40% - Accent4 2 2 3 10" xfId="9370" xr:uid="{00000000-0005-0000-0000-0000303C0000}"/>
    <cellStyle name="40% - Accent4 2 2 3 10 2" xfId="23845" xr:uid="{00000000-0005-0000-0000-0000313C0000}"/>
    <cellStyle name="40% - Accent4 2 2 3 11" xfId="21213" xr:uid="{00000000-0005-0000-0000-0000323C0000}"/>
    <cellStyle name="40% - Accent4 2 2 3 2" xfId="3888" xr:uid="{00000000-0005-0000-0000-0000333C0000}"/>
    <cellStyle name="40% - Accent4 2 2 3 2 2" xfId="3889" xr:uid="{00000000-0005-0000-0000-0000343C0000}"/>
    <cellStyle name="40% - Accent4 2 2 3 2 2 2" xfId="11098" xr:uid="{00000000-0005-0000-0000-0000353C0000}"/>
    <cellStyle name="40% - Accent4 2 2 3 2 2 2 2" xfId="25040" xr:uid="{00000000-0005-0000-0000-0000363C0000}"/>
    <cellStyle name="40% - Accent4 2 2 3 2 2 3" xfId="21215" xr:uid="{00000000-0005-0000-0000-0000373C0000}"/>
    <cellStyle name="40% - Accent4 2 2 3 2 3" xfId="3890" xr:uid="{00000000-0005-0000-0000-0000383C0000}"/>
    <cellStyle name="40% - Accent4 2 2 3 2 3 2" xfId="12873" xr:uid="{00000000-0005-0000-0000-0000393C0000}"/>
    <cellStyle name="40% - Accent4 2 2 3 2 3 2 2" xfId="26585" xr:uid="{00000000-0005-0000-0000-00003A3C0000}"/>
    <cellStyle name="40% - Accent4 2 2 3 2 3 3" xfId="21216" xr:uid="{00000000-0005-0000-0000-00003B3C0000}"/>
    <cellStyle name="40% - Accent4 2 2 3 2 4" xfId="3891" xr:uid="{00000000-0005-0000-0000-00003C3C0000}"/>
    <cellStyle name="40% - Accent4 2 2 3 2 4 2" xfId="15283" xr:uid="{00000000-0005-0000-0000-00003D3C0000}"/>
    <cellStyle name="40% - Accent4 2 2 3 2 4 2 2" xfId="28832" xr:uid="{00000000-0005-0000-0000-00003E3C0000}"/>
    <cellStyle name="40% - Accent4 2 2 3 2 4 3" xfId="21217" xr:uid="{00000000-0005-0000-0000-00003F3C0000}"/>
    <cellStyle name="40% - Accent4 2 2 3 2 5" xfId="3892" xr:uid="{00000000-0005-0000-0000-0000403C0000}"/>
    <cellStyle name="40% - Accent4 2 2 3 2 5 2" xfId="16814" xr:uid="{00000000-0005-0000-0000-0000413C0000}"/>
    <cellStyle name="40% - Accent4 2 2 3 2 5 2 2" xfId="30221" xr:uid="{00000000-0005-0000-0000-0000423C0000}"/>
    <cellStyle name="40% - Accent4 2 2 3 2 5 3" xfId="21218" xr:uid="{00000000-0005-0000-0000-0000433C0000}"/>
    <cellStyle name="40% - Accent4 2 2 3 2 6" xfId="9371" xr:uid="{00000000-0005-0000-0000-0000443C0000}"/>
    <cellStyle name="40% - Accent4 2 2 3 2 6 2" xfId="23846" xr:uid="{00000000-0005-0000-0000-0000453C0000}"/>
    <cellStyle name="40% - Accent4 2 2 3 2 7" xfId="21214" xr:uid="{00000000-0005-0000-0000-0000463C0000}"/>
    <cellStyle name="40% - Accent4 2 2 3 3" xfId="3893" xr:uid="{00000000-0005-0000-0000-0000473C0000}"/>
    <cellStyle name="40% - Accent4 2 2 3 3 2" xfId="3894" xr:uid="{00000000-0005-0000-0000-0000483C0000}"/>
    <cellStyle name="40% - Accent4 2 2 3 3 2 2" xfId="15284" xr:uid="{00000000-0005-0000-0000-0000493C0000}"/>
    <cellStyle name="40% - Accent4 2 2 3 3 2 2 2" xfId="28833" xr:uid="{00000000-0005-0000-0000-00004A3C0000}"/>
    <cellStyle name="40% - Accent4 2 2 3 3 2 3" xfId="21220" xr:uid="{00000000-0005-0000-0000-00004B3C0000}"/>
    <cellStyle name="40% - Accent4 2 2 3 3 3" xfId="11097" xr:uid="{00000000-0005-0000-0000-00004C3C0000}"/>
    <cellStyle name="40% - Accent4 2 2 3 3 3 2" xfId="25039" xr:uid="{00000000-0005-0000-0000-00004D3C0000}"/>
    <cellStyle name="40% - Accent4 2 2 3 3 4" xfId="21219" xr:uid="{00000000-0005-0000-0000-00004E3C0000}"/>
    <cellStyle name="40% - Accent4 2 2 3 4" xfId="3895" xr:uid="{00000000-0005-0000-0000-00004F3C0000}"/>
    <cellStyle name="40% - Accent4 2 2 3 4 2" xfId="12202" xr:uid="{00000000-0005-0000-0000-0000503C0000}"/>
    <cellStyle name="40% - Accent4 2 2 3 4 2 2" xfId="25914" xr:uid="{00000000-0005-0000-0000-0000513C0000}"/>
    <cellStyle name="40% - Accent4 2 2 3 4 3" xfId="21221" xr:uid="{00000000-0005-0000-0000-0000523C0000}"/>
    <cellStyle name="40% - Accent4 2 2 3 5" xfId="3896" xr:uid="{00000000-0005-0000-0000-0000533C0000}"/>
    <cellStyle name="40% - Accent4 2 2 3 5 2" xfId="12872" xr:uid="{00000000-0005-0000-0000-0000543C0000}"/>
    <cellStyle name="40% - Accent4 2 2 3 5 2 2" xfId="26584" xr:uid="{00000000-0005-0000-0000-0000553C0000}"/>
    <cellStyle name="40% - Accent4 2 2 3 5 3" xfId="21222" xr:uid="{00000000-0005-0000-0000-0000563C0000}"/>
    <cellStyle name="40% - Accent4 2 2 3 6" xfId="3897" xr:uid="{00000000-0005-0000-0000-0000573C0000}"/>
    <cellStyle name="40% - Accent4 2 2 3 6 2" xfId="13766" xr:uid="{00000000-0005-0000-0000-0000583C0000}"/>
    <cellStyle name="40% - Accent4 2 2 3 6 2 2" xfId="27315" xr:uid="{00000000-0005-0000-0000-0000593C0000}"/>
    <cellStyle name="40% - Accent4 2 2 3 6 3" xfId="21223" xr:uid="{00000000-0005-0000-0000-00005A3C0000}"/>
    <cellStyle name="40% - Accent4 2 2 3 7" xfId="3898" xr:uid="{00000000-0005-0000-0000-00005B3C0000}"/>
    <cellStyle name="40% - Accent4 2 2 3 7 2" xfId="14347" xr:uid="{00000000-0005-0000-0000-00005C3C0000}"/>
    <cellStyle name="40% - Accent4 2 2 3 7 2 2" xfId="27896" xr:uid="{00000000-0005-0000-0000-00005D3C0000}"/>
    <cellStyle name="40% - Accent4 2 2 3 7 3" xfId="21224" xr:uid="{00000000-0005-0000-0000-00005E3C0000}"/>
    <cellStyle name="40% - Accent4 2 2 3 8" xfId="3899" xr:uid="{00000000-0005-0000-0000-00005F3C0000}"/>
    <cellStyle name="40% - Accent4 2 2 3 8 2" xfId="15282" xr:uid="{00000000-0005-0000-0000-0000603C0000}"/>
    <cellStyle name="40% - Accent4 2 2 3 8 2 2" xfId="28831" xr:uid="{00000000-0005-0000-0000-0000613C0000}"/>
    <cellStyle name="40% - Accent4 2 2 3 8 3" xfId="21225" xr:uid="{00000000-0005-0000-0000-0000623C0000}"/>
    <cellStyle name="40% - Accent4 2 2 3 9" xfId="3900" xr:uid="{00000000-0005-0000-0000-0000633C0000}"/>
    <cellStyle name="40% - Accent4 2 2 3 9 2" xfId="16233" xr:uid="{00000000-0005-0000-0000-0000643C0000}"/>
    <cellStyle name="40% - Accent4 2 2 3 9 2 2" xfId="29640" xr:uid="{00000000-0005-0000-0000-0000653C0000}"/>
    <cellStyle name="40% - Accent4 2 2 3 9 3" xfId="21226" xr:uid="{00000000-0005-0000-0000-0000663C0000}"/>
    <cellStyle name="40% - Accent4 2 2 4" xfId="3901" xr:uid="{00000000-0005-0000-0000-0000673C0000}"/>
    <cellStyle name="40% - Accent4 2 2 4 2" xfId="3902" xr:uid="{00000000-0005-0000-0000-0000683C0000}"/>
    <cellStyle name="40% - Accent4 2 2 4 2 2" xfId="11099" xr:uid="{00000000-0005-0000-0000-0000693C0000}"/>
    <cellStyle name="40% - Accent4 2 2 4 2 2 2" xfId="25041" xr:uid="{00000000-0005-0000-0000-00006A3C0000}"/>
    <cellStyle name="40% - Accent4 2 2 4 2 3" xfId="21228" xr:uid="{00000000-0005-0000-0000-00006B3C0000}"/>
    <cellStyle name="40% - Accent4 2 2 4 3" xfId="3903" xr:uid="{00000000-0005-0000-0000-00006C3C0000}"/>
    <cellStyle name="40% - Accent4 2 2 4 3 2" xfId="12874" xr:uid="{00000000-0005-0000-0000-00006D3C0000}"/>
    <cellStyle name="40% - Accent4 2 2 4 3 2 2" xfId="26586" xr:uid="{00000000-0005-0000-0000-00006E3C0000}"/>
    <cellStyle name="40% - Accent4 2 2 4 3 3" xfId="21229" xr:uid="{00000000-0005-0000-0000-00006F3C0000}"/>
    <cellStyle name="40% - Accent4 2 2 4 4" xfId="3904" xr:uid="{00000000-0005-0000-0000-0000703C0000}"/>
    <cellStyle name="40% - Accent4 2 2 4 4 2" xfId="15285" xr:uid="{00000000-0005-0000-0000-0000713C0000}"/>
    <cellStyle name="40% - Accent4 2 2 4 4 2 2" xfId="28834" xr:uid="{00000000-0005-0000-0000-0000723C0000}"/>
    <cellStyle name="40% - Accent4 2 2 4 4 3" xfId="21230" xr:uid="{00000000-0005-0000-0000-0000733C0000}"/>
    <cellStyle name="40% - Accent4 2 2 4 5" xfId="3905" xr:uid="{00000000-0005-0000-0000-0000743C0000}"/>
    <cellStyle name="40% - Accent4 2 2 4 5 2" xfId="17161" xr:uid="{00000000-0005-0000-0000-0000753C0000}"/>
    <cellStyle name="40% - Accent4 2 2 4 5 2 2" xfId="30520" xr:uid="{00000000-0005-0000-0000-0000763C0000}"/>
    <cellStyle name="40% - Accent4 2 2 4 5 3" xfId="21231" xr:uid="{00000000-0005-0000-0000-0000773C0000}"/>
    <cellStyle name="40% - Accent4 2 2 4 6" xfId="9372" xr:uid="{00000000-0005-0000-0000-0000783C0000}"/>
    <cellStyle name="40% - Accent4 2 2 4 6 2" xfId="23847" xr:uid="{00000000-0005-0000-0000-0000793C0000}"/>
    <cellStyle name="40% - Accent4 2 2 4 7" xfId="21227" xr:uid="{00000000-0005-0000-0000-00007A3C0000}"/>
    <cellStyle name="40% - Accent4 2 2 5" xfId="3906" xr:uid="{00000000-0005-0000-0000-00007B3C0000}"/>
    <cellStyle name="40% - Accent4 2 2 5 2" xfId="3907" xr:uid="{00000000-0005-0000-0000-00007C3C0000}"/>
    <cellStyle name="40% - Accent4 2 2 5 2 2" xfId="15286" xr:uid="{00000000-0005-0000-0000-00007D3C0000}"/>
    <cellStyle name="40% - Accent4 2 2 5 2 2 2" xfId="28835" xr:uid="{00000000-0005-0000-0000-00007E3C0000}"/>
    <cellStyle name="40% - Accent4 2 2 5 2 3" xfId="21233" xr:uid="{00000000-0005-0000-0000-00007F3C0000}"/>
    <cellStyle name="40% - Accent4 2 2 5 3" xfId="3908" xr:uid="{00000000-0005-0000-0000-0000803C0000}"/>
    <cellStyle name="40% - Accent4 2 2 5 3 2" xfId="17250" xr:uid="{00000000-0005-0000-0000-0000813C0000}"/>
    <cellStyle name="40% - Accent4 2 2 5 3 2 2" xfId="30609" xr:uid="{00000000-0005-0000-0000-0000823C0000}"/>
    <cellStyle name="40% - Accent4 2 2 5 3 3" xfId="21234" xr:uid="{00000000-0005-0000-0000-0000833C0000}"/>
    <cellStyle name="40% - Accent4 2 2 5 4" xfId="11092" xr:uid="{00000000-0005-0000-0000-0000843C0000}"/>
    <cellStyle name="40% - Accent4 2 2 5 4 2" xfId="25034" xr:uid="{00000000-0005-0000-0000-0000853C0000}"/>
    <cellStyle name="40% - Accent4 2 2 5 5" xfId="21232" xr:uid="{00000000-0005-0000-0000-0000863C0000}"/>
    <cellStyle name="40% - Accent4 2 2 6" xfId="3909" xr:uid="{00000000-0005-0000-0000-0000873C0000}"/>
    <cellStyle name="40% - Accent4 2 2 6 2" xfId="3910" xr:uid="{00000000-0005-0000-0000-0000883C0000}"/>
    <cellStyle name="40% - Accent4 2 2 6 2 2" xfId="16525" xr:uid="{00000000-0005-0000-0000-0000893C0000}"/>
    <cellStyle name="40% - Accent4 2 2 6 2 2 2" xfId="29932" xr:uid="{00000000-0005-0000-0000-00008A3C0000}"/>
    <cellStyle name="40% - Accent4 2 2 6 2 3" xfId="21236" xr:uid="{00000000-0005-0000-0000-00008B3C0000}"/>
    <cellStyle name="40% - Accent4 2 2 6 3" xfId="11900" xr:uid="{00000000-0005-0000-0000-00008C3C0000}"/>
    <cellStyle name="40% - Accent4 2 2 6 3 2" xfId="25615" xr:uid="{00000000-0005-0000-0000-00008D3C0000}"/>
    <cellStyle name="40% - Accent4 2 2 6 4" xfId="21235" xr:uid="{00000000-0005-0000-0000-00008E3C0000}"/>
    <cellStyle name="40% - Accent4 2 2 7" xfId="3911" xr:uid="{00000000-0005-0000-0000-00008F3C0000}"/>
    <cellStyle name="40% - Accent4 2 2 7 2" xfId="12867" xr:uid="{00000000-0005-0000-0000-0000903C0000}"/>
    <cellStyle name="40% - Accent4 2 2 7 2 2" xfId="26579" xr:uid="{00000000-0005-0000-0000-0000913C0000}"/>
    <cellStyle name="40% - Accent4 2 2 7 3" xfId="21237" xr:uid="{00000000-0005-0000-0000-0000923C0000}"/>
    <cellStyle name="40% - Accent4 2 2 8" xfId="3912" xr:uid="{00000000-0005-0000-0000-0000933C0000}"/>
    <cellStyle name="40% - Accent4 2 2 8 2" xfId="13477" xr:uid="{00000000-0005-0000-0000-0000943C0000}"/>
    <cellStyle name="40% - Accent4 2 2 8 2 2" xfId="27026" xr:uid="{00000000-0005-0000-0000-0000953C0000}"/>
    <cellStyle name="40% - Accent4 2 2 8 3" xfId="21238" xr:uid="{00000000-0005-0000-0000-0000963C0000}"/>
    <cellStyle name="40% - Accent4 2 2 9" xfId="3913" xr:uid="{00000000-0005-0000-0000-0000973C0000}"/>
    <cellStyle name="40% - Accent4 2 2 9 2" xfId="14058" xr:uid="{00000000-0005-0000-0000-0000983C0000}"/>
    <cellStyle name="40% - Accent4 2 2 9 2 2" xfId="27607" xr:uid="{00000000-0005-0000-0000-0000993C0000}"/>
    <cellStyle name="40% - Accent4 2 2 9 3" xfId="21239" xr:uid="{00000000-0005-0000-0000-00009A3C0000}"/>
    <cellStyle name="40% - Accent4 2 3" xfId="3914" xr:uid="{00000000-0005-0000-0000-00009B3C0000}"/>
    <cellStyle name="40% - Accent4 2 3 10" xfId="3915" xr:uid="{00000000-0005-0000-0000-00009C3C0000}"/>
    <cellStyle name="40% - Accent4 2 3 10 2" xfId="16041" xr:uid="{00000000-0005-0000-0000-00009D3C0000}"/>
    <cellStyle name="40% - Accent4 2 3 10 2 2" xfId="29448" xr:uid="{00000000-0005-0000-0000-00009E3C0000}"/>
    <cellStyle name="40% - Accent4 2 3 10 3" xfId="21241" xr:uid="{00000000-0005-0000-0000-00009F3C0000}"/>
    <cellStyle name="40% - Accent4 2 3 11" xfId="9373" xr:uid="{00000000-0005-0000-0000-0000A03C0000}"/>
    <cellStyle name="40% - Accent4 2 3 11 2" xfId="23848" xr:uid="{00000000-0005-0000-0000-0000A13C0000}"/>
    <cellStyle name="40% - Accent4 2 3 12" xfId="21240" xr:uid="{00000000-0005-0000-0000-0000A23C0000}"/>
    <cellStyle name="40% - Accent4 2 3 2" xfId="3916" xr:uid="{00000000-0005-0000-0000-0000A33C0000}"/>
    <cellStyle name="40% - Accent4 2 3 2 10" xfId="9374" xr:uid="{00000000-0005-0000-0000-0000A43C0000}"/>
    <cellStyle name="40% - Accent4 2 3 2 10 2" xfId="23849" xr:uid="{00000000-0005-0000-0000-0000A53C0000}"/>
    <cellStyle name="40% - Accent4 2 3 2 11" xfId="21242" xr:uid="{00000000-0005-0000-0000-0000A63C0000}"/>
    <cellStyle name="40% - Accent4 2 3 2 2" xfId="3917" xr:uid="{00000000-0005-0000-0000-0000A73C0000}"/>
    <cellStyle name="40% - Accent4 2 3 2 2 2" xfId="3918" xr:uid="{00000000-0005-0000-0000-0000A83C0000}"/>
    <cellStyle name="40% - Accent4 2 3 2 2 2 2" xfId="11102" xr:uid="{00000000-0005-0000-0000-0000A93C0000}"/>
    <cellStyle name="40% - Accent4 2 3 2 2 2 2 2" xfId="25044" xr:uid="{00000000-0005-0000-0000-0000AA3C0000}"/>
    <cellStyle name="40% - Accent4 2 3 2 2 2 3" xfId="21244" xr:uid="{00000000-0005-0000-0000-0000AB3C0000}"/>
    <cellStyle name="40% - Accent4 2 3 2 2 3" xfId="3919" xr:uid="{00000000-0005-0000-0000-0000AC3C0000}"/>
    <cellStyle name="40% - Accent4 2 3 2 2 3 2" xfId="12877" xr:uid="{00000000-0005-0000-0000-0000AD3C0000}"/>
    <cellStyle name="40% - Accent4 2 3 2 2 3 2 2" xfId="26589" xr:uid="{00000000-0005-0000-0000-0000AE3C0000}"/>
    <cellStyle name="40% - Accent4 2 3 2 2 3 3" xfId="21245" xr:uid="{00000000-0005-0000-0000-0000AF3C0000}"/>
    <cellStyle name="40% - Accent4 2 3 2 2 4" xfId="3920" xr:uid="{00000000-0005-0000-0000-0000B03C0000}"/>
    <cellStyle name="40% - Accent4 2 3 2 2 4 2" xfId="15289" xr:uid="{00000000-0005-0000-0000-0000B13C0000}"/>
    <cellStyle name="40% - Accent4 2 3 2 2 4 2 2" xfId="28838" xr:uid="{00000000-0005-0000-0000-0000B23C0000}"/>
    <cellStyle name="40% - Accent4 2 3 2 2 4 3" xfId="21246" xr:uid="{00000000-0005-0000-0000-0000B33C0000}"/>
    <cellStyle name="40% - Accent4 2 3 2 2 5" xfId="3921" xr:uid="{00000000-0005-0000-0000-0000B43C0000}"/>
    <cellStyle name="40% - Accent4 2 3 2 2 5 2" xfId="16911" xr:uid="{00000000-0005-0000-0000-0000B53C0000}"/>
    <cellStyle name="40% - Accent4 2 3 2 2 5 2 2" xfId="30318" xr:uid="{00000000-0005-0000-0000-0000B63C0000}"/>
    <cellStyle name="40% - Accent4 2 3 2 2 5 3" xfId="21247" xr:uid="{00000000-0005-0000-0000-0000B73C0000}"/>
    <cellStyle name="40% - Accent4 2 3 2 2 6" xfId="9375" xr:uid="{00000000-0005-0000-0000-0000B83C0000}"/>
    <cellStyle name="40% - Accent4 2 3 2 2 6 2" xfId="23850" xr:uid="{00000000-0005-0000-0000-0000B93C0000}"/>
    <cellStyle name="40% - Accent4 2 3 2 2 7" xfId="21243" xr:uid="{00000000-0005-0000-0000-0000BA3C0000}"/>
    <cellStyle name="40% - Accent4 2 3 2 3" xfId="3922" xr:uid="{00000000-0005-0000-0000-0000BB3C0000}"/>
    <cellStyle name="40% - Accent4 2 3 2 3 2" xfId="3923" xr:uid="{00000000-0005-0000-0000-0000BC3C0000}"/>
    <cellStyle name="40% - Accent4 2 3 2 3 2 2" xfId="15290" xr:uid="{00000000-0005-0000-0000-0000BD3C0000}"/>
    <cellStyle name="40% - Accent4 2 3 2 3 2 2 2" xfId="28839" xr:uid="{00000000-0005-0000-0000-0000BE3C0000}"/>
    <cellStyle name="40% - Accent4 2 3 2 3 2 3" xfId="21249" xr:uid="{00000000-0005-0000-0000-0000BF3C0000}"/>
    <cellStyle name="40% - Accent4 2 3 2 3 3" xfId="11101" xr:uid="{00000000-0005-0000-0000-0000C03C0000}"/>
    <cellStyle name="40% - Accent4 2 3 2 3 3 2" xfId="25043" xr:uid="{00000000-0005-0000-0000-0000C13C0000}"/>
    <cellStyle name="40% - Accent4 2 3 2 3 4" xfId="21248" xr:uid="{00000000-0005-0000-0000-0000C23C0000}"/>
    <cellStyle name="40% - Accent4 2 3 2 4" xfId="3924" xr:uid="{00000000-0005-0000-0000-0000C33C0000}"/>
    <cellStyle name="40% - Accent4 2 3 2 4 2" xfId="12299" xr:uid="{00000000-0005-0000-0000-0000C43C0000}"/>
    <cellStyle name="40% - Accent4 2 3 2 4 2 2" xfId="26011" xr:uid="{00000000-0005-0000-0000-0000C53C0000}"/>
    <cellStyle name="40% - Accent4 2 3 2 4 3" xfId="21250" xr:uid="{00000000-0005-0000-0000-0000C63C0000}"/>
    <cellStyle name="40% - Accent4 2 3 2 5" xfId="3925" xr:uid="{00000000-0005-0000-0000-0000C73C0000}"/>
    <cellStyle name="40% - Accent4 2 3 2 5 2" xfId="12876" xr:uid="{00000000-0005-0000-0000-0000C83C0000}"/>
    <cellStyle name="40% - Accent4 2 3 2 5 2 2" xfId="26588" xr:uid="{00000000-0005-0000-0000-0000C93C0000}"/>
    <cellStyle name="40% - Accent4 2 3 2 5 3" xfId="21251" xr:uid="{00000000-0005-0000-0000-0000CA3C0000}"/>
    <cellStyle name="40% - Accent4 2 3 2 6" xfId="3926" xr:uid="{00000000-0005-0000-0000-0000CB3C0000}"/>
    <cellStyle name="40% - Accent4 2 3 2 6 2" xfId="13863" xr:uid="{00000000-0005-0000-0000-0000CC3C0000}"/>
    <cellStyle name="40% - Accent4 2 3 2 6 2 2" xfId="27412" xr:uid="{00000000-0005-0000-0000-0000CD3C0000}"/>
    <cellStyle name="40% - Accent4 2 3 2 6 3" xfId="21252" xr:uid="{00000000-0005-0000-0000-0000CE3C0000}"/>
    <cellStyle name="40% - Accent4 2 3 2 7" xfId="3927" xr:uid="{00000000-0005-0000-0000-0000CF3C0000}"/>
    <cellStyle name="40% - Accent4 2 3 2 7 2" xfId="14444" xr:uid="{00000000-0005-0000-0000-0000D03C0000}"/>
    <cellStyle name="40% - Accent4 2 3 2 7 2 2" xfId="27993" xr:uid="{00000000-0005-0000-0000-0000D13C0000}"/>
    <cellStyle name="40% - Accent4 2 3 2 7 3" xfId="21253" xr:uid="{00000000-0005-0000-0000-0000D23C0000}"/>
    <cellStyle name="40% - Accent4 2 3 2 8" xfId="3928" xr:uid="{00000000-0005-0000-0000-0000D33C0000}"/>
    <cellStyle name="40% - Accent4 2 3 2 8 2" xfId="15288" xr:uid="{00000000-0005-0000-0000-0000D43C0000}"/>
    <cellStyle name="40% - Accent4 2 3 2 8 2 2" xfId="28837" xr:uid="{00000000-0005-0000-0000-0000D53C0000}"/>
    <cellStyle name="40% - Accent4 2 3 2 8 3" xfId="21254" xr:uid="{00000000-0005-0000-0000-0000D63C0000}"/>
    <cellStyle name="40% - Accent4 2 3 2 9" xfId="3929" xr:uid="{00000000-0005-0000-0000-0000D73C0000}"/>
    <cellStyle name="40% - Accent4 2 3 2 9 2" xfId="16330" xr:uid="{00000000-0005-0000-0000-0000D83C0000}"/>
    <cellStyle name="40% - Accent4 2 3 2 9 2 2" xfId="29737" xr:uid="{00000000-0005-0000-0000-0000D93C0000}"/>
    <cellStyle name="40% - Accent4 2 3 2 9 3" xfId="21255" xr:uid="{00000000-0005-0000-0000-0000DA3C0000}"/>
    <cellStyle name="40% - Accent4 2 3 3" xfId="3930" xr:uid="{00000000-0005-0000-0000-0000DB3C0000}"/>
    <cellStyle name="40% - Accent4 2 3 3 2" xfId="3931" xr:uid="{00000000-0005-0000-0000-0000DC3C0000}"/>
    <cellStyle name="40% - Accent4 2 3 3 2 2" xfId="11103" xr:uid="{00000000-0005-0000-0000-0000DD3C0000}"/>
    <cellStyle name="40% - Accent4 2 3 3 2 2 2" xfId="25045" xr:uid="{00000000-0005-0000-0000-0000DE3C0000}"/>
    <cellStyle name="40% - Accent4 2 3 3 2 3" xfId="21257" xr:uid="{00000000-0005-0000-0000-0000DF3C0000}"/>
    <cellStyle name="40% - Accent4 2 3 3 3" xfId="3932" xr:uid="{00000000-0005-0000-0000-0000E03C0000}"/>
    <cellStyle name="40% - Accent4 2 3 3 3 2" xfId="12878" xr:uid="{00000000-0005-0000-0000-0000E13C0000}"/>
    <cellStyle name="40% - Accent4 2 3 3 3 2 2" xfId="26590" xr:uid="{00000000-0005-0000-0000-0000E23C0000}"/>
    <cellStyle name="40% - Accent4 2 3 3 3 3" xfId="21258" xr:uid="{00000000-0005-0000-0000-0000E33C0000}"/>
    <cellStyle name="40% - Accent4 2 3 3 4" xfId="3933" xr:uid="{00000000-0005-0000-0000-0000E43C0000}"/>
    <cellStyle name="40% - Accent4 2 3 3 4 2" xfId="15291" xr:uid="{00000000-0005-0000-0000-0000E53C0000}"/>
    <cellStyle name="40% - Accent4 2 3 3 4 2 2" xfId="28840" xr:uid="{00000000-0005-0000-0000-0000E63C0000}"/>
    <cellStyle name="40% - Accent4 2 3 3 4 3" xfId="21259" xr:uid="{00000000-0005-0000-0000-0000E73C0000}"/>
    <cellStyle name="40% - Accent4 2 3 3 5" xfId="3934" xr:uid="{00000000-0005-0000-0000-0000E83C0000}"/>
    <cellStyle name="40% - Accent4 2 3 3 5 2" xfId="16622" xr:uid="{00000000-0005-0000-0000-0000E93C0000}"/>
    <cellStyle name="40% - Accent4 2 3 3 5 2 2" xfId="30029" xr:uid="{00000000-0005-0000-0000-0000EA3C0000}"/>
    <cellStyle name="40% - Accent4 2 3 3 5 3" xfId="21260" xr:uid="{00000000-0005-0000-0000-0000EB3C0000}"/>
    <cellStyle name="40% - Accent4 2 3 3 6" xfId="9376" xr:uid="{00000000-0005-0000-0000-0000EC3C0000}"/>
    <cellStyle name="40% - Accent4 2 3 3 6 2" xfId="23851" xr:uid="{00000000-0005-0000-0000-0000ED3C0000}"/>
    <cellStyle name="40% - Accent4 2 3 3 7" xfId="21256" xr:uid="{00000000-0005-0000-0000-0000EE3C0000}"/>
    <cellStyle name="40% - Accent4 2 3 4" xfId="3935" xr:uid="{00000000-0005-0000-0000-0000EF3C0000}"/>
    <cellStyle name="40% - Accent4 2 3 4 2" xfId="3936" xr:uid="{00000000-0005-0000-0000-0000F03C0000}"/>
    <cellStyle name="40% - Accent4 2 3 4 2 2" xfId="15292" xr:uid="{00000000-0005-0000-0000-0000F13C0000}"/>
    <cellStyle name="40% - Accent4 2 3 4 2 2 2" xfId="28841" xr:uid="{00000000-0005-0000-0000-0000F23C0000}"/>
    <cellStyle name="40% - Accent4 2 3 4 2 3" xfId="21262" xr:uid="{00000000-0005-0000-0000-0000F33C0000}"/>
    <cellStyle name="40% - Accent4 2 3 4 3" xfId="11100" xr:uid="{00000000-0005-0000-0000-0000F43C0000}"/>
    <cellStyle name="40% - Accent4 2 3 4 3 2" xfId="25042" xr:uid="{00000000-0005-0000-0000-0000F53C0000}"/>
    <cellStyle name="40% - Accent4 2 3 4 4" xfId="21261" xr:uid="{00000000-0005-0000-0000-0000F63C0000}"/>
    <cellStyle name="40% - Accent4 2 3 5" xfId="3937" xr:uid="{00000000-0005-0000-0000-0000F73C0000}"/>
    <cellStyle name="40% - Accent4 2 3 5 2" xfId="11999" xr:uid="{00000000-0005-0000-0000-0000F83C0000}"/>
    <cellStyle name="40% - Accent4 2 3 5 2 2" xfId="25714" xr:uid="{00000000-0005-0000-0000-0000F93C0000}"/>
    <cellStyle name="40% - Accent4 2 3 5 3" xfId="21263" xr:uid="{00000000-0005-0000-0000-0000FA3C0000}"/>
    <cellStyle name="40% - Accent4 2 3 6" xfId="3938" xr:uid="{00000000-0005-0000-0000-0000FB3C0000}"/>
    <cellStyle name="40% - Accent4 2 3 6 2" xfId="12875" xr:uid="{00000000-0005-0000-0000-0000FC3C0000}"/>
    <cellStyle name="40% - Accent4 2 3 6 2 2" xfId="26587" xr:uid="{00000000-0005-0000-0000-0000FD3C0000}"/>
    <cellStyle name="40% - Accent4 2 3 6 3" xfId="21264" xr:uid="{00000000-0005-0000-0000-0000FE3C0000}"/>
    <cellStyle name="40% - Accent4 2 3 7" xfId="3939" xr:uid="{00000000-0005-0000-0000-0000FF3C0000}"/>
    <cellStyle name="40% - Accent4 2 3 7 2" xfId="13574" xr:uid="{00000000-0005-0000-0000-0000003D0000}"/>
    <cellStyle name="40% - Accent4 2 3 7 2 2" xfId="27123" xr:uid="{00000000-0005-0000-0000-0000013D0000}"/>
    <cellStyle name="40% - Accent4 2 3 7 3" xfId="21265" xr:uid="{00000000-0005-0000-0000-0000023D0000}"/>
    <cellStyle name="40% - Accent4 2 3 8" xfId="3940" xr:uid="{00000000-0005-0000-0000-0000033D0000}"/>
    <cellStyle name="40% - Accent4 2 3 8 2" xfId="14155" xr:uid="{00000000-0005-0000-0000-0000043D0000}"/>
    <cellStyle name="40% - Accent4 2 3 8 2 2" xfId="27704" xr:uid="{00000000-0005-0000-0000-0000053D0000}"/>
    <cellStyle name="40% - Accent4 2 3 8 3" xfId="21266" xr:uid="{00000000-0005-0000-0000-0000063D0000}"/>
    <cellStyle name="40% - Accent4 2 3 9" xfId="3941" xr:uid="{00000000-0005-0000-0000-0000073D0000}"/>
    <cellStyle name="40% - Accent4 2 3 9 2" xfId="15287" xr:uid="{00000000-0005-0000-0000-0000083D0000}"/>
    <cellStyle name="40% - Accent4 2 3 9 2 2" xfId="28836" xr:uid="{00000000-0005-0000-0000-0000093D0000}"/>
    <cellStyle name="40% - Accent4 2 3 9 3" xfId="21267" xr:uid="{00000000-0005-0000-0000-00000A3D0000}"/>
    <cellStyle name="40% - Accent4 2 4" xfId="3942" xr:uid="{00000000-0005-0000-0000-00000B3D0000}"/>
    <cellStyle name="40% - Accent4 2 4 10" xfId="9377" xr:uid="{00000000-0005-0000-0000-00000C3D0000}"/>
    <cellStyle name="40% - Accent4 2 4 10 2" xfId="23852" xr:uid="{00000000-0005-0000-0000-00000D3D0000}"/>
    <cellStyle name="40% - Accent4 2 4 11" xfId="21268" xr:uid="{00000000-0005-0000-0000-00000E3D0000}"/>
    <cellStyle name="40% - Accent4 2 4 2" xfId="3943" xr:uid="{00000000-0005-0000-0000-00000F3D0000}"/>
    <cellStyle name="40% - Accent4 2 4 2 2" xfId="3944" xr:uid="{00000000-0005-0000-0000-0000103D0000}"/>
    <cellStyle name="40% - Accent4 2 4 2 2 2" xfId="11105" xr:uid="{00000000-0005-0000-0000-0000113D0000}"/>
    <cellStyle name="40% - Accent4 2 4 2 2 2 2" xfId="25047" xr:uid="{00000000-0005-0000-0000-0000123D0000}"/>
    <cellStyle name="40% - Accent4 2 4 2 2 3" xfId="21270" xr:uid="{00000000-0005-0000-0000-0000133D0000}"/>
    <cellStyle name="40% - Accent4 2 4 2 3" xfId="3945" xr:uid="{00000000-0005-0000-0000-0000143D0000}"/>
    <cellStyle name="40% - Accent4 2 4 2 3 2" xfId="12880" xr:uid="{00000000-0005-0000-0000-0000153D0000}"/>
    <cellStyle name="40% - Accent4 2 4 2 3 2 2" xfId="26592" xr:uid="{00000000-0005-0000-0000-0000163D0000}"/>
    <cellStyle name="40% - Accent4 2 4 2 3 3" xfId="21271" xr:uid="{00000000-0005-0000-0000-0000173D0000}"/>
    <cellStyle name="40% - Accent4 2 4 2 4" xfId="3946" xr:uid="{00000000-0005-0000-0000-0000183D0000}"/>
    <cellStyle name="40% - Accent4 2 4 2 4 2" xfId="15294" xr:uid="{00000000-0005-0000-0000-0000193D0000}"/>
    <cellStyle name="40% - Accent4 2 4 2 4 2 2" xfId="28843" xr:uid="{00000000-0005-0000-0000-00001A3D0000}"/>
    <cellStyle name="40% - Accent4 2 4 2 4 3" xfId="21272" xr:uid="{00000000-0005-0000-0000-00001B3D0000}"/>
    <cellStyle name="40% - Accent4 2 4 2 5" xfId="3947" xr:uid="{00000000-0005-0000-0000-00001C3D0000}"/>
    <cellStyle name="40% - Accent4 2 4 2 5 2" xfId="16768" xr:uid="{00000000-0005-0000-0000-00001D3D0000}"/>
    <cellStyle name="40% - Accent4 2 4 2 5 2 2" xfId="30175" xr:uid="{00000000-0005-0000-0000-00001E3D0000}"/>
    <cellStyle name="40% - Accent4 2 4 2 5 3" xfId="21273" xr:uid="{00000000-0005-0000-0000-00001F3D0000}"/>
    <cellStyle name="40% - Accent4 2 4 2 6" xfId="9378" xr:uid="{00000000-0005-0000-0000-0000203D0000}"/>
    <cellStyle name="40% - Accent4 2 4 2 6 2" xfId="23853" xr:uid="{00000000-0005-0000-0000-0000213D0000}"/>
    <cellStyle name="40% - Accent4 2 4 2 7" xfId="21269" xr:uid="{00000000-0005-0000-0000-0000223D0000}"/>
    <cellStyle name="40% - Accent4 2 4 3" xfId="3948" xr:uid="{00000000-0005-0000-0000-0000233D0000}"/>
    <cellStyle name="40% - Accent4 2 4 3 2" xfId="3949" xr:uid="{00000000-0005-0000-0000-0000243D0000}"/>
    <cellStyle name="40% - Accent4 2 4 3 2 2" xfId="15295" xr:uid="{00000000-0005-0000-0000-0000253D0000}"/>
    <cellStyle name="40% - Accent4 2 4 3 2 2 2" xfId="28844" xr:uid="{00000000-0005-0000-0000-0000263D0000}"/>
    <cellStyle name="40% - Accent4 2 4 3 2 3" xfId="21275" xr:uid="{00000000-0005-0000-0000-0000273D0000}"/>
    <cellStyle name="40% - Accent4 2 4 3 3" xfId="11104" xr:uid="{00000000-0005-0000-0000-0000283D0000}"/>
    <cellStyle name="40% - Accent4 2 4 3 3 2" xfId="25046" xr:uid="{00000000-0005-0000-0000-0000293D0000}"/>
    <cellStyle name="40% - Accent4 2 4 3 4" xfId="21274" xr:uid="{00000000-0005-0000-0000-00002A3D0000}"/>
    <cellStyle name="40% - Accent4 2 4 4" xfId="3950" xr:uid="{00000000-0005-0000-0000-00002B3D0000}"/>
    <cellStyle name="40% - Accent4 2 4 4 2" xfId="12156" xr:uid="{00000000-0005-0000-0000-00002C3D0000}"/>
    <cellStyle name="40% - Accent4 2 4 4 2 2" xfId="25868" xr:uid="{00000000-0005-0000-0000-00002D3D0000}"/>
    <cellStyle name="40% - Accent4 2 4 4 3" xfId="21276" xr:uid="{00000000-0005-0000-0000-00002E3D0000}"/>
    <cellStyle name="40% - Accent4 2 4 5" xfId="3951" xr:uid="{00000000-0005-0000-0000-00002F3D0000}"/>
    <cellStyle name="40% - Accent4 2 4 5 2" xfId="12879" xr:uid="{00000000-0005-0000-0000-0000303D0000}"/>
    <cellStyle name="40% - Accent4 2 4 5 2 2" xfId="26591" xr:uid="{00000000-0005-0000-0000-0000313D0000}"/>
    <cellStyle name="40% - Accent4 2 4 5 3" xfId="21277" xr:uid="{00000000-0005-0000-0000-0000323D0000}"/>
    <cellStyle name="40% - Accent4 2 4 6" xfId="3952" xr:uid="{00000000-0005-0000-0000-0000333D0000}"/>
    <cellStyle name="40% - Accent4 2 4 6 2" xfId="13720" xr:uid="{00000000-0005-0000-0000-0000343D0000}"/>
    <cellStyle name="40% - Accent4 2 4 6 2 2" xfId="27269" xr:uid="{00000000-0005-0000-0000-0000353D0000}"/>
    <cellStyle name="40% - Accent4 2 4 6 3" xfId="21278" xr:uid="{00000000-0005-0000-0000-0000363D0000}"/>
    <cellStyle name="40% - Accent4 2 4 7" xfId="3953" xr:uid="{00000000-0005-0000-0000-0000373D0000}"/>
    <cellStyle name="40% - Accent4 2 4 7 2" xfId="14301" xr:uid="{00000000-0005-0000-0000-0000383D0000}"/>
    <cellStyle name="40% - Accent4 2 4 7 2 2" xfId="27850" xr:uid="{00000000-0005-0000-0000-0000393D0000}"/>
    <cellStyle name="40% - Accent4 2 4 7 3" xfId="21279" xr:uid="{00000000-0005-0000-0000-00003A3D0000}"/>
    <cellStyle name="40% - Accent4 2 4 8" xfId="3954" xr:uid="{00000000-0005-0000-0000-00003B3D0000}"/>
    <cellStyle name="40% - Accent4 2 4 8 2" xfId="15293" xr:uid="{00000000-0005-0000-0000-00003C3D0000}"/>
    <cellStyle name="40% - Accent4 2 4 8 2 2" xfId="28842" xr:uid="{00000000-0005-0000-0000-00003D3D0000}"/>
    <cellStyle name="40% - Accent4 2 4 8 3" xfId="21280" xr:uid="{00000000-0005-0000-0000-00003E3D0000}"/>
    <cellStyle name="40% - Accent4 2 4 9" xfId="3955" xr:uid="{00000000-0005-0000-0000-00003F3D0000}"/>
    <cellStyle name="40% - Accent4 2 4 9 2" xfId="16187" xr:uid="{00000000-0005-0000-0000-0000403D0000}"/>
    <cellStyle name="40% - Accent4 2 4 9 2 2" xfId="29594" xr:uid="{00000000-0005-0000-0000-0000413D0000}"/>
    <cellStyle name="40% - Accent4 2 4 9 3" xfId="21281" xr:uid="{00000000-0005-0000-0000-0000423D0000}"/>
    <cellStyle name="40% - Accent4 2 5" xfId="3956" xr:uid="{00000000-0005-0000-0000-0000433D0000}"/>
    <cellStyle name="40% - Accent4 2 5 2" xfId="3957" xr:uid="{00000000-0005-0000-0000-0000443D0000}"/>
    <cellStyle name="40% - Accent4 2 5 2 2" xfId="3958" xr:uid="{00000000-0005-0000-0000-0000453D0000}"/>
    <cellStyle name="40% - Accent4 2 5 2 2 2" xfId="11107" xr:uid="{00000000-0005-0000-0000-0000463D0000}"/>
    <cellStyle name="40% - Accent4 2 5 2 2 2 2" xfId="25049" xr:uid="{00000000-0005-0000-0000-0000473D0000}"/>
    <cellStyle name="40% - Accent4 2 5 2 2 3" xfId="21284" xr:uid="{00000000-0005-0000-0000-0000483D0000}"/>
    <cellStyle name="40% - Accent4 2 5 2 3" xfId="3959" xr:uid="{00000000-0005-0000-0000-0000493D0000}"/>
    <cellStyle name="40% - Accent4 2 5 2 3 2" xfId="12882" xr:uid="{00000000-0005-0000-0000-00004A3D0000}"/>
    <cellStyle name="40% - Accent4 2 5 2 3 2 2" xfId="26594" xr:uid="{00000000-0005-0000-0000-00004B3D0000}"/>
    <cellStyle name="40% - Accent4 2 5 2 3 3" xfId="21285" xr:uid="{00000000-0005-0000-0000-00004C3D0000}"/>
    <cellStyle name="40% - Accent4 2 5 2 4" xfId="3960" xr:uid="{00000000-0005-0000-0000-00004D3D0000}"/>
    <cellStyle name="40% - Accent4 2 5 2 4 2" xfId="15297" xr:uid="{00000000-0005-0000-0000-00004E3D0000}"/>
    <cellStyle name="40% - Accent4 2 5 2 4 2 2" xfId="28846" xr:uid="{00000000-0005-0000-0000-00004F3D0000}"/>
    <cellStyle name="40% - Accent4 2 5 2 4 3" xfId="21286" xr:uid="{00000000-0005-0000-0000-0000503D0000}"/>
    <cellStyle name="40% - Accent4 2 5 2 5" xfId="9380" xr:uid="{00000000-0005-0000-0000-0000513D0000}"/>
    <cellStyle name="40% - Accent4 2 5 2 5 2" xfId="23855" xr:uid="{00000000-0005-0000-0000-0000523D0000}"/>
    <cellStyle name="40% - Accent4 2 5 2 6" xfId="21283" xr:uid="{00000000-0005-0000-0000-0000533D0000}"/>
    <cellStyle name="40% - Accent4 2 5 3" xfId="3961" xr:uid="{00000000-0005-0000-0000-0000543D0000}"/>
    <cellStyle name="40% - Accent4 2 5 3 2" xfId="11106" xr:uid="{00000000-0005-0000-0000-0000553D0000}"/>
    <cellStyle name="40% - Accent4 2 5 3 2 2" xfId="25048" xr:uid="{00000000-0005-0000-0000-0000563D0000}"/>
    <cellStyle name="40% - Accent4 2 5 3 3" xfId="21287" xr:uid="{00000000-0005-0000-0000-0000573D0000}"/>
    <cellStyle name="40% - Accent4 2 5 4" xfId="3962" xr:uid="{00000000-0005-0000-0000-0000583D0000}"/>
    <cellStyle name="40% - Accent4 2 5 4 2" xfId="12881" xr:uid="{00000000-0005-0000-0000-0000593D0000}"/>
    <cellStyle name="40% - Accent4 2 5 4 2 2" xfId="26593" xr:uid="{00000000-0005-0000-0000-00005A3D0000}"/>
    <cellStyle name="40% - Accent4 2 5 4 3" xfId="21288" xr:uid="{00000000-0005-0000-0000-00005B3D0000}"/>
    <cellStyle name="40% - Accent4 2 5 5" xfId="3963" xr:uid="{00000000-0005-0000-0000-00005C3D0000}"/>
    <cellStyle name="40% - Accent4 2 5 5 2" xfId="15296" xr:uid="{00000000-0005-0000-0000-00005D3D0000}"/>
    <cellStyle name="40% - Accent4 2 5 5 2 2" xfId="28845" xr:uid="{00000000-0005-0000-0000-00005E3D0000}"/>
    <cellStyle name="40% - Accent4 2 5 5 3" xfId="21289" xr:uid="{00000000-0005-0000-0000-00005F3D0000}"/>
    <cellStyle name="40% - Accent4 2 5 6" xfId="3964" xr:uid="{00000000-0005-0000-0000-0000603D0000}"/>
    <cellStyle name="40% - Accent4 2 5 6 2" xfId="17005" xr:uid="{00000000-0005-0000-0000-0000613D0000}"/>
    <cellStyle name="40% - Accent4 2 5 6 2 2" xfId="30412" xr:uid="{00000000-0005-0000-0000-0000623D0000}"/>
    <cellStyle name="40% - Accent4 2 5 6 3" xfId="21290" xr:uid="{00000000-0005-0000-0000-0000633D0000}"/>
    <cellStyle name="40% - Accent4 2 5 7" xfId="9379" xr:uid="{00000000-0005-0000-0000-0000643D0000}"/>
    <cellStyle name="40% - Accent4 2 5 7 2" xfId="23854" xr:uid="{00000000-0005-0000-0000-0000653D0000}"/>
    <cellStyle name="40% - Accent4 2 5 8" xfId="21282" xr:uid="{00000000-0005-0000-0000-0000663D0000}"/>
    <cellStyle name="40% - Accent4 2 6" xfId="3965" xr:uid="{00000000-0005-0000-0000-0000673D0000}"/>
    <cellStyle name="40% - Accent4 2 6 2" xfId="3966" xr:uid="{00000000-0005-0000-0000-0000683D0000}"/>
    <cellStyle name="40% - Accent4 2 6 2 2" xfId="11108" xr:uid="{00000000-0005-0000-0000-0000693D0000}"/>
    <cellStyle name="40% - Accent4 2 6 2 2 2" xfId="25050" xr:uid="{00000000-0005-0000-0000-00006A3D0000}"/>
    <cellStyle name="40% - Accent4 2 6 2 3" xfId="21292" xr:uid="{00000000-0005-0000-0000-00006B3D0000}"/>
    <cellStyle name="40% - Accent4 2 6 3" xfId="3967" xr:uid="{00000000-0005-0000-0000-00006C3D0000}"/>
    <cellStyle name="40% - Accent4 2 6 3 2" xfId="12883" xr:uid="{00000000-0005-0000-0000-00006D3D0000}"/>
    <cellStyle name="40% - Accent4 2 6 3 2 2" xfId="26595" xr:uid="{00000000-0005-0000-0000-00006E3D0000}"/>
    <cellStyle name="40% - Accent4 2 6 3 3" xfId="21293" xr:uid="{00000000-0005-0000-0000-00006F3D0000}"/>
    <cellStyle name="40% - Accent4 2 6 4" xfId="3968" xr:uid="{00000000-0005-0000-0000-0000703D0000}"/>
    <cellStyle name="40% - Accent4 2 6 4 2" xfId="15298" xr:uid="{00000000-0005-0000-0000-0000713D0000}"/>
    <cellStyle name="40% - Accent4 2 6 4 2 2" xfId="28847" xr:uid="{00000000-0005-0000-0000-0000723D0000}"/>
    <cellStyle name="40% - Accent4 2 6 4 3" xfId="21294" xr:uid="{00000000-0005-0000-0000-0000733D0000}"/>
    <cellStyle name="40% - Accent4 2 6 5" xfId="3969" xr:uid="{00000000-0005-0000-0000-0000743D0000}"/>
    <cellStyle name="40% - Accent4 2 6 5 2" xfId="17115" xr:uid="{00000000-0005-0000-0000-0000753D0000}"/>
    <cellStyle name="40% - Accent4 2 6 5 2 2" xfId="30474" xr:uid="{00000000-0005-0000-0000-0000763D0000}"/>
    <cellStyle name="40% - Accent4 2 6 5 3" xfId="21295" xr:uid="{00000000-0005-0000-0000-0000773D0000}"/>
    <cellStyle name="40% - Accent4 2 6 6" xfId="9381" xr:uid="{00000000-0005-0000-0000-0000783D0000}"/>
    <cellStyle name="40% - Accent4 2 6 6 2" xfId="23856" xr:uid="{00000000-0005-0000-0000-0000793D0000}"/>
    <cellStyle name="40% - Accent4 2 6 7" xfId="21291" xr:uid="{00000000-0005-0000-0000-00007A3D0000}"/>
    <cellStyle name="40% - Accent4 2 7" xfId="3970" xr:uid="{00000000-0005-0000-0000-00007B3D0000}"/>
    <cellStyle name="40% - Accent4 2 7 2" xfId="3971" xr:uid="{00000000-0005-0000-0000-00007C3D0000}"/>
    <cellStyle name="40% - Accent4 2 7 2 2" xfId="11109" xr:uid="{00000000-0005-0000-0000-00007D3D0000}"/>
    <cellStyle name="40% - Accent4 2 7 2 2 2" xfId="25051" xr:uid="{00000000-0005-0000-0000-00007E3D0000}"/>
    <cellStyle name="40% - Accent4 2 7 2 3" xfId="21297" xr:uid="{00000000-0005-0000-0000-00007F3D0000}"/>
    <cellStyle name="40% - Accent4 2 7 3" xfId="3972" xr:uid="{00000000-0005-0000-0000-0000803D0000}"/>
    <cellStyle name="40% - Accent4 2 7 3 2" xfId="12884" xr:uid="{00000000-0005-0000-0000-0000813D0000}"/>
    <cellStyle name="40% - Accent4 2 7 3 2 2" xfId="26596" xr:uid="{00000000-0005-0000-0000-0000823D0000}"/>
    <cellStyle name="40% - Accent4 2 7 3 3" xfId="21298" xr:uid="{00000000-0005-0000-0000-0000833D0000}"/>
    <cellStyle name="40% - Accent4 2 7 4" xfId="3973" xr:uid="{00000000-0005-0000-0000-0000843D0000}"/>
    <cellStyle name="40% - Accent4 2 7 4 2" xfId="15299" xr:uid="{00000000-0005-0000-0000-0000853D0000}"/>
    <cellStyle name="40% - Accent4 2 7 4 2 2" xfId="28848" xr:uid="{00000000-0005-0000-0000-0000863D0000}"/>
    <cellStyle name="40% - Accent4 2 7 4 3" xfId="21299" xr:uid="{00000000-0005-0000-0000-0000873D0000}"/>
    <cellStyle name="40% - Accent4 2 7 5" xfId="3974" xr:uid="{00000000-0005-0000-0000-0000883D0000}"/>
    <cellStyle name="40% - Accent4 2 7 5 2" xfId="17204" xr:uid="{00000000-0005-0000-0000-0000893D0000}"/>
    <cellStyle name="40% - Accent4 2 7 5 2 2" xfId="30563" xr:uid="{00000000-0005-0000-0000-00008A3D0000}"/>
    <cellStyle name="40% - Accent4 2 7 5 3" xfId="21300" xr:uid="{00000000-0005-0000-0000-00008B3D0000}"/>
    <cellStyle name="40% - Accent4 2 7 6" xfId="9382" xr:uid="{00000000-0005-0000-0000-00008C3D0000}"/>
    <cellStyle name="40% - Accent4 2 7 6 2" xfId="23857" xr:uid="{00000000-0005-0000-0000-00008D3D0000}"/>
    <cellStyle name="40% - Accent4 2 7 7" xfId="21296" xr:uid="{00000000-0005-0000-0000-00008E3D0000}"/>
    <cellStyle name="40% - Accent4 2 8" xfId="3975" xr:uid="{00000000-0005-0000-0000-00008F3D0000}"/>
    <cellStyle name="40% - Accent4 2 8 2" xfId="3976" xr:uid="{00000000-0005-0000-0000-0000903D0000}"/>
    <cellStyle name="40% - Accent4 2 8 2 2" xfId="12885" xr:uid="{00000000-0005-0000-0000-0000913D0000}"/>
    <cellStyle name="40% - Accent4 2 8 2 2 2" xfId="26597" xr:uid="{00000000-0005-0000-0000-0000923D0000}"/>
    <cellStyle name="40% - Accent4 2 8 2 3" xfId="21302" xr:uid="{00000000-0005-0000-0000-0000933D0000}"/>
    <cellStyle name="40% - Accent4 2 8 3" xfId="3977" xr:uid="{00000000-0005-0000-0000-0000943D0000}"/>
    <cellStyle name="40% - Accent4 2 8 3 2" xfId="15300" xr:uid="{00000000-0005-0000-0000-0000953D0000}"/>
    <cellStyle name="40% - Accent4 2 8 3 2 2" xfId="28849" xr:uid="{00000000-0005-0000-0000-0000963D0000}"/>
    <cellStyle name="40% - Accent4 2 8 3 3" xfId="21303" xr:uid="{00000000-0005-0000-0000-0000973D0000}"/>
    <cellStyle name="40% - Accent4 2 8 4" xfId="3978" xr:uid="{00000000-0005-0000-0000-0000983D0000}"/>
    <cellStyle name="40% - Accent4 2 8 4 2" xfId="16479" xr:uid="{00000000-0005-0000-0000-0000993D0000}"/>
    <cellStyle name="40% - Accent4 2 8 4 2 2" xfId="29886" xr:uid="{00000000-0005-0000-0000-00009A3D0000}"/>
    <cellStyle name="40% - Accent4 2 8 4 3" xfId="21304" xr:uid="{00000000-0005-0000-0000-00009B3D0000}"/>
    <cellStyle name="40% - Accent4 2 8 5" xfId="10526" xr:uid="{00000000-0005-0000-0000-00009C3D0000}"/>
    <cellStyle name="40% - Accent4 2 8 5 2" xfId="24468" xr:uid="{00000000-0005-0000-0000-00009D3D0000}"/>
    <cellStyle name="40% - Accent4 2 8 6" xfId="21301" xr:uid="{00000000-0005-0000-0000-00009E3D0000}"/>
    <cellStyle name="40% - Accent4 2 9" xfId="3979" xr:uid="{00000000-0005-0000-0000-00009F3D0000}"/>
    <cellStyle name="40% - Accent4 2 9 2" xfId="3980" xr:uid="{00000000-0005-0000-0000-0000A03D0000}"/>
    <cellStyle name="40% - Accent4 2 9 2 2" xfId="12886" xr:uid="{00000000-0005-0000-0000-0000A13D0000}"/>
    <cellStyle name="40% - Accent4 2 9 2 2 2" xfId="26598" xr:uid="{00000000-0005-0000-0000-0000A23D0000}"/>
    <cellStyle name="40% - Accent4 2 9 2 3" xfId="21306" xr:uid="{00000000-0005-0000-0000-0000A33D0000}"/>
    <cellStyle name="40% - Accent4 2 9 3" xfId="3981" xr:uid="{00000000-0005-0000-0000-0000A43D0000}"/>
    <cellStyle name="40% - Accent4 2 9 3 2" xfId="15301" xr:uid="{00000000-0005-0000-0000-0000A53D0000}"/>
    <cellStyle name="40% - Accent4 2 9 3 2 2" xfId="28850" xr:uid="{00000000-0005-0000-0000-0000A63D0000}"/>
    <cellStyle name="40% - Accent4 2 9 3 3" xfId="21307" xr:uid="{00000000-0005-0000-0000-0000A73D0000}"/>
    <cellStyle name="40% - Accent4 2 9 4" xfId="11091" xr:uid="{00000000-0005-0000-0000-0000A83D0000}"/>
    <cellStyle name="40% - Accent4 2 9 4 2" xfId="25033" xr:uid="{00000000-0005-0000-0000-0000A93D0000}"/>
    <cellStyle name="40% - Accent4 2 9 5" xfId="21305" xr:uid="{00000000-0005-0000-0000-0000AA3D0000}"/>
    <cellStyle name="40% - Accent4 20" xfId="3982" xr:uid="{00000000-0005-0000-0000-0000AB3D0000}"/>
    <cellStyle name="40% - Accent4 20 2" xfId="3983" xr:uid="{00000000-0005-0000-0000-0000AC3D0000}"/>
    <cellStyle name="40% - Accent4 20 2 2" xfId="12887" xr:uid="{00000000-0005-0000-0000-0000AD3D0000}"/>
    <cellStyle name="40% - Accent4 20 2 2 2" xfId="26599" xr:uid="{00000000-0005-0000-0000-0000AE3D0000}"/>
    <cellStyle name="40% - Accent4 20 2 3" xfId="21309" xr:uid="{00000000-0005-0000-0000-0000AF3D0000}"/>
    <cellStyle name="40% - Accent4 20 3" xfId="3984" xr:uid="{00000000-0005-0000-0000-0000B03D0000}"/>
    <cellStyle name="40% - Accent4 20 3 2" xfId="15302" xr:uid="{00000000-0005-0000-0000-0000B13D0000}"/>
    <cellStyle name="40% - Accent4 20 3 2 2" xfId="28851" xr:uid="{00000000-0005-0000-0000-0000B23D0000}"/>
    <cellStyle name="40% - Accent4 20 3 3" xfId="21310" xr:uid="{00000000-0005-0000-0000-0000B33D0000}"/>
    <cellStyle name="40% - Accent4 20 4" xfId="10501" xr:uid="{00000000-0005-0000-0000-0000B43D0000}"/>
    <cellStyle name="40% - Accent4 20 4 2" xfId="24449" xr:uid="{00000000-0005-0000-0000-0000B53D0000}"/>
    <cellStyle name="40% - Accent4 20 5" xfId="21308" xr:uid="{00000000-0005-0000-0000-0000B63D0000}"/>
    <cellStyle name="40% - Accent4 21" xfId="3985" xr:uid="{00000000-0005-0000-0000-0000B73D0000}"/>
    <cellStyle name="40% - Accent4 21 2" xfId="3986" xr:uid="{00000000-0005-0000-0000-0000B83D0000}"/>
    <cellStyle name="40% - Accent4 21 2 2" xfId="12888" xr:uid="{00000000-0005-0000-0000-0000B93D0000}"/>
    <cellStyle name="40% - Accent4 21 2 2 2" xfId="26600" xr:uid="{00000000-0005-0000-0000-0000BA3D0000}"/>
    <cellStyle name="40% - Accent4 21 2 3" xfId="21312" xr:uid="{00000000-0005-0000-0000-0000BB3D0000}"/>
    <cellStyle name="40% - Accent4 21 3" xfId="3987" xr:uid="{00000000-0005-0000-0000-0000BC3D0000}"/>
    <cellStyle name="40% - Accent4 21 3 2" xfId="15303" xr:uid="{00000000-0005-0000-0000-0000BD3D0000}"/>
    <cellStyle name="40% - Accent4 21 3 2 2" xfId="28852" xr:uid="{00000000-0005-0000-0000-0000BE3D0000}"/>
    <cellStyle name="40% - Accent4 21 3 3" xfId="21313" xr:uid="{00000000-0005-0000-0000-0000BF3D0000}"/>
    <cellStyle name="40% - Accent4 21 4" xfId="11080" xr:uid="{00000000-0005-0000-0000-0000C03D0000}"/>
    <cellStyle name="40% - Accent4 21 4 2" xfId="25022" xr:uid="{00000000-0005-0000-0000-0000C13D0000}"/>
    <cellStyle name="40% - Accent4 21 5" xfId="21311" xr:uid="{00000000-0005-0000-0000-0000C23D0000}"/>
    <cellStyle name="40% - Accent4 22" xfId="3988" xr:uid="{00000000-0005-0000-0000-0000C33D0000}"/>
    <cellStyle name="40% - Accent4 22 2" xfId="11737" xr:uid="{00000000-0005-0000-0000-0000C43D0000}"/>
    <cellStyle name="40% - Accent4 22 2 2" xfId="25452" xr:uid="{00000000-0005-0000-0000-0000C53D0000}"/>
    <cellStyle name="40% - Accent4 22 3" xfId="21314" xr:uid="{00000000-0005-0000-0000-0000C63D0000}"/>
    <cellStyle name="40% - Accent4 23" xfId="3989" xr:uid="{00000000-0005-0000-0000-0000C73D0000}"/>
    <cellStyle name="40% - Accent4 23 2" xfId="12853" xr:uid="{00000000-0005-0000-0000-0000C83D0000}"/>
    <cellStyle name="40% - Accent4 23 2 2" xfId="26565" xr:uid="{00000000-0005-0000-0000-0000C93D0000}"/>
    <cellStyle name="40% - Accent4 23 3" xfId="21315" xr:uid="{00000000-0005-0000-0000-0000CA3D0000}"/>
    <cellStyle name="40% - Accent4 24" xfId="3990" xr:uid="{00000000-0005-0000-0000-0000CB3D0000}"/>
    <cellStyle name="40% - Accent4 24 2" xfId="13376" xr:uid="{00000000-0005-0000-0000-0000CC3D0000}"/>
    <cellStyle name="40% - Accent4 24 2 2" xfId="26925" xr:uid="{00000000-0005-0000-0000-0000CD3D0000}"/>
    <cellStyle name="40% - Accent4 24 3" xfId="21316" xr:uid="{00000000-0005-0000-0000-0000CE3D0000}"/>
    <cellStyle name="40% - Accent4 25" xfId="3991" xr:uid="{00000000-0005-0000-0000-0000CF3D0000}"/>
    <cellStyle name="40% - Accent4 25 2" xfId="13957" xr:uid="{00000000-0005-0000-0000-0000D03D0000}"/>
    <cellStyle name="40% - Accent4 25 2 2" xfId="27506" xr:uid="{00000000-0005-0000-0000-0000D13D0000}"/>
    <cellStyle name="40% - Accent4 25 3" xfId="21317" xr:uid="{00000000-0005-0000-0000-0000D23D0000}"/>
    <cellStyle name="40% - Accent4 26" xfId="3992" xr:uid="{00000000-0005-0000-0000-0000D33D0000}"/>
    <cellStyle name="40% - Accent4 26 2" xfId="15260" xr:uid="{00000000-0005-0000-0000-0000D43D0000}"/>
    <cellStyle name="40% - Accent4 26 2 2" xfId="28809" xr:uid="{00000000-0005-0000-0000-0000D53D0000}"/>
    <cellStyle name="40% - Accent4 26 3" xfId="21318" xr:uid="{00000000-0005-0000-0000-0000D63D0000}"/>
    <cellStyle name="40% - Accent4 27" xfId="3993" xr:uid="{00000000-0005-0000-0000-0000D73D0000}"/>
    <cellStyle name="40% - Accent4 27 2" xfId="15821" xr:uid="{00000000-0005-0000-0000-0000D83D0000}"/>
    <cellStyle name="40% - Accent4 27 2 2" xfId="29228" xr:uid="{00000000-0005-0000-0000-0000D93D0000}"/>
    <cellStyle name="40% - Accent4 27 3" xfId="21319" xr:uid="{00000000-0005-0000-0000-0000DA3D0000}"/>
    <cellStyle name="40% - Accent4 28" xfId="3994" xr:uid="{00000000-0005-0000-0000-0000DB3D0000}"/>
    <cellStyle name="40% - Accent4 28 2" xfId="15843" xr:uid="{00000000-0005-0000-0000-0000DC3D0000}"/>
    <cellStyle name="40% - Accent4 28 2 2" xfId="29250" xr:uid="{00000000-0005-0000-0000-0000DD3D0000}"/>
    <cellStyle name="40% - Accent4 28 3" xfId="21320" xr:uid="{00000000-0005-0000-0000-0000DE3D0000}"/>
    <cellStyle name="40% - Accent4 29" xfId="3995" xr:uid="{00000000-0005-0000-0000-0000DF3D0000}"/>
    <cellStyle name="40% - Accent4 29 2" xfId="9353" xr:uid="{00000000-0005-0000-0000-0000E03D0000}"/>
    <cellStyle name="40% - Accent4 29 2 2" xfId="23828" xr:uid="{00000000-0005-0000-0000-0000E13D0000}"/>
    <cellStyle name="40% - Accent4 29 3" xfId="21321" xr:uid="{00000000-0005-0000-0000-0000E23D0000}"/>
    <cellStyle name="40% - Accent4 3" xfId="3996" xr:uid="{00000000-0005-0000-0000-0000E33D0000}"/>
    <cellStyle name="40% - Accent4 3 10" xfId="3997" xr:uid="{00000000-0005-0000-0000-0000E43D0000}"/>
    <cellStyle name="40% - Accent4 3 10 2" xfId="14035" xr:uid="{00000000-0005-0000-0000-0000E53D0000}"/>
    <cellStyle name="40% - Accent4 3 10 2 2" xfId="27584" xr:uid="{00000000-0005-0000-0000-0000E63D0000}"/>
    <cellStyle name="40% - Accent4 3 10 3" xfId="21323" xr:uid="{00000000-0005-0000-0000-0000E73D0000}"/>
    <cellStyle name="40% - Accent4 3 11" xfId="3998" xr:uid="{00000000-0005-0000-0000-0000E83D0000}"/>
    <cellStyle name="40% - Accent4 3 11 2" xfId="15304" xr:uid="{00000000-0005-0000-0000-0000E93D0000}"/>
    <cellStyle name="40% - Accent4 3 11 2 2" xfId="28853" xr:uid="{00000000-0005-0000-0000-0000EA3D0000}"/>
    <cellStyle name="40% - Accent4 3 11 3" xfId="21324" xr:uid="{00000000-0005-0000-0000-0000EB3D0000}"/>
    <cellStyle name="40% - Accent4 3 12" xfId="3999" xr:uid="{00000000-0005-0000-0000-0000EC3D0000}"/>
    <cellStyle name="40% - Accent4 3 12 2" xfId="15921" xr:uid="{00000000-0005-0000-0000-0000ED3D0000}"/>
    <cellStyle name="40% - Accent4 3 12 2 2" xfId="29328" xr:uid="{00000000-0005-0000-0000-0000EE3D0000}"/>
    <cellStyle name="40% - Accent4 3 12 3" xfId="21325" xr:uid="{00000000-0005-0000-0000-0000EF3D0000}"/>
    <cellStyle name="40% - Accent4 3 13" xfId="9383" xr:uid="{00000000-0005-0000-0000-0000F03D0000}"/>
    <cellStyle name="40% - Accent4 3 13 2" xfId="23858" xr:uid="{00000000-0005-0000-0000-0000F13D0000}"/>
    <cellStyle name="40% - Accent4 3 14" xfId="21322" xr:uid="{00000000-0005-0000-0000-0000F23D0000}"/>
    <cellStyle name="40% - Accent4 3 2" xfId="4000" xr:uid="{00000000-0005-0000-0000-0000F33D0000}"/>
    <cellStyle name="40% - Accent4 3 2 10" xfId="4001" xr:uid="{00000000-0005-0000-0000-0000F43D0000}"/>
    <cellStyle name="40% - Accent4 3 2 10 2" xfId="16064" xr:uid="{00000000-0005-0000-0000-0000F53D0000}"/>
    <cellStyle name="40% - Accent4 3 2 10 2 2" xfId="29471" xr:uid="{00000000-0005-0000-0000-0000F63D0000}"/>
    <cellStyle name="40% - Accent4 3 2 10 3" xfId="21327" xr:uid="{00000000-0005-0000-0000-0000F73D0000}"/>
    <cellStyle name="40% - Accent4 3 2 11" xfId="9384" xr:uid="{00000000-0005-0000-0000-0000F83D0000}"/>
    <cellStyle name="40% - Accent4 3 2 11 2" xfId="23859" xr:uid="{00000000-0005-0000-0000-0000F93D0000}"/>
    <cellStyle name="40% - Accent4 3 2 12" xfId="21326" xr:uid="{00000000-0005-0000-0000-0000FA3D0000}"/>
    <cellStyle name="40% - Accent4 3 2 2" xfId="4002" xr:uid="{00000000-0005-0000-0000-0000FB3D0000}"/>
    <cellStyle name="40% - Accent4 3 2 2 10" xfId="9385" xr:uid="{00000000-0005-0000-0000-0000FC3D0000}"/>
    <cellStyle name="40% - Accent4 3 2 2 10 2" xfId="23860" xr:uid="{00000000-0005-0000-0000-0000FD3D0000}"/>
    <cellStyle name="40% - Accent4 3 2 2 11" xfId="21328" xr:uid="{00000000-0005-0000-0000-0000FE3D0000}"/>
    <cellStyle name="40% - Accent4 3 2 2 2" xfId="4003" xr:uid="{00000000-0005-0000-0000-0000FF3D0000}"/>
    <cellStyle name="40% - Accent4 3 2 2 2 2" xfId="4004" xr:uid="{00000000-0005-0000-0000-0000003E0000}"/>
    <cellStyle name="40% - Accent4 3 2 2 2 2 2" xfId="11113" xr:uid="{00000000-0005-0000-0000-0000013E0000}"/>
    <cellStyle name="40% - Accent4 3 2 2 2 2 2 2" xfId="25055" xr:uid="{00000000-0005-0000-0000-0000023E0000}"/>
    <cellStyle name="40% - Accent4 3 2 2 2 2 3" xfId="21330" xr:uid="{00000000-0005-0000-0000-0000033E0000}"/>
    <cellStyle name="40% - Accent4 3 2 2 2 3" xfId="4005" xr:uid="{00000000-0005-0000-0000-0000043E0000}"/>
    <cellStyle name="40% - Accent4 3 2 2 2 3 2" xfId="12892" xr:uid="{00000000-0005-0000-0000-0000053E0000}"/>
    <cellStyle name="40% - Accent4 3 2 2 2 3 2 2" xfId="26604" xr:uid="{00000000-0005-0000-0000-0000063E0000}"/>
    <cellStyle name="40% - Accent4 3 2 2 2 3 3" xfId="21331" xr:uid="{00000000-0005-0000-0000-0000073E0000}"/>
    <cellStyle name="40% - Accent4 3 2 2 2 4" xfId="4006" xr:uid="{00000000-0005-0000-0000-0000083E0000}"/>
    <cellStyle name="40% - Accent4 3 2 2 2 4 2" xfId="15307" xr:uid="{00000000-0005-0000-0000-0000093E0000}"/>
    <cellStyle name="40% - Accent4 3 2 2 2 4 2 2" xfId="28856" xr:uid="{00000000-0005-0000-0000-00000A3E0000}"/>
    <cellStyle name="40% - Accent4 3 2 2 2 4 3" xfId="21332" xr:uid="{00000000-0005-0000-0000-00000B3E0000}"/>
    <cellStyle name="40% - Accent4 3 2 2 2 5" xfId="4007" xr:uid="{00000000-0005-0000-0000-00000C3E0000}"/>
    <cellStyle name="40% - Accent4 3 2 2 2 5 2" xfId="16934" xr:uid="{00000000-0005-0000-0000-00000D3E0000}"/>
    <cellStyle name="40% - Accent4 3 2 2 2 5 2 2" xfId="30341" xr:uid="{00000000-0005-0000-0000-00000E3E0000}"/>
    <cellStyle name="40% - Accent4 3 2 2 2 5 3" xfId="21333" xr:uid="{00000000-0005-0000-0000-00000F3E0000}"/>
    <cellStyle name="40% - Accent4 3 2 2 2 6" xfId="9386" xr:uid="{00000000-0005-0000-0000-0000103E0000}"/>
    <cellStyle name="40% - Accent4 3 2 2 2 6 2" xfId="23861" xr:uid="{00000000-0005-0000-0000-0000113E0000}"/>
    <cellStyle name="40% - Accent4 3 2 2 2 7" xfId="21329" xr:uid="{00000000-0005-0000-0000-0000123E0000}"/>
    <cellStyle name="40% - Accent4 3 2 2 3" xfId="4008" xr:uid="{00000000-0005-0000-0000-0000133E0000}"/>
    <cellStyle name="40% - Accent4 3 2 2 3 2" xfId="4009" xr:uid="{00000000-0005-0000-0000-0000143E0000}"/>
    <cellStyle name="40% - Accent4 3 2 2 3 2 2" xfId="15308" xr:uid="{00000000-0005-0000-0000-0000153E0000}"/>
    <cellStyle name="40% - Accent4 3 2 2 3 2 2 2" xfId="28857" xr:uid="{00000000-0005-0000-0000-0000163E0000}"/>
    <cellStyle name="40% - Accent4 3 2 2 3 2 3" xfId="21335" xr:uid="{00000000-0005-0000-0000-0000173E0000}"/>
    <cellStyle name="40% - Accent4 3 2 2 3 3" xfId="11112" xr:uid="{00000000-0005-0000-0000-0000183E0000}"/>
    <cellStyle name="40% - Accent4 3 2 2 3 3 2" xfId="25054" xr:uid="{00000000-0005-0000-0000-0000193E0000}"/>
    <cellStyle name="40% - Accent4 3 2 2 3 4" xfId="21334" xr:uid="{00000000-0005-0000-0000-00001A3E0000}"/>
    <cellStyle name="40% - Accent4 3 2 2 4" xfId="4010" xr:uid="{00000000-0005-0000-0000-00001B3E0000}"/>
    <cellStyle name="40% - Accent4 3 2 2 4 2" xfId="12322" xr:uid="{00000000-0005-0000-0000-00001C3E0000}"/>
    <cellStyle name="40% - Accent4 3 2 2 4 2 2" xfId="26034" xr:uid="{00000000-0005-0000-0000-00001D3E0000}"/>
    <cellStyle name="40% - Accent4 3 2 2 4 3" xfId="21336" xr:uid="{00000000-0005-0000-0000-00001E3E0000}"/>
    <cellStyle name="40% - Accent4 3 2 2 5" xfId="4011" xr:uid="{00000000-0005-0000-0000-00001F3E0000}"/>
    <cellStyle name="40% - Accent4 3 2 2 5 2" xfId="12891" xr:uid="{00000000-0005-0000-0000-0000203E0000}"/>
    <cellStyle name="40% - Accent4 3 2 2 5 2 2" xfId="26603" xr:uid="{00000000-0005-0000-0000-0000213E0000}"/>
    <cellStyle name="40% - Accent4 3 2 2 5 3" xfId="21337" xr:uid="{00000000-0005-0000-0000-0000223E0000}"/>
    <cellStyle name="40% - Accent4 3 2 2 6" xfId="4012" xr:uid="{00000000-0005-0000-0000-0000233E0000}"/>
    <cellStyle name="40% - Accent4 3 2 2 6 2" xfId="13886" xr:uid="{00000000-0005-0000-0000-0000243E0000}"/>
    <cellStyle name="40% - Accent4 3 2 2 6 2 2" xfId="27435" xr:uid="{00000000-0005-0000-0000-0000253E0000}"/>
    <cellStyle name="40% - Accent4 3 2 2 6 3" xfId="21338" xr:uid="{00000000-0005-0000-0000-0000263E0000}"/>
    <cellStyle name="40% - Accent4 3 2 2 7" xfId="4013" xr:uid="{00000000-0005-0000-0000-0000273E0000}"/>
    <cellStyle name="40% - Accent4 3 2 2 7 2" xfId="14467" xr:uid="{00000000-0005-0000-0000-0000283E0000}"/>
    <cellStyle name="40% - Accent4 3 2 2 7 2 2" xfId="28016" xr:uid="{00000000-0005-0000-0000-0000293E0000}"/>
    <cellStyle name="40% - Accent4 3 2 2 7 3" xfId="21339" xr:uid="{00000000-0005-0000-0000-00002A3E0000}"/>
    <cellStyle name="40% - Accent4 3 2 2 8" xfId="4014" xr:uid="{00000000-0005-0000-0000-00002B3E0000}"/>
    <cellStyle name="40% - Accent4 3 2 2 8 2" xfId="15306" xr:uid="{00000000-0005-0000-0000-00002C3E0000}"/>
    <cellStyle name="40% - Accent4 3 2 2 8 2 2" xfId="28855" xr:uid="{00000000-0005-0000-0000-00002D3E0000}"/>
    <cellStyle name="40% - Accent4 3 2 2 8 3" xfId="21340" xr:uid="{00000000-0005-0000-0000-00002E3E0000}"/>
    <cellStyle name="40% - Accent4 3 2 2 9" xfId="4015" xr:uid="{00000000-0005-0000-0000-00002F3E0000}"/>
    <cellStyle name="40% - Accent4 3 2 2 9 2" xfId="16353" xr:uid="{00000000-0005-0000-0000-0000303E0000}"/>
    <cellStyle name="40% - Accent4 3 2 2 9 2 2" xfId="29760" xr:uid="{00000000-0005-0000-0000-0000313E0000}"/>
    <cellStyle name="40% - Accent4 3 2 2 9 3" xfId="21341" xr:uid="{00000000-0005-0000-0000-0000323E0000}"/>
    <cellStyle name="40% - Accent4 3 2 3" xfId="4016" xr:uid="{00000000-0005-0000-0000-0000333E0000}"/>
    <cellStyle name="40% - Accent4 3 2 3 2" xfId="4017" xr:uid="{00000000-0005-0000-0000-0000343E0000}"/>
    <cellStyle name="40% - Accent4 3 2 3 2 2" xfId="11114" xr:uid="{00000000-0005-0000-0000-0000353E0000}"/>
    <cellStyle name="40% - Accent4 3 2 3 2 2 2" xfId="25056" xr:uid="{00000000-0005-0000-0000-0000363E0000}"/>
    <cellStyle name="40% - Accent4 3 2 3 2 3" xfId="21343" xr:uid="{00000000-0005-0000-0000-0000373E0000}"/>
    <cellStyle name="40% - Accent4 3 2 3 3" xfId="4018" xr:uid="{00000000-0005-0000-0000-0000383E0000}"/>
    <cellStyle name="40% - Accent4 3 2 3 3 2" xfId="12893" xr:uid="{00000000-0005-0000-0000-0000393E0000}"/>
    <cellStyle name="40% - Accent4 3 2 3 3 2 2" xfId="26605" xr:uid="{00000000-0005-0000-0000-00003A3E0000}"/>
    <cellStyle name="40% - Accent4 3 2 3 3 3" xfId="21344" xr:uid="{00000000-0005-0000-0000-00003B3E0000}"/>
    <cellStyle name="40% - Accent4 3 2 3 4" xfId="4019" xr:uid="{00000000-0005-0000-0000-00003C3E0000}"/>
    <cellStyle name="40% - Accent4 3 2 3 4 2" xfId="15309" xr:uid="{00000000-0005-0000-0000-00003D3E0000}"/>
    <cellStyle name="40% - Accent4 3 2 3 4 2 2" xfId="28858" xr:uid="{00000000-0005-0000-0000-00003E3E0000}"/>
    <cellStyle name="40% - Accent4 3 2 3 4 3" xfId="21345" xr:uid="{00000000-0005-0000-0000-00003F3E0000}"/>
    <cellStyle name="40% - Accent4 3 2 3 5" xfId="4020" xr:uid="{00000000-0005-0000-0000-0000403E0000}"/>
    <cellStyle name="40% - Accent4 3 2 3 5 2" xfId="16645" xr:uid="{00000000-0005-0000-0000-0000413E0000}"/>
    <cellStyle name="40% - Accent4 3 2 3 5 2 2" xfId="30052" xr:uid="{00000000-0005-0000-0000-0000423E0000}"/>
    <cellStyle name="40% - Accent4 3 2 3 5 3" xfId="21346" xr:uid="{00000000-0005-0000-0000-0000433E0000}"/>
    <cellStyle name="40% - Accent4 3 2 3 6" xfId="9387" xr:uid="{00000000-0005-0000-0000-0000443E0000}"/>
    <cellStyle name="40% - Accent4 3 2 3 6 2" xfId="23862" xr:uid="{00000000-0005-0000-0000-0000453E0000}"/>
    <cellStyle name="40% - Accent4 3 2 3 7" xfId="21342" xr:uid="{00000000-0005-0000-0000-0000463E0000}"/>
    <cellStyle name="40% - Accent4 3 2 4" xfId="4021" xr:uid="{00000000-0005-0000-0000-0000473E0000}"/>
    <cellStyle name="40% - Accent4 3 2 4 2" xfId="4022" xr:uid="{00000000-0005-0000-0000-0000483E0000}"/>
    <cellStyle name="40% - Accent4 3 2 4 2 2" xfId="15310" xr:uid="{00000000-0005-0000-0000-0000493E0000}"/>
    <cellStyle name="40% - Accent4 3 2 4 2 2 2" xfId="28859" xr:uid="{00000000-0005-0000-0000-00004A3E0000}"/>
    <cellStyle name="40% - Accent4 3 2 4 2 3" xfId="21348" xr:uid="{00000000-0005-0000-0000-00004B3E0000}"/>
    <cellStyle name="40% - Accent4 3 2 4 3" xfId="11111" xr:uid="{00000000-0005-0000-0000-00004C3E0000}"/>
    <cellStyle name="40% - Accent4 3 2 4 3 2" xfId="25053" xr:uid="{00000000-0005-0000-0000-00004D3E0000}"/>
    <cellStyle name="40% - Accent4 3 2 4 4" xfId="21347" xr:uid="{00000000-0005-0000-0000-00004E3E0000}"/>
    <cellStyle name="40% - Accent4 3 2 5" xfId="4023" xr:uid="{00000000-0005-0000-0000-00004F3E0000}"/>
    <cellStyle name="40% - Accent4 3 2 5 2" xfId="12022" xr:uid="{00000000-0005-0000-0000-0000503E0000}"/>
    <cellStyle name="40% - Accent4 3 2 5 2 2" xfId="25737" xr:uid="{00000000-0005-0000-0000-0000513E0000}"/>
    <cellStyle name="40% - Accent4 3 2 5 3" xfId="21349" xr:uid="{00000000-0005-0000-0000-0000523E0000}"/>
    <cellStyle name="40% - Accent4 3 2 6" xfId="4024" xr:uid="{00000000-0005-0000-0000-0000533E0000}"/>
    <cellStyle name="40% - Accent4 3 2 6 2" xfId="12890" xr:uid="{00000000-0005-0000-0000-0000543E0000}"/>
    <cellStyle name="40% - Accent4 3 2 6 2 2" xfId="26602" xr:uid="{00000000-0005-0000-0000-0000553E0000}"/>
    <cellStyle name="40% - Accent4 3 2 6 3" xfId="21350" xr:uid="{00000000-0005-0000-0000-0000563E0000}"/>
    <cellStyle name="40% - Accent4 3 2 7" xfId="4025" xr:uid="{00000000-0005-0000-0000-0000573E0000}"/>
    <cellStyle name="40% - Accent4 3 2 7 2" xfId="13597" xr:uid="{00000000-0005-0000-0000-0000583E0000}"/>
    <cellStyle name="40% - Accent4 3 2 7 2 2" xfId="27146" xr:uid="{00000000-0005-0000-0000-0000593E0000}"/>
    <cellStyle name="40% - Accent4 3 2 7 3" xfId="21351" xr:uid="{00000000-0005-0000-0000-00005A3E0000}"/>
    <cellStyle name="40% - Accent4 3 2 8" xfId="4026" xr:uid="{00000000-0005-0000-0000-00005B3E0000}"/>
    <cellStyle name="40% - Accent4 3 2 8 2" xfId="14178" xr:uid="{00000000-0005-0000-0000-00005C3E0000}"/>
    <cellStyle name="40% - Accent4 3 2 8 2 2" xfId="27727" xr:uid="{00000000-0005-0000-0000-00005D3E0000}"/>
    <cellStyle name="40% - Accent4 3 2 8 3" xfId="21352" xr:uid="{00000000-0005-0000-0000-00005E3E0000}"/>
    <cellStyle name="40% - Accent4 3 2 9" xfId="4027" xr:uid="{00000000-0005-0000-0000-00005F3E0000}"/>
    <cellStyle name="40% - Accent4 3 2 9 2" xfId="15305" xr:uid="{00000000-0005-0000-0000-0000603E0000}"/>
    <cellStyle name="40% - Accent4 3 2 9 2 2" xfId="28854" xr:uid="{00000000-0005-0000-0000-0000613E0000}"/>
    <cellStyle name="40% - Accent4 3 2 9 3" xfId="21353" xr:uid="{00000000-0005-0000-0000-0000623E0000}"/>
    <cellStyle name="40% - Accent4 3 3" xfId="4028" xr:uid="{00000000-0005-0000-0000-0000633E0000}"/>
    <cellStyle name="40% - Accent4 3 3 10" xfId="9388" xr:uid="{00000000-0005-0000-0000-0000643E0000}"/>
    <cellStyle name="40% - Accent4 3 3 10 2" xfId="23863" xr:uid="{00000000-0005-0000-0000-0000653E0000}"/>
    <cellStyle name="40% - Accent4 3 3 11" xfId="21354" xr:uid="{00000000-0005-0000-0000-0000663E0000}"/>
    <cellStyle name="40% - Accent4 3 3 2" xfId="4029" xr:uid="{00000000-0005-0000-0000-0000673E0000}"/>
    <cellStyle name="40% - Accent4 3 3 2 2" xfId="4030" xr:uid="{00000000-0005-0000-0000-0000683E0000}"/>
    <cellStyle name="40% - Accent4 3 3 2 2 2" xfId="11116" xr:uid="{00000000-0005-0000-0000-0000693E0000}"/>
    <cellStyle name="40% - Accent4 3 3 2 2 2 2" xfId="25058" xr:uid="{00000000-0005-0000-0000-00006A3E0000}"/>
    <cellStyle name="40% - Accent4 3 3 2 2 3" xfId="21356" xr:uid="{00000000-0005-0000-0000-00006B3E0000}"/>
    <cellStyle name="40% - Accent4 3 3 2 3" xfId="4031" xr:uid="{00000000-0005-0000-0000-00006C3E0000}"/>
    <cellStyle name="40% - Accent4 3 3 2 3 2" xfId="12895" xr:uid="{00000000-0005-0000-0000-00006D3E0000}"/>
    <cellStyle name="40% - Accent4 3 3 2 3 2 2" xfId="26607" xr:uid="{00000000-0005-0000-0000-00006E3E0000}"/>
    <cellStyle name="40% - Accent4 3 3 2 3 3" xfId="21357" xr:uid="{00000000-0005-0000-0000-00006F3E0000}"/>
    <cellStyle name="40% - Accent4 3 3 2 4" xfId="4032" xr:uid="{00000000-0005-0000-0000-0000703E0000}"/>
    <cellStyle name="40% - Accent4 3 3 2 4 2" xfId="15312" xr:uid="{00000000-0005-0000-0000-0000713E0000}"/>
    <cellStyle name="40% - Accent4 3 3 2 4 2 2" xfId="28861" xr:uid="{00000000-0005-0000-0000-0000723E0000}"/>
    <cellStyle name="40% - Accent4 3 3 2 4 3" xfId="21358" xr:uid="{00000000-0005-0000-0000-0000733E0000}"/>
    <cellStyle name="40% - Accent4 3 3 2 5" xfId="4033" xr:uid="{00000000-0005-0000-0000-0000743E0000}"/>
    <cellStyle name="40% - Accent4 3 3 2 5 2" xfId="16791" xr:uid="{00000000-0005-0000-0000-0000753E0000}"/>
    <cellStyle name="40% - Accent4 3 3 2 5 2 2" xfId="30198" xr:uid="{00000000-0005-0000-0000-0000763E0000}"/>
    <cellStyle name="40% - Accent4 3 3 2 5 3" xfId="21359" xr:uid="{00000000-0005-0000-0000-0000773E0000}"/>
    <cellStyle name="40% - Accent4 3 3 2 6" xfId="9389" xr:uid="{00000000-0005-0000-0000-0000783E0000}"/>
    <cellStyle name="40% - Accent4 3 3 2 6 2" xfId="23864" xr:uid="{00000000-0005-0000-0000-0000793E0000}"/>
    <cellStyle name="40% - Accent4 3 3 2 7" xfId="21355" xr:uid="{00000000-0005-0000-0000-00007A3E0000}"/>
    <cellStyle name="40% - Accent4 3 3 3" xfId="4034" xr:uid="{00000000-0005-0000-0000-00007B3E0000}"/>
    <cellStyle name="40% - Accent4 3 3 3 2" xfId="4035" xr:uid="{00000000-0005-0000-0000-00007C3E0000}"/>
    <cellStyle name="40% - Accent4 3 3 3 2 2" xfId="15313" xr:uid="{00000000-0005-0000-0000-00007D3E0000}"/>
    <cellStyle name="40% - Accent4 3 3 3 2 2 2" xfId="28862" xr:uid="{00000000-0005-0000-0000-00007E3E0000}"/>
    <cellStyle name="40% - Accent4 3 3 3 2 3" xfId="21361" xr:uid="{00000000-0005-0000-0000-00007F3E0000}"/>
    <cellStyle name="40% - Accent4 3 3 3 3" xfId="11115" xr:uid="{00000000-0005-0000-0000-0000803E0000}"/>
    <cellStyle name="40% - Accent4 3 3 3 3 2" xfId="25057" xr:uid="{00000000-0005-0000-0000-0000813E0000}"/>
    <cellStyle name="40% - Accent4 3 3 3 4" xfId="21360" xr:uid="{00000000-0005-0000-0000-0000823E0000}"/>
    <cellStyle name="40% - Accent4 3 3 4" xfId="4036" xr:uid="{00000000-0005-0000-0000-0000833E0000}"/>
    <cellStyle name="40% - Accent4 3 3 4 2" xfId="12179" xr:uid="{00000000-0005-0000-0000-0000843E0000}"/>
    <cellStyle name="40% - Accent4 3 3 4 2 2" xfId="25891" xr:uid="{00000000-0005-0000-0000-0000853E0000}"/>
    <cellStyle name="40% - Accent4 3 3 4 3" xfId="21362" xr:uid="{00000000-0005-0000-0000-0000863E0000}"/>
    <cellStyle name="40% - Accent4 3 3 5" xfId="4037" xr:uid="{00000000-0005-0000-0000-0000873E0000}"/>
    <cellStyle name="40% - Accent4 3 3 5 2" xfId="12894" xr:uid="{00000000-0005-0000-0000-0000883E0000}"/>
    <cellStyle name="40% - Accent4 3 3 5 2 2" xfId="26606" xr:uid="{00000000-0005-0000-0000-0000893E0000}"/>
    <cellStyle name="40% - Accent4 3 3 5 3" xfId="21363" xr:uid="{00000000-0005-0000-0000-00008A3E0000}"/>
    <cellStyle name="40% - Accent4 3 3 6" xfId="4038" xr:uid="{00000000-0005-0000-0000-00008B3E0000}"/>
    <cellStyle name="40% - Accent4 3 3 6 2" xfId="13743" xr:uid="{00000000-0005-0000-0000-00008C3E0000}"/>
    <cellStyle name="40% - Accent4 3 3 6 2 2" xfId="27292" xr:uid="{00000000-0005-0000-0000-00008D3E0000}"/>
    <cellStyle name="40% - Accent4 3 3 6 3" xfId="21364" xr:uid="{00000000-0005-0000-0000-00008E3E0000}"/>
    <cellStyle name="40% - Accent4 3 3 7" xfId="4039" xr:uid="{00000000-0005-0000-0000-00008F3E0000}"/>
    <cellStyle name="40% - Accent4 3 3 7 2" xfId="14324" xr:uid="{00000000-0005-0000-0000-0000903E0000}"/>
    <cellStyle name="40% - Accent4 3 3 7 2 2" xfId="27873" xr:uid="{00000000-0005-0000-0000-0000913E0000}"/>
    <cellStyle name="40% - Accent4 3 3 7 3" xfId="21365" xr:uid="{00000000-0005-0000-0000-0000923E0000}"/>
    <cellStyle name="40% - Accent4 3 3 8" xfId="4040" xr:uid="{00000000-0005-0000-0000-0000933E0000}"/>
    <cellStyle name="40% - Accent4 3 3 8 2" xfId="15311" xr:uid="{00000000-0005-0000-0000-0000943E0000}"/>
    <cellStyle name="40% - Accent4 3 3 8 2 2" xfId="28860" xr:uid="{00000000-0005-0000-0000-0000953E0000}"/>
    <cellStyle name="40% - Accent4 3 3 8 3" xfId="21366" xr:uid="{00000000-0005-0000-0000-0000963E0000}"/>
    <cellStyle name="40% - Accent4 3 3 9" xfId="4041" xr:uid="{00000000-0005-0000-0000-0000973E0000}"/>
    <cellStyle name="40% - Accent4 3 3 9 2" xfId="16210" xr:uid="{00000000-0005-0000-0000-0000983E0000}"/>
    <cellStyle name="40% - Accent4 3 3 9 2 2" xfId="29617" xr:uid="{00000000-0005-0000-0000-0000993E0000}"/>
    <cellStyle name="40% - Accent4 3 3 9 3" xfId="21367" xr:uid="{00000000-0005-0000-0000-00009A3E0000}"/>
    <cellStyle name="40% - Accent4 3 4" xfId="4042" xr:uid="{00000000-0005-0000-0000-00009B3E0000}"/>
    <cellStyle name="40% - Accent4 3 4 2" xfId="4043" xr:uid="{00000000-0005-0000-0000-00009C3E0000}"/>
    <cellStyle name="40% - Accent4 3 4 2 2" xfId="11117" xr:uid="{00000000-0005-0000-0000-00009D3E0000}"/>
    <cellStyle name="40% - Accent4 3 4 2 2 2" xfId="25059" xr:uid="{00000000-0005-0000-0000-00009E3E0000}"/>
    <cellStyle name="40% - Accent4 3 4 2 3" xfId="21369" xr:uid="{00000000-0005-0000-0000-00009F3E0000}"/>
    <cellStyle name="40% - Accent4 3 4 3" xfId="4044" xr:uid="{00000000-0005-0000-0000-0000A03E0000}"/>
    <cellStyle name="40% - Accent4 3 4 3 2" xfId="12896" xr:uid="{00000000-0005-0000-0000-0000A13E0000}"/>
    <cellStyle name="40% - Accent4 3 4 3 2 2" xfId="26608" xr:uid="{00000000-0005-0000-0000-0000A23E0000}"/>
    <cellStyle name="40% - Accent4 3 4 3 3" xfId="21370" xr:uid="{00000000-0005-0000-0000-0000A33E0000}"/>
    <cellStyle name="40% - Accent4 3 4 4" xfId="4045" xr:uid="{00000000-0005-0000-0000-0000A43E0000}"/>
    <cellStyle name="40% - Accent4 3 4 4 2" xfId="15314" xr:uid="{00000000-0005-0000-0000-0000A53E0000}"/>
    <cellStyle name="40% - Accent4 3 4 4 2 2" xfId="28863" xr:uid="{00000000-0005-0000-0000-0000A63E0000}"/>
    <cellStyle name="40% - Accent4 3 4 4 3" xfId="21371" xr:uid="{00000000-0005-0000-0000-0000A73E0000}"/>
    <cellStyle name="40% - Accent4 3 4 5" xfId="4046" xr:uid="{00000000-0005-0000-0000-0000A83E0000}"/>
    <cellStyle name="40% - Accent4 3 4 5 2" xfId="17138" xr:uid="{00000000-0005-0000-0000-0000A93E0000}"/>
    <cellStyle name="40% - Accent4 3 4 5 2 2" xfId="30497" xr:uid="{00000000-0005-0000-0000-0000AA3E0000}"/>
    <cellStyle name="40% - Accent4 3 4 5 3" xfId="21372" xr:uid="{00000000-0005-0000-0000-0000AB3E0000}"/>
    <cellStyle name="40% - Accent4 3 4 6" xfId="9390" xr:uid="{00000000-0005-0000-0000-0000AC3E0000}"/>
    <cellStyle name="40% - Accent4 3 4 6 2" xfId="23865" xr:uid="{00000000-0005-0000-0000-0000AD3E0000}"/>
    <cellStyle name="40% - Accent4 3 4 7" xfId="21368" xr:uid="{00000000-0005-0000-0000-0000AE3E0000}"/>
    <cellStyle name="40% - Accent4 3 5" xfId="4047" xr:uid="{00000000-0005-0000-0000-0000AF3E0000}"/>
    <cellStyle name="40% - Accent4 3 5 2" xfId="4048" xr:uid="{00000000-0005-0000-0000-0000B03E0000}"/>
    <cellStyle name="40% - Accent4 3 5 2 2" xfId="11118" xr:uid="{00000000-0005-0000-0000-0000B13E0000}"/>
    <cellStyle name="40% - Accent4 3 5 2 2 2" xfId="25060" xr:uid="{00000000-0005-0000-0000-0000B23E0000}"/>
    <cellStyle name="40% - Accent4 3 5 2 3" xfId="21374" xr:uid="{00000000-0005-0000-0000-0000B33E0000}"/>
    <cellStyle name="40% - Accent4 3 5 3" xfId="4049" xr:uid="{00000000-0005-0000-0000-0000B43E0000}"/>
    <cellStyle name="40% - Accent4 3 5 3 2" xfId="12897" xr:uid="{00000000-0005-0000-0000-0000B53E0000}"/>
    <cellStyle name="40% - Accent4 3 5 3 2 2" xfId="26609" xr:uid="{00000000-0005-0000-0000-0000B63E0000}"/>
    <cellStyle name="40% - Accent4 3 5 3 3" xfId="21375" xr:uid="{00000000-0005-0000-0000-0000B73E0000}"/>
    <cellStyle name="40% - Accent4 3 5 4" xfId="4050" xr:uid="{00000000-0005-0000-0000-0000B83E0000}"/>
    <cellStyle name="40% - Accent4 3 5 4 2" xfId="15315" xr:uid="{00000000-0005-0000-0000-0000B93E0000}"/>
    <cellStyle name="40% - Accent4 3 5 4 2 2" xfId="28864" xr:uid="{00000000-0005-0000-0000-0000BA3E0000}"/>
    <cellStyle name="40% - Accent4 3 5 4 3" xfId="21376" xr:uid="{00000000-0005-0000-0000-0000BB3E0000}"/>
    <cellStyle name="40% - Accent4 3 5 5" xfId="4051" xr:uid="{00000000-0005-0000-0000-0000BC3E0000}"/>
    <cellStyle name="40% - Accent4 3 5 5 2" xfId="17227" xr:uid="{00000000-0005-0000-0000-0000BD3E0000}"/>
    <cellStyle name="40% - Accent4 3 5 5 2 2" xfId="30586" xr:uid="{00000000-0005-0000-0000-0000BE3E0000}"/>
    <cellStyle name="40% - Accent4 3 5 5 3" xfId="21377" xr:uid="{00000000-0005-0000-0000-0000BF3E0000}"/>
    <cellStyle name="40% - Accent4 3 5 6" xfId="9391" xr:uid="{00000000-0005-0000-0000-0000C03E0000}"/>
    <cellStyle name="40% - Accent4 3 5 6 2" xfId="23866" xr:uid="{00000000-0005-0000-0000-0000C13E0000}"/>
    <cellStyle name="40% - Accent4 3 5 7" xfId="21373" xr:uid="{00000000-0005-0000-0000-0000C23E0000}"/>
    <cellStyle name="40% - Accent4 3 6" xfId="4052" xr:uid="{00000000-0005-0000-0000-0000C33E0000}"/>
    <cellStyle name="40% - Accent4 3 6 2" xfId="4053" xr:uid="{00000000-0005-0000-0000-0000C43E0000}"/>
    <cellStyle name="40% - Accent4 3 6 2 2" xfId="15316" xr:uid="{00000000-0005-0000-0000-0000C53E0000}"/>
    <cellStyle name="40% - Accent4 3 6 2 2 2" xfId="28865" xr:uid="{00000000-0005-0000-0000-0000C63E0000}"/>
    <cellStyle name="40% - Accent4 3 6 2 3" xfId="21379" xr:uid="{00000000-0005-0000-0000-0000C73E0000}"/>
    <cellStyle name="40% - Accent4 3 6 3" xfId="4054" xr:uid="{00000000-0005-0000-0000-0000C83E0000}"/>
    <cellStyle name="40% - Accent4 3 6 3 2" xfId="16502" xr:uid="{00000000-0005-0000-0000-0000C93E0000}"/>
    <cellStyle name="40% - Accent4 3 6 3 2 2" xfId="29909" xr:uid="{00000000-0005-0000-0000-0000CA3E0000}"/>
    <cellStyle name="40% - Accent4 3 6 3 3" xfId="21380" xr:uid="{00000000-0005-0000-0000-0000CB3E0000}"/>
    <cellStyle name="40% - Accent4 3 6 4" xfId="11110" xr:uid="{00000000-0005-0000-0000-0000CC3E0000}"/>
    <cellStyle name="40% - Accent4 3 6 4 2" xfId="25052" xr:uid="{00000000-0005-0000-0000-0000CD3E0000}"/>
    <cellStyle name="40% - Accent4 3 6 5" xfId="21378" xr:uid="{00000000-0005-0000-0000-0000CE3E0000}"/>
    <cellStyle name="40% - Accent4 3 7" xfId="4055" xr:uid="{00000000-0005-0000-0000-0000CF3E0000}"/>
    <cellStyle name="40% - Accent4 3 7 2" xfId="11874" xr:uid="{00000000-0005-0000-0000-0000D03E0000}"/>
    <cellStyle name="40% - Accent4 3 7 2 2" xfId="25589" xr:uid="{00000000-0005-0000-0000-0000D13E0000}"/>
    <cellStyle name="40% - Accent4 3 7 3" xfId="21381" xr:uid="{00000000-0005-0000-0000-0000D23E0000}"/>
    <cellStyle name="40% - Accent4 3 8" xfId="4056" xr:uid="{00000000-0005-0000-0000-0000D33E0000}"/>
    <cellStyle name="40% - Accent4 3 8 2" xfId="12889" xr:uid="{00000000-0005-0000-0000-0000D43E0000}"/>
    <cellStyle name="40% - Accent4 3 8 2 2" xfId="26601" xr:uid="{00000000-0005-0000-0000-0000D53E0000}"/>
    <cellStyle name="40% - Accent4 3 8 3" xfId="21382" xr:uid="{00000000-0005-0000-0000-0000D63E0000}"/>
    <cellStyle name="40% - Accent4 3 9" xfId="4057" xr:uid="{00000000-0005-0000-0000-0000D73E0000}"/>
    <cellStyle name="40% - Accent4 3 9 2" xfId="13454" xr:uid="{00000000-0005-0000-0000-0000D83E0000}"/>
    <cellStyle name="40% - Accent4 3 9 2 2" xfId="27003" xr:uid="{00000000-0005-0000-0000-0000D93E0000}"/>
    <cellStyle name="40% - Accent4 3 9 3" xfId="21383" xr:uid="{00000000-0005-0000-0000-0000DA3E0000}"/>
    <cellStyle name="40% - Accent4 30" xfId="23247" xr:uid="{00000000-0005-0000-0000-0000DB3E0000}"/>
    <cellStyle name="40% - Accent4 4" xfId="4058" xr:uid="{00000000-0005-0000-0000-0000DC3E0000}"/>
    <cellStyle name="40% - Accent4 4 10" xfId="4059" xr:uid="{00000000-0005-0000-0000-0000DD3E0000}"/>
    <cellStyle name="40% - Accent4 4 10 2" xfId="15317" xr:uid="{00000000-0005-0000-0000-0000DE3E0000}"/>
    <cellStyle name="40% - Accent4 4 10 2 2" xfId="28866" xr:uid="{00000000-0005-0000-0000-0000DF3E0000}"/>
    <cellStyle name="40% - Accent4 4 10 3" xfId="21385" xr:uid="{00000000-0005-0000-0000-0000E03E0000}"/>
    <cellStyle name="40% - Accent4 4 11" xfId="4060" xr:uid="{00000000-0005-0000-0000-0000E13E0000}"/>
    <cellStyle name="40% - Accent4 4 11 2" xfId="15877" xr:uid="{00000000-0005-0000-0000-0000E23E0000}"/>
    <cellStyle name="40% - Accent4 4 11 2 2" xfId="29284" xr:uid="{00000000-0005-0000-0000-0000E33E0000}"/>
    <cellStyle name="40% - Accent4 4 11 3" xfId="21386" xr:uid="{00000000-0005-0000-0000-0000E43E0000}"/>
    <cellStyle name="40% - Accent4 4 12" xfId="9392" xr:uid="{00000000-0005-0000-0000-0000E53E0000}"/>
    <cellStyle name="40% - Accent4 4 12 2" xfId="23867" xr:uid="{00000000-0005-0000-0000-0000E63E0000}"/>
    <cellStyle name="40% - Accent4 4 13" xfId="21384" xr:uid="{00000000-0005-0000-0000-0000E73E0000}"/>
    <cellStyle name="40% - Accent4 4 2" xfId="4061" xr:uid="{00000000-0005-0000-0000-0000E83E0000}"/>
    <cellStyle name="40% - Accent4 4 2 10" xfId="4062" xr:uid="{00000000-0005-0000-0000-0000E93E0000}"/>
    <cellStyle name="40% - Accent4 4 2 10 2" xfId="16020" xr:uid="{00000000-0005-0000-0000-0000EA3E0000}"/>
    <cellStyle name="40% - Accent4 4 2 10 2 2" xfId="29427" xr:uid="{00000000-0005-0000-0000-0000EB3E0000}"/>
    <cellStyle name="40% - Accent4 4 2 10 3" xfId="21388" xr:uid="{00000000-0005-0000-0000-0000EC3E0000}"/>
    <cellStyle name="40% - Accent4 4 2 11" xfId="9393" xr:uid="{00000000-0005-0000-0000-0000ED3E0000}"/>
    <cellStyle name="40% - Accent4 4 2 11 2" xfId="23868" xr:uid="{00000000-0005-0000-0000-0000EE3E0000}"/>
    <cellStyle name="40% - Accent4 4 2 12" xfId="21387" xr:uid="{00000000-0005-0000-0000-0000EF3E0000}"/>
    <cellStyle name="40% - Accent4 4 2 2" xfId="4063" xr:uid="{00000000-0005-0000-0000-0000F03E0000}"/>
    <cellStyle name="40% - Accent4 4 2 2 10" xfId="9394" xr:uid="{00000000-0005-0000-0000-0000F13E0000}"/>
    <cellStyle name="40% - Accent4 4 2 2 10 2" xfId="23869" xr:uid="{00000000-0005-0000-0000-0000F23E0000}"/>
    <cellStyle name="40% - Accent4 4 2 2 11" xfId="21389" xr:uid="{00000000-0005-0000-0000-0000F33E0000}"/>
    <cellStyle name="40% - Accent4 4 2 2 2" xfId="4064" xr:uid="{00000000-0005-0000-0000-0000F43E0000}"/>
    <cellStyle name="40% - Accent4 4 2 2 2 2" xfId="4065" xr:uid="{00000000-0005-0000-0000-0000F53E0000}"/>
    <cellStyle name="40% - Accent4 4 2 2 2 2 2" xfId="11122" xr:uid="{00000000-0005-0000-0000-0000F63E0000}"/>
    <cellStyle name="40% - Accent4 4 2 2 2 2 2 2" xfId="25064" xr:uid="{00000000-0005-0000-0000-0000F73E0000}"/>
    <cellStyle name="40% - Accent4 4 2 2 2 2 3" xfId="23189" xr:uid="{00000000-0005-0000-0000-0000F83E0000}"/>
    <cellStyle name="40% - Accent4 4 2 2 2 3" xfId="4066" xr:uid="{00000000-0005-0000-0000-0000F93E0000}"/>
    <cellStyle name="40% - Accent4 4 2 2 2 3 2" xfId="12901" xr:uid="{00000000-0005-0000-0000-0000FA3E0000}"/>
    <cellStyle name="40% - Accent4 4 2 2 2 3 2 2" xfId="26613" xr:uid="{00000000-0005-0000-0000-0000FB3E0000}"/>
    <cellStyle name="40% - Accent4 4 2 2 2 3 3" xfId="24304" xr:uid="{00000000-0005-0000-0000-0000FC3E0000}"/>
    <cellStyle name="40% - Accent4 4 2 2 2 4" xfId="4067" xr:uid="{00000000-0005-0000-0000-0000FD3E0000}"/>
    <cellStyle name="40% - Accent4 4 2 2 2 4 2" xfId="15320" xr:uid="{00000000-0005-0000-0000-0000FE3E0000}"/>
    <cellStyle name="40% - Accent4 4 2 2 2 4 2 2" xfId="28869" xr:uid="{00000000-0005-0000-0000-0000FF3E0000}"/>
    <cellStyle name="40% - Accent4 4 2 2 2 4 3" xfId="23188" xr:uid="{00000000-0005-0000-0000-0000003F0000}"/>
    <cellStyle name="40% - Accent4 4 2 2 2 5" xfId="4068" xr:uid="{00000000-0005-0000-0000-0000013F0000}"/>
    <cellStyle name="40% - Accent4 4 2 2 2 5 2" xfId="16890" xr:uid="{00000000-0005-0000-0000-0000023F0000}"/>
    <cellStyle name="40% - Accent4 4 2 2 2 5 2 2" xfId="30297" xr:uid="{00000000-0005-0000-0000-0000033F0000}"/>
    <cellStyle name="40% - Accent4 4 2 2 2 5 3" xfId="23187" xr:uid="{00000000-0005-0000-0000-0000043F0000}"/>
    <cellStyle name="40% - Accent4 4 2 2 2 6" xfId="9395" xr:uid="{00000000-0005-0000-0000-0000053F0000}"/>
    <cellStyle name="40% - Accent4 4 2 2 2 6 2" xfId="23870" xr:uid="{00000000-0005-0000-0000-0000063F0000}"/>
    <cellStyle name="40% - Accent4 4 2 2 2 7" xfId="21390" xr:uid="{00000000-0005-0000-0000-0000073F0000}"/>
    <cellStyle name="40% - Accent4 4 2 2 3" xfId="4069" xr:uid="{00000000-0005-0000-0000-0000083F0000}"/>
    <cellStyle name="40% - Accent4 4 2 2 3 2" xfId="4070" xr:uid="{00000000-0005-0000-0000-0000093F0000}"/>
    <cellStyle name="40% - Accent4 4 2 2 3 2 2" xfId="15321" xr:uid="{00000000-0005-0000-0000-00000A3F0000}"/>
    <cellStyle name="40% - Accent4 4 2 2 3 2 2 2" xfId="28870" xr:uid="{00000000-0005-0000-0000-00000B3F0000}"/>
    <cellStyle name="40% - Accent4 4 2 2 3 2 3" xfId="23186" xr:uid="{00000000-0005-0000-0000-00000C3F0000}"/>
    <cellStyle name="40% - Accent4 4 2 2 3 3" xfId="11121" xr:uid="{00000000-0005-0000-0000-00000D3F0000}"/>
    <cellStyle name="40% - Accent4 4 2 2 3 3 2" xfId="25063" xr:uid="{00000000-0005-0000-0000-00000E3F0000}"/>
    <cellStyle name="40% - Accent4 4 2 2 3 4" xfId="26865" xr:uid="{00000000-0005-0000-0000-00000F3F0000}"/>
    <cellStyle name="40% - Accent4 4 2 2 4" xfId="4071" xr:uid="{00000000-0005-0000-0000-0000103F0000}"/>
    <cellStyle name="40% - Accent4 4 2 2 4 2" xfId="12278" xr:uid="{00000000-0005-0000-0000-0000113F0000}"/>
    <cellStyle name="40% - Accent4 4 2 2 4 2 2" xfId="25990" xr:uid="{00000000-0005-0000-0000-0000123F0000}"/>
    <cellStyle name="40% - Accent4 4 2 2 4 3" xfId="23185" xr:uid="{00000000-0005-0000-0000-0000133F0000}"/>
    <cellStyle name="40% - Accent4 4 2 2 5" xfId="4072" xr:uid="{00000000-0005-0000-0000-0000143F0000}"/>
    <cellStyle name="40% - Accent4 4 2 2 5 2" xfId="12900" xr:uid="{00000000-0005-0000-0000-0000153F0000}"/>
    <cellStyle name="40% - Accent4 4 2 2 5 2 2" xfId="26612" xr:uid="{00000000-0005-0000-0000-0000163F0000}"/>
    <cellStyle name="40% - Accent4 4 2 2 5 3" xfId="24303" xr:uid="{00000000-0005-0000-0000-0000173F0000}"/>
    <cellStyle name="40% - Accent4 4 2 2 6" xfId="4073" xr:uid="{00000000-0005-0000-0000-0000183F0000}"/>
    <cellStyle name="40% - Accent4 4 2 2 6 2" xfId="13842" xr:uid="{00000000-0005-0000-0000-0000193F0000}"/>
    <cellStyle name="40% - Accent4 4 2 2 6 2 2" xfId="27391" xr:uid="{00000000-0005-0000-0000-00001A3F0000}"/>
    <cellStyle name="40% - Accent4 4 2 2 6 3" xfId="23184" xr:uid="{00000000-0005-0000-0000-00001B3F0000}"/>
    <cellStyle name="40% - Accent4 4 2 2 7" xfId="4074" xr:uid="{00000000-0005-0000-0000-00001C3F0000}"/>
    <cellStyle name="40% - Accent4 4 2 2 7 2" xfId="14423" xr:uid="{00000000-0005-0000-0000-00001D3F0000}"/>
    <cellStyle name="40% - Accent4 4 2 2 7 2 2" xfId="27972" xr:uid="{00000000-0005-0000-0000-00001E3F0000}"/>
    <cellStyle name="40% - Accent4 4 2 2 7 3" xfId="26863" xr:uid="{00000000-0005-0000-0000-00001F3F0000}"/>
    <cellStyle name="40% - Accent4 4 2 2 8" xfId="4075" xr:uid="{00000000-0005-0000-0000-0000203F0000}"/>
    <cellStyle name="40% - Accent4 4 2 2 8 2" xfId="15319" xr:uid="{00000000-0005-0000-0000-0000213F0000}"/>
    <cellStyle name="40% - Accent4 4 2 2 8 2 2" xfId="28868" xr:uid="{00000000-0005-0000-0000-0000223F0000}"/>
    <cellStyle name="40% - Accent4 4 2 2 8 3" xfId="23183" xr:uid="{00000000-0005-0000-0000-0000233F0000}"/>
    <cellStyle name="40% - Accent4 4 2 2 9" xfId="4076" xr:uid="{00000000-0005-0000-0000-0000243F0000}"/>
    <cellStyle name="40% - Accent4 4 2 2 9 2" xfId="16309" xr:uid="{00000000-0005-0000-0000-0000253F0000}"/>
    <cellStyle name="40% - Accent4 4 2 2 9 2 2" xfId="29716" xr:uid="{00000000-0005-0000-0000-0000263F0000}"/>
    <cellStyle name="40% - Accent4 4 2 2 9 3" xfId="23182" xr:uid="{00000000-0005-0000-0000-0000273F0000}"/>
    <cellStyle name="40% - Accent4 4 2 3" xfId="4077" xr:uid="{00000000-0005-0000-0000-0000283F0000}"/>
    <cellStyle name="40% - Accent4 4 2 3 2" xfId="4078" xr:uid="{00000000-0005-0000-0000-0000293F0000}"/>
    <cellStyle name="40% - Accent4 4 2 3 2 2" xfId="11123" xr:uid="{00000000-0005-0000-0000-00002A3F0000}"/>
    <cellStyle name="40% - Accent4 4 2 3 2 2 2" xfId="25065" xr:uid="{00000000-0005-0000-0000-00002B3F0000}"/>
    <cellStyle name="40% - Accent4 4 2 3 2 3" xfId="23181" xr:uid="{00000000-0005-0000-0000-00002C3F0000}"/>
    <cellStyle name="40% - Accent4 4 2 3 3" xfId="4079" xr:uid="{00000000-0005-0000-0000-00002D3F0000}"/>
    <cellStyle name="40% - Accent4 4 2 3 3 2" xfId="12902" xr:uid="{00000000-0005-0000-0000-00002E3F0000}"/>
    <cellStyle name="40% - Accent4 4 2 3 3 2 2" xfId="26614" xr:uid="{00000000-0005-0000-0000-00002F3F0000}"/>
    <cellStyle name="40% - Accent4 4 2 3 3 3" xfId="23180" xr:uid="{00000000-0005-0000-0000-0000303F0000}"/>
    <cellStyle name="40% - Accent4 4 2 3 4" xfId="4080" xr:uid="{00000000-0005-0000-0000-0000313F0000}"/>
    <cellStyle name="40% - Accent4 4 2 3 4 2" xfId="15322" xr:uid="{00000000-0005-0000-0000-0000323F0000}"/>
    <cellStyle name="40% - Accent4 4 2 3 4 2 2" xfId="28871" xr:uid="{00000000-0005-0000-0000-0000333F0000}"/>
    <cellStyle name="40% - Accent4 4 2 3 4 3" xfId="30645" xr:uid="{00000000-0005-0000-0000-0000343F0000}"/>
    <cellStyle name="40% - Accent4 4 2 3 5" xfId="4081" xr:uid="{00000000-0005-0000-0000-0000353F0000}"/>
    <cellStyle name="40% - Accent4 4 2 3 5 2" xfId="16601" xr:uid="{00000000-0005-0000-0000-0000363F0000}"/>
    <cellStyle name="40% - Accent4 4 2 3 5 2 2" xfId="30008" xr:uid="{00000000-0005-0000-0000-0000373F0000}"/>
    <cellStyle name="40% - Accent4 4 2 3 5 3" xfId="24300" xr:uid="{00000000-0005-0000-0000-0000383F0000}"/>
    <cellStyle name="40% - Accent4 4 2 3 6" xfId="9396" xr:uid="{00000000-0005-0000-0000-0000393F0000}"/>
    <cellStyle name="40% - Accent4 4 2 3 6 2" xfId="23871" xr:uid="{00000000-0005-0000-0000-00003A3F0000}"/>
    <cellStyle name="40% - Accent4 4 2 3 7" xfId="24302" xr:uid="{00000000-0005-0000-0000-00003B3F0000}"/>
    <cellStyle name="40% - Accent4 4 2 4" xfId="4082" xr:uid="{00000000-0005-0000-0000-00003C3F0000}"/>
    <cellStyle name="40% - Accent4 4 2 4 2" xfId="4083" xr:uid="{00000000-0005-0000-0000-00003D3F0000}"/>
    <cellStyle name="40% - Accent4 4 2 4 2 2" xfId="15323" xr:uid="{00000000-0005-0000-0000-00003E3F0000}"/>
    <cellStyle name="40% - Accent4 4 2 4 2 2 2" xfId="28872" xr:uid="{00000000-0005-0000-0000-00003F3F0000}"/>
    <cellStyle name="40% - Accent4 4 2 4 2 3" xfId="24453" xr:uid="{00000000-0005-0000-0000-0000403F0000}"/>
    <cellStyle name="40% - Accent4 4 2 4 3" xfId="11120" xr:uid="{00000000-0005-0000-0000-0000413F0000}"/>
    <cellStyle name="40% - Accent4 4 2 4 3 2" xfId="25062" xr:uid="{00000000-0005-0000-0000-0000423F0000}"/>
    <cellStyle name="40% - Accent4 4 2 4 4" xfId="23191" xr:uid="{00000000-0005-0000-0000-0000433F0000}"/>
    <cellStyle name="40% - Accent4 4 2 5" xfId="4084" xr:uid="{00000000-0005-0000-0000-0000443F0000}"/>
    <cellStyle name="40% - Accent4 4 2 5 2" xfId="11978" xr:uid="{00000000-0005-0000-0000-0000453F0000}"/>
    <cellStyle name="40% - Accent4 4 2 5 2 2" xfId="25693" xr:uid="{00000000-0005-0000-0000-0000463F0000}"/>
    <cellStyle name="40% - Accent4 4 2 5 3" xfId="23229" xr:uid="{00000000-0005-0000-0000-0000473F0000}"/>
    <cellStyle name="40% - Accent4 4 2 6" xfId="4085" xr:uid="{00000000-0005-0000-0000-0000483F0000}"/>
    <cellStyle name="40% - Accent4 4 2 6 2" xfId="12899" xr:uid="{00000000-0005-0000-0000-0000493F0000}"/>
    <cellStyle name="40% - Accent4 4 2 6 2 2" xfId="26611" xr:uid="{00000000-0005-0000-0000-00004A3F0000}"/>
    <cellStyle name="40% - Accent4 4 2 6 3" xfId="30674" xr:uid="{00000000-0005-0000-0000-00004B3F0000}"/>
    <cellStyle name="40% - Accent4 4 2 7" xfId="4086" xr:uid="{00000000-0005-0000-0000-00004C3F0000}"/>
    <cellStyle name="40% - Accent4 4 2 7 2" xfId="13553" xr:uid="{00000000-0005-0000-0000-00004D3F0000}"/>
    <cellStyle name="40% - Accent4 4 2 7 2 2" xfId="27102" xr:uid="{00000000-0005-0000-0000-00004E3F0000}"/>
    <cellStyle name="40% - Accent4 4 2 7 3" xfId="23179" xr:uid="{00000000-0005-0000-0000-00004F3F0000}"/>
    <cellStyle name="40% - Accent4 4 2 8" xfId="4087" xr:uid="{00000000-0005-0000-0000-0000503F0000}"/>
    <cellStyle name="40% - Accent4 4 2 8 2" xfId="14134" xr:uid="{00000000-0005-0000-0000-0000513F0000}"/>
    <cellStyle name="40% - Accent4 4 2 8 2 2" xfId="27683" xr:uid="{00000000-0005-0000-0000-0000523F0000}"/>
    <cellStyle name="40% - Accent4 4 2 8 3" xfId="23178" xr:uid="{00000000-0005-0000-0000-0000533F0000}"/>
    <cellStyle name="40% - Accent4 4 2 9" xfId="4088" xr:uid="{00000000-0005-0000-0000-0000543F0000}"/>
    <cellStyle name="40% - Accent4 4 2 9 2" xfId="15318" xr:uid="{00000000-0005-0000-0000-0000553F0000}"/>
    <cellStyle name="40% - Accent4 4 2 9 2 2" xfId="28867" xr:uid="{00000000-0005-0000-0000-0000563F0000}"/>
    <cellStyle name="40% - Accent4 4 2 9 3" xfId="26862" xr:uid="{00000000-0005-0000-0000-0000573F0000}"/>
    <cellStyle name="40% - Accent4 4 3" xfId="4089" xr:uid="{00000000-0005-0000-0000-0000583F0000}"/>
    <cellStyle name="40% - Accent4 4 3 10" xfId="9397" xr:uid="{00000000-0005-0000-0000-0000593F0000}"/>
    <cellStyle name="40% - Accent4 4 3 10 2" xfId="23872" xr:uid="{00000000-0005-0000-0000-00005A3F0000}"/>
    <cellStyle name="40% - Accent4 4 3 11" xfId="23177" xr:uid="{00000000-0005-0000-0000-00005B3F0000}"/>
    <cellStyle name="40% - Accent4 4 3 2" xfId="4090" xr:uid="{00000000-0005-0000-0000-00005C3F0000}"/>
    <cellStyle name="40% - Accent4 4 3 2 2" xfId="4091" xr:uid="{00000000-0005-0000-0000-00005D3F0000}"/>
    <cellStyle name="40% - Accent4 4 3 2 2 2" xfId="11125" xr:uid="{00000000-0005-0000-0000-00005E3F0000}"/>
    <cellStyle name="40% - Accent4 4 3 2 2 2 2" xfId="25067" xr:uid="{00000000-0005-0000-0000-00005F3F0000}"/>
    <cellStyle name="40% - Accent4 4 3 2 2 3" xfId="23198" xr:uid="{00000000-0005-0000-0000-0000603F0000}"/>
    <cellStyle name="40% - Accent4 4 3 2 3" xfId="4092" xr:uid="{00000000-0005-0000-0000-0000613F0000}"/>
    <cellStyle name="40% - Accent4 4 3 2 3 2" xfId="12904" xr:uid="{00000000-0005-0000-0000-0000623F0000}"/>
    <cellStyle name="40% - Accent4 4 3 2 3 2 2" xfId="26616" xr:uid="{00000000-0005-0000-0000-0000633F0000}"/>
    <cellStyle name="40% - Accent4 4 3 2 3 3" xfId="23175" xr:uid="{00000000-0005-0000-0000-0000643F0000}"/>
    <cellStyle name="40% - Accent4 4 3 2 4" xfId="4093" xr:uid="{00000000-0005-0000-0000-0000653F0000}"/>
    <cellStyle name="40% - Accent4 4 3 2 4 2" xfId="15325" xr:uid="{00000000-0005-0000-0000-0000663F0000}"/>
    <cellStyle name="40% - Accent4 4 3 2 4 2 2" xfId="28874" xr:uid="{00000000-0005-0000-0000-0000673F0000}"/>
    <cellStyle name="40% - Accent4 4 3 2 4 3" xfId="26861" xr:uid="{00000000-0005-0000-0000-0000683F0000}"/>
    <cellStyle name="40% - Accent4 4 3 2 5" xfId="4094" xr:uid="{00000000-0005-0000-0000-0000693F0000}"/>
    <cellStyle name="40% - Accent4 4 3 2 5 2" xfId="16750" xr:uid="{00000000-0005-0000-0000-00006A3F0000}"/>
    <cellStyle name="40% - Accent4 4 3 2 5 2 2" xfId="30157" xr:uid="{00000000-0005-0000-0000-00006B3F0000}"/>
    <cellStyle name="40% - Accent4 4 3 2 5 3" xfId="23174" xr:uid="{00000000-0005-0000-0000-00006C3F0000}"/>
    <cellStyle name="40% - Accent4 4 3 2 6" xfId="9398" xr:uid="{00000000-0005-0000-0000-00006D3F0000}"/>
    <cellStyle name="40% - Accent4 4 3 2 6 2" xfId="23873" xr:uid="{00000000-0005-0000-0000-00006E3F0000}"/>
    <cellStyle name="40% - Accent4 4 3 2 7" xfId="23176" xr:uid="{00000000-0005-0000-0000-00006F3F0000}"/>
    <cellStyle name="40% - Accent4 4 3 3" xfId="4095" xr:uid="{00000000-0005-0000-0000-0000703F0000}"/>
    <cellStyle name="40% - Accent4 4 3 3 2" xfId="4096" xr:uid="{00000000-0005-0000-0000-0000713F0000}"/>
    <cellStyle name="40% - Accent4 4 3 3 2 2" xfId="15326" xr:uid="{00000000-0005-0000-0000-0000723F0000}"/>
    <cellStyle name="40% - Accent4 4 3 3 2 2 2" xfId="28875" xr:uid="{00000000-0005-0000-0000-0000733F0000}"/>
    <cellStyle name="40% - Accent4 4 3 3 2 3" xfId="23173" xr:uid="{00000000-0005-0000-0000-0000743F0000}"/>
    <cellStyle name="40% - Accent4 4 3 3 3" xfId="11124" xr:uid="{00000000-0005-0000-0000-0000753F0000}"/>
    <cellStyle name="40% - Accent4 4 3 3 3 2" xfId="25066" xr:uid="{00000000-0005-0000-0000-0000763F0000}"/>
    <cellStyle name="40% - Accent4 4 3 3 4" xfId="24301" xr:uid="{00000000-0005-0000-0000-0000773F0000}"/>
    <cellStyle name="40% - Accent4 4 3 4" xfId="4097" xr:uid="{00000000-0005-0000-0000-0000783F0000}"/>
    <cellStyle name="40% - Accent4 4 3 4 2" xfId="12138" xr:uid="{00000000-0005-0000-0000-0000793F0000}"/>
    <cellStyle name="40% - Accent4 4 3 4 2 2" xfId="25850" xr:uid="{00000000-0005-0000-0000-00007A3F0000}"/>
    <cellStyle name="40% - Accent4 4 3 4 3" xfId="23172" xr:uid="{00000000-0005-0000-0000-00007B3F0000}"/>
    <cellStyle name="40% - Accent4 4 3 5" xfId="4098" xr:uid="{00000000-0005-0000-0000-00007C3F0000}"/>
    <cellStyle name="40% - Accent4 4 3 5 2" xfId="12903" xr:uid="{00000000-0005-0000-0000-00007D3F0000}"/>
    <cellStyle name="40% - Accent4 4 3 5 2 2" xfId="26615" xr:uid="{00000000-0005-0000-0000-00007E3F0000}"/>
    <cellStyle name="40% - Accent4 4 3 5 3" xfId="23171" xr:uid="{00000000-0005-0000-0000-00007F3F0000}"/>
    <cellStyle name="40% - Accent4 4 3 6" xfId="4099" xr:uid="{00000000-0005-0000-0000-0000803F0000}"/>
    <cellStyle name="40% - Accent4 4 3 6 2" xfId="13702" xr:uid="{00000000-0005-0000-0000-0000813F0000}"/>
    <cellStyle name="40% - Accent4 4 3 6 2 2" xfId="27251" xr:uid="{00000000-0005-0000-0000-0000823F0000}"/>
    <cellStyle name="40% - Accent4 4 3 6 3" xfId="26860" xr:uid="{00000000-0005-0000-0000-0000833F0000}"/>
    <cellStyle name="40% - Accent4 4 3 7" xfId="4100" xr:uid="{00000000-0005-0000-0000-0000843F0000}"/>
    <cellStyle name="40% - Accent4 4 3 7 2" xfId="14283" xr:uid="{00000000-0005-0000-0000-0000853F0000}"/>
    <cellStyle name="40% - Accent4 4 3 7 2 2" xfId="27832" xr:uid="{00000000-0005-0000-0000-0000863F0000}"/>
    <cellStyle name="40% - Accent4 4 3 7 3" xfId="23170" xr:uid="{00000000-0005-0000-0000-0000873F0000}"/>
    <cellStyle name="40% - Accent4 4 3 8" xfId="4101" xr:uid="{00000000-0005-0000-0000-0000883F0000}"/>
    <cellStyle name="40% - Accent4 4 3 8 2" xfId="15324" xr:uid="{00000000-0005-0000-0000-0000893F0000}"/>
    <cellStyle name="40% - Accent4 4 3 8 2 2" xfId="28873" xr:uid="{00000000-0005-0000-0000-00008A3F0000}"/>
    <cellStyle name="40% - Accent4 4 3 8 3" xfId="24298" xr:uid="{00000000-0005-0000-0000-00008B3F0000}"/>
    <cellStyle name="40% - Accent4 4 3 9" xfId="4102" xr:uid="{00000000-0005-0000-0000-00008C3F0000}"/>
    <cellStyle name="40% - Accent4 4 3 9 2" xfId="16169" xr:uid="{00000000-0005-0000-0000-00008D3F0000}"/>
    <cellStyle name="40% - Accent4 4 3 9 2 2" xfId="29576" xr:uid="{00000000-0005-0000-0000-00008E3F0000}"/>
    <cellStyle name="40% - Accent4 4 3 9 3" xfId="26859" xr:uid="{00000000-0005-0000-0000-00008F3F0000}"/>
    <cellStyle name="40% - Accent4 4 4" xfId="4103" xr:uid="{00000000-0005-0000-0000-0000903F0000}"/>
    <cellStyle name="40% - Accent4 4 4 2" xfId="4104" xr:uid="{00000000-0005-0000-0000-0000913F0000}"/>
    <cellStyle name="40% - Accent4 4 4 2 2" xfId="11126" xr:uid="{00000000-0005-0000-0000-0000923F0000}"/>
    <cellStyle name="40% - Accent4 4 4 2 2 2" xfId="25068" xr:uid="{00000000-0005-0000-0000-0000933F0000}"/>
    <cellStyle name="40% - Accent4 4 4 2 3" xfId="24299" xr:uid="{00000000-0005-0000-0000-0000943F0000}"/>
    <cellStyle name="40% - Accent4 4 4 3" xfId="4105" xr:uid="{00000000-0005-0000-0000-0000953F0000}"/>
    <cellStyle name="40% - Accent4 4 4 3 2" xfId="12905" xr:uid="{00000000-0005-0000-0000-0000963F0000}"/>
    <cellStyle name="40% - Accent4 4 4 3 2 2" xfId="26617" xr:uid="{00000000-0005-0000-0000-0000973F0000}"/>
    <cellStyle name="40% - Accent4 4 4 3 3" xfId="23168" xr:uid="{00000000-0005-0000-0000-0000983F0000}"/>
    <cellStyle name="40% - Accent4 4 4 4" xfId="4106" xr:uid="{00000000-0005-0000-0000-0000993F0000}"/>
    <cellStyle name="40% - Accent4 4 4 4 2" xfId="15327" xr:uid="{00000000-0005-0000-0000-00009A3F0000}"/>
    <cellStyle name="40% - Accent4 4 4 4 2 2" xfId="28876" xr:uid="{00000000-0005-0000-0000-00009B3F0000}"/>
    <cellStyle name="40% - Accent4 4 4 4 3" xfId="23167" xr:uid="{00000000-0005-0000-0000-00009C3F0000}"/>
    <cellStyle name="40% - Accent4 4 4 5" xfId="4107" xr:uid="{00000000-0005-0000-0000-00009D3F0000}"/>
    <cellStyle name="40% - Accent4 4 4 5 2" xfId="16458" xr:uid="{00000000-0005-0000-0000-00009E3F0000}"/>
    <cellStyle name="40% - Accent4 4 4 5 2 2" xfId="29865" xr:uid="{00000000-0005-0000-0000-00009F3F0000}"/>
    <cellStyle name="40% - Accent4 4 4 5 3" xfId="24297" xr:uid="{00000000-0005-0000-0000-0000A03F0000}"/>
    <cellStyle name="40% - Accent4 4 4 6" xfId="9399" xr:uid="{00000000-0005-0000-0000-0000A13F0000}"/>
    <cellStyle name="40% - Accent4 4 4 6 2" xfId="23874" xr:uid="{00000000-0005-0000-0000-0000A23F0000}"/>
    <cellStyle name="40% - Accent4 4 4 7" xfId="23169" xr:uid="{00000000-0005-0000-0000-0000A33F0000}"/>
    <cellStyle name="40% - Accent4 4 5" xfId="4108" xr:uid="{00000000-0005-0000-0000-0000A43F0000}"/>
    <cellStyle name="40% - Accent4 4 5 2" xfId="4109" xr:uid="{00000000-0005-0000-0000-0000A53F0000}"/>
    <cellStyle name="40% - Accent4 4 5 2 2" xfId="15328" xr:uid="{00000000-0005-0000-0000-0000A63F0000}"/>
    <cellStyle name="40% - Accent4 4 5 2 2 2" xfId="28877" xr:uid="{00000000-0005-0000-0000-0000A73F0000}"/>
    <cellStyle name="40% - Accent4 4 5 2 3" xfId="23194" xr:uid="{00000000-0005-0000-0000-0000A83F0000}"/>
    <cellStyle name="40% - Accent4 4 5 3" xfId="11119" xr:uid="{00000000-0005-0000-0000-0000A93F0000}"/>
    <cellStyle name="40% - Accent4 4 5 3 2" xfId="25061" xr:uid="{00000000-0005-0000-0000-0000AA3F0000}"/>
    <cellStyle name="40% - Accent4 4 5 4" xfId="23166" xr:uid="{00000000-0005-0000-0000-0000AB3F0000}"/>
    <cellStyle name="40% - Accent4 4 6" xfId="4110" xr:uid="{00000000-0005-0000-0000-0000AC3F0000}"/>
    <cellStyle name="40% - Accent4 4 6 2" xfId="11809" xr:uid="{00000000-0005-0000-0000-0000AD3F0000}"/>
    <cellStyle name="40% - Accent4 4 6 2 2" xfId="25524" xr:uid="{00000000-0005-0000-0000-0000AE3F0000}"/>
    <cellStyle name="40% - Accent4 4 6 3" xfId="24296" xr:uid="{00000000-0005-0000-0000-0000AF3F0000}"/>
    <cellStyle name="40% - Accent4 4 7" xfId="4111" xr:uid="{00000000-0005-0000-0000-0000B03F0000}"/>
    <cellStyle name="40% - Accent4 4 7 2" xfId="12898" xr:uid="{00000000-0005-0000-0000-0000B13F0000}"/>
    <cellStyle name="40% - Accent4 4 7 2 2" xfId="26610" xr:uid="{00000000-0005-0000-0000-0000B23F0000}"/>
    <cellStyle name="40% - Accent4 4 7 3" xfId="30643" xr:uid="{00000000-0005-0000-0000-0000B33F0000}"/>
    <cellStyle name="40% - Accent4 4 8" xfId="4112" xr:uid="{00000000-0005-0000-0000-0000B43F0000}"/>
    <cellStyle name="40% - Accent4 4 8 2" xfId="13410" xr:uid="{00000000-0005-0000-0000-0000B53F0000}"/>
    <cellStyle name="40% - Accent4 4 8 2 2" xfId="26959" xr:uid="{00000000-0005-0000-0000-0000B63F0000}"/>
    <cellStyle name="40% - Accent4 4 8 3" xfId="30673" xr:uid="{00000000-0005-0000-0000-0000B73F0000}"/>
    <cellStyle name="40% - Accent4 4 9" xfId="4113" xr:uid="{00000000-0005-0000-0000-0000B83F0000}"/>
    <cellStyle name="40% - Accent4 4 9 2" xfId="13991" xr:uid="{00000000-0005-0000-0000-0000B93F0000}"/>
    <cellStyle name="40% - Accent4 4 9 2 2" xfId="27540" xr:uid="{00000000-0005-0000-0000-0000BA3F0000}"/>
    <cellStyle name="40% - Accent4 4 9 3" xfId="23228" xr:uid="{00000000-0005-0000-0000-0000BB3F0000}"/>
    <cellStyle name="40% - Accent4 5" xfId="4114" xr:uid="{00000000-0005-0000-0000-0000BC3F0000}"/>
    <cellStyle name="40% - Accent4 5 10" xfId="4115" xr:uid="{00000000-0005-0000-0000-0000BD3F0000}"/>
    <cellStyle name="40% - Accent4 5 10 2" xfId="15329" xr:uid="{00000000-0005-0000-0000-0000BE3F0000}"/>
    <cellStyle name="40% - Accent4 5 10 2 2" xfId="28878" xr:uid="{00000000-0005-0000-0000-0000BF3F0000}"/>
    <cellStyle name="40% - Accent4 5 10 3" xfId="23196" xr:uid="{00000000-0005-0000-0000-0000C03F0000}"/>
    <cellStyle name="40% - Accent4 5 11" xfId="4116" xr:uid="{00000000-0005-0000-0000-0000C13F0000}"/>
    <cellStyle name="40% - Accent4 5 11 2" xfId="15860" xr:uid="{00000000-0005-0000-0000-0000C23F0000}"/>
    <cellStyle name="40% - Accent4 5 11 2 2" xfId="29267" xr:uid="{00000000-0005-0000-0000-0000C33F0000}"/>
    <cellStyle name="40% - Accent4 5 11 3" xfId="30420" xr:uid="{00000000-0005-0000-0000-0000C43F0000}"/>
    <cellStyle name="40% - Accent4 5 12" xfId="9400" xr:uid="{00000000-0005-0000-0000-0000C53F0000}"/>
    <cellStyle name="40% - Accent4 5 12 2" xfId="23875" xr:uid="{00000000-0005-0000-0000-0000C63F0000}"/>
    <cellStyle name="40% - Accent4 5 13" xfId="23165" xr:uid="{00000000-0005-0000-0000-0000C73F0000}"/>
    <cellStyle name="40% - Accent4 5 2" xfId="4117" xr:uid="{00000000-0005-0000-0000-0000C83F0000}"/>
    <cellStyle name="40% - Accent4 5 2 10" xfId="4118" xr:uid="{00000000-0005-0000-0000-0000C93F0000}"/>
    <cellStyle name="40% - Accent4 5 2 10 2" xfId="16003" xr:uid="{00000000-0005-0000-0000-0000CA3F0000}"/>
    <cellStyle name="40% - Accent4 5 2 10 2 2" xfId="29410" xr:uid="{00000000-0005-0000-0000-0000CB3F0000}"/>
    <cellStyle name="40% - Accent4 5 2 10 3" xfId="23163" xr:uid="{00000000-0005-0000-0000-0000CC3F0000}"/>
    <cellStyle name="40% - Accent4 5 2 11" xfId="9401" xr:uid="{00000000-0005-0000-0000-0000CD3F0000}"/>
    <cellStyle name="40% - Accent4 5 2 11 2" xfId="23876" xr:uid="{00000000-0005-0000-0000-0000CE3F0000}"/>
    <cellStyle name="40% - Accent4 5 2 12" xfId="23164" xr:uid="{00000000-0005-0000-0000-0000CF3F0000}"/>
    <cellStyle name="40% - Accent4 5 2 2" xfId="4119" xr:uid="{00000000-0005-0000-0000-0000D03F0000}"/>
    <cellStyle name="40% - Accent4 5 2 2 10" xfId="9402" xr:uid="{00000000-0005-0000-0000-0000D13F0000}"/>
    <cellStyle name="40% - Accent4 5 2 2 10 2" xfId="23877" xr:uid="{00000000-0005-0000-0000-0000D23F0000}"/>
    <cellStyle name="40% - Accent4 5 2 2 11" xfId="23162" xr:uid="{00000000-0005-0000-0000-0000D33F0000}"/>
    <cellStyle name="40% - Accent4 5 2 2 2" xfId="4120" xr:uid="{00000000-0005-0000-0000-0000D43F0000}"/>
    <cellStyle name="40% - Accent4 5 2 2 2 2" xfId="4121" xr:uid="{00000000-0005-0000-0000-0000D53F0000}"/>
    <cellStyle name="40% - Accent4 5 2 2 2 2 2" xfId="11130" xr:uid="{00000000-0005-0000-0000-0000D63F0000}"/>
    <cellStyle name="40% - Accent4 5 2 2 2 2 2 2" xfId="25072" xr:uid="{00000000-0005-0000-0000-0000D73F0000}"/>
    <cellStyle name="40% - Accent4 5 2 2 2 2 3" xfId="26858" xr:uid="{00000000-0005-0000-0000-0000D83F0000}"/>
    <cellStyle name="40% - Accent4 5 2 2 2 3" xfId="4122" xr:uid="{00000000-0005-0000-0000-0000D93F0000}"/>
    <cellStyle name="40% - Accent4 5 2 2 2 3 2" xfId="12909" xr:uid="{00000000-0005-0000-0000-0000DA3F0000}"/>
    <cellStyle name="40% - Accent4 5 2 2 2 3 2 2" xfId="26621" xr:uid="{00000000-0005-0000-0000-0000DB3F0000}"/>
    <cellStyle name="40% - Accent4 5 2 2 2 3 3" xfId="23161" xr:uid="{00000000-0005-0000-0000-0000DC3F0000}"/>
    <cellStyle name="40% - Accent4 5 2 2 2 4" xfId="4123" xr:uid="{00000000-0005-0000-0000-0000DD3F0000}"/>
    <cellStyle name="40% - Accent4 5 2 2 2 4 2" xfId="15332" xr:uid="{00000000-0005-0000-0000-0000DE3F0000}"/>
    <cellStyle name="40% - Accent4 5 2 2 2 4 2 2" xfId="28881" xr:uid="{00000000-0005-0000-0000-0000DF3F0000}"/>
    <cellStyle name="40% - Accent4 5 2 2 2 4 3" xfId="25286" xr:uid="{00000000-0005-0000-0000-0000E03F0000}"/>
    <cellStyle name="40% - Accent4 5 2 2 2 5" xfId="4124" xr:uid="{00000000-0005-0000-0000-0000E13F0000}"/>
    <cellStyle name="40% - Accent4 5 2 2 2 5 2" xfId="16873" xr:uid="{00000000-0005-0000-0000-0000E23F0000}"/>
    <cellStyle name="40% - Accent4 5 2 2 2 5 2 2" xfId="30280" xr:uid="{00000000-0005-0000-0000-0000E33F0000}"/>
    <cellStyle name="40% - Accent4 5 2 2 2 5 3" xfId="23160" xr:uid="{00000000-0005-0000-0000-0000E43F0000}"/>
    <cellStyle name="40% - Accent4 5 2 2 2 6" xfId="9403" xr:uid="{00000000-0005-0000-0000-0000E53F0000}"/>
    <cellStyle name="40% - Accent4 5 2 2 2 6 2" xfId="23878" xr:uid="{00000000-0005-0000-0000-0000E63F0000}"/>
    <cellStyle name="40% - Accent4 5 2 2 2 7" xfId="24294" xr:uid="{00000000-0005-0000-0000-0000E73F0000}"/>
    <cellStyle name="40% - Accent4 5 2 2 3" xfId="4125" xr:uid="{00000000-0005-0000-0000-0000E83F0000}"/>
    <cellStyle name="40% - Accent4 5 2 2 3 2" xfId="4126" xr:uid="{00000000-0005-0000-0000-0000E93F0000}"/>
    <cellStyle name="40% - Accent4 5 2 2 3 2 2" xfId="15333" xr:uid="{00000000-0005-0000-0000-0000EA3F0000}"/>
    <cellStyle name="40% - Accent4 5 2 2 3 2 2 2" xfId="28882" xr:uid="{00000000-0005-0000-0000-0000EB3F0000}"/>
    <cellStyle name="40% - Accent4 5 2 2 3 2 3" xfId="25287" xr:uid="{00000000-0005-0000-0000-0000EC3F0000}"/>
    <cellStyle name="40% - Accent4 5 2 2 3 3" xfId="11129" xr:uid="{00000000-0005-0000-0000-0000ED3F0000}"/>
    <cellStyle name="40% - Accent4 5 2 2 3 3 2" xfId="25071" xr:uid="{00000000-0005-0000-0000-0000EE3F0000}"/>
    <cellStyle name="40% - Accent4 5 2 2 3 4" xfId="24295" xr:uid="{00000000-0005-0000-0000-0000EF3F0000}"/>
    <cellStyle name="40% - Accent4 5 2 2 4" xfId="4127" xr:uid="{00000000-0005-0000-0000-0000F03F0000}"/>
    <cellStyle name="40% - Accent4 5 2 2 4 2" xfId="12261" xr:uid="{00000000-0005-0000-0000-0000F13F0000}"/>
    <cellStyle name="40% - Accent4 5 2 2 4 2 2" xfId="25973" xr:uid="{00000000-0005-0000-0000-0000F23F0000}"/>
    <cellStyle name="40% - Accent4 5 2 2 4 3" xfId="23159" xr:uid="{00000000-0005-0000-0000-0000F33F0000}"/>
    <cellStyle name="40% - Accent4 5 2 2 5" xfId="4128" xr:uid="{00000000-0005-0000-0000-0000F43F0000}"/>
    <cellStyle name="40% - Accent4 5 2 2 5 2" xfId="12908" xr:uid="{00000000-0005-0000-0000-0000F53F0000}"/>
    <cellStyle name="40% - Accent4 5 2 2 5 2 2" xfId="26620" xr:uid="{00000000-0005-0000-0000-0000F63F0000}"/>
    <cellStyle name="40% - Accent4 5 2 2 5 3" xfId="23158" xr:uid="{00000000-0005-0000-0000-0000F73F0000}"/>
    <cellStyle name="40% - Accent4 5 2 2 6" xfId="4129" xr:uid="{00000000-0005-0000-0000-0000F83F0000}"/>
    <cellStyle name="40% - Accent4 5 2 2 6 2" xfId="13825" xr:uid="{00000000-0005-0000-0000-0000F93F0000}"/>
    <cellStyle name="40% - Accent4 5 2 2 6 2 2" xfId="27374" xr:uid="{00000000-0005-0000-0000-0000FA3F0000}"/>
    <cellStyle name="40% - Accent4 5 2 2 6 3" xfId="23157" xr:uid="{00000000-0005-0000-0000-0000FB3F0000}"/>
    <cellStyle name="40% - Accent4 5 2 2 7" xfId="4130" xr:uid="{00000000-0005-0000-0000-0000FC3F0000}"/>
    <cellStyle name="40% - Accent4 5 2 2 7 2" xfId="14406" xr:uid="{00000000-0005-0000-0000-0000FD3F0000}"/>
    <cellStyle name="40% - Accent4 5 2 2 7 2 2" xfId="27955" xr:uid="{00000000-0005-0000-0000-0000FE3F0000}"/>
    <cellStyle name="40% - Accent4 5 2 2 7 3" xfId="24292" xr:uid="{00000000-0005-0000-0000-0000FF3F0000}"/>
    <cellStyle name="40% - Accent4 5 2 2 8" xfId="4131" xr:uid="{00000000-0005-0000-0000-000000400000}"/>
    <cellStyle name="40% - Accent4 5 2 2 8 2" xfId="15331" xr:uid="{00000000-0005-0000-0000-000001400000}"/>
    <cellStyle name="40% - Accent4 5 2 2 8 2 2" xfId="28880" xr:uid="{00000000-0005-0000-0000-000002400000}"/>
    <cellStyle name="40% - Accent4 5 2 2 8 3" xfId="26857" xr:uid="{00000000-0005-0000-0000-000003400000}"/>
    <cellStyle name="40% - Accent4 5 2 2 9" xfId="4132" xr:uid="{00000000-0005-0000-0000-000004400000}"/>
    <cellStyle name="40% - Accent4 5 2 2 9 2" xfId="16292" xr:uid="{00000000-0005-0000-0000-000005400000}"/>
    <cellStyle name="40% - Accent4 5 2 2 9 2 2" xfId="29699" xr:uid="{00000000-0005-0000-0000-000006400000}"/>
    <cellStyle name="40% - Accent4 5 2 2 9 3" xfId="23156" xr:uid="{00000000-0005-0000-0000-000007400000}"/>
    <cellStyle name="40% - Accent4 5 2 3" xfId="4133" xr:uid="{00000000-0005-0000-0000-000008400000}"/>
    <cellStyle name="40% - Accent4 5 2 3 2" xfId="4134" xr:uid="{00000000-0005-0000-0000-000009400000}"/>
    <cellStyle name="40% - Accent4 5 2 3 2 2" xfId="11131" xr:uid="{00000000-0005-0000-0000-00000A400000}"/>
    <cellStyle name="40% - Accent4 5 2 3 2 2 2" xfId="25073" xr:uid="{00000000-0005-0000-0000-00000B400000}"/>
    <cellStyle name="40% - Accent4 5 2 3 2 3" xfId="23155" xr:uid="{00000000-0005-0000-0000-00000C400000}"/>
    <cellStyle name="40% - Accent4 5 2 3 3" xfId="4135" xr:uid="{00000000-0005-0000-0000-00000D400000}"/>
    <cellStyle name="40% - Accent4 5 2 3 3 2" xfId="12910" xr:uid="{00000000-0005-0000-0000-00000E400000}"/>
    <cellStyle name="40% - Accent4 5 2 3 3 2 2" xfId="26622" xr:uid="{00000000-0005-0000-0000-00000F400000}"/>
    <cellStyle name="40% - Accent4 5 2 3 3 3" xfId="23154" xr:uid="{00000000-0005-0000-0000-000010400000}"/>
    <cellStyle name="40% - Accent4 5 2 3 4" xfId="4136" xr:uid="{00000000-0005-0000-0000-000011400000}"/>
    <cellStyle name="40% - Accent4 5 2 3 4 2" xfId="15334" xr:uid="{00000000-0005-0000-0000-000012400000}"/>
    <cellStyle name="40% - Accent4 5 2 3 4 2 2" xfId="28883" xr:uid="{00000000-0005-0000-0000-000013400000}"/>
    <cellStyle name="40% - Accent4 5 2 3 4 3" xfId="24291" xr:uid="{00000000-0005-0000-0000-000014400000}"/>
    <cellStyle name="40% - Accent4 5 2 3 5" xfId="4137" xr:uid="{00000000-0005-0000-0000-000015400000}"/>
    <cellStyle name="40% - Accent4 5 2 3 5 2" xfId="16584" xr:uid="{00000000-0005-0000-0000-000016400000}"/>
    <cellStyle name="40% - Accent4 5 2 3 5 2 2" xfId="29991" xr:uid="{00000000-0005-0000-0000-000017400000}"/>
    <cellStyle name="40% - Accent4 5 2 3 5 3" xfId="23153" xr:uid="{00000000-0005-0000-0000-000018400000}"/>
    <cellStyle name="40% - Accent4 5 2 3 6" xfId="9404" xr:uid="{00000000-0005-0000-0000-000019400000}"/>
    <cellStyle name="40% - Accent4 5 2 3 6 2" xfId="23879" xr:uid="{00000000-0005-0000-0000-00001A400000}"/>
    <cellStyle name="40% - Accent4 5 2 3 7" xfId="24293" xr:uid="{00000000-0005-0000-0000-00001B400000}"/>
    <cellStyle name="40% - Accent4 5 2 4" xfId="4138" xr:uid="{00000000-0005-0000-0000-00001C400000}"/>
    <cellStyle name="40% - Accent4 5 2 4 2" xfId="4139" xr:uid="{00000000-0005-0000-0000-00001D400000}"/>
    <cellStyle name="40% - Accent4 5 2 4 2 2" xfId="15335" xr:uid="{00000000-0005-0000-0000-00001E400000}"/>
    <cellStyle name="40% - Accent4 5 2 4 2 2 2" xfId="28884" xr:uid="{00000000-0005-0000-0000-00001F400000}"/>
    <cellStyle name="40% - Accent4 5 2 4 2 3" xfId="24290" xr:uid="{00000000-0005-0000-0000-000020400000}"/>
    <cellStyle name="40% - Accent4 5 2 4 3" xfId="11128" xr:uid="{00000000-0005-0000-0000-000021400000}"/>
    <cellStyle name="40% - Accent4 5 2 4 3 2" xfId="25070" xr:uid="{00000000-0005-0000-0000-000022400000}"/>
    <cellStyle name="40% - Accent4 5 2 4 4" xfId="23152" xr:uid="{00000000-0005-0000-0000-000023400000}"/>
    <cellStyle name="40% - Accent4 5 2 5" xfId="4140" xr:uid="{00000000-0005-0000-0000-000024400000}"/>
    <cellStyle name="40% - Accent4 5 2 5 2" xfId="11961" xr:uid="{00000000-0005-0000-0000-000025400000}"/>
    <cellStyle name="40% - Accent4 5 2 5 2 2" xfId="25676" xr:uid="{00000000-0005-0000-0000-000026400000}"/>
    <cellStyle name="40% - Accent4 5 2 5 3" xfId="23151" xr:uid="{00000000-0005-0000-0000-000027400000}"/>
    <cellStyle name="40% - Accent4 5 2 6" xfId="4141" xr:uid="{00000000-0005-0000-0000-000028400000}"/>
    <cellStyle name="40% - Accent4 5 2 6 2" xfId="12907" xr:uid="{00000000-0005-0000-0000-000029400000}"/>
    <cellStyle name="40% - Accent4 5 2 6 2 2" xfId="26619" xr:uid="{00000000-0005-0000-0000-00002A400000}"/>
    <cellStyle name="40% - Accent4 5 2 6 3" xfId="23150" xr:uid="{00000000-0005-0000-0000-00002B400000}"/>
    <cellStyle name="40% - Accent4 5 2 7" xfId="4142" xr:uid="{00000000-0005-0000-0000-00002C400000}"/>
    <cellStyle name="40% - Accent4 5 2 7 2" xfId="13536" xr:uid="{00000000-0005-0000-0000-00002D400000}"/>
    <cellStyle name="40% - Accent4 5 2 7 2 2" xfId="27085" xr:uid="{00000000-0005-0000-0000-00002E400000}"/>
    <cellStyle name="40% - Accent4 5 2 7 3" xfId="23227" xr:uid="{00000000-0005-0000-0000-00002F400000}"/>
    <cellStyle name="40% - Accent4 5 2 8" xfId="4143" xr:uid="{00000000-0005-0000-0000-000030400000}"/>
    <cellStyle name="40% - Accent4 5 2 8 2" xfId="14117" xr:uid="{00000000-0005-0000-0000-000031400000}"/>
    <cellStyle name="40% - Accent4 5 2 8 2 2" xfId="27666" xr:uid="{00000000-0005-0000-0000-000032400000}"/>
    <cellStyle name="40% - Accent4 5 2 8 3" xfId="30672" xr:uid="{00000000-0005-0000-0000-000033400000}"/>
    <cellStyle name="40% - Accent4 5 2 9" xfId="4144" xr:uid="{00000000-0005-0000-0000-000034400000}"/>
    <cellStyle name="40% - Accent4 5 2 9 2" xfId="15330" xr:uid="{00000000-0005-0000-0000-000035400000}"/>
    <cellStyle name="40% - Accent4 5 2 9 2 2" xfId="28879" xr:uid="{00000000-0005-0000-0000-000036400000}"/>
    <cellStyle name="40% - Accent4 5 2 9 3" xfId="23149" xr:uid="{00000000-0005-0000-0000-000037400000}"/>
    <cellStyle name="40% - Accent4 5 3" xfId="4145" xr:uid="{00000000-0005-0000-0000-000038400000}"/>
    <cellStyle name="40% - Accent4 5 3 10" xfId="9405" xr:uid="{00000000-0005-0000-0000-000039400000}"/>
    <cellStyle name="40% - Accent4 5 3 10 2" xfId="23880" xr:uid="{00000000-0005-0000-0000-00003A400000}"/>
    <cellStyle name="40% - Accent4 5 3 11" xfId="23148" xr:uid="{00000000-0005-0000-0000-00003B400000}"/>
    <cellStyle name="40% - Accent4 5 3 2" xfId="4146" xr:uid="{00000000-0005-0000-0000-00003C400000}"/>
    <cellStyle name="40% - Accent4 5 3 2 2" xfId="4147" xr:uid="{00000000-0005-0000-0000-00003D400000}"/>
    <cellStyle name="40% - Accent4 5 3 2 2 2" xfId="11133" xr:uid="{00000000-0005-0000-0000-00003E400000}"/>
    <cellStyle name="40% - Accent4 5 3 2 2 2 2" xfId="25075" xr:uid="{00000000-0005-0000-0000-00003F400000}"/>
    <cellStyle name="40% - Accent4 5 3 2 2 3" xfId="23195" xr:uid="{00000000-0005-0000-0000-000040400000}"/>
    <cellStyle name="40% - Accent4 5 3 2 3" xfId="4148" xr:uid="{00000000-0005-0000-0000-000041400000}"/>
    <cellStyle name="40% - Accent4 5 3 2 3 2" xfId="12912" xr:uid="{00000000-0005-0000-0000-000042400000}"/>
    <cellStyle name="40% - Accent4 5 3 2 3 2 2" xfId="26624" xr:uid="{00000000-0005-0000-0000-000043400000}"/>
    <cellStyle name="40% - Accent4 5 3 2 3 3" xfId="24288" xr:uid="{00000000-0005-0000-0000-000044400000}"/>
    <cellStyle name="40% - Accent4 5 3 2 4" xfId="4149" xr:uid="{00000000-0005-0000-0000-000045400000}"/>
    <cellStyle name="40% - Accent4 5 3 2 4 2" xfId="15337" xr:uid="{00000000-0005-0000-0000-000046400000}"/>
    <cellStyle name="40% - Accent4 5 3 2 4 2 2" xfId="28886" xr:uid="{00000000-0005-0000-0000-000047400000}"/>
    <cellStyle name="40% - Accent4 5 3 2 4 3" xfId="23146" xr:uid="{00000000-0005-0000-0000-000048400000}"/>
    <cellStyle name="40% - Accent4 5 3 2 5" xfId="4150" xr:uid="{00000000-0005-0000-0000-000049400000}"/>
    <cellStyle name="40% - Accent4 5 3 2 5 2" xfId="16733" xr:uid="{00000000-0005-0000-0000-00004A400000}"/>
    <cellStyle name="40% - Accent4 5 3 2 5 2 2" xfId="30140" xr:uid="{00000000-0005-0000-0000-00004B400000}"/>
    <cellStyle name="40% - Accent4 5 3 2 5 3" xfId="26856" xr:uid="{00000000-0005-0000-0000-00004C400000}"/>
    <cellStyle name="40% - Accent4 5 3 2 6" xfId="9406" xr:uid="{00000000-0005-0000-0000-00004D400000}"/>
    <cellStyle name="40% - Accent4 5 3 2 6 2" xfId="23881" xr:uid="{00000000-0005-0000-0000-00004E400000}"/>
    <cellStyle name="40% - Accent4 5 3 2 7" xfId="23147" xr:uid="{00000000-0005-0000-0000-00004F400000}"/>
    <cellStyle name="40% - Accent4 5 3 3" xfId="4151" xr:uid="{00000000-0005-0000-0000-000050400000}"/>
    <cellStyle name="40% - Accent4 5 3 3 2" xfId="4152" xr:uid="{00000000-0005-0000-0000-000051400000}"/>
    <cellStyle name="40% - Accent4 5 3 3 2 2" xfId="15338" xr:uid="{00000000-0005-0000-0000-000052400000}"/>
    <cellStyle name="40% - Accent4 5 3 3 2 2 2" xfId="28887" xr:uid="{00000000-0005-0000-0000-000053400000}"/>
    <cellStyle name="40% - Accent4 5 3 3 2 3" xfId="24289" xr:uid="{00000000-0005-0000-0000-000054400000}"/>
    <cellStyle name="40% - Accent4 5 3 3 3" xfId="11132" xr:uid="{00000000-0005-0000-0000-000055400000}"/>
    <cellStyle name="40% - Accent4 5 3 3 3 2" xfId="25074" xr:uid="{00000000-0005-0000-0000-000056400000}"/>
    <cellStyle name="40% - Accent4 5 3 3 4" xfId="23145" xr:uid="{00000000-0005-0000-0000-000057400000}"/>
    <cellStyle name="40% - Accent4 5 3 4" xfId="4153" xr:uid="{00000000-0005-0000-0000-000058400000}"/>
    <cellStyle name="40% - Accent4 5 3 4 2" xfId="12121" xr:uid="{00000000-0005-0000-0000-000059400000}"/>
    <cellStyle name="40% - Accent4 5 3 4 2 2" xfId="25833" xr:uid="{00000000-0005-0000-0000-00005A400000}"/>
    <cellStyle name="40% - Accent4 5 3 4 3" xfId="23144" xr:uid="{00000000-0005-0000-0000-00005B400000}"/>
    <cellStyle name="40% - Accent4 5 3 5" xfId="4154" xr:uid="{00000000-0005-0000-0000-00005C400000}"/>
    <cellStyle name="40% - Accent4 5 3 5 2" xfId="12911" xr:uid="{00000000-0005-0000-0000-00005D400000}"/>
    <cellStyle name="40% - Accent4 5 3 5 2 2" xfId="26623" xr:uid="{00000000-0005-0000-0000-00005E400000}"/>
    <cellStyle name="40% - Accent4 5 3 5 3" xfId="23143" xr:uid="{00000000-0005-0000-0000-00005F400000}"/>
    <cellStyle name="40% - Accent4 5 3 6" xfId="4155" xr:uid="{00000000-0005-0000-0000-000060400000}"/>
    <cellStyle name="40% - Accent4 5 3 6 2" xfId="13685" xr:uid="{00000000-0005-0000-0000-000061400000}"/>
    <cellStyle name="40% - Accent4 5 3 6 2 2" xfId="27234" xr:uid="{00000000-0005-0000-0000-000062400000}"/>
    <cellStyle name="40% - Accent4 5 3 6 3" xfId="24286" xr:uid="{00000000-0005-0000-0000-000063400000}"/>
    <cellStyle name="40% - Accent4 5 3 7" xfId="4156" xr:uid="{00000000-0005-0000-0000-000064400000}"/>
    <cellStyle name="40% - Accent4 5 3 7 2" xfId="14266" xr:uid="{00000000-0005-0000-0000-000065400000}"/>
    <cellStyle name="40% - Accent4 5 3 7 2 2" xfId="27815" xr:uid="{00000000-0005-0000-0000-000066400000}"/>
    <cellStyle name="40% - Accent4 5 3 7 3" xfId="23142" xr:uid="{00000000-0005-0000-0000-000067400000}"/>
    <cellStyle name="40% - Accent4 5 3 8" xfId="4157" xr:uid="{00000000-0005-0000-0000-000068400000}"/>
    <cellStyle name="40% - Accent4 5 3 8 2" xfId="15336" xr:uid="{00000000-0005-0000-0000-000069400000}"/>
    <cellStyle name="40% - Accent4 5 3 8 2 2" xfId="28885" xr:uid="{00000000-0005-0000-0000-00006A400000}"/>
    <cellStyle name="40% - Accent4 5 3 8 3" xfId="23141" xr:uid="{00000000-0005-0000-0000-00006B400000}"/>
    <cellStyle name="40% - Accent4 5 3 9" xfId="4158" xr:uid="{00000000-0005-0000-0000-00006C400000}"/>
    <cellStyle name="40% - Accent4 5 3 9 2" xfId="16152" xr:uid="{00000000-0005-0000-0000-00006D400000}"/>
    <cellStyle name="40% - Accent4 5 3 9 2 2" xfId="29559" xr:uid="{00000000-0005-0000-0000-00006E400000}"/>
    <cellStyle name="40% - Accent4 5 3 9 3" xfId="29161" xr:uid="{00000000-0005-0000-0000-00006F400000}"/>
    <cellStyle name="40% - Accent4 5 4" xfId="4159" xr:uid="{00000000-0005-0000-0000-000070400000}"/>
    <cellStyle name="40% - Accent4 5 4 2" xfId="4160" xr:uid="{00000000-0005-0000-0000-000071400000}"/>
    <cellStyle name="40% - Accent4 5 4 2 2" xfId="11134" xr:uid="{00000000-0005-0000-0000-000072400000}"/>
    <cellStyle name="40% - Accent4 5 4 2 2 2" xfId="25076" xr:uid="{00000000-0005-0000-0000-000073400000}"/>
    <cellStyle name="40% - Accent4 5 4 2 3" xfId="23139" xr:uid="{00000000-0005-0000-0000-000074400000}"/>
    <cellStyle name="40% - Accent4 5 4 3" xfId="4161" xr:uid="{00000000-0005-0000-0000-000075400000}"/>
    <cellStyle name="40% - Accent4 5 4 3 2" xfId="12913" xr:uid="{00000000-0005-0000-0000-000076400000}"/>
    <cellStyle name="40% - Accent4 5 4 3 2 2" xfId="26625" xr:uid="{00000000-0005-0000-0000-000077400000}"/>
    <cellStyle name="40% - Accent4 5 4 3 3" xfId="26855" xr:uid="{00000000-0005-0000-0000-000078400000}"/>
    <cellStyle name="40% - Accent4 5 4 4" xfId="4162" xr:uid="{00000000-0005-0000-0000-000079400000}"/>
    <cellStyle name="40% - Accent4 5 4 4 2" xfId="15339" xr:uid="{00000000-0005-0000-0000-00007A400000}"/>
    <cellStyle name="40% - Accent4 5 4 4 2 2" xfId="28888" xr:uid="{00000000-0005-0000-0000-00007B400000}"/>
    <cellStyle name="40% - Accent4 5 4 4 3" xfId="23138" xr:uid="{00000000-0005-0000-0000-00007C400000}"/>
    <cellStyle name="40% - Accent4 5 4 5" xfId="4163" xr:uid="{00000000-0005-0000-0000-00007D400000}"/>
    <cellStyle name="40% - Accent4 5 4 5 2" xfId="16441" xr:uid="{00000000-0005-0000-0000-00007E400000}"/>
    <cellStyle name="40% - Accent4 5 4 5 2 2" xfId="29848" xr:uid="{00000000-0005-0000-0000-00007F400000}"/>
    <cellStyle name="40% - Accent4 5 4 5 3" xfId="23137" xr:uid="{00000000-0005-0000-0000-000080400000}"/>
    <cellStyle name="40% - Accent4 5 4 6" xfId="9407" xr:uid="{00000000-0005-0000-0000-000081400000}"/>
    <cellStyle name="40% - Accent4 5 4 6 2" xfId="23882" xr:uid="{00000000-0005-0000-0000-000082400000}"/>
    <cellStyle name="40% - Accent4 5 4 7" xfId="23140" xr:uid="{00000000-0005-0000-0000-000083400000}"/>
    <cellStyle name="40% - Accent4 5 5" xfId="4164" xr:uid="{00000000-0005-0000-0000-000084400000}"/>
    <cellStyle name="40% - Accent4 5 5 2" xfId="4165" xr:uid="{00000000-0005-0000-0000-000085400000}"/>
    <cellStyle name="40% - Accent4 5 5 2 2" xfId="15340" xr:uid="{00000000-0005-0000-0000-000086400000}"/>
    <cellStyle name="40% - Accent4 5 5 2 2 2" xfId="28889" xr:uid="{00000000-0005-0000-0000-000087400000}"/>
    <cellStyle name="40% - Accent4 5 5 2 3" xfId="23136" xr:uid="{00000000-0005-0000-0000-000088400000}"/>
    <cellStyle name="40% - Accent4 5 5 3" xfId="11127" xr:uid="{00000000-0005-0000-0000-000089400000}"/>
    <cellStyle name="40% - Accent4 5 5 3 2" xfId="25069" xr:uid="{00000000-0005-0000-0000-00008A400000}"/>
    <cellStyle name="40% - Accent4 5 5 4" xfId="24287" xr:uid="{00000000-0005-0000-0000-00008B400000}"/>
    <cellStyle name="40% - Accent4 5 6" xfId="4166" xr:uid="{00000000-0005-0000-0000-00008C400000}"/>
    <cellStyle name="40% - Accent4 5 6 2" xfId="11792" xr:uid="{00000000-0005-0000-0000-00008D400000}"/>
    <cellStyle name="40% - Accent4 5 6 2 2" xfId="25507" xr:uid="{00000000-0005-0000-0000-00008E400000}"/>
    <cellStyle name="40% - Accent4 5 6 3" xfId="25285" xr:uid="{00000000-0005-0000-0000-00008F400000}"/>
    <cellStyle name="40% - Accent4 5 7" xfId="4167" xr:uid="{00000000-0005-0000-0000-000090400000}"/>
    <cellStyle name="40% - Accent4 5 7 2" xfId="12906" xr:uid="{00000000-0005-0000-0000-000091400000}"/>
    <cellStyle name="40% - Accent4 5 7 2 2" xfId="26618" xr:uid="{00000000-0005-0000-0000-000092400000}"/>
    <cellStyle name="40% - Accent4 5 7 3" xfId="23135" xr:uid="{00000000-0005-0000-0000-000093400000}"/>
    <cellStyle name="40% - Accent4 5 8" xfId="4168" xr:uid="{00000000-0005-0000-0000-000094400000}"/>
    <cellStyle name="40% - Accent4 5 8 2" xfId="13393" xr:uid="{00000000-0005-0000-0000-000095400000}"/>
    <cellStyle name="40% - Accent4 5 8 2 2" xfId="26942" xr:uid="{00000000-0005-0000-0000-000096400000}"/>
    <cellStyle name="40% - Accent4 5 8 3" xfId="23134" xr:uid="{00000000-0005-0000-0000-000097400000}"/>
    <cellStyle name="40% - Accent4 5 9" xfId="4169" xr:uid="{00000000-0005-0000-0000-000098400000}"/>
    <cellStyle name="40% - Accent4 5 9 2" xfId="13974" xr:uid="{00000000-0005-0000-0000-000099400000}"/>
    <cellStyle name="40% - Accent4 5 9 2 2" xfId="27523" xr:uid="{00000000-0005-0000-0000-00009A400000}"/>
    <cellStyle name="40% - Accent4 5 9 3" xfId="23133" xr:uid="{00000000-0005-0000-0000-00009B400000}"/>
    <cellStyle name="40% - Accent4 6" xfId="4170" xr:uid="{00000000-0005-0000-0000-00009C400000}"/>
    <cellStyle name="40% - Accent4 6 10" xfId="4171" xr:uid="{00000000-0005-0000-0000-00009D400000}"/>
    <cellStyle name="40% - Accent4 6 10 2" xfId="15341" xr:uid="{00000000-0005-0000-0000-00009E400000}"/>
    <cellStyle name="40% - Accent4 6 10 2 2" xfId="28890" xr:uid="{00000000-0005-0000-0000-00009F400000}"/>
    <cellStyle name="40% - Accent4 6 10 3" xfId="23132" xr:uid="{00000000-0005-0000-0000-0000A0400000}"/>
    <cellStyle name="40% - Accent4 6 11" xfId="4172" xr:uid="{00000000-0005-0000-0000-0000A1400000}"/>
    <cellStyle name="40% - Accent4 6 11 2" xfId="15966" xr:uid="{00000000-0005-0000-0000-0000A2400000}"/>
    <cellStyle name="40% - Accent4 6 11 2 2" xfId="29373" xr:uid="{00000000-0005-0000-0000-0000A3400000}"/>
    <cellStyle name="40% - Accent4 6 11 3" xfId="23131" xr:uid="{00000000-0005-0000-0000-0000A4400000}"/>
    <cellStyle name="40% - Accent4 6 12" xfId="9408" xr:uid="{00000000-0005-0000-0000-0000A5400000}"/>
    <cellStyle name="40% - Accent4 6 12 2" xfId="23883" xr:uid="{00000000-0005-0000-0000-0000A6400000}"/>
    <cellStyle name="40% - Accent4 6 13" xfId="24284" xr:uid="{00000000-0005-0000-0000-0000A7400000}"/>
    <cellStyle name="40% - Accent4 6 2" xfId="4173" xr:uid="{00000000-0005-0000-0000-0000A8400000}"/>
    <cellStyle name="40% - Accent4 6 2 10" xfId="4174" xr:uid="{00000000-0005-0000-0000-0000A9400000}"/>
    <cellStyle name="40% - Accent4 6 2 10 2" xfId="16109" xr:uid="{00000000-0005-0000-0000-0000AA400000}"/>
    <cellStyle name="40% - Accent4 6 2 10 2 2" xfId="29516" xr:uid="{00000000-0005-0000-0000-0000AB400000}"/>
    <cellStyle name="40% - Accent4 6 2 10 3" xfId="23130" xr:uid="{00000000-0005-0000-0000-0000AC400000}"/>
    <cellStyle name="40% - Accent4 6 2 11" xfId="9409" xr:uid="{00000000-0005-0000-0000-0000AD400000}"/>
    <cellStyle name="40% - Accent4 6 2 11 2" xfId="23884" xr:uid="{00000000-0005-0000-0000-0000AE400000}"/>
    <cellStyle name="40% - Accent4 6 2 12" xfId="29160" xr:uid="{00000000-0005-0000-0000-0000AF400000}"/>
    <cellStyle name="40% - Accent4 6 2 2" xfId="4175" xr:uid="{00000000-0005-0000-0000-0000B0400000}"/>
    <cellStyle name="40% - Accent4 6 2 2 10" xfId="9410" xr:uid="{00000000-0005-0000-0000-0000B1400000}"/>
    <cellStyle name="40% - Accent4 6 2 2 10 2" xfId="23885" xr:uid="{00000000-0005-0000-0000-0000B2400000}"/>
    <cellStyle name="40% - Accent4 6 2 2 11" xfId="23129" xr:uid="{00000000-0005-0000-0000-0000B3400000}"/>
    <cellStyle name="40% - Accent4 6 2 2 2" xfId="4176" xr:uid="{00000000-0005-0000-0000-0000B4400000}"/>
    <cellStyle name="40% - Accent4 6 2 2 2 2" xfId="4177" xr:uid="{00000000-0005-0000-0000-0000B5400000}"/>
    <cellStyle name="40% - Accent4 6 2 2 2 2 2" xfId="11138" xr:uid="{00000000-0005-0000-0000-0000B6400000}"/>
    <cellStyle name="40% - Accent4 6 2 2 2 2 2 2" xfId="25080" xr:uid="{00000000-0005-0000-0000-0000B7400000}"/>
    <cellStyle name="40% - Accent4 6 2 2 2 2 3" xfId="23128" xr:uid="{00000000-0005-0000-0000-0000B8400000}"/>
    <cellStyle name="40% - Accent4 6 2 2 2 3" xfId="4178" xr:uid="{00000000-0005-0000-0000-0000B9400000}"/>
    <cellStyle name="40% - Accent4 6 2 2 2 3 2" xfId="12917" xr:uid="{00000000-0005-0000-0000-0000BA400000}"/>
    <cellStyle name="40% - Accent4 6 2 2 2 3 2 2" xfId="26629" xr:uid="{00000000-0005-0000-0000-0000BB400000}"/>
    <cellStyle name="40% - Accent4 6 2 2 2 3 3" xfId="23127" xr:uid="{00000000-0005-0000-0000-0000BC400000}"/>
    <cellStyle name="40% - Accent4 6 2 2 2 4" xfId="4179" xr:uid="{00000000-0005-0000-0000-0000BD400000}"/>
    <cellStyle name="40% - Accent4 6 2 2 2 4 2" xfId="15344" xr:uid="{00000000-0005-0000-0000-0000BE400000}"/>
    <cellStyle name="40% - Accent4 6 2 2 2 4 2 2" xfId="28893" xr:uid="{00000000-0005-0000-0000-0000BF400000}"/>
    <cellStyle name="40% - Accent4 6 2 2 2 4 3" xfId="24285" xr:uid="{00000000-0005-0000-0000-0000C0400000}"/>
    <cellStyle name="40% - Accent4 6 2 2 2 5" xfId="4180" xr:uid="{00000000-0005-0000-0000-0000C1400000}"/>
    <cellStyle name="40% - Accent4 6 2 2 2 5 2" xfId="16979" xr:uid="{00000000-0005-0000-0000-0000C2400000}"/>
    <cellStyle name="40% - Accent4 6 2 2 2 5 2 2" xfId="30386" xr:uid="{00000000-0005-0000-0000-0000C3400000}"/>
    <cellStyle name="40% - Accent4 6 2 2 2 5 3" xfId="23126" xr:uid="{00000000-0005-0000-0000-0000C4400000}"/>
    <cellStyle name="40% - Accent4 6 2 2 2 6" xfId="9411" xr:uid="{00000000-0005-0000-0000-0000C5400000}"/>
    <cellStyle name="40% - Accent4 6 2 2 2 6 2" xfId="23886" xr:uid="{00000000-0005-0000-0000-0000C6400000}"/>
    <cellStyle name="40% - Accent4 6 2 2 2 7" xfId="26854" xr:uid="{00000000-0005-0000-0000-0000C7400000}"/>
    <cellStyle name="40% - Accent4 6 2 2 3" xfId="4181" xr:uid="{00000000-0005-0000-0000-0000C8400000}"/>
    <cellStyle name="40% - Accent4 6 2 2 3 2" xfId="4182" xr:uid="{00000000-0005-0000-0000-0000C9400000}"/>
    <cellStyle name="40% - Accent4 6 2 2 3 2 2" xfId="15345" xr:uid="{00000000-0005-0000-0000-0000CA400000}"/>
    <cellStyle name="40% - Accent4 6 2 2 3 2 2 2" xfId="28894" xr:uid="{00000000-0005-0000-0000-0000CB400000}"/>
    <cellStyle name="40% - Accent4 6 2 2 3 2 3" xfId="23125" xr:uid="{00000000-0005-0000-0000-0000CC400000}"/>
    <cellStyle name="40% - Accent4 6 2 2 3 3" xfId="11137" xr:uid="{00000000-0005-0000-0000-0000CD400000}"/>
    <cellStyle name="40% - Accent4 6 2 2 3 3 2" xfId="25079" xr:uid="{00000000-0005-0000-0000-0000CE400000}"/>
    <cellStyle name="40% - Accent4 6 2 2 3 4" xfId="25284" xr:uid="{00000000-0005-0000-0000-0000CF400000}"/>
    <cellStyle name="40% - Accent4 6 2 2 4" xfId="4183" xr:uid="{00000000-0005-0000-0000-0000D0400000}"/>
    <cellStyle name="40% - Accent4 6 2 2 4 2" xfId="12367" xr:uid="{00000000-0005-0000-0000-0000D1400000}"/>
    <cellStyle name="40% - Accent4 6 2 2 4 2 2" xfId="26079" xr:uid="{00000000-0005-0000-0000-0000D2400000}"/>
    <cellStyle name="40% - Accent4 6 2 2 4 3" xfId="23124" xr:uid="{00000000-0005-0000-0000-0000D3400000}"/>
    <cellStyle name="40% - Accent4 6 2 2 5" xfId="4184" xr:uid="{00000000-0005-0000-0000-0000D4400000}"/>
    <cellStyle name="40% - Accent4 6 2 2 5 2" xfId="12916" xr:uid="{00000000-0005-0000-0000-0000D5400000}"/>
    <cellStyle name="40% - Accent4 6 2 2 5 2 2" xfId="26628" xr:uid="{00000000-0005-0000-0000-0000D6400000}"/>
    <cellStyle name="40% - Accent4 6 2 2 5 3" xfId="23123" xr:uid="{00000000-0005-0000-0000-0000D7400000}"/>
    <cellStyle name="40% - Accent4 6 2 2 6" xfId="4185" xr:uid="{00000000-0005-0000-0000-0000D8400000}"/>
    <cellStyle name="40% - Accent4 6 2 2 6 2" xfId="13931" xr:uid="{00000000-0005-0000-0000-0000D9400000}"/>
    <cellStyle name="40% - Accent4 6 2 2 6 2 2" xfId="27480" xr:uid="{00000000-0005-0000-0000-0000DA400000}"/>
    <cellStyle name="40% - Accent4 6 2 2 6 3" xfId="24280" xr:uid="{00000000-0005-0000-0000-0000DB400000}"/>
    <cellStyle name="40% - Accent4 6 2 2 7" xfId="4186" xr:uid="{00000000-0005-0000-0000-0000DC400000}"/>
    <cellStyle name="40% - Accent4 6 2 2 7 2" xfId="14512" xr:uid="{00000000-0005-0000-0000-0000DD400000}"/>
    <cellStyle name="40% - Accent4 6 2 2 7 2 2" xfId="28061" xr:uid="{00000000-0005-0000-0000-0000DE400000}"/>
    <cellStyle name="40% - Accent4 6 2 2 7 3" xfId="23122" xr:uid="{00000000-0005-0000-0000-0000DF400000}"/>
    <cellStyle name="40% - Accent4 6 2 2 8" xfId="4187" xr:uid="{00000000-0005-0000-0000-0000E0400000}"/>
    <cellStyle name="40% - Accent4 6 2 2 8 2" xfId="15343" xr:uid="{00000000-0005-0000-0000-0000E1400000}"/>
    <cellStyle name="40% - Accent4 6 2 2 8 2 2" xfId="28892" xr:uid="{00000000-0005-0000-0000-0000E2400000}"/>
    <cellStyle name="40% - Accent4 6 2 2 8 3" xfId="23121" xr:uid="{00000000-0005-0000-0000-0000E3400000}"/>
    <cellStyle name="40% - Accent4 6 2 2 9" xfId="4188" xr:uid="{00000000-0005-0000-0000-0000E4400000}"/>
    <cellStyle name="40% - Accent4 6 2 2 9 2" xfId="16398" xr:uid="{00000000-0005-0000-0000-0000E5400000}"/>
    <cellStyle name="40% - Accent4 6 2 2 9 2 2" xfId="29805" xr:uid="{00000000-0005-0000-0000-0000E6400000}"/>
    <cellStyle name="40% - Accent4 6 2 2 9 3" xfId="29159" xr:uid="{00000000-0005-0000-0000-0000E7400000}"/>
    <cellStyle name="40% - Accent4 6 2 3" xfId="4189" xr:uid="{00000000-0005-0000-0000-0000E8400000}"/>
    <cellStyle name="40% - Accent4 6 2 3 2" xfId="4190" xr:uid="{00000000-0005-0000-0000-0000E9400000}"/>
    <cellStyle name="40% - Accent4 6 2 3 2 2" xfId="11139" xr:uid="{00000000-0005-0000-0000-0000EA400000}"/>
    <cellStyle name="40% - Accent4 6 2 3 2 2 2" xfId="25081" xr:uid="{00000000-0005-0000-0000-0000EB400000}"/>
    <cellStyle name="40% - Accent4 6 2 3 2 3" xfId="23119" xr:uid="{00000000-0005-0000-0000-0000EC400000}"/>
    <cellStyle name="40% - Accent4 6 2 3 3" xfId="4191" xr:uid="{00000000-0005-0000-0000-0000ED400000}"/>
    <cellStyle name="40% - Accent4 6 2 3 3 2" xfId="12918" xr:uid="{00000000-0005-0000-0000-0000EE400000}"/>
    <cellStyle name="40% - Accent4 6 2 3 3 2 2" xfId="26630" xr:uid="{00000000-0005-0000-0000-0000EF400000}"/>
    <cellStyle name="40% - Accent4 6 2 3 3 3" xfId="26853" xr:uid="{00000000-0005-0000-0000-0000F0400000}"/>
    <cellStyle name="40% - Accent4 6 2 3 4" xfId="4192" xr:uid="{00000000-0005-0000-0000-0000F1400000}"/>
    <cellStyle name="40% - Accent4 6 2 3 4 2" xfId="15346" xr:uid="{00000000-0005-0000-0000-0000F2400000}"/>
    <cellStyle name="40% - Accent4 6 2 3 4 2 2" xfId="28895" xr:uid="{00000000-0005-0000-0000-0000F3400000}"/>
    <cellStyle name="40% - Accent4 6 2 3 4 3" xfId="23118" xr:uid="{00000000-0005-0000-0000-0000F4400000}"/>
    <cellStyle name="40% - Accent4 6 2 3 5" xfId="4193" xr:uid="{00000000-0005-0000-0000-0000F5400000}"/>
    <cellStyle name="40% - Accent4 6 2 3 5 2" xfId="16690" xr:uid="{00000000-0005-0000-0000-0000F6400000}"/>
    <cellStyle name="40% - Accent4 6 2 3 5 2 2" xfId="30097" xr:uid="{00000000-0005-0000-0000-0000F7400000}"/>
    <cellStyle name="40% - Accent4 6 2 3 5 3" xfId="23117" xr:uid="{00000000-0005-0000-0000-0000F8400000}"/>
    <cellStyle name="40% - Accent4 6 2 3 6" xfId="9412" xr:uid="{00000000-0005-0000-0000-0000F9400000}"/>
    <cellStyle name="40% - Accent4 6 2 3 6 2" xfId="23887" xr:uid="{00000000-0005-0000-0000-0000FA400000}"/>
    <cellStyle name="40% - Accent4 6 2 3 7" xfId="23120" xr:uid="{00000000-0005-0000-0000-0000FB400000}"/>
    <cellStyle name="40% - Accent4 6 2 4" xfId="4194" xr:uid="{00000000-0005-0000-0000-0000FC400000}"/>
    <cellStyle name="40% - Accent4 6 2 4 2" xfId="4195" xr:uid="{00000000-0005-0000-0000-0000FD400000}"/>
    <cellStyle name="40% - Accent4 6 2 4 2 2" xfId="15347" xr:uid="{00000000-0005-0000-0000-0000FE400000}"/>
    <cellStyle name="40% - Accent4 6 2 4 2 2 2" xfId="28896" xr:uid="{00000000-0005-0000-0000-0000FF400000}"/>
    <cellStyle name="40% - Accent4 6 2 4 2 3" xfId="23116" xr:uid="{00000000-0005-0000-0000-000000410000}"/>
    <cellStyle name="40% - Accent4 6 2 4 3" xfId="11136" xr:uid="{00000000-0005-0000-0000-000001410000}"/>
    <cellStyle name="40% - Accent4 6 2 4 3 2" xfId="25078" xr:uid="{00000000-0005-0000-0000-000002410000}"/>
    <cellStyle name="40% - Accent4 6 2 4 4" xfId="24283" xr:uid="{00000000-0005-0000-0000-000003410000}"/>
    <cellStyle name="40% - Accent4 6 2 5" xfId="4196" xr:uid="{00000000-0005-0000-0000-000004410000}"/>
    <cellStyle name="40% - Accent4 6 2 5 2" xfId="12067" xr:uid="{00000000-0005-0000-0000-000005410000}"/>
    <cellStyle name="40% - Accent4 6 2 5 2 2" xfId="25782" xr:uid="{00000000-0005-0000-0000-000006410000}"/>
    <cellStyle name="40% - Accent4 6 2 5 3" xfId="25283" xr:uid="{00000000-0005-0000-0000-000007410000}"/>
    <cellStyle name="40% - Accent4 6 2 6" xfId="4197" xr:uid="{00000000-0005-0000-0000-000008410000}"/>
    <cellStyle name="40% - Accent4 6 2 6 2" xfId="12915" xr:uid="{00000000-0005-0000-0000-000009410000}"/>
    <cellStyle name="40% - Accent4 6 2 6 2 2" xfId="26627" xr:uid="{00000000-0005-0000-0000-00000A410000}"/>
    <cellStyle name="40% - Accent4 6 2 6 3" xfId="23115" xr:uid="{00000000-0005-0000-0000-00000B410000}"/>
    <cellStyle name="40% - Accent4 6 2 7" xfId="4198" xr:uid="{00000000-0005-0000-0000-00000C410000}"/>
    <cellStyle name="40% - Accent4 6 2 7 2" xfId="13642" xr:uid="{00000000-0005-0000-0000-00000D410000}"/>
    <cellStyle name="40% - Accent4 6 2 7 2 2" xfId="27191" xr:uid="{00000000-0005-0000-0000-00000E410000}"/>
    <cellStyle name="40% - Accent4 6 2 7 3" xfId="23114" xr:uid="{00000000-0005-0000-0000-00000F410000}"/>
    <cellStyle name="40% - Accent4 6 2 8" xfId="4199" xr:uid="{00000000-0005-0000-0000-000010410000}"/>
    <cellStyle name="40% - Accent4 6 2 8 2" xfId="14223" xr:uid="{00000000-0005-0000-0000-000011410000}"/>
    <cellStyle name="40% - Accent4 6 2 8 2 2" xfId="27772" xr:uid="{00000000-0005-0000-0000-000012410000}"/>
    <cellStyle name="40% - Accent4 6 2 8 3" xfId="24281" xr:uid="{00000000-0005-0000-0000-000013410000}"/>
    <cellStyle name="40% - Accent4 6 2 9" xfId="4200" xr:uid="{00000000-0005-0000-0000-000014410000}"/>
    <cellStyle name="40% - Accent4 6 2 9 2" xfId="15342" xr:uid="{00000000-0005-0000-0000-000015410000}"/>
    <cellStyle name="40% - Accent4 6 2 9 2 2" xfId="28891" xr:uid="{00000000-0005-0000-0000-000016410000}"/>
    <cellStyle name="40% - Accent4 6 2 9 3" xfId="23113" xr:uid="{00000000-0005-0000-0000-000017410000}"/>
    <cellStyle name="40% - Accent4 6 3" xfId="4201" xr:uid="{00000000-0005-0000-0000-000018410000}"/>
    <cellStyle name="40% - Accent4 6 3 10" xfId="9413" xr:uid="{00000000-0005-0000-0000-000019410000}"/>
    <cellStyle name="40% - Accent4 6 3 10 2" xfId="23888" xr:uid="{00000000-0005-0000-0000-00001A410000}"/>
    <cellStyle name="40% - Accent4 6 3 11" xfId="23112" xr:uid="{00000000-0005-0000-0000-00001B410000}"/>
    <cellStyle name="40% - Accent4 6 3 2" xfId="4202" xr:uid="{00000000-0005-0000-0000-00001C410000}"/>
    <cellStyle name="40% - Accent4 6 3 2 2" xfId="4203" xr:uid="{00000000-0005-0000-0000-00001D410000}"/>
    <cellStyle name="40% - Accent4 6 3 2 2 2" xfId="11141" xr:uid="{00000000-0005-0000-0000-00001E410000}"/>
    <cellStyle name="40% - Accent4 6 3 2 2 2 2" xfId="25083" xr:uid="{00000000-0005-0000-0000-00001F410000}"/>
    <cellStyle name="40% - Accent4 6 3 2 2 3" xfId="23111" xr:uid="{00000000-0005-0000-0000-000020410000}"/>
    <cellStyle name="40% - Accent4 6 3 2 3" xfId="4204" xr:uid="{00000000-0005-0000-0000-000021410000}"/>
    <cellStyle name="40% - Accent4 6 3 2 3 2" xfId="12920" xr:uid="{00000000-0005-0000-0000-000022410000}"/>
    <cellStyle name="40% - Accent4 6 3 2 3 2 2" xfId="26632" xr:uid="{00000000-0005-0000-0000-000023410000}"/>
    <cellStyle name="40% - Accent4 6 3 2 3 3" xfId="23110" xr:uid="{00000000-0005-0000-0000-000024410000}"/>
    <cellStyle name="40% - Accent4 6 3 2 4" xfId="4205" xr:uid="{00000000-0005-0000-0000-000025410000}"/>
    <cellStyle name="40% - Accent4 6 3 2 4 2" xfId="15349" xr:uid="{00000000-0005-0000-0000-000026410000}"/>
    <cellStyle name="40% - Accent4 6 3 2 4 2 2" xfId="28898" xr:uid="{00000000-0005-0000-0000-000027410000}"/>
    <cellStyle name="40% - Accent4 6 3 2 4 3" xfId="26852" xr:uid="{00000000-0005-0000-0000-000028410000}"/>
    <cellStyle name="40% - Accent4 6 3 2 5" xfId="4206" xr:uid="{00000000-0005-0000-0000-000029410000}"/>
    <cellStyle name="40% - Accent4 6 3 2 5 2" xfId="16836" xr:uid="{00000000-0005-0000-0000-00002A410000}"/>
    <cellStyle name="40% - Accent4 6 3 2 5 2 2" xfId="30243" xr:uid="{00000000-0005-0000-0000-00002B410000}"/>
    <cellStyle name="40% - Accent4 6 3 2 5 3" xfId="23109" xr:uid="{00000000-0005-0000-0000-00002C410000}"/>
    <cellStyle name="40% - Accent4 6 3 2 6" xfId="9414" xr:uid="{00000000-0005-0000-0000-00002D410000}"/>
    <cellStyle name="40% - Accent4 6 3 2 6 2" xfId="23889" xr:uid="{00000000-0005-0000-0000-00002E410000}"/>
    <cellStyle name="40% - Accent4 6 3 2 7" xfId="29158" xr:uid="{00000000-0005-0000-0000-00002F410000}"/>
    <cellStyle name="40% - Accent4 6 3 3" xfId="4207" xr:uid="{00000000-0005-0000-0000-000030410000}"/>
    <cellStyle name="40% - Accent4 6 3 3 2" xfId="4208" xr:uid="{00000000-0005-0000-0000-000031410000}"/>
    <cellStyle name="40% - Accent4 6 3 3 2 2" xfId="15350" xr:uid="{00000000-0005-0000-0000-000032410000}"/>
    <cellStyle name="40% - Accent4 6 3 3 2 2 2" xfId="28899" xr:uid="{00000000-0005-0000-0000-000033410000}"/>
    <cellStyle name="40% - Accent4 6 3 3 2 3" xfId="24282" xr:uid="{00000000-0005-0000-0000-000034410000}"/>
    <cellStyle name="40% - Accent4 6 3 3 3" xfId="11140" xr:uid="{00000000-0005-0000-0000-000035410000}"/>
    <cellStyle name="40% - Accent4 6 3 3 3 2" xfId="25082" xr:uid="{00000000-0005-0000-0000-000036410000}"/>
    <cellStyle name="40% - Accent4 6 3 3 4" xfId="23108" xr:uid="{00000000-0005-0000-0000-000037410000}"/>
    <cellStyle name="40% - Accent4 6 3 4" xfId="4209" xr:uid="{00000000-0005-0000-0000-000038410000}"/>
    <cellStyle name="40% - Accent4 6 3 4 2" xfId="12224" xr:uid="{00000000-0005-0000-0000-000039410000}"/>
    <cellStyle name="40% - Accent4 6 3 4 2 2" xfId="25936" xr:uid="{00000000-0005-0000-0000-00003A410000}"/>
    <cellStyle name="40% - Accent4 6 3 4 3" xfId="23107" xr:uid="{00000000-0005-0000-0000-00003B410000}"/>
    <cellStyle name="40% - Accent4 6 3 5" xfId="4210" xr:uid="{00000000-0005-0000-0000-00003C410000}"/>
    <cellStyle name="40% - Accent4 6 3 5 2" xfId="12919" xr:uid="{00000000-0005-0000-0000-00003D410000}"/>
    <cellStyle name="40% - Accent4 6 3 5 2 2" xfId="26631" xr:uid="{00000000-0005-0000-0000-00003E410000}"/>
    <cellStyle name="40% - Accent4 6 3 5 3" xfId="25282" xr:uid="{00000000-0005-0000-0000-00003F410000}"/>
    <cellStyle name="40% - Accent4 6 3 6" xfId="4211" xr:uid="{00000000-0005-0000-0000-000040410000}"/>
    <cellStyle name="40% - Accent4 6 3 6 2" xfId="13788" xr:uid="{00000000-0005-0000-0000-000041410000}"/>
    <cellStyle name="40% - Accent4 6 3 6 2 2" xfId="27337" xr:uid="{00000000-0005-0000-0000-000042410000}"/>
    <cellStyle name="40% - Accent4 6 3 6 3" xfId="23106" xr:uid="{00000000-0005-0000-0000-000043410000}"/>
    <cellStyle name="40% - Accent4 6 3 7" xfId="4212" xr:uid="{00000000-0005-0000-0000-000044410000}"/>
    <cellStyle name="40% - Accent4 6 3 7 2" xfId="14369" xr:uid="{00000000-0005-0000-0000-000045410000}"/>
    <cellStyle name="40% - Accent4 6 3 7 2 2" xfId="27918" xr:uid="{00000000-0005-0000-0000-000046410000}"/>
    <cellStyle name="40% - Accent4 6 3 7 3" xfId="23105" xr:uid="{00000000-0005-0000-0000-000047410000}"/>
    <cellStyle name="40% - Accent4 6 3 8" xfId="4213" xr:uid="{00000000-0005-0000-0000-000048410000}"/>
    <cellStyle name="40% - Accent4 6 3 8 2" xfId="15348" xr:uid="{00000000-0005-0000-0000-000049410000}"/>
    <cellStyle name="40% - Accent4 6 3 8 2 2" xfId="28897" xr:uid="{00000000-0005-0000-0000-00004A410000}"/>
    <cellStyle name="40% - Accent4 6 3 8 3" xfId="23104" xr:uid="{00000000-0005-0000-0000-00004B410000}"/>
    <cellStyle name="40% - Accent4 6 3 9" xfId="4214" xr:uid="{00000000-0005-0000-0000-00004C410000}"/>
    <cellStyle name="40% - Accent4 6 3 9 2" xfId="16255" xr:uid="{00000000-0005-0000-0000-00004D410000}"/>
    <cellStyle name="40% - Accent4 6 3 9 2 2" xfId="29662" xr:uid="{00000000-0005-0000-0000-00004E410000}"/>
    <cellStyle name="40% - Accent4 6 3 9 3" xfId="23103" xr:uid="{00000000-0005-0000-0000-00004F410000}"/>
    <cellStyle name="40% - Accent4 6 4" xfId="4215" xr:uid="{00000000-0005-0000-0000-000050410000}"/>
    <cellStyle name="40% - Accent4 6 4 2" xfId="4216" xr:uid="{00000000-0005-0000-0000-000051410000}"/>
    <cellStyle name="40% - Accent4 6 4 2 2" xfId="11142" xr:uid="{00000000-0005-0000-0000-000052410000}"/>
    <cellStyle name="40% - Accent4 6 4 2 2 2" xfId="25084" xr:uid="{00000000-0005-0000-0000-000053410000}"/>
    <cellStyle name="40% - Accent4 6 4 2 3" xfId="23101" xr:uid="{00000000-0005-0000-0000-000054410000}"/>
    <cellStyle name="40% - Accent4 6 4 3" xfId="4217" xr:uid="{00000000-0005-0000-0000-000055410000}"/>
    <cellStyle name="40% - Accent4 6 4 3 2" xfId="12921" xr:uid="{00000000-0005-0000-0000-000056410000}"/>
    <cellStyle name="40% - Accent4 6 4 3 2 2" xfId="26633" xr:uid="{00000000-0005-0000-0000-000057410000}"/>
    <cellStyle name="40% - Accent4 6 4 3 3" xfId="29157" xr:uid="{00000000-0005-0000-0000-000058410000}"/>
    <cellStyle name="40% - Accent4 6 4 4" xfId="4218" xr:uid="{00000000-0005-0000-0000-000059410000}"/>
    <cellStyle name="40% - Accent4 6 4 4 2" xfId="15351" xr:uid="{00000000-0005-0000-0000-00005A410000}"/>
    <cellStyle name="40% - Accent4 6 4 4 2 2" xfId="28900" xr:uid="{00000000-0005-0000-0000-00005B410000}"/>
    <cellStyle name="40% - Accent4 6 4 4 3" xfId="23100" xr:uid="{00000000-0005-0000-0000-00005C410000}"/>
    <cellStyle name="40% - Accent4 6 4 5" xfId="4219" xr:uid="{00000000-0005-0000-0000-00005D410000}"/>
    <cellStyle name="40% - Accent4 6 4 5 2" xfId="16547" xr:uid="{00000000-0005-0000-0000-00005E410000}"/>
    <cellStyle name="40% - Accent4 6 4 5 2 2" xfId="29954" xr:uid="{00000000-0005-0000-0000-00005F410000}"/>
    <cellStyle name="40% - Accent4 6 4 5 3" xfId="23099" xr:uid="{00000000-0005-0000-0000-000060410000}"/>
    <cellStyle name="40% - Accent4 6 4 6" xfId="9415" xr:uid="{00000000-0005-0000-0000-000061410000}"/>
    <cellStyle name="40% - Accent4 6 4 6 2" xfId="23890" xr:uid="{00000000-0005-0000-0000-000062410000}"/>
    <cellStyle name="40% - Accent4 6 4 7" xfId="23102" xr:uid="{00000000-0005-0000-0000-000063410000}"/>
    <cellStyle name="40% - Accent4 6 5" xfId="4220" xr:uid="{00000000-0005-0000-0000-000064410000}"/>
    <cellStyle name="40% - Accent4 6 5 2" xfId="4221" xr:uid="{00000000-0005-0000-0000-000065410000}"/>
    <cellStyle name="40% - Accent4 6 5 2 2" xfId="15352" xr:uid="{00000000-0005-0000-0000-000066410000}"/>
    <cellStyle name="40% - Accent4 6 5 2 2 2" xfId="28901" xr:uid="{00000000-0005-0000-0000-000067410000}"/>
    <cellStyle name="40% - Accent4 6 5 2 3" xfId="23098" xr:uid="{00000000-0005-0000-0000-000068410000}"/>
    <cellStyle name="40% - Accent4 6 5 3" xfId="11135" xr:uid="{00000000-0005-0000-0000-000069410000}"/>
    <cellStyle name="40% - Accent4 6 5 3 2" xfId="25077" xr:uid="{00000000-0005-0000-0000-00006A410000}"/>
    <cellStyle name="40% - Accent4 6 5 4" xfId="26851" xr:uid="{00000000-0005-0000-0000-00006B410000}"/>
    <cellStyle name="40% - Accent4 6 6" xfId="4222" xr:uid="{00000000-0005-0000-0000-00006C410000}"/>
    <cellStyle name="40% - Accent4 6 6 2" xfId="11922" xr:uid="{00000000-0005-0000-0000-00006D410000}"/>
    <cellStyle name="40% - Accent4 6 6 2 2" xfId="25637" xr:uid="{00000000-0005-0000-0000-00006E410000}"/>
    <cellStyle name="40% - Accent4 6 6 3" xfId="23097" xr:uid="{00000000-0005-0000-0000-00006F410000}"/>
    <cellStyle name="40% - Accent4 6 7" xfId="4223" xr:uid="{00000000-0005-0000-0000-000070410000}"/>
    <cellStyle name="40% - Accent4 6 7 2" xfId="12914" xr:uid="{00000000-0005-0000-0000-000071410000}"/>
    <cellStyle name="40% - Accent4 6 7 2 2" xfId="26626" xr:uid="{00000000-0005-0000-0000-000072410000}"/>
    <cellStyle name="40% - Accent4 6 7 3" xfId="24279" xr:uid="{00000000-0005-0000-0000-000073410000}"/>
    <cellStyle name="40% - Accent4 6 8" xfId="4224" xr:uid="{00000000-0005-0000-0000-000074410000}"/>
    <cellStyle name="40% - Accent4 6 8 2" xfId="13499" xr:uid="{00000000-0005-0000-0000-000075410000}"/>
    <cellStyle name="40% - Accent4 6 8 2 2" xfId="27048" xr:uid="{00000000-0005-0000-0000-000076410000}"/>
    <cellStyle name="40% - Accent4 6 8 3" xfId="25281" xr:uid="{00000000-0005-0000-0000-000077410000}"/>
    <cellStyle name="40% - Accent4 6 9" xfId="4225" xr:uid="{00000000-0005-0000-0000-000078410000}"/>
    <cellStyle name="40% - Accent4 6 9 2" xfId="14080" xr:uid="{00000000-0005-0000-0000-000079410000}"/>
    <cellStyle name="40% - Accent4 6 9 2 2" xfId="27629" xr:uid="{00000000-0005-0000-0000-00007A410000}"/>
    <cellStyle name="40% - Accent4 6 9 3" xfId="23096" xr:uid="{00000000-0005-0000-0000-00007B410000}"/>
    <cellStyle name="40% - Accent4 7" xfId="4226" xr:uid="{00000000-0005-0000-0000-00007C410000}"/>
    <cellStyle name="40% - Accent4 7 10" xfId="4227" xr:uid="{00000000-0005-0000-0000-00007D410000}"/>
    <cellStyle name="40% - Accent4 7 10 2" xfId="15984" xr:uid="{00000000-0005-0000-0000-00007E410000}"/>
    <cellStyle name="40% - Accent4 7 10 2 2" xfId="29391" xr:uid="{00000000-0005-0000-0000-00007F410000}"/>
    <cellStyle name="40% - Accent4 7 10 3" xfId="24278" xr:uid="{00000000-0005-0000-0000-000080410000}"/>
    <cellStyle name="40% - Accent4 7 11" xfId="9416" xr:uid="{00000000-0005-0000-0000-000081410000}"/>
    <cellStyle name="40% - Accent4 7 11 2" xfId="23891" xr:uid="{00000000-0005-0000-0000-000082410000}"/>
    <cellStyle name="40% - Accent4 7 12" xfId="23095" xr:uid="{00000000-0005-0000-0000-000083410000}"/>
    <cellStyle name="40% - Accent4 7 2" xfId="4228" xr:uid="{00000000-0005-0000-0000-000084410000}"/>
    <cellStyle name="40% - Accent4 7 2 10" xfId="9417" xr:uid="{00000000-0005-0000-0000-000085410000}"/>
    <cellStyle name="40% - Accent4 7 2 10 2" xfId="23892" xr:uid="{00000000-0005-0000-0000-000086410000}"/>
    <cellStyle name="40% - Accent4 7 2 11" xfId="23094" xr:uid="{00000000-0005-0000-0000-000087410000}"/>
    <cellStyle name="40% - Accent4 7 2 2" xfId="4229" xr:uid="{00000000-0005-0000-0000-000088410000}"/>
    <cellStyle name="40% - Accent4 7 2 2 2" xfId="4230" xr:uid="{00000000-0005-0000-0000-000089410000}"/>
    <cellStyle name="40% - Accent4 7 2 2 2 2" xfId="11145" xr:uid="{00000000-0005-0000-0000-00008A410000}"/>
    <cellStyle name="40% - Accent4 7 2 2 2 2 2" xfId="25087" xr:uid="{00000000-0005-0000-0000-00008B410000}"/>
    <cellStyle name="40% - Accent4 7 2 2 2 3" xfId="24276" xr:uid="{00000000-0005-0000-0000-00008C410000}"/>
    <cellStyle name="40% - Accent4 7 2 2 3" xfId="4231" xr:uid="{00000000-0005-0000-0000-00008D410000}"/>
    <cellStyle name="40% - Accent4 7 2 2 3 2" xfId="12924" xr:uid="{00000000-0005-0000-0000-00008E410000}"/>
    <cellStyle name="40% - Accent4 7 2 2 3 2 2" xfId="26636" xr:uid="{00000000-0005-0000-0000-00008F410000}"/>
    <cellStyle name="40% - Accent4 7 2 2 3 3" xfId="23092" xr:uid="{00000000-0005-0000-0000-000090410000}"/>
    <cellStyle name="40% - Accent4 7 2 2 4" xfId="4232" xr:uid="{00000000-0005-0000-0000-000091410000}"/>
    <cellStyle name="40% - Accent4 7 2 2 4 2" xfId="15355" xr:uid="{00000000-0005-0000-0000-000092410000}"/>
    <cellStyle name="40% - Accent4 7 2 2 4 2 2" xfId="28904" xr:uid="{00000000-0005-0000-0000-000093410000}"/>
    <cellStyle name="40% - Accent4 7 2 2 4 3" xfId="23091" xr:uid="{00000000-0005-0000-0000-000094410000}"/>
    <cellStyle name="40% - Accent4 7 2 2 5" xfId="4233" xr:uid="{00000000-0005-0000-0000-000095410000}"/>
    <cellStyle name="40% - Accent4 7 2 2 5 2" xfId="16854" xr:uid="{00000000-0005-0000-0000-000096410000}"/>
    <cellStyle name="40% - Accent4 7 2 2 5 2 2" xfId="30261" xr:uid="{00000000-0005-0000-0000-000097410000}"/>
    <cellStyle name="40% - Accent4 7 2 2 5 3" xfId="29156" xr:uid="{00000000-0005-0000-0000-000098410000}"/>
    <cellStyle name="40% - Accent4 7 2 2 6" xfId="9418" xr:uid="{00000000-0005-0000-0000-000099410000}"/>
    <cellStyle name="40% - Accent4 7 2 2 6 2" xfId="23893" xr:uid="{00000000-0005-0000-0000-00009A410000}"/>
    <cellStyle name="40% - Accent4 7 2 2 7" xfId="23093" xr:uid="{00000000-0005-0000-0000-00009B410000}"/>
    <cellStyle name="40% - Accent4 7 2 3" xfId="4234" xr:uid="{00000000-0005-0000-0000-00009C410000}"/>
    <cellStyle name="40% - Accent4 7 2 3 2" xfId="4235" xr:uid="{00000000-0005-0000-0000-00009D410000}"/>
    <cellStyle name="40% - Accent4 7 2 3 2 2" xfId="15356" xr:uid="{00000000-0005-0000-0000-00009E410000}"/>
    <cellStyle name="40% - Accent4 7 2 3 2 2 2" xfId="28905" xr:uid="{00000000-0005-0000-0000-00009F410000}"/>
    <cellStyle name="40% - Accent4 7 2 3 2 3" xfId="23089" xr:uid="{00000000-0005-0000-0000-0000A0410000}"/>
    <cellStyle name="40% - Accent4 7 2 3 3" xfId="11144" xr:uid="{00000000-0005-0000-0000-0000A1410000}"/>
    <cellStyle name="40% - Accent4 7 2 3 3 2" xfId="25086" xr:uid="{00000000-0005-0000-0000-0000A2410000}"/>
    <cellStyle name="40% - Accent4 7 2 3 4" xfId="23090" xr:uid="{00000000-0005-0000-0000-0000A3410000}"/>
    <cellStyle name="40% - Accent4 7 2 4" xfId="4236" xr:uid="{00000000-0005-0000-0000-0000A4410000}"/>
    <cellStyle name="40% - Accent4 7 2 4 2" xfId="12242" xr:uid="{00000000-0005-0000-0000-0000A5410000}"/>
    <cellStyle name="40% - Accent4 7 2 4 2 2" xfId="25954" xr:uid="{00000000-0005-0000-0000-0000A6410000}"/>
    <cellStyle name="40% - Accent4 7 2 4 3" xfId="26850" xr:uid="{00000000-0005-0000-0000-0000A7410000}"/>
    <cellStyle name="40% - Accent4 7 2 5" xfId="4237" xr:uid="{00000000-0005-0000-0000-0000A8410000}"/>
    <cellStyle name="40% - Accent4 7 2 5 2" xfId="12923" xr:uid="{00000000-0005-0000-0000-0000A9410000}"/>
    <cellStyle name="40% - Accent4 7 2 5 2 2" xfId="26635" xr:uid="{00000000-0005-0000-0000-0000AA410000}"/>
    <cellStyle name="40% - Accent4 7 2 5 3" xfId="23088" xr:uid="{00000000-0005-0000-0000-0000AB410000}"/>
    <cellStyle name="40% - Accent4 7 2 6" xfId="4238" xr:uid="{00000000-0005-0000-0000-0000AC410000}"/>
    <cellStyle name="40% - Accent4 7 2 6 2" xfId="13806" xr:uid="{00000000-0005-0000-0000-0000AD410000}"/>
    <cellStyle name="40% - Accent4 7 2 6 2 2" xfId="27355" xr:uid="{00000000-0005-0000-0000-0000AE410000}"/>
    <cellStyle name="40% - Accent4 7 2 6 3" xfId="23087" xr:uid="{00000000-0005-0000-0000-0000AF410000}"/>
    <cellStyle name="40% - Accent4 7 2 7" xfId="4239" xr:uid="{00000000-0005-0000-0000-0000B0410000}"/>
    <cellStyle name="40% - Accent4 7 2 7 2" xfId="14387" xr:uid="{00000000-0005-0000-0000-0000B1410000}"/>
    <cellStyle name="40% - Accent4 7 2 7 2 2" xfId="27936" xr:uid="{00000000-0005-0000-0000-0000B2410000}"/>
    <cellStyle name="40% - Accent4 7 2 7 3" xfId="24277" xr:uid="{00000000-0005-0000-0000-0000B3410000}"/>
    <cellStyle name="40% - Accent4 7 2 8" xfId="4240" xr:uid="{00000000-0005-0000-0000-0000B4410000}"/>
    <cellStyle name="40% - Accent4 7 2 8 2" xfId="15354" xr:uid="{00000000-0005-0000-0000-0000B5410000}"/>
    <cellStyle name="40% - Accent4 7 2 8 2 2" xfId="28903" xr:uid="{00000000-0005-0000-0000-0000B6410000}"/>
    <cellStyle name="40% - Accent4 7 2 8 3" xfId="23086" xr:uid="{00000000-0005-0000-0000-0000B7410000}"/>
    <cellStyle name="40% - Accent4 7 2 9" xfId="4241" xr:uid="{00000000-0005-0000-0000-0000B8410000}"/>
    <cellStyle name="40% - Accent4 7 2 9 2" xfId="16273" xr:uid="{00000000-0005-0000-0000-0000B9410000}"/>
    <cellStyle name="40% - Accent4 7 2 9 2 2" xfId="29680" xr:uid="{00000000-0005-0000-0000-0000BA410000}"/>
    <cellStyle name="40% - Accent4 7 2 9 3" xfId="25280" xr:uid="{00000000-0005-0000-0000-0000BB410000}"/>
    <cellStyle name="40% - Accent4 7 3" xfId="4242" xr:uid="{00000000-0005-0000-0000-0000BC410000}"/>
    <cellStyle name="40% - Accent4 7 3 2" xfId="4243" xr:uid="{00000000-0005-0000-0000-0000BD410000}"/>
    <cellStyle name="40% - Accent4 7 3 2 2" xfId="11146" xr:uid="{00000000-0005-0000-0000-0000BE410000}"/>
    <cellStyle name="40% - Accent4 7 3 2 2 2" xfId="25088" xr:uid="{00000000-0005-0000-0000-0000BF410000}"/>
    <cellStyle name="40% - Accent4 7 3 2 3" xfId="23084" xr:uid="{00000000-0005-0000-0000-0000C0410000}"/>
    <cellStyle name="40% - Accent4 7 3 3" xfId="4244" xr:uid="{00000000-0005-0000-0000-0000C1410000}"/>
    <cellStyle name="40% - Accent4 7 3 3 2" xfId="12925" xr:uid="{00000000-0005-0000-0000-0000C2410000}"/>
    <cellStyle name="40% - Accent4 7 3 3 2 2" xfId="26637" xr:uid="{00000000-0005-0000-0000-0000C3410000}"/>
    <cellStyle name="40% - Accent4 7 3 3 3" xfId="23083" xr:uid="{00000000-0005-0000-0000-0000C4410000}"/>
    <cellStyle name="40% - Accent4 7 3 4" xfId="4245" xr:uid="{00000000-0005-0000-0000-0000C5410000}"/>
    <cellStyle name="40% - Accent4 7 3 4 2" xfId="15357" xr:uid="{00000000-0005-0000-0000-0000C6410000}"/>
    <cellStyle name="40% - Accent4 7 3 4 2 2" xfId="28906" xr:uid="{00000000-0005-0000-0000-0000C7410000}"/>
    <cellStyle name="40% - Accent4 7 3 4 3" xfId="24272" xr:uid="{00000000-0005-0000-0000-0000C8410000}"/>
    <cellStyle name="40% - Accent4 7 3 5" xfId="4246" xr:uid="{00000000-0005-0000-0000-0000C9410000}"/>
    <cellStyle name="40% - Accent4 7 3 5 2" xfId="16565" xr:uid="{00000000-0005-0000-0000-0000CA410000}"/>
    <cellStyle name="40% - Accent4 7 3 5 2 2" xfId="29972" xr:uid="{00000000-0005-0000-0000-0000CB410000}"/>
    <cellStyle name="40% - Accent4 7 3 5 3" xfId="23082" xr:uid="{00000000-0005-0000-0000-0000CC410000}"/>
    <cellStyle name="40% - Accent4 7 3 6" xfId="9419" xr:uid="{00000000-0005-0000-0000-0000CD410000}"/>
    <cellStyle name="40% - Accent4 7 3 6 2" xfId="23894" xr:uid="{00000000-0005-0000-0000-0000CE410000}"/>
    <cellStyle name="40% - Accent4 7 3 7" xfId="23085" xr:uid="{00000000-0005-0000-0000-0000CF410000}"/>
    <cellStyle name="40% - Accent4 7 4" xfId="4247" xr:uid="{00000000-0005-0000-0000-0000D0410000}"/>
    <cellStyle name="40% - Accent4 7 4 2" xfId="4248" xr:uid="{00000000-0005-0000-0000-0000D1410000}"/>
    <cellStyle name="40% - Accent4 7 4 2 2" xfId="15358" xr:uid="{00000000-0005-0000-0000-0000D2410000}"/>
    <cellStyle name="40% - Accent4 7 4 2 2 2" xfId="28907" xr:uid="{00000000-0005-0000-0000-0000D3410000}"/>
    <cellStyle name="40% - Accent4 7 4 2 3" xfId="29155" xr:uid="{00000000-0005-0000-0000-0000D4410000}"/>
    <cellStyle name="40% - Accent4 7 4 3" xfId="11143" xr:uid="{00000000-0005-0000-0000-0000D5410000}"/>
    <cellStyle name="40% - Accent4 7 4 3 2" xfId="25085" xr:uid="{00000000-0005-0000-0000-0000D6410000}"/>
    <cellStyle name="40% - Accent4 7 4 4" xfId="23081" xr:uid="{00000000-0005-0000-0000-0000D7410000}"/>
    <cellStyle name="40% - Accent4 7 5" xfId="4249" xr:uid="{00000000-0005-0000-0000-0000D8410000}"/>
    <cellStyle name="40% - Accent4 7 5 2" xfId="11940" xr:uid="{00000000-0005-0000-0000-0000D9410000}"/>
    <cellStyle name="40% - Accent4 7 5 2 2" xfId="25655" xr:uid="{00000000-0005-0000-0000-0000DA410000}"/>
    <cellStyle name="40% - Accent4 7 5 3" xfId="23080" xr:uid="{00000000-0005-0000-0000-0000DB410000}"/>
    <cellStyle name="40% - Accent4 7 6" xfId="4250" xr:uid="{00000000-0005-0000-0000-0000DC410000}"/>
    <cellStyle name="40% - Accent4 7 6 2" xfId="12922" xr:uid="{00000000-0005-0000-0000-0000DD410000}"/>
    <cellStyle name="40% - Accent4 7 6 2 2" xfId="26634" xr:uid="{00000000-0005-0000-0000-0000DE410000}"/>
    <cellStyle name="40% - Accent4 7 6 3" xfId="23079" xr:uid="{00000000-0005-0000-0000-0000DF410000}"/>
    <cellStyle name="40% - Accent4 7 7" xfId="4251" xr:uid="{00000000-0005-0000-0000-0000E0410000}"/>
    <cellStyle name="40% - Accent4 7 7 2" xfId="13517" xr:uid="{00000000-0005-0000-0000-0000E1410000}"/>
    <cellStyle name="40% - Accent4 7 7 2 2" xfId="27066" xr:uid="{00000000-0005-0000-0000-0000E2410000}"/>
    <cellStyle name="40% - Accent4 7 7 3" xfId="26849" xr:uid="{00000000-0005-0000-0000-0000E3410000}"/>
    <cellStyle name="40% - Accent4 7 8" xfId="4252" xr:uid="{00000000-0005-0000-0000-0000E4410000}"/>
    <cellStyle name="40% - Accent4 7 8 2" xfId="14098" xr:uid="{00000000-0005-0000-0000-0000E5410000}"/>
    <cellStyle name="40% - Accent4 7 8 2 2" xfId="27647" xr:uid="{00000000-0005-0000-0000-0000E6410000}"/>
    <cellStyle name="40% - Accent4 7 8 3" xfId="23078" xr:uid="{00000000-0005-0000-0000-0000E7410000}"/>
    <cellStyle name="40% - Accent4 7 9" xfId="4253" xr:uid="{00000000-0005-0000-0000-0000E8410000}"/>
    <cellStyle name="40% - Accent4 7 9 2" xfId="15353" xr:uid="{00000000-0005-0000-0000-0000E9410000}"/>
    <cellStyle name="40% - Accent4 7 9 2 2" xfId="28902" xr:uid="{00000000-0005-0000-0000-0000EA410000}"/>
    <cellStyle name="40% - Accent4 7 9 3" xfId="23077" xr:uid="{00000000-0005-0000-0000-0000EB410000}"/>
    <cellStyle name="40% - Accent4 8" xfId="4254" xr:uid="{00000000-0005-0000-0000-0000EC410000}"/>
    <cellStyle name="40% - Accent4 8 10" xfId="9420" xr:uid="{00000000-0005-0000-0000-0000ED410000}"/>
    <cellStyle name="40% - Accent4 8 10 2" xfId="23895" xr:uid="{00000000-0005-0000-0000-0000EE410000}"/>
    <cellStyle name="40% - Accent4 8 11" xfId="24275" xr:uid="{00000000-0005-0000-0000-0000EF410000}"/>
    <cellStyle name="40% - Accent4 8 2" xfId="4255" xr:uid="{00000000-0005-0000-0000-0000F0410000}"/>
    <cellStyle name="40% - Accent4 8 2 2" xfId="4256" xr:uid="{00000000-0005-0000-0000-0000F1410000}"/>
    <cellStyle name="40% - Accent4 8 2 2 2" xfId="11148" xr:uid="{00000000-0005-0000-0000-0000F2410000}"/>
    <cellStyle name="40% - Accent4 8 2 2 2 2" xfId="25090" xr:uid="{00000000-0005-0000-0000-0000F3410000}"/>
    <cellStyle name="40% - Accent4 8 2 2 3" xfId="25279" xr:uid="{00000000-0005-0000-0000-0000F4410000}"/>
    <cellStyle name="40% - Accent4 8 2 3" xfId="4257" xr:uid="{00000000-0005-0000-0000-0000F5410000}"/>
    <cellStyle name="40% - Accent4 8 2 3 2" xfId="12927" xr:uid="{00000000-0005-0000-0000-0000F6410000}"/>
    <cellStyle name="40% - Accent4 8 2 3 2 2" xfId="26639" xr:uid="{00000000-0005-0000-0000-0000F7410000}"/>
    <cellStyle name="40% - Accent4 8 2 3 3" xfId="23075" xr:uid="{00000000-0005-0000-0000-0000F8410000}"/>
    <cellStyle name="40% - Accent4 8 2 4" xfId="4258" xr:uid="{00000000-0005-0000-0000-0000F9410000}"/>
    <cellStyle name="40% - Accent4 8 2 4 2" xfId="15360" xr:uid="{00000000-0005-0000-0000-0000FA410000}"/>
    <cellStyle name="40% - Accent4 8 2 4 2 2" xfId="28909" xr:uid="{00000000-0005-0000-0000-0000FB410000}"/>
    <cellStyle name="40% - Accent4 8 2 4 3" xfId="23074" xr:uid="{00000000-0005-0000-0000-0000FC410000}"/>
    <cellStyle name="40% - Accent4 8 2 5" xfId="4259" xr:uid="{00000000-0005-0000-0000-0000FD410000}"/>
    <cellStyle name="40% - Accent4 8 2 5 2" xfId="16710" xr:uid="{00000000-0005-0000-0000-0000FE410000}"/>
    <cellStyle name="40% - Accent4 8 2 5 2 2" xfId="30117" xr:uid="{00000000-0005-0000-0000-0000FF410000}"/>
    <cellStyle name="40% - Accent4 8 2 5 3" xfId="24273" xr:uid="{00000000-0005-0000-0000-000000420000}"/>
    <cellStyle name="40% - Accent4 8 2 6" xfId="9421" xr:uid="{00000000-0005-0000-0000-000001420000}"/>
    <cellStyle name="40% - Accent4 8 2 6 2" xfId="23896" xr:uid="{00000000-0005-0000-0000-000002420000}"/>
    <cellStyle name="40% - Accent4 8 2 7" xfId="23076" xr:uid="{00000000-0005-0000-0000-000003420000}"/>
    <cellStyle name="40% - Accent4 8 3" xfId="4260" xr:uid="{00000000-0005-0000-0000-000004420000}"/>
    <cellStyle name="40% - Accent4 8 3 2" xfId="4261" xr:uid="{00000000-0005-0000-0000-000005420000}"/>
    <cellStyle name="40% - Accent4 8 3 2 2" xfId="15361" xr:uid="{00000000-0005-0000-0000-000006420000}"/>
    <cellStyle name="40% - Accent4 8 3 2 2 2" xfId="28910" xr:uid="{00000000-0005-0000-0000-000007420000}"/>
    <cellStyle name="40% - Accent4 8 3 2 3" xfId="23072" xr:uid="{00000000-0005-0000-0000-000008420000}"/>
    <cellStyle name="40% - Accent4 8 3 3" xfId="11147" xr:uid="{00000000-0005-0000-0000-000009420000}"/>
    <cellStyle name="40% - Accent4 8 3 3 2" xfId="25089" xr:uid="{00000000-0005-0000-0000-00000A420000}"/>
    <cellStyle name="40% - Accent4 8 3 4" xfId="23073" xr:uid="{00000000-0005-0000-0000-00000B420000}"/>
    <cellStyle name="40% - Accent4 8 4" xfId="4262" xr:uid="{00000000-0005-0000-0000-00000C420000}"/>
    <cellStyle name="40% - Accent4 8 4 2" xfId="12088" xr:uid="{00000000-0005-0000-0000-00000D420000}"/>
    <cellStyle name="40% - Accent4 8 4 2 2" xfId="25802" xr:uid="{00000000-0005-0000-0000-00000E420000}"/>
    <cellStyle name="40% - Accent4 8 4 3" xfId="29154" xr:uid="{00000000-0005-0000-0000-00000F420000}"/>
    <cellStyle name="40% - Accent4 8 5" xfId="4263" xr:uid="{00000000-0005-0000-0000-000010420000}"/>
    <cellStyle name="40% - Accent4 8 5 2" xfId="12926" xr:uid="{00000000-0005-0000-0000-000011420000}"/>
    <cellStyle name="40% - Accent4 8 5 2 2" xfId="26638" xr:uid="{00000000-0005-0000-0000-000012420000}"/>
    <cellStyle name="40% - Accent4 8 5 3" xfId="23071" xr:uid="{00000000-0005-0000-0000-000013420000}"/>
    <cellStyle name="40% - Accent4 8 6" xfId="4264" xr:uid="{00000000-0005-0000-0000-000014420000}"/>
    <cellStyle name="40% - Accent4 8 6 2" xfId="13662" xr:uid="{00000000-0005-0000-0000-000015420000}"/>
    <cellStyle name="40% - Accent4 8 6 2 2" xfId="27211" xr:uid="{00000000-0005-0000-0000-000016420000}"/>
    <cellStyle name="40% - Accent4 8 6 3" xfId="23070" xr:uid="{00000000-0005-0000-0000-000017420000}"/>
    <cellStyle name="40% - Accent4 8 7" xfId="4265" xr:uid="{00000000-0005-0000-0000-000018420000}"/>
    <cellStyle name="40% - Accent4 8 7 2" xfId="14243" xr:uid="{00000000-0005-0000-0000-000019420000}"/>
    <cellStyle name="40% - Accent4 8 7 2 2" xfId="27792" xr:uid="{00000000-0005-0000-0000-00001A420000}"/>
    <cellStyle name="40% - Accent4 8 7 3" xfId="26848" xr:uid="{00000000-0005-0000-0000-00001B420000}"/>
    <cellStyle name="40% - Accent4 8 8" xfId="4266" xr:uid="{00000000-0005-0000-0000-00001C420000}"/>
    <cellStyle name="40% - Accent4 8 8 2" xfId="15359" xr:uid="{00000000-0005-0000-0000-00001D420000}"/>
    <cellStyle name="40% - Accent4 8 8 2 2" xfId="28908" xr:uid="{00000000-0005-0000-0000-00001E420000}"/>
    <cellStyle name="40% - Accent4 8 8 3" xfId="23069" xr:uid="{00000000-0005-0000-0000-00001F420000}"/>
    <cellStyle name="40% - Accent4 8 9" xfId="4267" xr:uid="{00000000-0005-0000-0000-000020420000}"/>
    <cellStyle name="40% - Accent4 8 9 2" xfId="16129" xr:uid="{00000000-0005-0000-0000-000021420000}"/>
    <cellStyle name="40% - Accent4 8 9 2 2" xfId="29536" xr:uid="{00000000-0005-0000-0000-000022420000}"/>
    <cellStyle name="40% - Accent4 8 9 3" xfId="23068" xr:uid="{00000000-0005-0000-0000-000023420000}"/>
    <cellStyle name="40% - Accent4 9" xfId="4268" xr:uid="{00000000-0005-0000-0000-000024420000}"/>
    <cellStyle name="40% - Accent4 9 2" xfId="4269" xr:uid="{00000000-0005-0000-0000-000025420000}"/>
    <cellStyle name="40% - Accent4 9 2 2" xfId="11149" xr:uid="{00000000-0005-0000-0000-000026420000}"/>
    <cellStyle name="40% - Accent4 9 2 2 2" xfId="25091" xr:uid="{00000000-0005-0000-0000-000027420000}"/>
    <cellStyle name="40% - Accent4 9 2 3" xfId="23067" xr:uid="{00000000-0005-0000-0000-000028420000}"/>
    <cellStyle name="40% - Accent4 9 3" xfId="4270" xr:uid="{00000000-0005-0000-0000-000029420000}"/>
    <cellStyle name="40% - Accent4 9 3 2" xfId="12928" xr:uid="{00000000-0005-0000-0000-00002A420000}"/>
    <cellStyle name="40% - Accent4 9 3 2 2" xfId="26640" xr:uid="{00000000-0005-0000-0000-00002B420000}"/>
    <cellStyle name="40% - Accent4 9 3 3" xfId="25278" xr:uid="{00000000-0005-0000-0000-00002C420000}"/>
    <cellStyle name="40% - Accent4 9 4" xfId="4271" xr:uid="{00000000-0005-0000-0000-00002D420000}"/>
    <cellStyle name="40% - Accent4 9 4 2" xfId="15362" xr:uid="{00000000-0005-0000-0000-00002E420000}"/>
    <cellStyle name="40% - Accent4 9 4 2 2" xfId="28911" xr:uid="{00000000-0005-0000-0000-00002F420000}"/>
    <cellStyle name="40% - Accent4 9 4 3" xfId="23066" xr:uid="{00000000-0005-0000-0000-000030420000}"/>
    <cellStyle name="40% - Accent4 9 5" xfId="4272" xr:uid="{00000000-0005-0000-0000-000031420000}"/>
    <cellStyle name="40% - Accent4 9 5 2" xfId="17094" xr:uid="{00000000-0005-0000-0000-000032420000}"/>
    <cellStyle name="40% - Accent4 9 5 2 2" xfId="30453" xr:uid="{00000000-0005-0000-0000-000033420000}"/>
    <cellStyle name="40% - Accent4 9 5 3" xfId="23065" xr:uid="{00000000-0005-0000-0000-000034420000}"/>
    <cellStyle name="40% - Accent4 9 6" xfId="9422" xr:uid="{00000000-0005-0000-0000-000035420000}"/>
    <cellStyle name="40% - Accent4 9 6 2" xfId="23897" xr:uid="{00000000-0005-0000-0000-000036420000}"/>
    <cellStyle name="40% - Accent4 9 7" xfId="24274" xr:uid="{00000000-0005-0000-0000-000037420000}"/>
    <cellStyle name="40% - Accent5" xfId="34" builtinId="47" customBuiltin="1"/>
    <cellStyle name="40% - Accent5 10" xfId="4273" xr:uid="{00000000-0005-0000-0000-000039420000}"/>
    <cellStyle name="40% - Accent5 10 2" xfId="4274" xr:uid="{00000000-0005-0000-0000-00003A420000}"/>
    <cellStyle name="40% - Accent5 10 2 2" xfId="4275" xr:uid="{00000000-0005-0000-0000-00003B420000}"/>
    <cellStyle name="40% - Accent5 10 2 2 2" xfId="12931" xr:uid="{00000000-0005-0000-0000-00003C420000}"/>
    <cellStyle name="40% - Accent5 10 2 2 2 2" xfId="26643" xr:uid="{00000000-0005-0000-0000-00003D420000}"/>
    <cellStyle name="40% - Accent5 10 2 2 3" xfId="24271" xr:uid="{00000000-0005-0000-0000-00003E420000}"/>
    <cellStyle name="40% - Accent5 10 2 3" xfId="4276" xr:uid="{00000000-0005-0000-0000-00003F420000}"/>
    <cellStyle name="40% - Accent5 10 2 3 2" xfId="15365" xr:uid="{00000000-0005-0000-0000-000040420000}"/>
    <cellStyle name="40% - Accent5 10 2 3 2 2" xfId="28914" xr:uid="{00000000-0005-0000-0000-000041420000}"/>
    <cellStyle name="40% - Accent5 10 2 3 3" xfId="23062" xr:uid="{00000000-0005-0000-0000-000042420000}"/>
    <cellStyle name="40% - Accent5 10 2 4" xfId="11151" xr:uid="{00000000-0005-0000-0000-000043420000}"/>
    <cellStyle name="40% - Accent5 10 2 4 2" xfId="25093" xr:uid="{00000000-0005-0000-0000-000044420000}"/>
    <cellStyle name="40% - Accent5 10 2 5" xfId="23063" xr:uid="{00000000-0005-0000-0000-000045420000}"/>
    <cellStyle name="40% - Accent5 10 3" xfId="4277" xr:uid="{00000000-0005-0000-0000-000046420000}"/>
    <cellStyle name="40% - Accent5 10 3 2" xfId="12930" xr:uid="{00000000-0005-0000-0000-000047420000}"/>
    <cellStyle name="40% - Accent5 10 3 2 2" xfId="26642" xr:uid="{00000000-0005-0000-0000-000048420000}"/>
    <cellStyle name="40% - Accent5 10 3 3" xfId="23061" xr:uid="{00000000-0005-0000-0000-000049420000}"/>
    <cellStyle name="40% - Accent5 10 4" xfId="4278" xr:uid="{00000000-0005-0000-0000-00004A420000}"/>
    <cellStyle name="40% - Accent5 10 4 2" xfId="15364" xr:uid="{00000000-0005-0000-0000-00004B420000}"/>
    <cellStyle name="40% - Accent5 10 4 2 2" xfId="28913" xr:uid="{00000000-0005-0000-0000-00004C420000}"/>
    <cellStyle name="40% - Accent5 10 4 3" xfId="23060" xr:uid="{00000000-0005-0000-0000-00004D420000}"/>
    <cellStyle name="40% - Accent5 10 5" xfId="4279" xr:uid="{00000000-0005-0000-0000-00004E420000}"/>
    <cellStyle name="40% - Accent5 10 5 2" xfId="17184" xr:uid="{00000000-0005-0000-0000-00004F420000}"/>
    <cellStyle name="40% - Accent5 10 5 2 2" xfId="30543" xr:uid="{00000000-0005-0000-0000-000050420000}"/>
    <cellStyle name="40% - Accent5 10 5 3" xfId="29153" xr:uid="{00000000-0005-0000-0000-000051420000}"/>
    <cellStyle name="40% - Accent5 10 6" xfId="9424" xr:uid="{00000000-0005-0000-0000-000052420000}"/>
    <cellStyle name="40% - Accent5 10 6 2" xfId="23899" xr:uid="{00000000-0005-0000-0000-000053420000}"/>
    <cellStyle name="40% - Accent5 10 7" xfId="23064" xr:uid="{00000000-0005-0000-0000-000054420000}"/>
    <cellStyle name="40% - Accent5 11" xfId="4280" xr:uid="{00000000-0005-0000-0000-000055420000}"/>
    <cellStyle name="40% - Accent5 11 2" xfId="4281" xr:uid="{00000000-0005-0000-0000-000056420000}"/>
    <cellStyle name="40% - Accent5 11 2 2" xfId="11152" xr:uid="{00000000-0005-0000-0000-000057420000}"/>
    <cellStyle name="40% - Accent5 11 2 2 2" xfId="25094" xr:uid="{00000000-0005-0000-0000-000058420000}"/>
    <cellStyle name="40% - Accent5 11 2 3" xfId="23058" xr:uid="{00000000-0005-0000-0000-000059420000}"/>
    <cellStyle name="40% - Accent5 11 3" xfId="4282" xr:uid="{00000000-0005-0000-0000-00005A420000}"/>
    <cellStyle name="40% - Accent5 11 3 2" xfId="12932" xr:uid="{00000000-0005-0000-0000-00005B420000}"/>
    <cellStyle name="40% - Accent5 11 3 2 2" xfId="26644" xr:uid="{00000000-0005-0000-0000-00005C420000}"/>
    <cellStyle name="40% - Accent5 11 3 3" xfId="26847" xr:uid="{00000000-0005-0000-0000-00005D420000}"/>
    <cellStyle name="40% - Accent5 11 4" xfId="4283" xr:uid="{00000000-0005-0000-0000-00005E420000}"/>
    <cellStyle name="40% - Accent5 11 4 2" xfId="15366" xr:uid="{00000000-0005-0000-0000-00005F420000}"/>
    <cellStyle name="40% - Accent5 11 4 2 2" xfId="28915" xr:uid="{00000000-0005-0000-0000-000060420000}"/>
    <cellStyle name="40% - Accent5 11 4 3" xfId="23057" xr:uid="{00000000-0005-0000-0000-000061420000}"/>
    <cellStyle name="40% - Accent5 11 5" xfId="4284" xr:uid="{00000000-0005-0000-0000-000062420000}"/>
    <cellStyle name="40% - Accent5 11 5 2" xfId="17273" xr:uid="{00000000-0005-0000-0000-000063420000}"/>
    <cellStyle name="40% - Accent5 11 5 2 2" xfId="30632" xr:uid="{00000000-0005-0000-0000-000064420000}"/>
    <cellStyle name="40% - Accent5 11 5 3" xfId="23056" xr:uid="{00000000-0005-0000-0000-000065420000}"/>
    <cellStyle name="40% - Accent5 11 6" xfId="9425" xr:uid="{00000000-0005-0000-0000-000066420000}"/>
    <cellStyle name="40% - Accent5 11 6 2" xfId="23900" xr:uid="{00000000-0005-0000-0000-000067420000}"/>
    <cellStyle name="40% - Accent5 11 7" xfId="23059" xr:uid="{00000000-0005-0000-0000-000068420000}"/>
    <cellStyle name="40% - Accent5 12" xfId="4285" xr:uid="{00000000-0005-0000-0000-000069420000}"/>
    <cellStyle name="40% - Accent5 12 2" xfId="4286" xr:uid="{00000000-0005-0000-0000-00006A420000}"/>
    <cellStyle name="40% - Accent5 12 2 2" xfId="4287" xr:uid="{00000000-0005-0000-0000-00006B420000}"/>
    <cellStyle name="40% - Accent5 12 2 2 2" xfId="11154" xr:uid="{00000000-0005-0000-0000-00006C420000}"/>
    <cellStyle name="40% - Accent5 12 2 2 2 2" xfId="25096" xr:uid="{00000000-0005-0000-0000-00006D420000}"/>
    <cellStyle name="40% - Accent5 12 2 2 3" xfId="23055" xr:uid="{00000000-0005-0000-0000-00006E420000}"/>
    <cellStyle name="40% - Accent5 12 2 3" xfId="4288" xr:uid="{00000000-0005-0000-0000-00006F420000}"/>
    <cellStyle name="40% - Accent5 12 2 3 2" xfId="12934" xr:uid="{00000000-0005-0000-0000-000070420000}"/>
    <cellStyle name="40% - Accent5 12 2 3 2 2" xfId="26646" xr:uid="{00000000-0005-0000-0000-000071420000}"/>
    <cellStyle name="40% - Accent5 12 2 3 3" xfId="23054" xr:uid="{00000000-0005-0000-0000-000072420000}"/>
    <cellStyle name="40% - Accent5 12 2 4" xfId="4289" xr:uid="{00000000-0005-0000-0000-000073420000}"/>
    <cellStyle name="40% - Accent5 12 2 4 2" xfId="15368" xr:uid="{00000000-0005-0000-0000-000074420000}"/>
    <cellStyle name="40% - Accent5 12 2 4 2 2" xfId="28917" xr:uid="{00000000-0005-0000-0000-000075420000}"/>
    <cellStyle name="40% - Accent5 12 2 4 3" xfId="24269" xr:uid="{00000000-0005-0000-0000-000076420000}"/>
    <cellStyle name="40% - Accent5 12 2 5" xfId="9427" xr:uid="{00000000-0005-0000-0000-000077420000}"/>
    <cellStyle name="40% - Accent5 12 2 5 2" xfId="23902" xr:uid="{00000000-0005-0000-0000-000078420000}"/>
    <cellStyle name="40% - Accent5 12 2 6" xfId="25277" xr:uid="{00000000-0005-0000-0000-000079420000}"/>
    <cellStyle name="40% - Accent5 12 3" xfId="4290" xr:uid="{00000000-0005-0000-0000-00007A420000}"/>
    <cellStyle name="40% - Accent5 12 3 2" xfId="11153" xr:uid="{00000000-0005-0000-0000-00007B420000}"/>
    <cellStyle name="40% - Accent5 12 3 2 2" xfId="25095" xr:uid="{00000000-0005-0000-0000-00007C420000}"/>
    <cellStyle name="40% - Accent5 12 3 3" xfId="23053" xr:uid="{00000000-0005-0000-0000-00007D420000}"/>
    <cellStyle name="40% - Accent5 12 4" xfId="4291" xr:uid="{00000000-0005-0000-0000-00007E420000}"/>
    <cellStyle name="40% - Accent5 12 4 2" xfId="12933" xr:uid="{00000000-0005-0000-0000-00007F420000}"/>
    <cellStyle name="40% - Accent5 12 4 2 2" xfId="26645" xr:uid="{00000000-0005-0000-0000-000080420000}"/>
    <cellStyle name="40% - Accent5 12 4 3" xfId="23052" xr:uid="{00000000-0005-0000-0000-000081420000}"/>
    <cellStyle name="40% - Accent5 12 5" xfId="4292" xr:uid="{00000000-0005-0000-0000-000082420000}"/>
    <cellStyle name="40% - Accent5 12 5 2" xfId="15367" xr:uid="{00000000-0005-0000-0000-000083420000}"/>
    <cellStyle name="40% - Accent5 12 5 2 2" xfId="28916" xr:uid="{00000000-0005-0000-0000-000084420000}"/>
    <cellStyle name="40% - Accent5 12 5 3" xfId="24267" xr:uid="{00000000-0005-0000-0000-000085420000}"/>
    <cellStyle name="40% - Accent5 12 6" xfId="4293" xr:uid="{00000000-0005-0000-0000-000086420000}"/>
    <cellStyle name="40% - Accent5 12 6 2" xfId="16425" xr:uid="{00000000-0005-0000-0000-000087420000}"/>
    <cellStyle name="40% - Accent5 12 6 2 2" xfId="29832" xr:uid="{00000000-0005-0000-0000-000088420000}"/>
    <cellStyle name="40% - Accent5 12 6 3" xfId="23051" xr:uid="{00000000-0005-0000-0000-000089420000}"/>
    <cellStyle name="40% - Accent5 12 7" xfId="9426" xr:uid="{00000000-0005-0000-0000-00008A420000}"/>
    <cellStyle name="40% - Accent5 12 7 2" xfId="23901" xr:uid="{00000000-0005-0000-0000-00008B420000}"/>
    <cellStyle name="40% - Accent5 12 8" xfId="24270" xr:uid="{00000000-0005-0000-0000-00008C420000}"/>
    <cellStyle name="40% - Accent5 13" xfId="4294" xr:uid="{00000000-0005-0000-0000-00008D420000}"/>
    <cellStyle name="40% - Accent5 13 2" xfId="4295" xr:uid="{00000000-0005-0000-0000-00008E420000}"/>
    <cellStyle name="40% - Accent5 13 2 2" xfId="11155" xr:uid="{00000000-0005-0000-0000-00008F420000}"/>
    <cellStyle name="40% - Accent5 13 2 2 2" xfId="25097" xr:uid="{00000000-0005-0000-0000-000090420000}"/>
    <cellStyle name="40% - Accent5 13 2 3" xfId="29152" xr:uid="{00000000-0005-0000-0000-000091420000}"/>
    <cellStyle name="40% - Accent5 13 3" xfId="4296" xr:uid="{00000000-0005-0000-0000-000092420000}"/>
    <cellStyle name="40% - Accent5 13 3 2" xfId="12935" xr:uid="{00000000-0005-0000-0000-000093420000}"/>
    <cellStyle name="40% - Accent5 13 3 2 2" xfId="26647" xr:uid="{00000000-0005-0000-0000-000094420000}"/>
    <cellStyle name="40% - Accent5 13 3 3" xfId="23049" xr:uid="{00000000-0005-0000-0000-000095420000}"/>
    <cellStyle name="40% - Accent5 13 4" xfId="4297" xr:uid="{00000000-0005-0000-0000-000096420000}"/>
    <cellStyle name="40% - Accent5 13 4 2" xfId="15369" xr:uid="{00000000-0005-0000-0000-000097420000}"/>
    <cellStyle name="40% - Accent5 13 4 2 2" xfId="28918" xr:uid="{00000000-0005-0000-0000-000098420000}"/>
    <cellStyle name="40% - Accent5 13 4 3" xfId="23048" xr:uid="{00000000-0005-0000-0000-000099420000}"/>
    <cellStyle name="40% - Accent5 13 5" xfId="9428" xr:uid="{00000000-0005-0000-0000-00009A420000}"/>
    <cellStyle name="40% - Accent5 13 5 2" xfId="23903" xr:uid="{00000000-0005-0000-0000-00009B420000}"/>
    <cellStyle name="40% - Accent5 13 6" xfId="23050" xr:uid="{00000000-0005-0000-0000-00009C420000}"/>
    <cellStyle name="40% - Accent5 14" xfId="4298" xr:uid="{00000000-0005-0000-0000-00009D420000}"/>
    <cellStyle name="40% - Accent5 14 2" xfId="4299" xr:uid="{00000000-0005-0000-0000-00009E420000}"/>
    <cellStyle name="40% - Accent5 14 2 2" xfId="11156" xr:uid="{00000000-0005-0000-0000-00009F420000}"/>
    <cellStyle name="40% - Accent5 14 2 2 2" xfId="25098" xr:uid="{00000000-0005-0000-0000-0000A0420000}"/>
    <cellStyle name="40% - Accent5 14 2 3" xfId="23047" xr:uid="{00000000-0005-0000-0000-0000A1420000}"/>
    <cellStyle name="40% - Accent5 14 3" xfId="4300" xr:uid="{00000000-0005-0000-0000-0000A2420000}"/>
    <cellStyle name="40% - Accent5 14 3 2" xfId="12936" xr:uid="{00000000-0005-0000-0000-0000A3420000}"/>
    <cellStyle name="40% - Accent5 14 3 2 2" xfId="26648" xr:uid="{00000000-0005-0000-0000-0000A4420000}"/>
    <cellStyle name="40% - Accent5 14 3 3" xfId="23046" xr:uid="{00000000-0005-0000-0000-0000A5420000}"/>
    <cellStyle name="40% - Accent5 14 4" xfId="4301" xr:uid="{00000000-0005-0000-0000-0000A6420000}"/>
    <cellStyle name="40% - Accent5 14 4 2" xfId="15370" xr:uid="{00000000-0005-0000-0000-0000A7420000}"/>
    <cellStyle name="40% - Accent5 14 4 2 2" xfId="28919" xr:uid="{00000000-0005-0000-0000-0000A8420000}"/>
    <cellStyle name="40% - Accent5 14 4 3" xfId="24268" xr:uid="{00000000-0005-0000-0000-0000A9420000}"/>
    <cellStyle name="40% - Accent5 14 5" xfId="9429" xr:uid="{00000000-0005-0000-0000-0000AA420000}"/>
    <cellStyle name="40% - Accent5 14 5 2" xfId="23904" xr:uid="{00000000-0005-0000-0000-0000AB420000}"/>
    <cellStyle name="40% - Accent5 14 6" xfId="26846" xr:uid="{00000000-0005-0000-0000-0000AC420000}"/>
    <cellStyle name="40% - Accent5 15" xfId="4302" xr:uid="{00000000-0005-0000-0000-0000AD420000}"/>
    <cellStyle name="40% - Accent5 15 2" xfId="4303" xr:uid="{00000000-0005-0000-0000-0000AE420000}"/>
    <cellStyle name="40% - Accent5 15 2 2" xfId="11157" xr:uid="{00000000-0005-0000-0000-0000AF420000}"/>
    <cellStyle name="40% - Accent5 15 2 2 2" xfId="25099" xr:uid="{00000000-0005-0000-0000-0000B0420000}"/>
    <cellStyle name="40% - Accent5 15 2 3" xfId="25276" xr:uid="{00000000-0005-0000-0000-0000B1420000}"/>
    <cellStyle name="40% - Accent5 15 3" xfId="4304" xr:uid="{00000000-0005-0000-0000-0000B2420000}"/>
    <cellStyle name="40% - Accent5 15 3 2" xfId="12937" xr:uid="{00000000-0005-0000-0000-0000B3420000}"/>
    <cellStyle name="40% - Accent5 15 3 2 2" xfId="26649" xr:uid="{00000000-0005-0000-0000-0000B4420000}"/>
    <cellStyle name="40% - Accent5 15 3 3" xfId="23044" xr:uid="{00000000-0005-0000-0000-0000B5420000}"/>
    <cellStyle name="40% - Accent5 15 4" xfId="4305" xr:uid="{00000000-0005-0000-0000-0000B6420000}"/>
    <cellStyle name="40% - Accent5 15 4 2" xfId="15371" xr:uid="{00000000-0005-0000-0000-0000B7420000}"/>
    <cellStyle name="40% - Accent5 15 4 2 2" xfId="28920" xr:uid="{00000000-0005-0000-0000-0000B8420000}"/>
    <cellStyle name="40% - Accent5 15 4 3" xfId="23043" xr:uid="{00000000-0005-0000-0000-0000B9420000}"/>
    <cellStyle name="40% - Accent5 15 5" xfId="9430" xr:uid="{00000000-0005-0000-0000-0000BA420000}"/>
    <cellStyle name="40% - Accent5 15 5 2" xfId="23905" xr:uid="{00000000-0005-0000-0000-0000BB420000}"/>
    <cellStyle name="40% - Accent5 15 6" xfId="23045" xr:uid="{00000000-0005-0000-0000-0000BC420000}"/>
    <cellStyle name="40% - Accent5 16" xfId="4306" xr:uid="{00000000-0005-0000-0000-0000BD420000}"/>
    <cellStyle name="40% - Accent5 16 2" xfId="4307" xr:uid="{00000000-0005-0000-0000-0000BE420000}"/>
    <cellStyle name="40% - Accent5 16 2 2" xfId="11158" xr:uid="{00000000-0005-0000-0000-0000BF420000}"/>
    <cellStyle name="40% - Accent5 16 2 2 2" xfId="25100" xr:uid="{00000000-0005-0000-0000-0000C0420000}"/>
    <cellStyle name="40% - Accent5 16 2 3" xfId="24263" xr:uid="{00000000-0005-0000-0000-0000C1420000}"/>
    <cellStyle name="40% - Accent5 16 3" xfId="4308" xr:uid="{00000000-0005-0000-0000-0000C2420000}"/>
    <cellStyle name="40% - Accent5 16 3 2" xfId="12938" xr:uid="{00000000-0005-0000-0000-0000C3420000}"/>
    <cellStyle name="40% - Accent5 16 3 2 2" xfId="26650" xr:uid="{00000000-0005-0000-0000-0000C4420000}"/>
    <cellStyle name="40% - Accent5 16 3 3" xfId="23041" xr:uid="{00000000-0005-0000-0000-0000C5420000}"/>
    <cellStyle name="40% - Accent5 16 4" xfId="4309" xr:uid="{00000000-0005-0000-0000-0000C6420000}"/>
    <cellStyle name="40% - Accent5 16 4 2" xfId="15372" xr:uid="{00000000-0005-0000-0000-0000C7420000}"/>
    <cellStyle name="40% - Accent5 16 4 2 2" xfId="28921" xr:uid="{00000000-0005-0000-0000-0000C8420000}"/>
    <cellStyle name="40% - Accent5 16 4 3" xfId="23040" xr:uid="{00000000-0005-0000-0000-0000C9420000}"/>
    <cellStyle name="40% - Accent5 16 5" xfId="9431" xr:uid="{00000000-0005-0000-0000-0000CA420000}"/>
    <cellStyle name="40% - Accent5 16 5 2" xfId="23906" xr:uid="{00000000-0005-0000-0000-0000CB420000}"/>
    <cellStyle name="40% - Accent5 16 6" xfId="23042" xr:uid="{00000000-0005-0000-0000-0000CC420000}"/>
    <cellStyle name="40% - Accent5 17" xfId="4310" xr:uid="{00000000-0005-0000-0000-0000CD420000}"/>
    <cellStyle name="40% - Accent5 17 2" xfId="4311" xr:uid="{00000000-0005-0000-0000-0000CE420000}"/>
    <cellStyle name="40% - Accent5 17 2 2" xfId="11159" xr:uid="{00000000-0005-0000-0000-0000CF420000}"/>
    <cellStyle name="40% - Accent5 17 2 2 2" xfId="25101" xr:uid="{00000000-0005-0000-0000-0000D0420000}"/>
    <cellStyle name="40% - Accent5 17 2 3" xfId="23039" xr:uid="{00000000-0005-0000-0000-0000D1420000}"/>
    <cellStyle name="40% - Accent5 17 3" xfId="4312" xr:uid="{00000000-0005-0000-0000-0000D2420000}"/>
    <cellStyle name="40% - Accent5 17 3 2" xfId="12939" xr:uid="{00000000-0005-0000-0000-0000D3420000}"/>
    <cellStyle name="40% - Accent5 17 3 2 2" xfId="26651" xr:uid="{00000000-0005-0000-0000-0000D4420000}"/>
    <cellStyle name="40% - Accent5 17 3 3" xfId="23038" xr:uid="{00000000-0005-0000-0000-0000D5420000}"/>
    <cellStyle name="40% - Accent5 17 4" xfId="4313" xr:uid="{00000000-0005-0000-0000-0000D6420000}"/>
    <cellStyle name="40% - Accent5 17 4 2" xfId="15373" xr:uid="{00000000-0005-0000-0000-0000D7420000}"/>
    <cellStyle name="40% - Accent5 17 4 2 2" xfId="28922" xr:uid="{00000000-0005-0000-0000-0000D8420000}"/>
    <cellStyle name="40% - Accent5 17 4 3" xfId="26845" xr:uid="{00000000-0005-0000-0000-0000D9420000}"/>
    <cellStyle name="40% - Accent5 17 5" xfId="9432" xr:uid="{00000000-0005-0000-0000-0000DA420000}"/>
    <cellStyle name="40% - Accent5 17 5 2" xfId="23907" xr:uid="{00000000-0005-0000-0000-0000DB420000}"/>
    <cellStyle name="40% - Accent5 17 6" xfId="29151" xr:uid="{00000000-0005-0000-0000-0000DC420000}"/>
    <cellStyle name="40% - Accent5 18" xfId="4314" xr:uid="{00000000-0005-0000-0000-0000DD420000}"/>
    <cellStyle name="40% - Accent5 18 2" xfId="4315" xr:uid="{00000000-0005-0000-0000-0000DE420000}"/>
    <cellStyle name="40% - Accent5 18 2 2" xfId="11160" xr:uid="{00000000-0005-0000-0000-0000DF420000}"/>
    <cellStyle name="40% - Accent5 18 2 2 2" xfId="25102" xr:uid="{00000000-0005-0000-0000-0000E0420000}"/>
    <cellStyle name="40% - Accent5 18 2 3" xfId="23036" xr:uid="{00000000-0005-0000-0000-0000E1420000}"/>
    <cellStyle name="40% - Accent5 18 3" xfId="4316" xr:uid="{00000000-0005-0000-0000-0000E2420000}"/>
    <cellStyle name="40% - Accent5 18 3 2" xfId="12940" xr:uid="{00000000-0005-0000-0000-0000E3420000}"/>
    <cellStyle name="40% - Accent5 18 3 2 2" xfId="26652" xr:uid="{00000000-0005-0000-0000-0000E4420000}"/>
    <cellStyle name="40% - Accent5 18 3 3" xfId="24266" xr:uid="{00000000-0005-0000-0000-0000E5420000}"/>
    <cellStyle name="40% - Accent5 18 4" xfId="4317" xr:uid="{00000000-0005-0000-0000-0000E6420000}"/>
    <cellStyle name="40% - Accent5 18 4 2" xfId="15374" xr:uid="{00000000-0005-0000-0000-0000E7420000}"/>
    <cellStyle name="40% - Accent5 18 4 2 2" xfId="28923" xr:uid="{00000000-0005-0000-0000-0000E8420000}"/>
    <cellStyle name="40% - Accent5 18 4 3" xfId="23035" xr:uid="{00000000-0005-0000-0000-0000E9420000}"/>
    <cellStyle name="40% - Accent5 18 5" xfId="9433" xr:uid="{00000000-0005-0000-0000-0000EA420000}"/>
    <cellStyle name="40% - Accent5 18 5 2" xfId="23908" xr:uid="{00000000-0005-0000-0000-0000EB420000}"/>
    <cellStyle name="40% - Accent5 18 6" xfId="23037" xr:uid="{00000000-0005-0000-0000-0000EC420000}"/>
    <cellStyle name="40% - Accent5 19" xfId="4318" xr:uid="{00000000-0005-0000-0000-0000ED420000}"/>
    <cellStyle name="40% - Accent5 19 2" xfId="4319" xr:uid="{00000000-0005-0000-0000-0000EE420000}"/>
    <cellStyle name="40% - Accent5 19 2 2" xfId="11709" xr:uid="{00000000-0005-0000-0000-0000EF420000}"/>
    <cellStyle name="40% - Accent5 19 2 2 2" xfId="25429" xr:uid="{00000000-0005-0000-0000-0000F0420000}"/>
    <cellStyle name="40% - Accent5 19 2 3" xfId="23034" xr:uid="{00000000-0005-0000-0000-0000F1420000}"/>
    <cellStyle name="40% - Accent5 19 3" xfId="4320" xr:uid="{00000000-0005-0000-0000-0000F2420000}"/>
    <cellStyle name="40% - Accent5 19 3 2" xfId="12941" xr:uid="{00000000-0005-0000-0000-0000F3420000}"/>
    <cellStyle name="40% - Accent5 19 3 2 2" xfId="26653" xr:uid="{00000000-0005-0000-0000-0000F4420000}"/>
    <cellStyle name="40% - Accent5 19 3 3" xfId="23033" xr:uid="{00000000-0005-0000-0000-0000F5420000}"/>
    <cellStyle name="40% - Accent5 19 4" xfId="4321" xr:uid="{00000000-0005-0000-0000-0000F6420000}"/>
    <cellStyle name="40% - Accent5 19 4 2" xfId="15375" xr:uid="{00000000-0005-0000-0000-0000F7420000}"/>
    <cellStyle name="40% - Accent5 19 4 2 2" xfId="28924" xr:uid="{00000000-0005-0000-0000-0000F8420000}"/>
    <cellStyle name="40% - Accent5 19 4 3" xfId="24264" xr:uid="{00000000-0005-0000-0000-0000F9420000}"/>
    <cellStyle name="40% - Accent5 19 5" xfId="10461" xr:uid="{00000000-0005-0000-0000-0000FA420000}"/>
    <cellStyle name="40% - Accent5 19 5 2" xfId="24420" xr:uid="{00000000-0005-0000-0000-0000FB420000}"/>
    <cellStyle name="40% - Accent5 19 6" xfId="25275" xr:uid="{00000000-0005-0000-0000-0000FC420000}"/>
    <cellStyle name="40% - Accent5 2" xfId="4322" xr:uid="{00000000-0005-0000-0000-0000FD420000}"/>
    <cellStyle name="40% - Accent5 2 10" xfId="4323" xr:uid="{00000000-0005-0000-0000-0000FE420000}"/>
    <cellStyle name="40% - Accent5 2 10 2" xfId="4324" xr:uid="{00000000-0005-0000-0000-0000FF420000}"/>
    <cellStyle name="40% - Accent5 2 10 2 2" xfId="15377" xr:uid="{00000000-0005-0000-0000-000000430000}"/>
    <cellStyle name="40% - Accent5 2 10 2 2 2" xfId="28926" xr:uid="{00000000-0005-0000-0000-000001430000}"/>
    <cellStyle name="40% - Accent5 2 10 2 3" xfId="29150" xr:uid="{00000000-0005-0000-0000-000002430000}"/>
    <cellStyle name="40% - Accent5 2 10 3" xfId="11835" xr:uid="{00000000-0005-0000-0000-000003430000}"/>
    <cellStyle name="40% - Accent5 2 10 3 2" xfId="25550" xr:uid="{00000000-0005-0000-0000-000004430000}"/>
    <cellStyle name="40% - Accent5 2 10 4" xfId="23031" xr:uid="{00000000-0005-0000-0000-000005430000}"/>
    <cellStyle name="40% - Accent5 2 11" xfId="4325" xr:uid="{00000000-0005-0000-0000-000006430000}"/>
    <cellStyle name="40% - Accent5 2 11 2" xfId="12942" xr:uid="{00000000-0005-0000-0000-000007430000}"/>
    <cellStyle name="40% - Accent5 2 11 2 2" xfId="26654" xr:uid="{00000000-0005-0000-0000-000008430000}"/>
    <cellStyle name="40% - Accent5 2 11 3" xfId="23030" xr:uid="{00000000-0005-0000-0000-000009430000}"/>
    <cellStyle name="40% - Accent5 2 12" xfId="4326" xr:uid="{00000000-0005-0000-0000-00000A430000}"/>
    <cellStyle name="40% - Accent5 2 12 2" xfId="13433" xr:uid="{00000000-0005-0000-0000-00000B430000}"/>
    <cellStyle name="40% - Accent5 2 12 2 2" xfId="26982" xr:uid="{00000000-0005-0000-0000-00000C430000}"/>
    <cellStyle name="40% - Accent5 2 12 3" xfId="23029" xr:uid="{00000000-0005-0000-0000-00000D430000}"/>
    <cellStyle name="40% - Accent5 2 13" xfId="4327" xr:uid="{00000000-0005-0000-0000-00000E430000}"/>
    <cellStyle name="40% - Accent5 2 13 2" xfId="14014" xr:uid="{00000000-0005-0000-0000-00000F430000}"/>
    <cellStyle name="40% - Accent5 2 13 2 2" xfId="27563" xr:uid="{00000000-0005-0000-0000-000010430000}"/>
    <cellStyle name="40% - Accent5 2 13 3" xfId="26844" xr:uid="{00000000-0005-0000-0000-000011430000}"/>
    <cellStyle name="40% - Accent5 2 14" xfId="4328" xr:uid="{00000000-0005-0000-0000-000012430000}"/>
    <cellStyle name="40% - Accent5 2 14 2" xfId="15376" xr:uid="{00000000-0005-0000-0000-000013430000}"/>
    <cellStyle name="40% - Accent5 2 14 2 2" xfId="28925" xr:uid="{00000000-0005-0000-0000-000014430000}"/>
    <cellStyle name="40% - Accent5 2 14 3" xfId="23028" xr:uid="{00000000-0005-0000-0000-000015430000}"/>
    <cellStyle name="40% - Accent5 2 15" xfId="4329" xr:uid="{00000000-0005-0000-0000-000016430000}"/>
    <cellStyle name="40% - Accent5 2 15 2" xfId="15900" xr:uid="{00000000-0005-0000-0000-000017430000}"/>
    <cellStyle name="40% - Accent5 2 15 2 2" xfId="29307" xr:uid="{00000000-0005-0000-0000-000018430000}"/>
    <cellStyle name="40% - Accent5 2 15 3" xfId="23027" xr:uid="{00000000-0005-0000-0000-000019430000}"/>
    <cellStyle name="40% - Accent5 2 16" xfId="9434" xr:uid="{00000000-0005-0000-0000-00001A430000}"/>
    <cellStyle name="40% - Accent5 2 16 2" xfId="23909" xr:uid="{00000000-0005-0000-0000-00001B430000}"/>
    <cellStyle name="40% - Accent5 2 17" xfId="23032" xr:uid="{00000000-0005-0000-0000-00001C430000}"/>
    <cellStyle name="40% - Accent5 2 2" xfId="4330" xr:uid="{00000000-0005-0000-0000-00001D430000}"/>
    <cellStyle name="40% - Accent5 2 2 10" xfId="4331" xr:uid="{00000000-0005-0000-0000-00001E430000}"/>
    <cellStyle name="40% - Accent5 2 2 10 2" xfId="15378" xr:uid="{00000000-0005-0000-0000-00001F430000}"/>
    <cellStyle name="40% - Accent5 2 2 10 2 2" xfId="28927" xr:uid="{00000000-0005-0000-0000-000020430000}"/>
    <cellStyle name="40% - Accent5 2 2 10 3" xfId="23026" xr:uid="{00000000-0005-0000-0000-000021430000}"/>
    <cellStyle name="40% - Accent5 2 2 11" xfId="4332" xr:uid="{00000000-0005-0000-0000-000022430000}"/>
    <cellStyle name="40% - Accent5 2 2 11 2" xfId="15946" xr:uid="{00000000-0005-0000-0000-000023430000}"/>
    <cellStyle name="40% - Accent5 2 2 11 2 2" xfId="29353" xr:uid="{00000000-0005-0000-0000-000024430000}"/>
    <cellStyle name="40% - Accent5 2 2 11 3" xfId="25274" xr:uid="{00000000-0005-0000-0000-000025430000}"/>
    <cellStyle name="40% - Accent5 2 2 12" xfId="9435" xr:uid="{00000000-0005-0000-0000-000026430000}"/>
    <cellStyle name="40% - Accent5 2 2 12 2" xfId="23910" xr:uid="{00000000-0005-0000-0000-000027430000}"/>
    <cellStyle name="40% - Accent5 2 2 13" xfId="24265" xr:uid="{00000000-0005-0000-0000-000028430000}"/>
    <cellStyle name="40% - Accent5 2 2 2" xfId="4333" xr:uid="{00000000-0005-0000-0000-000029430000}"/>
    <cellStyle name="40% - Accent5 2 2 2 10" xfId="4334" xr:uid="{00000000-0005-0000-0000-00002A430000}"/>
    <cellStyle name="40% - Accent5 2 2 2 10 2" xfId="16089" xr:uid="{00000000-0005-0000-0000-00002B430000}"/>
    <cellStyle name="40% - Accent5 2 2 2 10 2 2" xfId="29496" xr:uid="{00000000-0005-0000-0000-00002C430000}"/>
    <cellStyle name="40% - Accent5 2 2 2 10 3" xfId="23024" xr:uid="{00000000-0005-0000-0000-00002D430000}"/>
    <cellStyle name="40% - Accent5 2 2 2 11" xfId="9436" xr:uid="{00000000-0005-0000-0000-00002E430000}"/>
    <cellStyle name="40% - Accent5 2 2 2 11 2" xfId="23911" xr:uid="{00000000-0005-0000-0000-00002F430000}"/>
    <cellStyle name="40% - Accent5 2 2 2 12" xfId="23025" xr:uid="{00000000-0005-0000-0000-000030430000}"/>
    <cellStyle name="40% - Accent5 2 2 2 2" xfId="4335" xr:uid="{00000000-0005-0000-0000-000031430000}"/>
    <cellStyle name="40% - Accent5 2 2 2 2 10" xfId="9437" xr:uid="{00000000-0005-0000-0000-000032430000}"/>
    <cellStyle name="40% - Accent5 2 2 2 2 10 2" xfId="23912" xr:uid="{00000000-0005-0000-0000-000033430000}"/>
    <cellStyle name="40% - Accent5 2 2 2 2 11" xfId="23023" xr:uid="{00000000-0005-0000-0000-000034430000}"/>
    <cellStyle name="40% - Accent5 2 2 2 2 2" xfId="4336" xr:uid="{00000000-0005-0000-0000-000035430000}"/>
    <cellStyle name="40% - Accent5 2 2 2 2 2 2" xfId="4337" xr:uid="{00000000-0005-0000-0000-000036430000}"/>
    <cellStyle name="40% - Accent5 2 2 2 2 2 2 2" xfId="11165" xr:uid="{00000000-0005-0000-0000-000037430000}"/>
    <cellStyle name="40% - Accent5 2 2 2 2 2 2 2 2" xfId="25107" xr:uid="{00000000-0005-0000-0000-000038430000}"/>
    <cellStyle name="40% - Accent5 2 2 2 2 2 2 3" xfId="24262" xr:uid="{00000000-0005-0000-0000-000039430000}"/>
    <cellStyle name="40% - Accent5 2 2 2 2 2 3" xfId="4338" xr:uid="{00000000-0005-0000-0000-00003A430000}"/>
    <cellStyle name="40% - Accent5 2 2 2 2 2 3 2" xfId="12946" xr:uid="{00000000-0005-0000-0000-00003B430000}"/>
    <cellStyle name="40% - Accent5 2 2 2 2 2 3 2 2" xfId="26658" xr:uid="{00000000-0005-0000-0000-00003C430000}"/>
    <cellStyle name="40% - Accent5 2 2 2 2 2 3 3" xfId="23021" xr:uid="{00000000-0005-0000-0000-00003D430000}"/>
    <cellStyle name="40% - Accent5 2 2 2 2 2 4" xfId="4339" xr:uid="{00000000-0005-0000-0000-00003E430000}"/>
    <cellStyle name="40% - Accent5 2 2 2 2 2 4 2" xfId="15381" xr:uid="{00000000-0005-0000-0000-00003F430000}"/>
    <cellStyle name="40% - Accent5 2 2 2 2 2 4 2 2" xfId="28930" xr:uid="{00000000-0005-0000-0000-000040430000}"/>
    <cellStyle name="40% - Accent5 2 2 2 2 2 4 3" xfId="23020" xr:uid="{00000000-0005-0000-0000-000041430000}"/>
    <cellStyle name="40% - Accent5 2 2 2 2 2 5" xfId="4340" xr:uid="{00000000-0005-0000-0000-000042430000}"/>
    <cellStyle name="40% - Accent5 2 2 2 2 2 5 2" xfId="16959" xr:uid="{00000000-0005-0000-0000-000043430000}"/>
    <cellStyle name="40% - Accent5 2 2 2 2 2 5 2 2" xfId="30366" xr:uid="{00000000-0005-0000-0000-000044430000}"/>
    <cellStyle name="40% - Accent5 2 2 2 2 2 5 3" xfId="23019" xr:uid="{00000000-0005-0000-0000-000045430000}"/>
    <cellStyle name="40% - Accent5 2 2 2 2 2 6" xfId="9438" xr:uid="{00000000-0005-0000-0000-000046430000}"/>
    <cellStyle name="40% - Accent5 2 2 2 2 2 6 2" xfId="23913" xr:uid="{00000000-0005-0000-0000-000047430000}"/>
    <cellStyle name="40% - Accent5 2 2 2 2 2 7" xfId="23022" xr:uid="{00000000-0005-0000-0000-000048430000}"/>
    <cellStyle name="40% - Accent5 2 2 2 2 3" xfId="4341" xr:uid="{00000000-0005-0000-0000-000049430000}"/>
    <cellStyle name="40% - Accent5 2 2 2 2 3 2" xfId="4342" xr:uid="{00000000-0005-0000-0000-00004A430000}"/>
    <cellStyle name="40% - Accent5 2 2 2 2 3 2 2" xfId="15382" xr:uid="{00000000-0005-0000-0000-00004B430000}"/>
    <cellStyle name="40% - Accent5 2 2 2 2 3 2 2 2" xfId="28931" xr:uid="{00000000-0005-0000-0000-00004C430000}"/>
    <cellStyle name="40% - Accent5 2 2 2 2 3 2 3" xfId="23018" xr:uid="{00000000-0005-0000-0000-00004D430000}"/>
    <cellStyle name="40% - Accent5 2 2 2 2 3 3" xfId="11164" xr:uid="{00000000-0005-0000-0000-00004E430000}"/>
    <cellStyle name="40% - Accent5 2 2 2 2 3 3 2" xfId="25106" xr:uid="{00000000-0005-0000-0000-00004F430000}"/>
    <cellStyle name="40% - Accent5 2 2 2 2 3 4" xfId="29149" xr:uid="{00000000-0005-0000-0000-000050430000}"/>
    <cellStyle name="40% - Accent5 2 2 2 2 4" xfId="4343" xr:uid="{00000000-0005-0000-0000-000051430000}"/>
    <cellStyle name="40% - Accent5 2 2 2 2 4 2" xfId="12347" xr:uid="{00000000-0005-0000-0000-000052430000}"/>
    <cellStyle name="40% - Accent5 2 2 2 2 4 2 2" xfId="26059" xr:uid="{00000000-0005-0000-0000-000053430000}"/>
    <cellStyle name="40% - Accent5 2 2 2 2 4 3" xfId="23017" xr:uid="{00000000-0005-0000-0000-000054430000}"/>
    <cellStyle name="40% - Accent5 2 2 2 2 5" xfId="4344" xr:uid="{00000000-0005-0000-0000-000055430000}"/>
    <cellStyle name="40% - Accent5 2 2 2 2 5 2" xfId="12945" xr:uid="{00000000-0005-0000-0000-000056430000}"/>
    <cellStyle name="40% - Accent5 2 2 2 2 5 2 2" xfId="26657" xr:uid="{00000000-0005-0000-0000-000057430000}"/>
    <cellStyle name="40% - Accent5 2 2 2 2 5 3" xfId="26843" xr:uid="{00000000-0005-0000-0000-000058430000}"/>
    <cellStyle name="40% - Accent5 2 2 2 2 6" xfId="4345" xr:uid="{00000000-0005-0000-0000-000059430000}"/>
    <cellStyle name="40% - Accent5 2 2 2 2 6 2" xfId="13911" xr:uid="{00000000-0005-0000-0000-00005A430000}"/>
    <cellStyle name="40% - Accent5 2 2 2 2 6 2 2" xfId="27460" xr:uid="{00000000-0005-0000-0000-00005B430000}"/>
    <cellStyle name="40% - Accent5 2 2 2 2 6 3" xfId="23016" xr:uid="{00000000-0005-0000-0000-00005C430000}"/>
    <cellStyle name="40% - Accent5 2 2 2 2 7" xfId="4346" xr:uid="{00000000-0005-0000-0000-00005D430000}"/>
    <cellStyle name="40% - Accent5 2 2 2 2 7 2" xfId="14492" xr:uid="{00000000-0005-0000-0000-00005E430000}"/>
    <cellStyle name="40% - Accent5 2 2 2 2 7 2 2" xfId="28041" xr:uid="{00000000-0005-0000-0000-00005F430000}"/>
    <cellStyle name="40% - Accent5 2 2 2 2 7 3" xfId="23015" xr:uid="{00000000-0005-0000-0000-000060430000}"/>
    <cellStyle name="40% - Accent5 2 2 2 2 8" xfId="4347" xr:uid="{00000000-0005-0000-0000-000061430000}"/>
    <cellStyle name="40% - Accent5 2 2 2 2 8 2" xfId="15380" xr:uid="{00000000-0005-0000-0000-000062430000}"/>
    <cellStyle name="40% - Accent5 2 2 2 2 8 2 2" xfId="28929" xr:uid="{00000000-0005-0000-0000-000063430000}"/>
    <cellStyle name="40% - Accent5 2 2 2 2 8 3" xfId="24261" xr:uid="{00000000-0005-0000-0000-000064430000}"/>
    <cellStyle name="40% - Accent5 2 2 2 2 9" xfId="4348" xr:uid="{00000000-0005-0000-0000-000065430000}"/>
    <cellStyle name="40% - Accent5 2 2 2 2 9 2" xfId="16378" xr:uid="{00000000-0005-0000-0000-000066430000}"/>
    <cellStyle name="40% - Accent5 2 2 2 2 9 2 2" xfId="29785" xr:uid="{00000000-0005-0000-0000-000067430000}"/>
    <cellStyle name="40% - Accent5 2 2 2 2 9 3" xfId="25273" xr:uid="{00000000-0005-0000-0000-000068430000}"/>
    <cellStyle name="40% - Accent5 2 2 2 3" xfId="4349" xr:uid="{00000000-0005-0000-0000-000069430000}"/>
    <cellStyle name="40% - Accent5 2 2 2 3 2" xfId="4350" xr:uid="{00000000-0005-0000-0000-00006A430000}"/>
    <cellStyle name="40% - Accent5 2 2 2 3 2 2" xfId="11166" xr:uid="{00000000-0005-0000-0000-00006B430000}"/>
    <cellStyle name="40% - Accent5 2 2 2 3 2 2 2" xfId="25108" xr:uid="{00000000-0005-0000-0000-00006C430000}"/>
    <cellStyle name="40% - Accent5 2 2 2 3 2 3" xfId="23013" xr:uid="{00000000-0005-0000-0000-00006D430000}"/>
    <cellStyle name="40% - Accent5 2 2 2 3 3" xfId="4351" xr:uid="{00000000-0005-0000-0000-00006E430000}"/>
    <cellStyle name="40% - Accent5 2 2 2 3 3 2" xfId="12947" xr:uid="{00000000-0005-0000-0000-00006F430000}"/>
    <cellStyle name="40% - Accent5 2 2 2 3 3 2 2" xfId="26659" xr:uid="{00000000-0005-0000-0000-000070430000}"/>
    <cellStyle name="40% - Accent5 2 2 2 3 3 3" xfId="24260" xr:uid="{00000000-0005-0000-0000-000071430000}"/>
    <cellStyle name="40% - Accent5 2 2 2 3 4" xfId="4352" xr:uid="{00000000-0005-0000-0000-000072430000}"/>
    <cellStyle name="40% - Accent5 2 2 2 3 4 2" xfId="15383" xr:uid="{00000000-0005-0000-0000-000073430000}"/>
    <cellStyle name="40% - Accent5 2 2 2 3 4 2 2" xfId="28932" xr:uid="{00000000-0005-0000-0000-000074430000}"/>
    <cellStyle name="40% - Accent5 2 2 2 3 4 3" xfId="23012" xr:uid="{00000000-0005-0000-0000-000075430000}"/>
    <cellStyle name="40% - Accent5 2 2 2 3 5" xfId="4353" xr:uid="{00000000-0005-0000-0000-000076430000}"/>
    <cellStyle name="40% - Accent5 2 2 2 3 5 2" xfId="16670" xr:uid="{00000000-0005-0000-0000-000077430000}"/>
    <cellStyle name="40% - Accent5 2 2 2 3 5 2 2" xfId="30077" xr:uid="{00000000-0005-0000-0000-000078430000}"/>
    <cellStyle name="40% - Accent5 2 2 2 3 5 3" xfId="23011" xr:uid="{00000000-0005-0000-0000-000079430000}"/>
    <cellStyle name="40% - Accent5 2 2 2 3 6" xfId="9439" xr:uid="{00000000-0005-0000-0000-00007A430000}"/>
    <cellStyle name="40% - Accent5 2 2 2 3 6 2" xfId="23914" xr:uid="{00000000-0005-0000-0000-00007B430000}"/>
    <cellStyle name="40% - Accent5 2 2 2 3 7" xfId="23014" xr:uid="{00000000-0005-0000-0000-00007C430000}"/>
    <cellStyle name="40% - Accent5 2 2 2 4" xfId="4354" xr:uid="{00000000-0005-0000-0000-00007D430000}"/>
    <cellStyle name="40% - Accent5 2 2 2 4 2" xfId="4355" xr:uid="{00000000-0005-0000-0000-00007E430000}"/>
    <cellStyle name="40% - Accent5 2 2 2 4 2 2" xfId="15384" xr:uid="{00000000-0005-0000-0000-00007F430000}"/>
    <cellStyle name="40% - Accent5 2 2 2 4 2 2 2" xfId="28933" xr:uid="{00000000-0005-0000-0000-000080430000}"/>
    <cellStyle name="40% - Accent5 2 2 2 4 2 3" xfId="23010" xr:uid="{00000000-0005-0000-0000-000081430000}"/>
    <cellStyle name="40% - Accent5 2 2 2 4 3" xfId="11163" xr:uid="{00000000-0005-0000-0000-000082430000}"/>
    <cellStyle name="40% - Accent5 2 2 2 4 3 2" xfId="25105" xr:uid="{00000000-0005-0000-0000-000083430000}"/>
    <cellStyle name="40% - Accent5 2 2 2 4 4" xfId="24258" xr:uid="{00000000-0005-0000-0000-000084430000}"/>
    <cellStyle name="40% - Accent5 2 2 2 5" xfId="4356" xr:uid="{00000000-0005-0000-0000-000085430000}"/>
    <cellStyle name="40% - Accent5 2 2 2 5 2" xfId="12047" xr:uid="{00000000-0005-0000-0000-000086430000}"/>
    <cellStyle name="40% - Accent5 2 2 2 5 2 2" xfId="25762" xr:uid="{00000000-0005-0000-0000-000087430000}"/>
    <cellStyle name="40% - Accent5 2 2 2 5 3" xfId="23009" xr:uid="{00000000-0005-0000-0000-000088430000}"/>
    <cellStyle name="40% - Accent5 2 2 2 6" xfId="4357" xr:uid="{00000000-0005-0000-0000-000089430000}"/>
    <cellStyle name="40% - Accent5 2 2 2 6 2" xfId="12944" xr:uid="{00000000-0005-0000-0000-00008A430000}"/>
    <cellStyle name="40% - Accent5 2 2 2 6 2 2" xfId="26656" xr:uid="{00000000-0005-0000-0000-00008B430000}"/>
    <cellStyle name="40% - Accent5 2 2 2 6 3" xfId="29148" xr:uid="{00000000-0005-0000-0000-00008C430000}"/>
    <cellStyle name="40% - Accent5 2 2 2 7" xfId="4358" xr:uid="{00000000-0005-0000-0000-00008D430000}"/>
    <cellStyle name="40% - Accent5 2 2 2 7 2" xfId="13622" xr:uid="{00000000-0005-0000-0000-00008E430000}"/>
    <cellStyle name="40% - Accent5 2 2 2 7 2 2" xfId="27171" xr:uid="{00000000-0005-0000-0000-00008F430000}"/>
    <cellStyle name="40% - Accent5 2 2 2 7 3" xfId="23008" xr:uid="{00000000-0005-0000-0000-000090430000}"/>
    <cellStyle name="40% - Accent5 2 2 2 8" xfId="4359" xr:uid="{00000000-0005-0000-0000-000091430000}"/>
    <cellStyle name="40% - Accent5 2 2 2 8 2" xfId="14203" xr:uid="{00000000-0005-0000-0000-000092430000}"/>
    <cellStyle name="40% - Accent5 2 2 2 8 2 2" xfId="27752" xr:uid="{00000000-0005-0000-0000-000093430000}"/>
    <cellStyle name="40% - Accent5 2 2 2 8 3" xfId="23007" xr:uid="{00000000-0005-0000-0000-000094430000}"/>
    <cellStyle name="40% - Accent5 2 2 2 9" xfId="4360" xr:uid="{00000000-0005-0000-0000-000095430000}"/>
    <cellStyle name="40% - Accent5 2 2 2 9 2" xfId="15379" xr:uid="{00000000-0005-0000-0000-000096430000}"/>
    <cellStyle name="40% - Accent5 2 2 2 9 2 2" xfId="28928" xr:uid="{00000000-0005-0000-0000-000097430000}"/>
    <cellStyle name="40% - Accent5 2 2 2 9 3" xfId="26842" xr:uid="{00000000-0005-0000-0000-000098430000}"/>
    <cellStyle name="40% - Accent5 2 2 3" xfId="4361" xr:uid="{00000000-0005-0000-0000-000099430000}"/>
    <cellStyle name="40% - Accent5 2 2 3 10" xfId="9440" xr:uid="{00000000-0005-0000-0000-00009A430000}"/>
    <cellStyle name="40% - Accent5 2 2 3 10 2" xfId="23915" xr:uid="{00000000-0005-0000-0000-00009B430000}"/>
    <cellStyle name="40% - Accent5 2 2 3 11" xfId="23006" xr:uid="{00000000-0005-0000-0000-00009C430000}"/>
    <cellStyle name="40% - Accent5 2 2 3 2" xfId="4362" xr:uid="{00000000-0005-0000-0000-00009D430000}"/>
    <cellStyle name="40% - Accent5 2 2 3 2 2" xfId="4363" xr:uid="{00000000-0005-0000-0000-00009E430000}"/>
    <cellStyle name="40% - Accent5 2 2 3 2 2 2" xfId="11168" xr:uid="{00000000-0005-0000-0000-00009F430000}"/>
    <cellStyle name="40% - Accent5 2 2 3 2 2 2 2" xfId="25110" xr:uid="{00000000-0005-0000-0000-0000A0430000}"/>
    <cellStyle name="40% - Accent5 2 2 3 2 2 3" xfId="24259" xr:uid="{00000000-0005-0000-0000-0000A1430000}"/>
    <cellStyle name="40% - Accent5 2 2 3 2 3" xfId="4364" xr:uid="{00000000-0005-0000-0000-0000A2430000}"/>
    <cellStyle name="40% - Accent5 2 2 3 2 3 2" xfId="12949" xr:uid="{00000000-0005-0000-0000-0000A3430000}"/>
    <cellStyle name="40% - Accent5 2 2 3 2 3 2 2" xfId="26661" xr:uid="{00000000-0005-0000-0000-0000A4430000}"/>
    <cellStyle name="40% - Accent5 2 2 3 2 3 3" xfId="23004" xr:uid="{00000000-0005-0000-0000-0000A5430000}"/>
    <cellStyle name="40% - Accent5 2 2 3 2 4" xfId="4365" xr:uid="{00000000-0005-0000-0000-0000A6430000}"/>
    <cellStyle name="40% - Accent5 2 2 3 2 4 2" xfId="15386" xr:uid="{00000000-0005-0000-0000-0000A7430000}"/>
    <cellStyle name="40% - Accent5 2 2 3 2 4 2 2" xfId="28935" xr:uid="{00000000-0005-0000-0000-0000A8430000}"/>
    <cellStyle name="40% - Accent5 2 2 3 2 4 3" xfId="25272" xr:uid="{00000000-0005-0000-0000-0000A9430000}"/>
    <cellStyle name="40% - Accent5 2 2 3 2 5" xfId="4366" xr:uid="{00000000-0005-0000-0000-0000AA430000}"/>
    <cellStyle name="40% - Accent5 2 2 3 2 5 2" xfId="16816" xr:uid="{00000000-0005-0000-0000-0000AB430000}"/>
    <cellStyle name="40% - Accent5 2 2 3 2 5 2 2" xfId="30223" xr:uid="{00000000-0005-0000-0000-0000AC430000}"/>
    <cellStyle name="40% - Accent5 2 2 3 2 5 3" xfId="23003" xr:uid="{00000000-0005-0000-0000-0000AD430000}"/>
    <cellStyle name="40% - Accent5 2 2 3 2 6" xfId="9441" xr:uid="{00000000-0005-0000-0000-0000AE430000}"/>
    <cellStyle name="40% - Accent5 2 2 3 2 6 2" xfId="23916" xr:uid="{00000000-0005-0000-0000-0000AF430000}"/>
    <cellStyle name="40% - Accent5 2 2 3 2 7" xfId="23005" xr:uid="{00000000-0005-0000-0000-0000B0430000}"/>
    <cellStyle name="40% - Accent5 2 2 3 3" xfId="4367" xr:uid="{00000000-0005-0000-0000-0000B1430000}"/>
    <cellStyle name="40% - Accent5 2 2 3 3 2" xfId="4368" xr:uid="{00000000-0005-0000-0000-0000B2430000}"/>
    <cellStyle name="40% - Accent5 2 2 3 3 2 2" xfId="15387" xr:uid="{00000000-0005-0000-0000-0000B3430000}"/>
    <cellStyle name="40% - Accent5 2 2 3 3 2 2 2" xfId="28936" xr:uid="{00000000-0005-0000-0000-0000B4430000}"/>
    <cellStyle name="40% - Accent5 2 2 3 3 2 3" xfId="23001" xr:uid="{00000000-0005-0000-0000-0000B5430000}"/>
    <cellStyle name="40% - Accent5 2 2 3 3 3" xfId="11167" xr:uid="{00000000-0005-0000-0000-0000B6430000}"/>
    <cellStyle name="40% - Accent5 2 2 3 3 3 2" xfId="25109" xr:uid="{00000000-0005-0000-0000-0000B7430000}"/>
    <cellStyle name="40% - Accent5 2 2 3 3 4" xfId="23002" xr:uid="{00000000-0005-0000-0000-0000B8430000}"/>
    <cellStyle name="40% - Accent5 2 2 3 4" xfId="4369" xr:uid="{00000000-0005-0000-0000-0000B9430000}"/>
    <cellStyle name="40% - Accent5 2 2 3 4 2" xfId="12204" xr:uid="{00000000-0005-0000-0000-0000BA430000}"/>
    <cellStyle name="40% - Accent5 2 2 3 4 2 2" xfId="25916" xr:uid="{00000000-0005-0000-0000-0000BB430000}"/>
    <cellStyle name="40% - Accent5 2 2 3 4 3" xfId="24254" xr:uid="{00000000-0005-0000-0000-0000BC430000}"/>
    <cellStyle name="40% - Accent5 2 2 3 5" xfId="4370" xr:uid="{00000000-0005-0000-0000-0000BD430000}"/>
    <cellStyle name="40% - Accent5 2 2 3 5 2" xfId="12948" xr:uid="{00000000-0005-0000-0000-0000BE430000}"/>
    <cellStyle name="40% - Accent5 2 2 3 5 2 2" xfId="26660" xr:uid="{00000000-0005-0000-0000-0000BF430000}"/>
    <cellStyle name="40% - Accent5 2 2 3 5 3" xfId="23000" xr:uid="{00000000-0005-0000-0000-0000C0430000}"/>
    <cellStyle name="40% - Accent5 2 2 3 6" xfId="4371" xr:uid="{00000000-0005-0000-0000-0000C1430000}"/>
    <cellStyle name="40% - Accent5 2 2 3 6 2" xfId="13768" xr:uid="{00000000-0005-0000-0000-0000C2430000}"/>
    <cellStyle name="40% - Accent5 2 2 3 6 2 2" xfId="27317" xr:uid="{00000000-0005-0000-0000-0000C3430000}"/>
    <cellStyle name="40% - Accent5 2 2 3 6 3" xfId="22999" xr:uid="{00000000-0005-0000-0000-0000C4430000}"/>
    <cellStyle name="40% - Accent5 2 2 3 7" xfId="4372" xr:uid="{00000000-0005-0000-0000-0000C5430000}"/>
    <cellStyle name="40% - Accent5 2 2 3 7 2" xfId="14349" xr:uid="{00000000-0005-0000-0000-0000C6430000}"/>
    <cellStyle name="40% - Accent5 2 2 3 7 2 2" xfId="27898" xr:uid="{00000000-0005-0000-0000-0000C7430000}"/>
    <cellStyle name="40% - Accent5 2 2 3 7 3" xfId="29147" xr:uid="{00000000-0005-0000-0000-0000C8430000}"/>
    <cellStyle name="40% - Accent5 2 2 3 8" xfId="4373" xr:uid="{00000000-0005-0000-0000-0000C9430000}"/>
    <cellStyle name="40% - Accent5 2 2 3 8 2" xfId="15385" xr:uid="{00000000-0005-0000-0000-0000CA430000}"/>
    <cellStyle name="40% - Accent5 2 2 3 8 2 2" xfId="28934" xr:uid="{00000000-0005-0000-0000-0000CB430000}"/>
    <cellStyle name="40% - Accent5 2 2 3 8 3" xfId="22998" xr:uid="{00000000-0005-0000-0000-0000CC430000}"/>
    <cellStyle name="40% - Accent5 2 2 3 9" xfId="4374" xr:uid="{00000000-0005-0000-0000-0000CD430000}"/>
    <cellStyle name="40% - Accent5 2 2 3 9 2" xfId="16235" xr:uid="{00000000-0005-0000-0000-0000CE430000}"/>
    <cellStyle name="40% - Accent5 2 2 3 9 2 2" xfId="29642" xr:uid="{00000000-0005-0000-0000-0000CF430000}"/>
    <cellStyle name="40% - Accent5 2 2 3 9 3" xfId="22997" xr:uid="{00000000-0005-0000-0000-0000D0430000}"/>
    <cellStyle name="40% - Accent5 2 2 4" xfId="4375" xr:uid="{00000000-0005-0000-0000-0000D1430000}"/>
    <cellStyle name="40% - Accent5 2 2 4 2" xfId="4376" xr:uid="{00000000-0005-0000-0000-0000D2430000}"/>
    <cellStyle name="40% - Accent5 2 2 4 2 2" xfId="11169" xr:uid="{00000000-0005-0000-0000-0000D3430000}"/>
    <cellStyle name="40% - Accent5 2 2 4 2 2 2" xfId="25111" xr:uid="{00000000-0005-0000-0000-0000D4430000}"/>
    <cellStyle name="40% - Accent5 2 2 4 2 3" xfId="22996" xr:uid="{00000000-0005-0000-0000-0000D5430000}"/>
    <cellStyle name="40% - Accent5 2 2 4 3" xfId="4377" xr:uid="{00000000-0005-0000-0000-0000D6430000}"/>
    <cellStyle name="40% - Accent5 2 2 4 3 2" xfId="12950" xr:uid="{00000000-0005-0000-0000-0000D7430000}"/>
    <cellStyle name="40% - Accent5 2 2 4 3 2 2" xfId="26662" xr:uid="{00000000-0005-0000-0000-0000D8430000}"/>
    <cellStyle name="40% - Accent5 2 2 4 3 3" xfId="22995" xr:uid="{00000000-0005-0000-0000-0000D9430000}"/>
    <cellStyle name="40% - Accent5 2 2 4 4" xfId="4378" xr:uid="{00000000-0005-0000-0000-0000DA430000}"/>
    <cellStyle name="40% - Accent5 2 2 4 4 2" xfId="15388" xr:uid="{00000000-0005-0000-0000-0000DB430000}"/>
    <cellStyle name="40% - Accent5 2 2 4 4 2 2" xfId="28937" xr:uid="{00000000-0005-0000-0000-0000DC430000}"/>
    <cellStyle name="40% - Accent5 2 2 4 4 3" xfId="24257" xr:uid="{00000000-0005-0000-0000-0000DD430000}"/>
    <cellStyle name="40% - Accent5 2 2 4 5" xfId="4379" xr:uid="{00000000-0005-0000-0000-0000DE430000}"/>
    <cellStyle name="40% - Accent5 2 2 4 5 2" xfId="17163" xr:uid="{00000000-0005-0000-0000-0000DF430000}"/>
    <cellStyle name="40% - Accent5 2 2 4 5 2 2" xfId="30522" xr:uid="{00000000-0005-0000-0000-0000E0430000}"/>
    <cellStyle name="40% - Accent5 2 2 4 5 3" xfId="22994" xr:uid="{00000000-0005-0000-0000-0000E1430000}"/>
    <cellStyle name="40% - Accent5 2 2 4 6" xfId="9442" xr:uid="{00000000-0005-0000-0000-0000E2430000}"/>
    <cellStyle name="40% - Accent5 2 2 4 6 2" xfId="23917" xr:uid="{00000000-0005-0000-0000-0000E3430000}"/>
    <cellStyle name="40% - Accent5 2 2 4 7" xfId="26841" xr:uid="{00000000-0005-0000-0000-0000E4430000}"/>
    <cellStyle name="40% - Accent5 2 2 5" xfId="4380" xr:uid="{00000000-0005-0000-0000-0000E5430000}"/>
    <cellStyle name="40% - Accent5 2 2 5 2" xfId="4381" xr:uid="{00000000-0005-0000-0000-0000E6430000}"/>
    <cellStyle name="40% - Accent5 2 2 5 2 2" xfId="15389" xr:uid="{00000000-0005-0000-0000-0000E7430000}"/>
    <cellStyle name="40% - Accent5 2 2 5 2 2 2" xfId="28938" xr:uid="{00000000-0005-0000-0000-0000E8430000}"/>
    <cellStyle name="40% - Accent5 2 2 5 2 3" xfId="22993" xr:uid="{00000000-0005-0000-0000-0000E9430000}"/>
    <cellStyle name="40% - Accent5 2 2 5 3" xfId="4382" xr:uid="{00000000-0005-0000-0000-0000EA430000}"/>
    <cellStyle name="40% - Accent5 2 2 5 3 2" xfId="17252" xr:uid="{00000000-0005-0000-0000-0000EB430000}"/>
    <cellStyle name="40% - Accent5 2 2 5 3 2 2" xfId="30611" xr:uid="{00000000-0005-0000-0000-0000EC430000}"/>
    <cellStyle name="40% - Accent5 2 2 5 3 3" xfId="22992" xr:uid="{00000000-0005-0000-0000-0000ED430000}"/>
    <cellStyle name="40% - Accent5 2 2 5 4" xfId="11162" xr:uid="{00000000-0005-0000-0000-0000EE430000}"/>
    <cellStyle name="40% - Accent5 2 2 5 4 2" xfId="25104" xr:uid="{00000000-0005-0000-0000-0000EF430000}"/>
    <cellStyle name="40% - Accent5 2 2 5 5" xfId="25271" xr:uid="{00000000-0005-0000-0000-0000F0430000}"/>
    <cellStyle name="40% - Accent5 2 2 6" xfId="4383" xr:uid="{00000000-0005-0000-0000-0000F1430000}"/>
    <cellStyle name="40% - Accent5 2 2 6 2" xfId="4384" xr:uid="{00000000-0005-0000-0000-0000F2430000}"/>
    <cellStyle name="40% - Accent5 2 2 6 2 2" xfId="16527" xr:uid="{00000000-0005-0000-0000-0000F3430000}"/>
    <cellStyle name="40% - Accent5 2 2 6 2 2 2" xfId="29934" xr:uid="{00000000-0005-0000-0000-0000F4430000}"/>
    <cellStyle name="40% - Accent5 2 2 6 2 3" xfId="22991" xr:uid="{00000000-0005-0000-0000-0000F5430000}"/>
    <cellStyle name="40% - Accent5 2 2 6 3" xfId="11902" xr:uid="{00000000-0005-0000-0000-0000F6430000}"/>
    <cellStyle name="40% - Accent5 2 2 6 3 2" xfId="25617" xr:uid="{00000000-0005-0000-0000-0000F7430000}"/>
    <cellStyle name="40% - Accent5 2 2 6 4" xfId="24255" xr:uid="{00000000-0005-0000-0000-0000F8430000}"/>
    <cellStyle name="40% - Accent5 2 2 7" xfId="4385" xr:uid="{00000000-0005-0000-0000-0000F9430000}"/>
    <cellStyle name="40% - Accent5 2 2 7 2" xfId="12943" xr:uid="{00000000-0005-0000-0000-0000FA430000}"/>
    <cellStyle name="40% - Accent5 2 2 7 2 2" xfId="26655" xr:uid="{00000000-0005-0000-0000-0000FB430000}"/>
    <cellStyle name="40% - Accent5 2 2 7 3" xfId="22990" xr:uid="{00000000-0005-0000-0000-0000FC430000}"/>
    <cellStyle name="40% - Accent5 2 2 8" xfId="4386" xr:uid="{00000000-0005-0000-0000-0000FD430000}"/>
    <cellStyle name="40% - Accent5 2 2 8 2" xfId="13479" xr:uid="{00000000-0005-0000-0000-0000FE430000}"/>
    <cellStyle name="40% - Accent5 2 2 8 2 2" xfId="27028" xr:uid="{00000000-0005-0000-0000-0000FF430000}"/>
    <cellStyle name="40% - Accent5 2 2 8 3" xfId="29146" xr:uid="{00000000-0005-0000-0000-000000440000}"/>
    <cellStyle name="40% - Accent5 2 2 9" xfId="4387" xr:uid="{00000000-0005-0000-0000-000001440000}"/>
    <cellStyle name="40% - Accent5 2 2 9 2" xfId="14060" xr:uid="{00000000-0005-0000-0000-000002440000}"/>
    <cellStyle name="40% - Accent5 2 2 9 2 2" xfId="27609" xr:uid="{00000000-0005-0000-0000-000003440000}"/>
    <cellStyle name="40% - Accent5 2 2 9 3" xfId="22989" xr:uid="{00000000-0005-0000-0000-000004440000}"/>
    <cellStyle name="40% - Accent5 2 3" xfId="4388" xr:uid="{00000000-0005-0000-0000-000005440000}"/>
    <cellStyle name="40% - Accent5 2 3 10" xfId="4389" xr:uid="{00000000-0005-0000-0000-000006440000}"/>
    <cellStyle name="40% - Accent5 2 3 10 2" xfId="16043" xr:uid="{00000000-0005-0000-0000-000007440000}"/>
    <cellStyle name="40% - Accent5 2 3 10 2 2" xfId="29450" xr:uid="{00000000-0005-0000-0000-000008440000}"/>
    <cellStyle name="40% - Accent5 2 3 10 3" xfId="26840" xr:uid="{00000000-0005-0000-0000-000009440000}"/>
    <cellStyle name="40% - Accent5 2 3 11" xfId="9443" xr:uid="{00000000-0005-0000-0000-00000A440000}"/>
    <cellStyle name="40% - Accent5 2 3 11 2" xfId="23918" xr:uid="{00000000-0005-0000-0000-00000B440000}"/>
    <cellStyle name="40% - Accent5 2 3 12" xfId="22988" xr:uid="{00000000-0005-0000-0000-00000C440000}"/>
    <cellStyle name="40% - Accent5 2 3 2" xfId="4390" xr:uid="{00000000-0005-0000-0000-00000D440000}"/>
    <cellStyle name="40% - Accent5 2 3 2 10" xfId="9444" xr:uid="{00000000-0005-0000-0000-00000E440000}"/>
    <cellStyle name="40% - Accent5 2 3 2 10 2" xfId="23919" xr:uid="{00000000-0005-0000-0000-00000F440000}"/>
    <cellStyle name="40% - Accent5 2 3 2 11" xfId="22987" xr:uid="{00000000-0005-0000-0000-000010440000}"/>
    <cellStyle name="40% - Accent5 2 3 2 2" xfId="4391" xr:uid="{00000000-0005-0000-0000-000011440000}"/>
    <cellStyle name="40% - Accent5 2 3 2 2 2" xfId="4392" xr:uid="{00000000-0005-0000-0000-000012440000}"/>
    <cellStyle name="40% - Accent5 2 3 2 2 2 2" xfId="11172" xr:uid="{00000000-0005-0000-0000-000013440000}"/>
    <cellStyle name="40% - Accent5 2 3 2 2 2 2 2" xfId="25114" xr:uid="{00000000-0005-0000-0000-000014440000}"/>
    <cellStyle name="40% - Accent5 2 3 2 2 2 3" xfId="24256" xr:uid="{00000000-0005-0000-0000-000015440000}"/>
    <cellStyle name="40% - Accent5 2 3 2 2 3" xfId="4393" xr:uid="{00000000-0005-0000-0000-000016440000}"/>
    <cellStyle name="40% - Accent5 2 3 2 2 3 2" xfId="12953" xr:uid="{00000000-0005-0000-0000-000017440000}"/>
    <cellStyle name="40% - Accent5 2 3 2 2 3 2 2" xfId="26665" xr:uid="{00000000-0005-0000-0000-000018440000}"/>
    <cellStyle name="40% - Accent5 2 3 2 2 3 3" xfId="22985" xr:uid="{00000000-0005-0000-0000-000019440000}"/>
    <cellStyle name="40% - Accent5 2 3 2 2 4" xfId="4394" xr:uid="{00000000-0005-0000-0000-00001A440000}"/>
    <cellStyle name="40% - Accent5 2 3 2 2 4 2" xfId="15392" xr:uid="{00000000-0005-0000-0000-00001B440000}"/>
    <cellStyle name="40% - Accent5 2 3 2 2 4 2 2" xfId="28941" xr:uid="{00000000-0005-0000-0000-00001C440000}"/>
    <cellStyle name="40% - Accent5 2 3 2 2 4 3" xfId="25270" xr:uid="{00000000-0005-0000-0000-00001D440000}"/>
    <cellStyle name="40% - Accent5 2 3 2 2 5" xfId="4395" xr:uid="{00000000-0005-0000-0000-00001E440000}"/>
    <cellStyle name="40% - Accent5 2 3 2 2 5 2" xfId="16913" xr:uid="{00000000-0005-0000-0000-00001F440000}"/>
    <cellStyle name="40% - Accent5 2 3 2 2 5 2 2" xfId="30320" xr:uid="{00000000-0005-0000-0000-000020440000}"/>
    <cellStyle name="40% - Accent5 2 3 2 2 5 3" xfId="22984" xr:uid="{00000000-0005-0000-0000-000021440000}"/>
    <cellStyle name="40% - Accent5 2 3 2 2 6" xfId="9445" xr:uid="{00000000-0005-0000-0000-000022440000}"/>
    <cellStyle name="40% - Accent5 2 3 2 2 6 2" xfId="23920" xr:uid="{00000000-0005-0000-0000-000023440000}"/>
    <cellStyle name="40% - Accent5 2 3 2 2 7" xfId="22986" xr:uid="{00000000-0005-0000-0000-000024440000}"/>
    <cellStyle name="40% - Accent5 2 3 2 3" xfId="4396" xr:uid="{00000000-0005-0000-0000-000025440000}"/>
    <cellStyle name="40% - Accent5 2 3 2 3 2" xfId="4397" xr:uid="{00000000-0005-0000-0000-000026440000}"/>
    <cellStyle name="40% - Accent5 2 3 2 3 2 2" xfId="15393" xr:uid="{00000000-0005-0000-0000-000027440000}"/>
    <cellStyle name="40% - Accent5 2 3 2 3 2 2 2" xfId="28942" xr:uid="{00000000-0005-0000-0000-000028440000}"/>
    <cellStyle name="40% - Accent5 2 3 2 3 2 3" xfId="22982" xr:uid="{00000000-0005-0000-0000-000029440000}"/>
    <cellStyle name="40% - Accent5 2 3 2 3 3" xfId="11171" xr:uid="{00000000-0005-0000-0000-00002A440000}"/>
    <cellStyle name="40% - Accent5 2 3 2 3 3 2" xfId="25113" xr:uid="{00000000-0005-0000-0000-00002B440000}"/>
    <cellStyle name="40% - Accent5 2 3 2 3 4" xfId="22983" xr:uid="{00000000-0005-0000-0000-00002C440000}"/>
    <cellStyle name="40% - Accent5 2 3 2 4" xfId="4398" xr:uid="{00000000-0005-0000-0000-00002D440000}"/>
    <cellStyle name="40% - Accent5 2 3 2 4 2" xfId="12301" xr:uid="{00000000-0005-0000-0000-00002E440000}"/>
    <cellStyle name="40% - Accent5 2 3 2 4 2 2" xfId="26013" xr:uid="{00000000-0005-0000-0000-00002F440000}"/>
    <cellStyle name="40% - Accent5 2 3 2 4 3" xfId="22981" xr:uid="{00000000-0005-0000-0000-000030440000}"/>
    <cellStyle name="40% - Accent5 2 3 2 5" xfId="4399" xr:uid="{00000000-0005-0000-0000-000031440000}"/>
    <cellStyle name="40% - Accent5 2 3 2 5 2" xfId="12952" xr:uid="{00000000-0005-0000-0000-000032440000}"/>
    <cellStyle name="40% - Accent5 2 3 2 5 2 2" xfId="26664" xr:uid="{00000000-0005-0000-0000-000033440000}"/>
    <cellStyle name="40% - Accent5 2 3 2 5 3" xfId="24253" xr:uid="{00000000-0005-0000-0000-000034440000}"/>
    <cellStyle name="40% - Accent5 2 3 2 6" xfId="4400" xr:uid="{00000000-0005-0000-0000-000035440000}"/>
    <cellStyle name="40% - Accent5 2 3 2 6 2" xfId="13865" xr:uid="{00000000-0005-0000-0000-000036440000}"/>
    <cellStyle name="40% - Accent5 2 3 2 6 2 2" xfId="27414" xr:uid="{00000000-0005-0000-0000-000037440000}"/>
    <cellStyle name="40% - Accent5 2 3 2 6 3" xfId="22980" xr:uid="{00000000-0005-0000-0000-000038440000}"/>
    <cellStyle name="40% - Accent5 2 3 2 7" xfId="4401" xr:uid="{00000000-0005-0000-0000-000039440000}"/>
    <cellStyle name="40% - Accent5 2 3 2 7 2" xfId="14446" xr:uid="{00000000-0005-0000-0000-00003A440000}"/>
    <cellStyle name="40% - Accent5 2 3 2 7 2 2" xfId="27995" xr:uid="{00000000-0005-0000-0000-00003B440000}"/>
    <cellStyle name="40% - Accent5 2 3 2 7 3" xfId="30646" xr:uid="{00000000-0005-0000-0000-00003C440000}"/>
    <cellStyle name="40% - Accent5 2 3 2 8" xfId="4402" xr:uid="{00000000-0005-0000-0000-00003D440000}"/>
    <cellStyle name="40% - Accent5 2 3 2 8 2" xfId="15391" xr:uid="{00000000-0005-0000-0000-00003E440000}"/>
    <cellStyle name="40% - Accent5 2 3 2 8 2 2" xfId="28940" xr:uid="{00000000-0005-0000-0000-00003F440000}"/>
    <cellStyle name="40% - Accent5 2 3 2 8 3" xfId="22979" xr:uid="{00000000-0005-0000-0000-000040440000}"/>
    <cellStyle name="40% - Accent5 2 3 2 9" xfId="4403" xr:uid="{00000000-0005-0000-0000-000041440000}"/>
    <cellStyle name="40% - Accent5 2 3 2 9 2" xfId="16332" xr:uid="{00000000-0005-0000-0000-000042440000}"/>
    <cellStyle name="40% - Accent5 2 3 2 9 2 2" xfId="29739" xr:uid="{00000000-0005-0000-0000-000043440000}"/>
    <cellStyle name="40% - Accent5 2 3 2 9 3" xfId="22978" xr:uid="{00000000-0005-0000-0000-000044440000}"/>
    <cellStyle name="40% - Accent5 2 3 3" xfId="4404" xr:uid="{00000000-0005-0000-0000-000045440000}"/>
    <cellStyle name="40% - Accent5 2 3 3 2" xfId="4405" xr:uid="{00000000-0005-0000-0000-000046440000}"/>
    <cellStyle name="40% - Accent5 2 3 3 2 2" xfId="11173" xr:uid="{00000000-0005-0000-0000-000047440000}"/>
    <cellStyle name="40% - Accent5 2 3 3 2 2 2" xfId="25115" xr:uid="{00000000-0005-0000-0000-000048440000}"/>
    <cellStyle name="40% - Accent5 2 3 3 2 3" xfId="22976" xr:uid="{00000000-0005-0000-0000-000049440000}"/>
    <cellStyle name="40% - Accent5 2 3 3 3" xfId="4406" xr:uid="{00000000-0005-0000-0000-00004A440000}"/>
    <cellStyle name="40% - Accent5 2 3 3 3 2" xfId="12954" xr:uid="{00000000-0005-0000-0000-00004B440000}"/>
    <cellStyle name="40% - Accent5 2 3 3 3 2 2" xfId="26666" xr:uid="{00000000-0005-0000-0000-00004C440000}"/>
    <cellStyle name="40% - Accent5 2 3 3 3 3" xfId="29145" xr:uid="{00000000-0005-0000-0000-00004D440000}"/>
    <cellStyle name="40% - Accent5 2 3 3 4" xfId="4407" xr:uid="{00000000-0005-0000-0000-00004E440000}"/>
    <cellStyle name="40% - Accent5 2 3 3 4 2" xfId="15394" xr:uid="{00000000-0005-0000-0000-00004F440000}"/>
    <cellStyle name="40% - Accent5 2 3 3 4 2 2" xfId="28943" xr:uid="{00000000-0005-0000-0000-000050440000}"/>
    <cellStyle name="40% - Accent5 2 3 3 4 3" xfId="22975" xr:uid="{00000000-0005-0000-0000-000051440000}"/>
    <cellStyle name="40% - Accent5 2 3 3 5" xfId="4408" xr:uid="{00000000-0005-0000-0000-000052440000}"/>
    <cellStyle name="40% - Accent5 2 3 3 5 2" xfId="16624" xr:uid="{00000000-0005-0000-0000-000053440000}"/>
    <cellStyle name="40% - Accent5 2 3 3 5 2 2" xfId="30031" xr:uid="{00000000-0005-0000-0000-000054440000}"/>
    <cellStyle name="40% - Accent5 2 3 3 5 3" xfId="22974" xr:uid="{00000000-0005-0000-0000-000055440000}"/>
    <cellStyle name="40% - Accent5 2 3 3 6" xfId="9446" xr:uid="{00000000-0005-0000-0000-000056440000}"/>
    <cellStyle name="40% - Accent5 2 3 3 6 2" xfId="23921" xr:uid="{00000000-0005-0000-0000-000057440000}"/>
    <cellStyle name="40% - Accent5 2 3 3 7" xfId="22977" xr:uid="{00000000-0005-0000-0000-000058440000}"/>
    <cellStyle name="40% - Accent5 2 3 4" xfId="4409" xr:uid="{00000000-0005-0000-0000-000059440000}"/>
    <cellStyle name="40% - Accent5 2 3 4 2" xfId="4410" xr:uid="{00000000-0005-0000-0000-00005A440000}"/>
    <cellStyle name="40% - Accent5 2 3 4 2 2" xfId="15395" xr:uid="{00000000-0005-0000-0000-00005B440000}"/>
    <cellStyle name="40% - Accent5 2 3 4 2 2 2" xfId="28944" xr:uid="{00000000-0005-0000-0000-00005C440000}"/>
    <cellStyle name="40% - Accent5 2 3 4 2 3" xfId="22973" xr:uid="{00000000-0005-0000-0000-00005D440000}"/>
    <cellStyle name="40% - Accent5 2 3 4 3" xfId="11170" xr:uid="{00000000-0005-0000-0000-00005E440000}"/>
    <cellStyle name="40% - Accent5 2 3 4 3 2" xfId="25112" xr:uid="{00000000-0005-0000-0000-00005F440000}"/>
    <cellStyle name="40% - Accent5 2 3 4 4" xfId="24252" xr:uid="{00000000-0005-0000-0000-000060440000}"/>
    <cellStyle name="40% - Accent5 2 3 5" xfId="4411" xr:uid="{00000000-0005-0000-0000-000061440000}"/>
    <cellStyle name="40% - Accent5 2 3 5 2" xfId="12001" xr:uid="{00000000-0005-0000-0000-000062440000}"/>
    <cellStyle name="40% - Accent5 2 3 5 2 2" xfId="25716" xr:uid="{00000000-0005-0000-0000-000063440000}"/>
    <cellStyle name="40% - Accent5 2 3 5 3" xfId="25269" xr:uid="{00000000-0005-0000-0000-000064440000}"/>
    <cellStyle name="40% - Accent5 2 3 6" xfId="4412" xr:uid="{00000000-0005-0000-0000-000065440000}"/>
    <cellStyle name="40% - Accent5 2 3 6 2" xfId="12951" xr:uid="{00000000-0005-0000-0000-000066440000}"/>
    <cellStyle name="40% - Accent5 2 3 6 2 2" xfId="26663" xr:uid="{00000000-0005-0000-0000-000067440000}"/>
    <cellStyle name="40% - Accent5 2 3 6 3" xfId="22972" xr:uid="{00000000-0005-0000-0000-000068440000}"/>
    <cellStyle name="40% - Accent5 2 3 7" xfId="4413" xr:uid="{00000000-0005-0000-0000-000069440000}"/>
    <cellStyle name="40% - Accent5 2 3 7 2" xfId="13576" xr:uid="{00000000-0005-0000-0000-00006A440000}"/>
    <cellStyle name="40% - Accent5 2 3 7 2 2" xfId="27125" xr:uid="{00000000-0005-0000-0000-00006B440000}"/>
    <cellStyle name="40% - Accent5 2 3 7 3" xfId="22971" xr:uid="{00000000-0005-0000-0000-00006C440000}"/>
    <cellStyle name="40% - Accent5 2 3 8" xfId="4414" xr:uid="{00000000-0005-0000-0000-00006D440000}"/>
    <cellStyle name="40% - Accent5 2 3 8 2" xfId="14157" xr:uid="{00000000-0005-0000-0000-00006E440000}"/>
    <cellStyle name="40% - Accent5 2 3 8 2 2" xfId="27706" xr:uid="{00000000-0005-0000-0000-00006F440000}"/>
    <cellStyle name="40% - Accent5 2 3 8 3" xfId="24251" xr:uid="{00000000-0005-0000-0000-000070440000}"/>
    <cellStyle name="40% - Accent5 2 3 9" xfId="4415" xr:uid="{00000000-0005-0000-0000-000071440000}"/>
    <cellStyle name="40% - Accent5 2 3 9 2" xfId="15390" xr:uid="{00000000-0005-0000-0000-000072440000}"/>
    <cellStyle name="40% - Accent5 2 3 9 2 2" xfId="28939" xr:uid="{00000000-0005-0000-0000-000073440000}"/>
    <cellStyle name="40% - Accent5 2 3 9 3" xfId="22970" xr:uid="{00000000-0005-0000-0000-000074440000}"/>
    <cellStyle name="40% - Accent5 2 4" xfId="4416" xr:uid="{00000000-0005-0000-0000-000075440000}"/>
    <cellStyle name="40% - Accent5 2 4 10" xfId="9447" xr:uid="{00000000-0005-0000-0000-000076440000}"/>
    <cellStyle name="40% - Accent5 2 4 10 2" xfId="23922" xr:uid="{00000000-0005-0000-0000-000077440000}"/>
    <cellStyle name="40% - Accent5 2 4 11" xfId="26839" xr:uid="{00000000-0005-0000-0000-000078440000}"/>
    <cellStyle name="40% - Accent5 2 4 2" xfId="4417" xr:uid="{00000000-0005-0000-0000-000079440000}"/>
    <cellStyle name="40% - Accent5 2 4 2 2" xfId="4418" xr:uid="{00000000-0005-0000-0000-00007A440000}"/>
    <cellStyle name="40% - Accent5 2 4 2 2 2" xfId="11175" xr:uid="{00000000-0005-0000-0000-00007B440000}"/>
    <cellStyle name="40% - Accent5 2 4 2 2 2 2" xfId="25117" xr:uid="{00000000-0005-0000-0000-00007C440000}"/>
    <cellStyle name="40% - Accent5 2 4 2 2 3" xfId="22968" xr:uid="{00000000-0005-0000-0000-00007D440000}"/>
    <cellStyle name="40% - Accent5 2 4 2 3" xfId="4419" xr:uid="{00000000-0005-0000-0000-00007E440000}"/>
    <cellStyle name="40% - Accent5 2 4 2 3 2" xfId="12956" xr:uid="{00000000-0005-0000-0000-00007F440000}"/>
    <cellStyle name="40% - Accent5 2 4 2 3 2 2" xfId="26668" xr:uid="{00000000-0005-0000-0000-000080440000}"/>
    <cellStyle name="40% - Accent5 2 4 2 3 3" xfId="24249" xr:uid="{00000000-0005-0000-0000-000081440000}"/>
    <cellStyle name="40% - Accent5 2 4 2 4" xfId="4420" xr:uid="{00000000-0005-0000-0000-000082440000}"/>
    <cellStyle name="40% - Accent5 2 4 2 4 2" xfId="15397" xr:uid="{00000000-0005-0000-0000-000083440000}"/>
    <cellStyle name="40% - Accent5 2 4 2 4 2 2" xfId="28946" xr:uid="{00000000-0005-0000-0000-000084440000}"/>
    <cellStyle name="40% - Accent5 2 4 2 4 3" xfId="22967" xr:uid="{00000000-0005-0000-0000-000085440000}"/>
    <cellStyle name="40% - Accent5 2 4 2 5" xfId="4421" xr:uid="{00000000-0005-0000-0000-000086440000}"/>
    <cellStyle name="40% - Accent5 2 4 2 5 2" xfId="16770" xr:uid="{00000000-0005-0000-0000-000087440000}"/>
    <cellStyle name="40% - Accent5 2 4 2 5 2 2" xfId="30177" xr:uid="{00000000-0005-0000-0000-000088440000}"/>
    <cellStyle name="40% - Accent5 2 4 2 5 3" xfId="22966" xr:uid="{00000000-0005-0000-0000-000089440000}"/>
    <cellStyle name="40% - Accent5 2 4 2 6" xfId="9448" xr:uid="{00000000-0005-0000-0000-00008A440000}"/>
    <cellStyle name="40% - Accent5 2 4 2 6 2" xfId="23923" xr:uid="{00000000-0005-0000-0000-00008B440000}"/>
    <cellStyle name="40% - Accent5 2 4 2 7" xfId="22969" xr:uid="{00000000-0005-0000-0000-00008C440000}"/>
    <cellStyle name="40% - Accent5 2 4 3" xfId="4422" xr:uid="{00000000-0005-0000-0000-00008D440000}"/>
    <cellStyle name="40% - Accent5 2 4 3 2" xfId="4423" xr:uid="{00000000-0005-0000-0000-00008E440000}"/>
    <cellStyle name="40% - Accent5 2 4 3 2 2" xfId="15398" xr:uid="{00000000-0005-0000-0000-00008F440000}"/>
    <cellStyle name="40% - Accent5 2 4 3 2 2 2" xfId="28947" xr:uid="{00000000-0005-0000-0000-000090440000}"/>
    <cellStyle name="40% - Accent5 2 4 3 2 3" xfId="22965" xr:uid="{00000000-0005-0000-0000-000091440000}"/>
    <cellStyle name="40% - Accent5 2 4 3 3" xfId="11174" xr:uid="{00000000-0005-0000-0000-000092440000}"/>
    <cellStyle name="40% - Accent5 2 4 3 3 2" xfId="25116" xr:uid="{00000000-0005-0000-0000-000093440000}"/>
    <cellStyle name="40% - Accent5 2 4 3 4" xfId="29144" xr:uid="{00000000-0005-0000-0000-000094440000}"/>
    <cellStyle name="40% - Accent5 2 4 4" xfId="4424" xr:uid="{00000000-0005-0000-0000-000095440000}"/>
    <cellStyle name="40% - Accent5 2 4 4 2" xfId="12158" xr:uid="{00000000-0005-0000-0000-000096440000}"/>
    <cellStyle name="40% - Accent5 2 4 4 2 2" xfId="25870" xr:uid="{00000000-0005-0000-0000-000097440000}"/>
    <cellStyle name="40% - Accent5 2 4 4 3" xfId="22964" xr:uid="{00000000-0005-0000-0000-000098440000}"/>
    <cellStyle name="40% - Accent5 2 4 5" xfId="4425" xr:uid="{00000000-0005-0000-0000-000099440000}"/>
    <cellStyle name="40% - Accent5 2 4 5 2" xfId="12955" xr:uid="{00000000-0005-0000-0000-00009A440000}"/>
    <cellStyle name="40% - Accent5 2 4 5 2 2" xfId="26667" xr:uid="{00000000-0005-0000-0000-00009B440000}"/>
    <cellStyle name="40% - Accent5 2 4 5 3" xfId="26838" xr:uid="{00000000-0005-0000-0000-00009C440000}"/>
    <cellStyle name="40% - Accent5 2 4 6" xfId="4426" xr:uid="{00000000-0005-0000-0000-00009D440000}"/>
    <cellStyle name="40% - Accent5 2 4 6 2" xfId="13722" xr:uid="{00000000-0005-0000-0000-00009E440000}"/>
    <cellStyle name="40% - Accent5 2 4 6 2 2" xfId="27271" xr:uid="{00000000-0005-0000-0000-00009F440000}"/>
    <cellStyle name="40% - Accent5 2 4 6 3" xfId="22963" xr:uid="{00000000-0005-0000-0000-0000A0440000}"/>
    <cellStyle name="40% - Accent5 2 4 7" xfId="4427" xr:uid="{00000000-0005-0000-0000-0000A1440000}"/>
    <cellStyle name="40% - Accent5 2 4 7 2" xfId="14303" xr:uid="{00000000-0005-0000-0000-0000A2440000}"/>
    <cellStyle name="40% - Accent5 2 4 7 2 2" xfId="27852" xr:uid="{00000000-0005-0000-0000-0000A3440000}"/>
    <cellStyle name="40% - Accent5 2 4 7 3" xfId="22962" xr:uid="{00000000-0005-0000-0000-0000A4440000}"/>
    <cellStyle name="40% - Accent5 2 4 8" xfId="4428" xr:uid="{00000000-0005-0000-0000-0000A5440000}"/>
    <cellStyle name="40% - Accent5 2 4 8 2" xfId="15396" xr:uid="{00000000-0005-0000-0000-0000A6440000}"/>
    <cellStyle name="40% - Accent5 2 4 8 2 2" xfId="28945" xr:uid="{00000000-0005-0000-0000-0000A7440000}"/>
    <cellStyle name="40% - Accent5 2 4 8 3" xfId="24250" xr:uid="{00000000-0005-0000-0000-0000A8440000}"/>
    <cellStyle name="40% - Accent5 2 4 9" xfId="4429" xr:uid="{00000000-0005-0000-0000-0000A9440000}"/>
    <cellStyle name="40% - Accent5 2 4 9 2" xfId="16189" xr:uid="{00000000-0005-0000-0000-0000AA440000}"/>
    <cellStyle name="40% - Accent5 2 4 9 2 2" xfId="29596" xr:uid="{00000000-0005-0000-0000-0000AB440000}"/>
    <cellStyle name="40% - Accent5 2 4 9 3" xfId="22961" xr:uid="{00000000-0005-0000-0000-0000AC440000}"/>
    <cellStyle name="40% - Accent5 2 5" xfId="4430" xr:uid="{00000000-0005-0000-0000-0000AD440000}"/>
    <cellStyle name="40% - Accent5 2 5 2" xfId="4431" xr:uid="{00000000-0005-0000-0000-0000AE440000}"/>
    <cellStyle name="40% - Accent5 2 5 2 2" xfId="4432" xr:uid="{00000000-0005-0000-0000-0000AF440000}"/>
    <cellStyle name="40% - Accent5 2 5 2 2 2" xfId="11177" xr:uid="{00000000-0005-0000-0000-0000B0440000}"/>
    <cellStyle name="40% - Accent5 2 5 2 2 2 2" xfId="25119" xr:uid="{00000000-0005-0000-0000-0000B1440000}"/>
    <cellStyle name="40% - Accent5 2 5 2 2 3" xfId="22959" xr:uid="{00000000-0005-0000-0000-0000B2440000}"/>
    <cellStyle name="40% - Accent5 2 5 2 3" xfId="4433" xr:uid="{00000000-0005-0000-0000-0000B3440000}"/>
    <cellStyle name="40% - Accent5 2 5 2 3 2" xfId="12958" xr:uid="{00000000-0005-0000-0000-0000B4440000}"/>
    <cellStyle name="40% - Accent5 2 5 2 3 2 2" xfId="26670" xr:uid="{00000000-0005-0000-0000-0000B5440000}"/>
    <cellStyle name="40% - Accent5 2 5 2 3 3" xfId="22958" xr:uid="{00000000-0005-0000-0000-0000B6440000}"/>
    <cellStyle name="40% - Accent5 2 5 2 4" xfId="4434" xr:uid="{00000000-0005-0000-0000-0000B7440000}"/>
    <cellStyle name="40% - Accent5 2 5 2 4 2" xfId="15400" xr:uid="{00000000-0005-0000-0000-0000B8440000}"/>
    <cellStyle name="40% - Accent5 2 5 2 4 2 2" xfId="28949" xr:uid="{00000000-0005-0000-0000-0000B9440000}"/>
    <cellStyle name="40% - Accent5 2 5 2 4 3" xfId="24245" xr:uid="{00000000-0005-0000-0000-0000BA440000}"/>
    <cellStyle name="40% - Accent5 2 5 2 5" xfId="9450" xr:uid="{00000000-0005-0000-0000-0000BB440000}"/>
    <cellStyle name="40% - Accent5 2 5 2 5 2" xfId="23925" xr:uid="{00000000-0005-0000-0000-0000BC440000}"/>
    <cellStyle name="40% - Accent5 2 5 2 6" xfId="22960" xr:uid="{00000000-0005-0000-0000-0000BD440000}"/>
    <cellStyle name="40% - Accent5 2 5 3" xfId="4435" xr:uid="{00000000-0005-0000-0000-0000BE440000}"/>
    <cellStyle name="40% - Accent5 2 5 3 2" xfId="11176" xr:uid="{00000000-0005-0000-0000-0000BF440000}"/>
    <cellStyle name="40% - Accent5 2 5 3 2 2" xfId="25118" xr:uid="{00000000-0005-0000-0000-0000C0440000}"/>
    <cellStyle name="40% - Accent5 2 5 3 3" xfId="22957" xr:uid="{00000000-0005-0000-0000-0000C1440000}"/>
    <cellStyle name="40% - Accent5 2 5 4" xfId="4436" xr:uid="{00000000-0005-0000-0000-0000C2440000}"/>
    <cellStyle name="40% - Accent5 2 5 4 2" xfId="12957" xr:uid="{00000000-0005-0000-0000-0000C3440000}"/>
    <cellStyle name="40% - Accent5 2 5 4 2 2" xfId="26669" xr:uid="{00000000-0005-0000-0000-0000C4440000}"/>
    <cellStyle name="40% - Accent5 2 5 4 3" xfId="22956" xr:uid="{00000000-0005-0000-0000-0000C5440000}"/>
    <cellStyle name="40% - Accent5 2 5 5" xfId="4437" xr:uid="{00000000-0005-0000-0000-0000C6440000}"/>
    <cellStyle name="40% - Accent5 2 5 5 2" xfId="15399" xr:uid="{00000000-0005-0000-0000-0000C7440000}"/>
    <cellStyle name="40% - Accent5 2 5 5 2 2" xfId="28948" xr:uid="{00000000-0005-0000-0000-0000C8440000}"/>
    <cellStyle name="40% - Accent5 2 5 5 3" xfId="29143" xr:uid="{00000000-0005-0000-0000-0000C9440000}"/>
    <cellStyle name="40% - Accent5 2 5 6" xfId="4438" xr:uid="{00000000-0005-0000-0000-0000CA440000}"/>
    <cellStyle name="40% - Accent5 2 5 6 2" xfId="17006" xr:uid="{00000000-0005-0000-0000-0000CB440000}"/>
    <cellStyle name="40% - Accent5 2 5 6 2 2" xfId="30413" xr:uid="{00000000-0005-0000-0000-0000CC440000}"/>
    <cellStyle name="40% - Accent5 2 5 6 3" xfId="22955" xr:uid="{00000000-0005-0000-0000-0000CD440000}"/>
    <cellStyle name="40% - Accent5 2 5 7" xfId="9449" xr:uid="{00000000-0005-0000-0000-0000CE440000}"/>
    <cellStyle name="40% - Accent5 2 5 7 2" xfId="23924" xr:uid="{00000000-0005-0000-0000-0000CF440000}"/>
    <cellStyle name="40% - Accent5 2 5 8" xfId="25268" xr:uid="{00000000-0005-0000-0000-0000D0440000}"/>
    <cellStyle name="40% - Accent5 2 6" xfId="4439" xr:uid="{00000000-0005-0000-0000-0000D1440000}"/>
    <cellStyle name="40% - Accent5 2 6 2" xfId="4440" xr:uid="{00000000-0005-0000-0000-0000D2440000}"/>
    <cellStyle name="40% - Accent5 2 6 2 2" xfId="11178" xr:uid="{00000000-0005-0000-0000-0000D3440000}"/>
    <cellStyle name="40% - Accent5 2 6 2 2 2" xfId="25120" xr:uid="{00000000-0005-0000-0000-0000D4440000}"/>
    <cellStyle name="40% - Accent5 2 6 2 3" xfId="26837" xr:uid="{00000000-0005-0000-0000-0000D5440000}"/>
    <cellStyle name="40% - Accent5 2 6 3" xfId="4441" xr:uid="{00000000-0005-0000-0000-0000D6440000}"/>
    <cellStyle name="40% - Accent5 2 6 3 2" xfId="12959" xr:uid="{00000000-0005-0000-0000-0000D7440000}"/>
    <cellStyle name="40% - Accent5 2 6 3 2 2" xfId="26671" xr:uid="{00000000-0005-0000-0000-0000D8440000}"/>
    <cellStyle name="40% - Accent5 2 6 3 3" xfId="22953" xr:uid="{00000000-0005-0000-0000-0000D9440000}"/>
    <cellStyle name="40% - Accent5 2 6 4" xfId="4442" xr:uid="{00000000-0005-0000-0000-0000DA440000}"/>
    <cellStyle name="40% - Accent5 2 6 4 2" xfId="15401" xr:uid="{00000000-0005-0000-0000-0000DB440000}"/>
    <cellStyle name="40% - Accent5 2 6 4 2 2" xfId="28950" xr:uid="{00000000-0005-0000-0000-0000DC440000}"/>
    <cellStyle name="40% - Accent5 2 6 4 3" xfId="22952" xr:uid="{00000000-0005-0000-0000-0000DD440000}"/>
    <cellStyle name="40% - Accent5 2 6 5" xfId="4443" xr:uid="{00000000-0005-0000-0000-0000DE440000}"/>
    <cellStyle name="40% - Accent5 2 6 5 2" xfId="17117" xr:uid="{00000000-0005-0000-0000-0000DF440000}"/>
    <cellStyle name="40% - Accent5 2 6 5 2 2" xfId="30476" xr:uid="{00000000-0005-0000-0000-0000E0440000}"/>
    <cellStyle name="40% - Accent5 2 6 5 3" xfId="24248" xr:uid="{00000000-0005-0000-0000-0000E1440000}"/>
    <cellStyle name="40% - Accent5 2 6 6" xfId="9451" xr:uid="{00000000-0005-0000-0000-0000E2440000}"/>
    <cellStyle name="40% - Accent5 2 6 6 2" xfId="23926" xr:uid="{00000000-0005-0000-0000-0000E3440000}"/>
    <cellStyle name="40% - Accent5 2 6 7" xfId="22954" xr:uid="{00000000-0005-0000-0000-0000E4440000}"/>
    <cellStyle name="40% - Accent5 2 7" xfId="4444" xr:uid="{00000000-0005-0000-0000-0000E5440000}"/>
    <cellStyle name="40% - Accent5 2 7 2" xfId="4445" xr:uid="{00000000-0005-0000-0000-0000E6440000}"/>
    <cellStyle name="40% - Accent5 2 7 2 2" xfId="11179" xr:uid="{00000000-0005-0000-0000-0000E7440000}"/>
    <cellStyle name="40% - Accent5 2 7 2 2 2" xfId="25121" xr:uid="{00000000-0005-0000-0000-0000E8440000}"/>
    <cellStyle name="40% - Accent5 2 7 2 3" xfId="25267" xr:uid="{00000000-0005-0000-0000-0000E9440000}"/>
    <cellStyle name="40% - Accent5 2 7 3" xfId="4446" xr:uid="{00000000-0005-0000-0000-0000EA440000}"/>
    <cellStyle name="40% - Accent5 2 7 3 2" xfId="12960" xr:uid="{00000000-0005-0000-0000-0000EB440000}"/>
    <cellStyle name="40% - Accent5 2 7 3 2 2" xfId="26672" xr:uid="{00000000-0005-0000-0000-0000EC440000}"/>
    <cellStyle name="40% - Accent5 2 7 3 3" xfId="22950" xr:uid="{00000000-0005-0000-0000-0000ED440000}"/>
    <cellStyle name="40% - Accent5 2 7 4" xfId="4447" xr:uid="{00000000-0005-0000-0000-0000EE440000}"/>
    <cellStyle name="40% - Accent5 2 7 4 2" xfId="15402" xr:uid="{00000000-0005-0000-0000-0000EF440000}"/>
    <cellStyle name="40% - Accent5 2 7 4 2 2" xfId="28951" xr:uid="{00000000-0005-0000-0000-0000F0440000}"/>
    <cellStyle name="40% - Accent5 2 7 4 3" xfId="22949" xr:uid="{00000000-0005-0000-0000-0000F1440000}"/>
    <cellStyle name="40% - Accent5 2 7 5" xfId="4448" xr:uid="{00000000-0005-0000-0000-0000F2440000}"/>
    <cellStyle name="40% - Accent5 2 7 5 2" xfId="17206" xr:uid="{00000000-0005-0000-0000-0000F3440000}"/>
    <cellStyle name="40% - Accent5 2 7 5 2 2" xfId="30565" xr:uid="{00000000-0005-0000-0000-0000F4440000}"/>
    <cellStyle name="40% - Accent5 2 7 5 3" xfId="24246" xr:uid="{00000000-0005-0000-0000-0000F5440000}"/>
    <cellStyle name="40% - Accent5 2 7 6" xfId="9452" xr:uid="{00000000-0005-0000-0000-0000F6440000}"/>
    <cellStyle name="40% - Accent5 2 7 6 2" xfId="23927" xr:uid="{00000000-0005-0000-0000-0000F7440000}"/>
    <cellStyle name="40% - Accent5 2 7 7" xfId="22951" xr:uid="{00000000-0005-0000-0000-0000F8440000}"/>
    <cellStyle name="40% - Accent5 2 8" xfId="4449" xr:uid="{00000000-0005-0000-0000-0000F9440000}"/>
    <cellStyle name="40% - Accent5 2 8 2" xfId="4450" xr:uid="{00000000-0005-0000-0000-0000FA440000}"/>
    <cellStyle name="40% - Accent5 2 8 2 2" xfId="12961" xr:uid="{00000000-0005-0000-0000-0000FB440000}"/>
    <cellStyle name="40% - Accent5 2 8 2 2 2" xfId="26673" xr:uid="{00000000-0005-0000-0000-0000FC440000}"/>
    <cellStyle name="40% - Accent5 2 8 2 3" xfId="22947" xr:uid="{00000000-0005-0000-0000-0000FD440000}"/>
    <cellStyle name="40% - Accent5 2 8 3" xfId="4451" xr:uid="{00000000-0005-0000-0000-0000FE440000}"/>
    <cellStyle name="40% - Accent5 2 8 3 2" xfId="15403" xr:uid="{00000000-0005-0000-0000-0000FF440000}"/>
    <cellStyle name="40% - Accent5 2 8 3 2 2" xfId="28952" xr:uid="{00000000-0005-0000-0000-000000450000}"/>
    <cellStyle name="40% - Accent5 2 8 3 3" xfId="29142" xr:uid="{00000000-0005-0000-0000-000001450000}"/>
    <cellStyle name="40% - Accent5 2 8 4" xfId="4452" xr:uid="{00000000-0005-0000-0000-000002450000}"/>
    <cellStyle name="40% - Accent5 2 8 4 2" xfId="16481" xr:uid="{00000000-0005-0000-0000-000003450000}"/>
    <cellStyle name="40% - Accent5 2 8 4 2 2" xfId="29888" xr:uid="{00000000-0005-0000-0000-000004450000}"/>
    <cellStyle name="40% - Accent5 2 8 4 3" xfId="22946" xr:uid="{00000000-0005-0000-0000-000005450000}"/>
    <cellStyle name="40% - Accent5 2 8 5" xfId="10527" xr:uid="{00000000-0005-0000-0000-000006450000}"/>
    <cellStyle name="40% - Accent5 2 8 5 2" xfId="24469" xr:uid="{00000000-0005-0000-0000-000007450000}"/>
    <cellStyle name="40% - Accent5 2 8 6" xfId="22948" xr:uid="{00000000-0005-0000-0000-000008450000}"/>
    <cellStyle name="40% - Accent5 2 9" xfId="4453" xr:uid="{00000000-0005-0000-0000-000009450000}"/>
    <cellStyle name="40% - Accent5 2 9 2" xfId="4454" xr:uid="{00000000-0005-0000-0000-00000A450000}"/>
    <cellStyle name="40% - Accent5 2 9 2 2" xfId="12962" xr:uid="{00000000-0005-0000-0000-00000B450000}"/>
    <cellStyle name="40% - Accent5 2 9 2 2 2" xfId="26674" xr:uid="{00000000-0005-0000-0000-00000C450000}"/>
    <cellStyle name="40% - Accent5 2 9 2 3" xfId="26836" xr:uid="{00000000-0005-0000-0000-00000D450000}"/>
    <cellStyle name="40% - Accent5 2 9 3" xfId="4455" xr:uid="{00000000-0005-0000-0000-00000E450000}"/>
    <cellStyle name="40% - Accent5 2 9 3 2" xfId="15404" xr:uid="{00000000-0005-0000-0000-00000F450000}"/>
    <cellStyle name="40% - Accent5 2 9 3 2 2" xfId="28953" xr:uid="{00000000-0005-0000-0000-000010450000}"/>
    <cellStyle name="40% - Accent5 2 9 3 3" xfId="22944" xr:uid="{00000000-0005-0000-0000-000011450000}"/>
    <cellStyle name="40% - Accent5 2 9 4" xfId="11161" xr:uid="{00000000-0005-0000-0000-000012450000}"/>
    <cellStyle name="40% - Accent5 2 9 4 2" xfId="25103" xr:uid="{00000000-0005-0000-0000-000013450000}"/>
    <cellStyle name="40% - Accent5 2 9 5" xfId="22945" xr:uid="{00000000-0005-0000-0000-000014450000}"/>
    <cellStyle name="40% - Accent5 20" xfId="4456" xr:uid="{00000000-0005-0000-0000-000015450000}"/>
    <cellStyle name="40% - Accent5 20 2" xfId="4457" xr:uid="{00000000-0005-0000-0000-000016450000}"/>
    <cellStyle name="40% - Accent5 20 2 2" xfId="12963" xr:uid="{00000000-0005-0000-0000-000017450000}"/>
    <cellStyle name="40% - Accent5 20 2 2 2" xfId="26675" xr:uid="{00000000-0005-0000-0000-000018450000}"/>
    <cellStyle name="40% - Accent5 20 2 3" xfId="24247" xr:uid="{00000000-0005-0000-0000-000019450000}"/>
    <cellStyle name="40% - Accent5 20 3" xfId="4458" xr:uid="{00000000-0005-0000-0000-00001A450000}"/>
    <cellStyle name="40% - Accent5 20 3 2" xfId="15405" xr:uid="{00000000-0005-0000-0000-00001B450000}"/>
    <cellStyle name="40% - Accent5 20 3 2 2" xfId="28954" xr:uid="{00000000-0005-0000-0000-00001C450000}"/>
    <cellStyle name="40% - Accent5 20 3 3" xfId="22942" xr:uid="{00000000-0005-0000-0000-00001D450000}"/>
    <cellStyle name="40% - Accent5 20 4" xfId="10502" xr:uid="{00000000-0005-0000-0000-00001E450000}"/>
    <cellStyle name="40% - Accent5 20 4 2" xfId="24450" xr:uid="{00000000-0005-0000-0000-00001F450000}"/>
    <cellStyle name="40% - Accent5 20 5" xfId="22943" xr:uid="{00000000-0005-0000-0000-000020450000}"/>
    <cellStyle name="40% - Accent5 21" xfId="4459" xr:uid="{00000000-0005-0000-0000-000021450000}"/>
    <cellStyle name="40% - Accent5 21 2" xfId="4460" xr:uid="{00000000-0005-0000-0000-000022450000}"/>
    <cellStyle name="40% - Accent5 21 2 2" xfId="12964" xr:uid="{00000000-0005-0000-0000-000023450000}"/>
    <cellStyle name="40% - Accent5 21 2 2 2" xfId="26676" xr:uid="{00000000-0005-0000-0000-000024450000}"/>
    <cellStyle name="40% - Accent5 21 2 3" xfId="22941" xr:uid="{00000000-0005-0000-0000-000025450000}"/>
    <cellStyle name="40% - Accent5 21 3" xfId="4461" xr:uid="{00000000-0005-0000-0000-000026450000}"/>
    <cellStyle name="40% - Accent5 21 3 2" xfId="15406" xr:uid="{00000000-0005-0000-0000-000027450000}"/>
    <cellStyle name="40% - Accent5 21 3 2 2" xfId="28955" xr:uid="{00000000-0005-0000-0000-000028450000}"/>
    <cellStyle name="40% - Accent5 21 3 3" xfId="22940" xr:uid="{00000000-0005-0000-0000-000029450000}"/>
    <cellStyle name="40% - Accent5 21 4" xfId="11150" xr:uid="{00000000-0005-0000-0000-00002A450000}"/>
    <cellStyle name="40% - Accent5 21 4 2" xfId="25092" xr:uid="{00000000-0005-0000-0000-00002B450000}"/>
    <cellStyle name="40% - Accent5 21 5" xfId="25266" xr:uid="{00000000-0005-0000-0000-00002C450000}"/>
    <cellStyle name="40% - Accent5 22" xfId="4462" xr:uid="{00000000-0005-0000-0000-00002D450000}"/>
    <cellStyle name="40% - Accent5 22 2" xfId="11738" xr:uid="{00000000-0005-0000-0000-00002E450000}"/>
    <cellStyle name="40% - Accent5 22 2 2" xfId="25453" xr:uid="{00000000-0005-0000-0000-00002F450000}"/>
    <cellStyle name="40% - Accent5 22 3" xfId="22939" xr:uid="{00000000-0005-0000-0000-000030450000}"/>
    <cellStyle name="40% - Accent5 23" xfId="4463" xr:uid="{00000000-0005-0000-0000-000031450000}"/>
    <cellStyle name="40% - Accent5 23 2" xfId="12929" xr:uid="{00000000-0005-0000-0000-000032450000}"/>
    <cellStyle name="40% - Accent5 23 2 2" xfId="26641" xr:uid="{00000000-0005-0000-0000-000033450000}"/>
    <cellStyle name="40% - Accent5 23 3" xfId="22938" xr:uid="{00000000-0005-0000-0000-000034450000}"/>
    <cellStyle name="40% - Accent5 24" xfId="4464" xr:uid="{00000000-0005-0000-0000-000035450000}"/>
    <cellStyle name="40% - Accent5 24 2" xfId="13377" xr:uid="{00000000-0005-0000-0000-000036450000}"/>
    <cellStyle name="40% - Accent5 24 2 2" xfId="26926" xr:uid="{00000000-0005-0000-0000-000037450000}"/>
    <cellStyle name="40% - Accent5 24 3" xfId="24244" xr:uid="{00000000-0005-0000-0000-000038450000}"/>
    <cellStyle name="40% - Accent5 25" xfId="4465" xr:uid="{00000000-0005-0000-0000-000039450000}"/>
    <cellStyle name="40% - Accent5 25 2" xfId="13958" xr:uid="{00000000-0005-0000-0000-00003A450000}"/>
    <cellStyle name="40% - Accent5 25 2 2" xfId="27507" xr:uid="{00000000-0005-0000-0000-00003B450000}"/>
    <cellStyle name="40% - Accent5 25 3" xfId="23230" xr:uid="{00000000-0005-0000-0000-00003C450000}"/>
    <cellStyle name="40% - Accent5 26" xfId="4466" xr:uid="{00000000-0005-0000-0000-00003D450000}"/>
    <cellStyle name="40% - Accent5 26 2" xfId="15363" xr:uid="{00000000-0005-0000-0000-00003E450000}"/>
    <cellStyle name="40% - Accent5 26 2 2" xfId="28912" xr:uid="{00000000-0005-0000-0000-00003F450000}"/>
    <cellStyle name="40% - Accent5 26 3" xfId="30671" xr:uid="{00000000-0005-0000-0000-000040450000}"/>
    <cellStyle name="40% - Accent5 27" xfId="4467" xr:uid="{00000000-0005-0000-0000-000041450000}"/>
    <cellStyle name="40% - Accent5 27 2" xfId="15820" xr:uid="{00000000-0005-0000-0000-000042450000}"/>
    <cellStyle name="40% - Accent5 27 2 2" xfId="29227" xr:uid="{00000000-0005-0000-0000-000043450000}"/>
    <cellStyle name="40% - Accent5 27 3" xfId="22937" xr:uid="{00000000-0005-0000-0000-000044450000}"/>
    <cellStyle name="40% - Accent5 28" xfId="4468" xr:uid="{00000000-0005-0000-0000-000045450000}"/>
    <cellStyle name="40% - Accent5 28 2" xfId="15844" xr:uid="{00000000-0005-0000-0000-000046450000}"/>
    <cellStyle name="40% - Accent5 28 2 2" xfId="29251" xr:uid="{00000000-0005-0000-0000-000047450000}"/>
    <cellStyle name="40% - Accent5 28 3" xfId="22936" xr:uid="{00000000-0005-0000-0000-000048450000}"/>
    <cellStyle name="40% - Accent5 29" xfId="4469" xr:uid="{00000000-0005-0000-0000-000049450000}"/>
    <cellStyle name="40% - Accent5 29 2" xfId="9423" xr:uid="{00000000-0005-0000-0000-00004A450000}"/>
    <cellStyle name="40% - Accent5 29 2 2" xfId="23898" xr:uid="{00000000-0005-0000-0000-00004B450000}"/>
    <cellStyle name="40% - Accent5 29 3" xfId="24210" xr:uid="{00000000-0005-0000-0000-00004C450000}"/>
    <cellStyle name="40% - Accent5 3" xfId="4470" xr:uid="{00000000-0005-0000-0000-00004D450000}"/>
    <cellStyle name="40% - Accent5 3 10" xfId="4471" xr:uid="{00000000-0005-0000-0000-00004E450000}"/>
    <cellStyle name="40% - Accent5 3 10 2" xfId="14037" xr:uid="{00000000-0005-0000-0000-00004F450000}"/>
    <cellStyle name="40% - Accent5 3 10 2 2" xfId="27586" xr:uid="{00000000-0005-0000-0000-000050450000}"/>
    <cellStyle name="40% - Accent5 3 10 3" xfId="22935" xr:uid="{00000000-0005-0000-0000-000051450000}"/>
    <cellStyle name="40% - Accent5 3 11" xfId="4472" xr:uid="{00000000-0005-0000-0000-000052450000}"/>
    <cellStyle name="40% - Accent5 3 11 2" xfId="15407" xr:uid="{00000000-0005-0000-0000-000053450000}"/>
    <cellStyle name="40% - Accent5 3 11 2 2" xfId="28956" xr:uid="{00000000-0005-0000-0000-000054450000}"/>
    <cellStyle name="40% - Accent5 3 11 3" xfId="22934" xr:uid="{00000000-0005-0000-0000-000055450000}"/>
    <cellStyle name="40% - Accent5 3 12" xfId="4473" xr:uid="{00000000-0005-0000-0000-000056450000}"/>
    <cellStyle name="40% - Accent5 3 12 2" xfId="15923" xr:uid="{00000000-0005-0000-0000-000057450000}"/>
    <cellStyle name="40% - Accent5 3 12 2 2" xfId="29330" xr:uid="{00000000-0005-0000-0000-000058450000}"/>
    <cellStyle name="40% - Accent5 3 12 3" xfId="22933" xr:uid="{00000000-0005-0000-0000-000059450000}"/>
    <cellStyle name="40% - Accent5 3 13" xfId="9453" xr:uid="{00000000-0005-0000-0000-00005A450000}"/>
    <cellStyle name="40% - Accent5 3 13 2" xfId="23928" xr:uid="{00000000-0005-0000-0000-00005B450000}"/>
    <cellStyle name="40% - Accent5 3 14" xfId="23193" xr:uid="{00000000-0005-0000-0000-00005C450000}"/>
    <cellStyle name="40% - Accent5 3 2" xfId="4474" xr:uid="{00000000-0005-0000-0000-00005D450000}"/>
    <cellStyle name="40% - Accent5 3 2 10" xfId="4475" xr:uid="{00000000-0005-0000-0000-00005E450000}"/>
    <cellStyle name="40% - Accent5 3 2 10 2" xfId="16066" xr:uid="{00000000-0005-0000-0000-00005F450000}"/>
    <cellStyle name="40% - Accent5 3 2 10 2 2" xfId="29473" xr:uid="{00000000-0005-0000-0000-000060450000}"/>
    <cellStyle name="40% - Accent5 3 2 10 3" xfId="22931" xr:uid="{00000000-0005-0000-0000-000061450000}"/>
    <cellStyle name="40% - Accent5 3 2 11" xfId="9454" xr:uid="{00000000-0005-0000-0000-000062450000}"/>
    <cellStyle name="40% - Accent5 3 2 11 2" xfId="23929" xr:uid="{00000000-0005-0000-0000-000063450000}"/>
    <cellStyle name="40% - Accent5 3 2 12" xfId="22932" xr:uid="{00000000-0005-0000-0000-000064450000}"/>
    <cellStyle name="40% - Accent5 3 2 2" xfId="4476" xr:uid="{00000000-0005-0000-0000-000065450000}"/>
    <cellStyle name="40% - Accent5 3 2 2 10" xfId="9455" xr:uid="{00000000-0005-0000-0000-000066450000}"/>
    <cellStyle name="40% - Accent5 3 2 2 10 2" xfId="23930" xr:uid="{00000000-0005-0000-0000-000067450000}"/>
    <cellStyle name="40% - Accent5 3 2 2 11" xfId="25245" xr:uid="{00000000-0005-0000-0000-000068450000}"/>
    <cellStyle name="40% - Accent5 3 2 2 2" xfId="4477" xr:uid="{00000000-0005-0000-0000-000069450000}"/>
    <cellStyle name="40% - Accent5 3 2 2 2 2" xfId="4478" xr:uid="{00000000-0005-0000-0000-00006A450000}"/>
    <cellStyle name="40% - Accent5 3 2 2 2 2 2" xfId="11183" xr:uid="{00000000-0005-0000-0000-00006B450000}"/>
    <cellStyle name="40% - Accent5 3 2 2 2 2 2 2" xfId="25125" xr:uid="{00000000-0005-0000-0000-00006C450000}"/>
    <cellStyle name="40% - Accent5 3 2 2 2 2 3" xfId="29141" xr:uid="{00000000-0005-0000-0000-00006D450000}"/>
    <cellStyle name="40% - Accent5 3 2 2 2 3" xfId="4479" xr:uid="{00000000-0005-0000-0000-00006E450000}"/>
    <cellStyle name="40% - Accent5 3 2 2 2 3 2" xfId="12968" xr:uid="{00000000-0005-0000-0000-00006F450000}"/>
    <cellStyle name="40% - Accent5 3 2 2 2 3 2 2" xfId="26680" xr:uid="{00000000-0005-0000-0000-000070450000}"/>
    <cellStyle name="40% - Accent5 3 2 2 2 3 3" xfId="22929" xr:uid="{00000000-0005-0000-0000-000071450000}"/>
    <cellStyle name="40% - Accent5 3 2 2 2 4" xfId="4480" xr:uid="{00000000-0005-0000-0000-000072450000}"/>
    <cellStyle name="40% - Accent5 3 2 2 2 4 2" xfId="15410" xr:uid="{00000000-0005-0000-0000-000073450000}"/>
    <cellStyle name="40% - Accent5 3 2 2 2 4 2 2" xfId="28959" xr:uid="{00000000-0005-0000-0000-000074450000}"/>
    <cellStyle name="40% - Accent5 3 2 2 2 4 3" xfId="22928" xr:uid="{00000000-0005-0000-0000-000075450000}"/>
    <cellStyle name="40% - Accent5 3 2 2 2 5" xfId="4481" xr:uid="{00000000-0005-0000-0000-000076450000}"/>
    <cellStyle name="40% - Accent5 3 2 2 2 5 2" xfId="16936" xr:uid="{00000000-0005-0000-0000-000077450000}"/>
    <cellStyle name="40% - Accent5 3 2 2 2 5 2 2" xfId="30343" xr:uid="{00000000-0005-0000-0000-000078450000}"/>
    <cellStyle name="40% - Accent5 3 2 2 2 5 3" xfId="22927" xr:uid="{00000000-0005-0000-0000-000079450000}"/>
    <cellStyle name="40% - Accent5 3 2 2 2 6" xfId="9456" xr:uid="{00000000-0005-0000-0000-00007A450000}"/>
    <cellStyle name="40% - Accent5 3 2 2 2 6 2" xfId="23931" xr:uid="{00000000-0005-0000-0000-00007B450000}"/>
    <cellStyle name="40% - Accent5 3 2 2 2 7" xfId="22930" xr:uid="{00000000-0005-0000-0000-00007C450000}"/>
    <cellStyle name="40% - Accent5 3 2 2 3" xfId="4482" xr:uid="{00000000-0005-0000-0000-00007D450000}"/>
    <cellStyle name="40% - Accent5 3 2 2 3 2" xfId="4483" xr:uid="{00000000-0005-0000-0000-00007E450000}"/>
    <cellStyle name="40% - Accent5 3 2 2 3 2 2" xfId="15411" xr:uid="{00000000-0005-0000-0000-00007F450000}"/>
    <cellStyle name="40% - Accent5 3 2 2 3 2 2 2" xfId="28960" xr:uid="{00000000-0005-0000-0000-000080450000}"/>
    <cellStyle name="40% - Accent5 3 2 2 3 2 3" xfId="22926" xr:uid="{00000000-0005-0000-0000-000081450000}"/>
    <cellStyle name="40% - Accent5 3 2 2 3 3" xfId="11182" xr:uid="{00000000-0005-0000-0000-000082450000}"/>
    <cellStyle name="40% - Accent5 3 2 2 3 3 2" xfId="25124" xr:uid="{00000000-0005-0000-0000-000083450000}"/>
    <cellStyle name="40% - Accent5 3 2 2 3 4" xfId="29140" xr:uid="{00000000-0005-0000-0000-000084450000}"/>
    <cellStyle name="40% - Accent5 3 2 2 4" xfId="4484" xr:uid="{00000000-0005-0000-0000-000085450000}"/>
    <cellStyle name="40% - Accent5 3 2 2 4 2" xfId="12324" xr:uid="{00000000-0005-0000-0000-000086450000}"/>
    <cellStyle name="40% - Accent5 3 2 2 4 2 2" xfId="26036" xr:uid="{00000000-0005-0000-0000-000087450000}"/>
    <cellStyle name="40% - Accent5 3 2 2 4 3" xfId="22925" xr:uid="{00000000-0005-0000-0000-000088450000}"/>
    <cellStyle name="40% - Accent5 3 2 2 5" xfId="4485" xr:uid="{00000000-0005-0000-0000-000089450000}"/>
    <cellStyle name="40% - Accent5 3 2 2 5 2" xfId="12967" xr:uid="{00000000-0005-0000-0000-00008A450000}"/>
    <cellStyle name="40% - Accent5 3 2 2 5 2 2" xfId="26679" xr:uid="{00000000-0005-0000-0000-00008B450000}"/>
    <cellStyle name="40% - Accent5 3 2 2 5 3" xfId="22924" xr:uid="{00000000-0005-0000-0000-00008C450000}"/>
    <cellStyle name="40% - Accent5 3 2 2 6" xfId="4486" xr:uid="{00000000-0005-0000-0000-00008D450000}"/>
    <cellStyle name="40% - Accent5 3 2 2 6 2" xfId="13888" xr:uid="{00000000-0005-0000-0000-00008E450000}"/>
    <cellStyle name="40% - Accent5 3 2 2 6 2 2" xfId="27437" xr:uid="{00000000-0005-0000-0000-00008F450000}"/>
    <cellStyle name="40% - Accent5 3 2 2 6 3" xfId="22923" xr:uid="{00000000-0005-0000-0000-000090450000}"/>
    <cellStyle name="40% - Accent5 3 2 2 7" xfId="4487" xr:uid="{00000000-0005-0000-0000-000091450000}"/>
    <cellStyle name="40% - Accent5 3 2 2 7 2" xfId="14469" xr:uid="{00000000-0005-0000-0000-000092450000}"/>
    <cellStyle name="40% - Accent5 3 2 2 7 2 2" xfId="28018" xr:uid="{00000000-0005-0000-0000-000093450000}"/>
    <cellStyle name="40% - Accent5 3 2 2 7 3" xfId="24243" xr:uid="{00000000-0005-0000-0000-000094450000}"/>
    <cellStyle name="40% - Accent5 3 2 2 8" xfId="4488" xr:uid="{00000000-0005-0000-0000-000095450000}"/>
    <cellStyle name="40% - Accent5 3 2 2 8 2" xfId="15409" xr:uid="{00000000-0005-0000-0000-000096450000}"/>
    <cellStyle name="40% - Accent5 3 2 2 8 2 2" xfId="28958" xr:uid="{00000000-0005-0000-0000-000097450000}"/>
    <cellStyle name="40% - Accent5 3 2 2 8 3" xfId="25265" xr:uid="{00000000-0005-0000-0000-000098450000}"/>
    <cellStyle name="40% - Accent5 3 2 2 9" xfId="4489" xr:uid="{00000000-0005-0000-0000-000099450000}"/>
    <cellStyle name="40% - Accent5 3 2 2 9 2" xfId="16355" xr:uid="{00000000-0005-0000-0000-00009A450000}"/>
    <cellStyle name="40% - Accent5 3 2 2 9 2 2" xfId="29762" xr:uid="{00000000-0005-0000-0000-00009B450000}"/>
    <cellStyle name="40% - Accent5 3 2 2 9 3" xfId="22922" xr:uid="{00000000-0005-0000-0000-00009C450000}"/>
    <cellStyle name="40% - Accent5 3 2 3" xfId="4490" xr:uid="{00000000-0005-0000-0000-00009D450000}"/>
    <cellStyle name="40% - Accent5 3 2 3 2" xfId="4491" xr:uid="{00000000-0005-0000-0000-00009E450000}"/>
    <cellStyle name="40% - Accent5 3 2 3 2 2" xfId="11184" xr:uid="{00000000-0005-0000-0000-00009F450000}"/>
    <cellStyle name="40% - Accent5 3 2 3 2 2 2" xfId="25126" xr:uid="{00000000-0005-0000-0000-0000A0450000}"/>
    <cellStyle name="40% - Accent5 3 2 3 2 3" xfId="29139" xr:uid="{00000000-0005-0000-0000-0000A1450000}"/>
    <cellStyle name="40% - Accent5 3 2 3 3" xfId="4492" xr:uid="{00000000-0005-0000-0000-0000A2450000}"/>
    <cellStyle name="40% - Accent5 3 2 3 3 2" xfId="12969" xr:uid="{00000000-0005-0000-0000-0000A3450000}"/>
    <cellStyle name="40% - Accent5 3 2 3 3 2 2" xfId="26681" xr:uid="{00000000-0005-0000-0000-0000A4450000}"/>
    <cellStyle name="40% - Accent5 3 2 3 3 3" xfId="22920" xr:uid="{00000000-0005-0000-0000-0000A5450000}"/>
    <cellStyle name="40% - Accent5 3 2 3 4" xfId="4493" xr:uid="{00000000-0005-0000-0000-0000A6450000}"/>
    <cellStyle name="40% - Accent5 3 2 3 4 2" xfId="15412" xr:uid="{00000000-0005-0000-0000-0000A7450000}"/>
    <cellStyle name="40% - Accent5 3 2 3 4 2 2" xfId="28961" xr:uid="{00000000-0005-0000-0000-0000A8450000}"/>
    <cellStyle name="40% - Accent5 3 2 3 4 3" xfId="22919" xr:uid="{00000000-0005-0000-0000-0000A9450000}"/>
    <cellStyle name="40% - Accent5 3 2 3 5" xfId="4494" xr:uid="{00000000-0005-0000-0000-0000AA450000}"/>
    <cellStyle name="40% - Accent5 3 2 3 5 2" xfId="16647" xr:uid="{00000000-0005-0000-0000-0000AB450000}"/>
    <cellStyle name="40% - Accent5 3 2 3 5 2 2" xfId="30054" xr:uid="{00000000-0005-0000-0000-0000AC450000}"/>
    <cellStyle name="40% - Accent5 3 2 3 5 3" xfId="22918" xr:uid="{00000000-0005-0000-0000-0000AD450000}"/>
    <cellStyle name="40% - Accent5 3 2 3 6" xfId="9457" xr:uid="{00000000-0005-0000-0000-0000AE450000}"/>
    <cellStyle name="40% - Accent5 3 2 3 6 2" xfId="23932" xr:uid="{00000000-0005-0000-0000-0000AF450000}"/>
    <cellStyle name="40% - Accent5 3 2 3 7" xfId="22921" xr:uid="{00000000-0005-0000-0000-0000B0450000}"/>
    <cellStyle name="40% - Accent5 3 2 4" xfId="4495" xr:uid="{00000000-0005-0000-0000-0000B1450000}"/>
    <cellStyle name="40% - Accent5 3 2 4 2" xfId="4496" xr:uid="{00000000-0005-0000-0000-0000B2450000}"/>
    <cellStyle name="40% - Accent5 3 2 4 2 2" xfId="15413" xr:uid="{00000000-0005-0000-0000-0000B3450000}"/>
    <cellStyle name="40% - Accent5 3 2 4 2 2 2" xfId="28962" xr:uid="{00000000-0005-0000-0000-0000B4450000}"/>
    <cellStyle name="40% - Accent5 3 2 4 2 3" xfId="22917" xr:uid="{00000000-0005-0000-0000-0000B5450000}"/>
    <cellStyle name="40% - Accent5 3 2 4 3" xfId="11181" xr:uid="{00000000-0005-0000-0000-0000B6450000}"/>
    <cellStyle name="40% - Accent5 3 2 4 3 2" xfId="25123" xr:uid="{00000000-0005-0000-0000-0000B7450000}"/>
    <cellStyle name="40% - Accent5 3 2 4 4" xfId="24242" xr:uid="{00000000-0005-0000-0000-0000B8450000}"/>
    <cellStyle name="40% - Accent5 3 2 5" xfId="4497" xr:uid="{00000000-0005-0000-0000-0000B9450000}"/>
    <cellStyle name="40% - Accent5 3 2 5 2" xfId="12024" xr:uid="{00000000-0005-0000-0000-0000BA450000}"/>
    <cellStyle name="40% - Accent5 3 2 5 2 2" xfId="25739" xr:uid="{00000000-0005-0000-0000-0000BB450000}"/>
    <cellStyle name="40% - Accent5 3 2 5 3" xfId="25264" xr:uid="{00000000-0005-0000-0000-0000BC450000}"/>
    <cellStyle name="40% - Accent5 3 2 6" xfId="4498" xr:uid="{00000000-0005-0000-0000-0000BD450000}"/>
    <cellStyle name="40% - Accent5 3 2 6 2" xfId="12966" xr:uid="{00000000-0005-0000-0000-0000BE450000}"/>
    <cellStyle name="40% - Accent5 3 2 6 2 2" xfId="26678" xr:uid="{00000000-0005-0000-0000-0000BF450000}"/>
    <cellStyle name="40% - Accent5 3 2 6 3" xfId="22916" xr:uid="{00000000-0005-0000-0000-0000C0450000}"/>
    <cellStyle name="40% - Accent5 3 2 7" xfId="4499" xr:uid="{00000000-0005-0000-0000-0000C1450000}"/>
    <cellStyle name="40% - Accent5 3 2 7 2" xfId="13599" xr:uid="{00000000-0005-0000-0000-0000C2450000}"/>
    <cellStyle name="40% - Accent5 3 2 7 2 2" xfId="27148" xr:uid="{00000000-0005-0000-0000-0000C3450000}"/>
    <cellStyle name="40% - Accent5 3 2 7 3" xfId="22915" xr:uid="{00000000-0005-0000-0000-0000C4450000}"/>
    <cellStyle name="40% - Accent5 3 2 8" xfId="4500" xr:uid="{00000000-0005-0000-0000-0000C5450000}"/>
    <cellStyle name="40% - Accent5 3 2 8 2" xfId="14180" xr:uid="{00000000-0005-0000-0000-0000C6450000}"/>
    <cellStyle name="40% - Accent5 3 2 8 2 2" xfId="27729" xr:uid="{00000000-0005-0000-0000-0000C7450000}"/>
    <cellStyle name="40% - Accent5 3 2 8 3" xfId="24241" xr:uid="{00000000-0005-0000-0000-0000C8450000}"/>
    <cellStyle name="40% - Accent5 3 2 9" xfId="4501" xr:uid="{00000000-0005-0000-0000-0000C9450000}"/>
    <cellStyle name="40% - Accent5 3 2 9 2" xfId="15408" xr:uid="{00000000-0005-0000-0000-0000CA450000}"/>
    <cellStyle name="40% - Accent5 3 2 9 2 2" xfId="28957" xr:uid="{00000000-0005-0000-0000-0000CB450000}"/>
    <cellStyle name="40% - Accent5 3 2 9 3" xfId="22914" xr:uid="{00000000-0005-0000-0000-0000CC450000}"/>
    <cellStyle name="40% - Accent5 3 3" xfId="4502" xr:uid="{00000000-0005-0000-0000-0000CD450000}"/>
    <cellStyle name="40% - Accent5 3 3 10" xfId="9458" xr:uid="{00000000-0005-0000-0000-0000CE450000}"/>
    <cellStyle name="40% - Accent5 3 3 10 2" xfId="23933" xr:uid="{00000000-0005-0000-0000-0000CF450000}"/>
    <cellStyle name="40% - Accent5 3 3 11" xfId="25263" xr:uid="{00000000-0005-0000-0000-0000D0450000}"/>
    <cellStyle name="40% - Accent5 3 3 2" xfId="4503" xr:uid="{00000000-0005-0000-0000-0000D1450000}"/>
    <cellStyle name="40% - Accent5 3 3 2 2" xfId="4504" xr:uid="{00000000-0005-0000-0000-0000D2450000}"/>
    <cellStyle name="40% - Accent5 3 3 2 2 2" xfId="11186" xr:uid="{00000000-0005-0000-0000-0000D3450000}"/>
    <cellStyle name="40% - Accent5 3 3 2 2 2 2" xfId="25128" xr:uid="{00000000-0005-0000-0000-0000D4450000}"/>
    <cellStyle name="40% - Accent5 3 3 2 2 3" xfId="22912" xr:uid="{00000000-0005-0000-0000-0000D5450000}"/>
    <cellStyle name="40% - Accent5 3 3 2 3" xfId="4505" xr:uid="{00000000-0005-0000-0000-0000D6450000}"/>
    <cellStyle name="40% - Accent5 3 3 2 3 2" xfId="12971" xr:uid="{00000000-0005-0000-0000-0000D7450000}"/>
    <cellStyle name="40% - Accent5 3 3 2 3 2 2" xfId="26683" xr:uid="{00000000-0005-0000-0000-0000D8450000}"/>
    <cellStyle name="40% - Accent5 3 3 2 3 3" xfId="24240" xr:uid="{00000000-0005-0000-0000-0000D9450000}"/>
    <cellStyle name="40% - Accent5 3 3 2 4" xfId="4506" xr:uid="{00000000-0005-0000-0000-0000DA450000}"/>
    <cellStyle name="40% - Accent5 3 3 2 4 2" xfId="15415" xr:uid="{00000000-0005-0000-0000-0000DB450000}"/>
    <cellStyle name="40% - Accent5 3 3 2 4 2 2" xfId="28964" xr:uid="{00000000-0005-0000-0000-0000DC450000}"/>
    <cellStyle name="40% - Accent5 3 3 2 4 3" xfId="22911" xr:uid="{00000000-0005-0000-0000-0000DD450000}"/>
    <cellStyle name="40% - Accent5 3 3 2 5" xfId="4507" xr:uid="{00000000-0005-0000-0000-0000DE450000}"/>
    <cellStyle name="40% - Accent5 3 3 2 5 2" xfId="16793" xr:uid="{00000000-0005-0000-0000-0000DF450000}"/>
    <cellStyle name="40% - Accent5 3 3 2 5 2 2" xfId="30200" xr:uid="{00000000-0005-0000-0000-0000E0450000}"/>
    <cellStyle name="40% - Accent5 3 3 2 5 3" xfId="22910" xr:uid="{00000000-0005-0000-0000-0000E1450000}"/>
    <cellStyle name="40% - Accent5 3 3 2 6" xfId="9459" xr:uid="{00000000-0005-0000-0000-0000E2450000}"/>
    <cellStyle name="40% - Accent5 3 3 2 6 2" xfId="23934" xr:uid="{00000000-0005-0000-0000-0000E3450000}"/>
    <cellStyle name="40% - Accent5 3 3 2 7" xfId="22913" xr:uid="{00000000-0005-0000-0000-0000E4450000}"/>
    <cellStyle name="40% - Accent5 3 3 3" xfId="4508" xr:uid="{00000000-0005-0000-0000-0000E5450000}"/>
    <cellStyle name="40% - Accent5 3 3 3 2" xfId="4509" xr:uid="{00000000-0005-0000-0000-0000E6450000}"/>
    <cellStyle name="40% - Accent5 3 3 3 2 2" xfId="15416" xr:uid="{00000000-0005-0000-0000-0000E7450000}"/>
    <cellStyle name="40% - Accent5 3 3 3 2 2 2" xfId="28965" xr:uid="{00000000-0005-0000-0000-0000E8450000}"/>
    <cellStyle name="40% - Accent5 3 3 3 2 3" xfId="22909" xr:uid="{00000000-0005-0000-0000-0000E9450000}"/>
    <cellStyle name="40% - Accent5 3 3 3 3" xfId="11185" xr:uid="{00000000-0005-0000-0000-0000EA450000}"/>
    <cellStyle name="40% - Accent5 3 3 3 3 2" xfId="25127" xr:uid="{00000000-0005-0000-0000-0000EB450000}"/>
    <cellStyle name="40% - Accent5 3 3 3 4" xfId="24238" xr:uid="{00000000-0005-0000-0000-0000EC450000}"/>
    <cellStyle name="40% - Accent5 3 3 4" xfId="4510" xr:uid="{00000000-0005-0000-0000-0000ED450000}"/>
    <cellStyle name="40% - Accent5 3 3 4 2" xfId="12181" xr:uid="{00000000-0005-0000-0000-0000EE450000}"/>
    <cellStyle name="40% - Accent5 3 3 4 2 2" xfId="25893" xr:uid="{00000000-0005-0000-0000-0000EF450000}"/>
    <cellStyle name="40% - Accent5 3 3 4 3" xfId="25261" xr:uid="{00000000-0005-0000-0000-0000F0450000}"/>
    <cellStyle name="40% - Accent5 3 3 5" xfId="4511" xr:uid="{00000000-0005-0000-0000-0000F1450000}"/>
    <cellStyle name="40% - Accent5 3 3 5 2" xfId="12970" xr:uid="{00000000-0005-0000-0000-0000F2450000}"/>
    <cellStyle name="40% - Accent5 3 3 5 2 2" xfId="26682" xr:uid="{00000000-0005-0000-0000-0000F3450000}"/>
    <cellStyle name="40% - Accent5 3 3 5 3" xfId="22908" xr:uid="{00000000-0005-0000-0000-0000F4450000}"/>
    <cellStyle name="40% - Accent5 3 3 6" xfId="4512" xr:uid="{00000000-0005-0000-0000-0000F5450000}"/>
    <cellStyle name="40% - Accent5 3 3 6 2" xfId="13745" xr:uid="{00000000-0005-0000-0000-0000F6450000}"/>
    <cellStyle name="40% - Accent5 3 3 6 2 2" xfId="27294" xr:uid="{00000000-0005-0000-0000-0000F7450000}"/>
    <cellStyle name="40% - Accent5 3 3 6 3" xfId="24239" xr:uid="{00000000-0005-0000-0000-0000F8450000}"/>
    <cellStyle name="40% - Accent5 3 3 7" xfId="4513" xr:uid="{00000000-0005-0000-0000-0000F9450000}"/>
    <cellStyle name="40% - Accent5 3 3 7 2" xfId="14326" xr:uid="{00000000-0005-0000-0000-0000FA450000}"/>
    <cellStyle name="40% - Accent5 3 3 7 2 2" xfId="27875" xr:uid="{00000000-0005-0000-0000-0000FB450000}"/>
    <cellStyle name="40% - Accent5 3 3 7 3" xfId="25262" xr:uid="{00000000-0005-0000-0000-0000FC450000}"/>
    <cellStyle name="40% - Accent5 3 3 8" xfId="4514" xr:uid="{00000000-0005-0000-0000-0000FD450000}"/>
    <cellStyle name="40% - Accent5 3 3 8 2" xfId="15414" xr:uid="{00000000-0005-0000-0000-0000FE450000}"/>
    <cellStyle name="40% - Accent5 3 3 8 2 2" xfId="28963" xr:uid="{00000000-0005-0000-0000-0000FF450000}"/>
    <cellStyle name="40% - Accent5 3 3 8 3" xfId="22907" xr:uid="{00000000-0005-0000-0000-000000460000}"/>
    <cellStyle name="40% - Accent5 3 3 9" xfId="4515" xr:uid="{00000000-0005-0000-0000-000001460000}"/>
    <cellStyle name="40% - Accent5 3 3 9 2" xfId="16212" xr:uid="{00000000-0005-0000-0000-000002460000}"/>
    <cellStyle name="40% - Accent5 3 3 9 2 2" xfId="29619" xr:uid="{00000000-0005-0000-0000-000003460000}"/>
    <cellStyle name="40% - Accent5 3 3 9 3" xfId="22906" xr:uid="{00000000-0005-0000-0000-000004460000}"/>
    <cellStyle name="40% - Accent5 3 4" xfId="4516" xr:uid="{00000000-0005-0000-0000-000005460000}"/>
    <cellStyle name="40% - Accent5 3 4 2" xfId="4517" xr:uid="{00000000-0005-0000-0000-000006460000}"/>
    <cellStyle name="40% - Accent5 3 4 2 2" xfId="11187" xr:uid="{00000000-0005-0000-0000-000007460000}"/>
    <cellStyle name="40% - Accent5 3 4 2 2 2" xfId="25129" xr:uid="{00000000-0005-0000-0000-000008460000}"/>
    <cellStyle name="40% - Accent5 3 4 2 3" xfId="24236" xr:uid="{00000000-0005-0000-0000-000009460000}"/>
    <cellStyle name="40% - Accent5 3 4 3" xfId="4518" xr:uid="{00000000-0005-0000-0000-00000A460000}"/>
    <cellStyle name="40% - Accent5 3 4 3 2" xfId="12972" xr:uid="{00000000-0005-0000-0000-00000B460000}"/>
    <cellStyle name="40% - Accent5 3 4 3 2 2" xfId="26684" xr:uid="{00000000-0005-0000-0000-00000C460000}"/>
    <cellStyle name="40% - Accent5 3 4 3 3" xfId="22904" xr:uid="{00000000-0005-0000-0000-00000D460000}"/>
    <cellStyle name="40% - Accent5 3 4 4" xfId="4519" xr:uid="{00000000-0005-0000-0000-00000E460000}"/>
    <cellStyle name="40% - Accent5 3 4 4 2" xfId="15417" xr:uid="{00000000-0005-0000-0000-00000F460000}"/>
    <cellStyle name="40% - Accent5 3 4 4 2 2" xfId="28966" xr:uid="{00000000-0005-0000-0000-000010460000}"/>
    <cellStyle name="40% - Accent5 3 4 4 3" xfId="22903" xr:uid="{00000000-0005-0000-0000-000011460000}"/>
    <cellStyle name="40% - Accent5 3 4 5" xfId="4520" xr:uid="{00000000-0005-0000-0000-000012460000}"/>
    <cellStyle name="40% - Accent5 3 4 5 2" xfId="17140" xr:uid="{00000000-0005-0000-0000-000013460000}"/>
    <cellStyle name="40% - Accent5 3 4 5 2 2" xfId="30499" xr:uid="{00000000-0005-0000-0000-000014460000}"/>
    <cellStyle name="40% - Accent5 3 4 5 3" xfId="29138" xr:uid="{00000000-0005-0000-0000-000015460000}"/>
    <cellStyle name="40% - Accent5 3 4 6" xfId="9460" xr:uid="{00000000-0005-0000-0000-000016460000}"/>
    <cellStyle name="40% - Accent5 3 4 6 2" xfId="23935" xr:uid="{00000000-0005-0000-0000-000017460000}"/>
    <cellStyle name="40% - Accent5 3 4 7" xfId="22905" xr:uid="{00000000-0005-0000-0000-000018460000}"/>
    <cellStyle name="40% - Accent5 3 5" xfId="4521" xr:uid="{00000000-0005-0000-0000-000019460000}"/>
    <cellStyle name="40% - Accent5 3 5 2" xfId="4522" xr:uid="{00000000-0005-0000-0000-00001A460000}"/>
    <cellStyle name="40% - Accent5 3 5 2 2" xfId="11188" xr:uid="{00000000-0005-0000-0000-00001B460000}"/>
    <cellStyle name="40% - Accent5 3 5 2 2 2" xfId="25130" xr:uid="{00000000-0005-0000-0000-00001C460000}"/>
    <cellStyle name="40% - Accent5 3 5 2 3" xfId="22901" xr:uid="{00000000-0005-0000-0000-00001D460000}"/>
    <cellStyle name="40% - Accent5 3 5 3" xfId="4523" xr:uid="{00000000-0005-0000-0000-00001E460000}"/>
    <cellStyle name="40% - Accent5 3 5 3 2" xfId="12973" xr:uid="{00000000-0005-0000-0000-00001F460000}"/>
    <cellStyle name="40% - Accent5 3 5 3 2 2" xfId="26685" xr:uid="{00000000-0005-0000-0000-000020460000}"/>
    <cellStyle name="40% - Accent5 3 5 3 3" xfId="26832" xr:uid="{00000000-0005-0000-0000-000021460000}"/>
    <cellStyle name="40% - Accent5 3 5 4" xfId="4524" xr:uid="{00000000-0005-0000-0000-000022460000}"/>
    <cellStyle name="40% - Accent5 3 5 4 2" xfId="15418" xr:uid="{00000000-0005-0000-0000-000023460000}"/>
    <cellStyle name="40% - Accent5 3 5 4 2 2" xfId="28967" xr:uid="{00000000-0005-0000-0000-000024460000}"/>
    <cellStyle name="40% - Accent5 3 5 4 3" xfId="22900" xr:uid="{00000000-0005-0000-0000-000025460000}"/>
    <cellStyle name="40% - Accent5 3 5 5" xfId="4525" xr:uid="{00000000-0005-0000-0000-000026460000}"/>
    <cellStyle name="40% - Accent5 3 5 5 2" xfId="17229" xr:uid="{00000000-0005-0000-0000-000027460000}"/>
    <cellStyle name="40% - Accent5 3 5 5 2 2" xfId="30588" xr:uid="{00000000-0005-0000-0000-000028460000}"/>
    <cellStyle name="40% - Accent5 3 5 5 3" xfId="22899" xr:uid="{00000000-0005-0000-0000-000029460000}"/>
    <cellStyle name="40% - Accent5 3 5 6" xfId="9461" xr:uid="{00000000-0005-0000-0000-00002A460000}"/>
    <cellStyle name="40% - Accent5 3 5 6 2" xfId="23936" xr:uid="{00000000-0005-0000-0000-00002B460000}"/>
    <cellStyle name="40% - Accent5 3 5 7" xfId="22902" xr:uid="{00000000-0005-0000-0000-00002C460000}"/>
    <cellStyle name="40% - Accent5 3 6" xfId="4526" xr:uid="{00000000-0005-0000-0000-00002D460000}"/>
    <cellStyle name="40% - Accent5 3 6 2" xfId="4527" xr:uid="{00000000-0005-0000-0000-00002E460000}"/>
    <cellStyle name="40% - Accent5 3 6 2 2" xfId="15419" xr:uid="{00000000-0005-0000-0000-00002F460000}"/>
    <cellStyle name="40% - Accent5 3 6 2 2 2" xfId="28968" xr:uid="{00000000-0005-0000-0000-000030460000}"/>
    <cellStyle name="40% - Accent5 3 6 2 3" xfId="22898" xr:uid="{00000000-0005-0000-0000-000031460000}"/>
    <cellStyle name="40% - Accent5 3 6 3" xfId="4528" xr:uid="{00000000-0005-0000-0000-000032460000}"/>
    <cellStyle name="40% - Accent5 3 6 3 2" xfId="16504" xr:uid="{00000000-0005-0000-0000-000033460000}"/>
    <cellStyle name="40% - Accent5 3 6 3 2 2" xfId="29911" xr:uid="{00000000-0005-0000-0000-000034460000}"/>
    <cellStyle name="40% - Accent5 3 6 3 3" xfId="25260" xr:uid="{00000000-0005-0000-0000-000035460000}"/>
    <cellStyle name="40% - Accent5 3 6 4" xfId="11180" xr:uid="{00000000-0005-0000-0000-000036460000}"/>
    <cellStyle name="40% - Accent5 3 6 4 2" xfId="25122" xr:uid="{00000000-0005-0000-0000-000037460000}"/>
    <cellStyle name="40% - Accent5 3 6 5" xfId="24237" xr:uid="{00000000-0005-0000-0000-000038460000}"/>
    <cellStyle name="40% - Accent5 3 7" xfId="4529" xr:uid="{00000000-0005-0000-0000-000039460000}"/>
    <cellStyle name="40% - Accent5 3 7 2" xfId="11876" xr:uid="{00000000-0005-0000-0000-00003A460000}"/>
    <cellStyle name="40% - Accent5 3 7 2 2" xfId="25591" xr:uid="{00000000-0005-0000-0000-00003B460000}"/>
    <cellStyle name="40% - Accent5 3 7 3" xfId="22897" xr:uid="{00000000-0005-0000-0000-00003C460000}"/>
    <cellStyle name="40% - Accent5 3 8" xfId="4530" xr:uid="{00000000-0005-0000-0000-00003D460000}"/>
    <cellStyle name="40% - Accent5 3 8 2" xfId="12965" xr:uid="{00000000-0005-0000-0000-00003E460000}"/>
    <cellStyle name="40% - Accent5 3 8 2 2" xfId="26677" xr:uid="{00000000-0005-0000-0000-00003F460000}"/>
    <cellStyle name="40% - Accent5 3 8 3" xfId="22896" xr:uid="{00000000-0005-0000-0000-000040460000}"/>
    <cellStyle name="40% - Accent5 3 9" xfId="4531" xr:uid="{00000000-0005-0000-0000-000041460000}"/>
    <cellStyle name="40% - Accent5 3 9 2" xfId="13456" xr:uid="{00000000-0005-0000-0000-000042460000}"/>
    <cellStyle name="40% - Accent5 3 9 2 2" xfId="27005" xr:uid="{00000000-0005-0000-0000-000043460000}"/>
    <cellStyle name="40% - Accent5 3 9 3" xfId="22895" xr:uid="{00000000-0005-0000-0000-000044460000}"/>
    <cellStyle name="40% - Accent5 30" xfId="23249" xr:uid="{00000000-0005-0000-0000-000045460000}"/>
    <cellStyle name="40% - Accent5 4" xfId="4532" xr:uid="{00000000-0005-0000-0000-000046460000}"/>
    <cellStyle name="40% - Accent5 4 10" xfId="4533" xr:uid="{00000000-0005-0000-0000-000047460000}"/>
    <cellStyle name="40% - Accent5 4 10 2" xfId="15420" xr:uid="{00000000-0005-0000-0000-000048460000}"/>
    <cellStyle name="40% - Accent5 4 10 2 2" xfId="28969" xr:uid="{00000000-0005-0000-0000-000049460000}"/>
    <cellStyle name="40% - Accent5 4 10 3" xfId="22894" xr:uid="{00000000-0005-0000-0000-00004A460000}"/>
    <cellStyle name="40% - Accent5 4 11" xfId="4534" xr:uid="{00000000-0005-0000-0000-00004B460000}"/>
    <cellStyle name="40% - Accent5 4 11 2" xfId="15878" xr:uid="{00000000-0005-0000-0000-00004C460000}"/>
    <cellStyle name="40% - Accent5 4 11 2 2" xfId="29285" xr:uid="{00000000-0005-0000-0000-00004D460000}"/>
    <cellStyle name="40% - Accent5 4 11 3" xfId="22893" xr:uid="{00000000-0005-0000-0000-00004E460000}"/>
    <cellStyle name="40% - Accent5 4 12" xfId="9462" xr:uid="{00000000-0005-0000-0000-00004F460000}"/>
    <cellStyle name="40% - Accent5 4 12 2" xfId="23937" xr:uid="{00000000-0005-0000-0000-000050460000}"/>
    <cellStyle name="40% - Accent5 4 13" xfId="24232" xr:uid="{00000000-0005-0000-0000-000051460000}"/>
    <cellStyle name="40% - Accent5 4 2" xfId="4535" xr:uid="{00000000-0005-0000-0000-000052460000}"/>
    <cellStyle name="40% - Accent5 4 2 10" xfId="4536" xr:uid="{00000000-0005-0000-0000-000053460000}"/>
    <cellStyle name="40% - Accent5 4 2 10 2" xfId="16021" xr:uid="{00000000-0005-0000-0000-000054460000}"/>
    <cellStyle name="40% - Accent5 4 2 10 2 2" xfId="29428" xr:uid="{00000000-0005-0000-0000-000055460000}"/>
    <cellStyle name="40% - Accent5 4 2 10 3" xfId="22892" xr:uid="{00000000-0005-0000-0000-000056460000}"/>
    <cellStyle name="40% - Accent5 4 2 11" xfId="9463" xr:uid="{00000000-0005-0000-0000-000057460000}"/>
    <cellStyle name="40% - Accent5 4 2 11 2" xfId="23938" xr:uid="{00000000-0005-0000-0000-000058460000}"/>
    <cellStyle name="40% - Accent5 4 2 12" xfId="29137" xr:uid="{00000000-0005-0000-0000-000059460000}"/>
    <cellStyle name="40% - Accent5 4 2 2" xfId="4537" xr:uid="{00000000-0005-0000-0000-00005A460000}"/>
    <cellStyle name="40% - Accent5 4 2 2 10" xfId="9464" xr:uid="{00000000-0005-0000-0000-00005B460000}"/>
    <cellStyle name="40% - Accent5 4 2 2 10 2" xfId="23939" xr:uid="{00000000-0005-0000-0000-00005C460000}"/>
    <cellStyle name="40% - Accent5 4 2 2 11" xfId="22891" xr:uid="{00000000-0005-0000-0000-00005D460000}"/>
    <cellStyle name="40% - Accent5 4 2 2 2" xfId="4538" xr:uid="{00000000-0005-0000-0000-00005E460000}"/>
    <cellStyle name="40% - Accent5 4 2 2 2 2" xfId="4539" xr:uid="{00000000-0005-0000-0000-00005F460000}"/>
    <cellStyle name="40% - Accent5 4 2 2 2 2 2" xfId="11192" xr:uid="{00000000-0005-0000-0000-000060460000}"/>
    <cellStyle name="40% - Accent5 4 2 2 2 2 2 2" xfId="25134" xr:uid="{00000000-0005-0000-0000-000061460000}"/>
    <cellStyle name="40% - Accent5 4 2 2 2 2 3" xfId="22890" xr:uid="{00000000-0005-0000-0000-000062460000}"/>
    <cellStyle name="40% - Accent5 4 2 2 2 3" xfId="4540" xr:uid="{00000000-0005-0000-0000-000063460000}"/>
    <cellStyle name="40% - Accent5 4 2 2 2 3 2" xfId="12977" xr:uid="{00000000-0005-0000-0000-000064460000}"/>
    <cellStyle name="40% - Accent5 4 2 2 2 3 2 2" xfId="26689" xr:uid="{00000000-0005-0000-0000-000065460000}"/>
    <cellStyle name="40% - Accent5 4 2 2 2 3 3" xfId="22889" xr:uid="{00000000-0005-0000-0000-000066460000}"/>
    <cellStyle name="40% - Accent5 4 2 2 2 4" xfId="4541" xr:uid="{00000000-0005-0000-0000-000067460000}"/>
    <cellStyle name="40% - Accent5 4 2 2 2 4 2" xfId="15423" xr:uid="{00000000-0005-0000-0000-000068460000}"/>
    <cellStyle name="40% - Accent5 4 2 2 2 4 2 2" xfId="28972" xr:uid="{00000000-0005-0000-0000-000069460000}"/>
    <cellStyle name="40% - Accent5 4 2 2 2 4 3" xfId="24235" xr:uid="{00000000-0005-0000-0000-00006A460000}"/>
    <cellStyle name="40% - Accent5 4 2 2 2 5" xfId="4542" xr:uid="{00000000-0005-0000-0000-00006B460000}"/>
    <cellStyle name="40% - Accent5 4 2 2 2 5 2" xfId="16891" xr:uid="{00000000-0005-0000-0000-00006C460000}"/>
    <cellStyle name="40% - Accent5 4 2 2 2 5 2 2" xfId="30298" xr:uid="{00000000-0005-0000-0000-00006D460000}"/>
    <cellStyle name="40% - Accent5 4 2 2 2 5 3" xfId="22888" xr:uid="{00000000-0005-0000-0000-00006E460000}"/>
    <cellStyle name="40% - Accent5 4 2 2 2 6" xfId="9465" xr:uid="{00000000-0005-0000-0000-00006F460000}"/>
    <cellStyle name="40% - Accent5 4 2 2 2 6 2" xfId="23940" xr:uid="{00000000-0005-0000-0000-000070460000}"/>
    <cellStyle name="40% - Accent5 4 2 2 2 7" xfId="26831" xr:uid="{00000000-0005-0000-0000-000071460000}"/>
    <cellStyle name="40% - Accent5 4 2 2 3" xfId="4543" xr:uid="{00000000-0005-0000-0000-000072460000}"/>
    <cellStyle name="40% - Accent5 4 2 2 3 2" xfId="4544" xr:uid="{00000000-0005-0000-0000-000073460000}"/>
    <cellStyle name="40% - Accent5 4 2 2 3 2 2" xfId="15424" xr:uid="{00000000-0005-0000-0000-000074460000}"/>
    <cellStyle name="40% - Accent5 4 2 2 3 2 2 2" xfId="28973" xr:uid="{00000000-0005-0000-0000-000075460000}"/>
    <cellStyle name="40% - Accent5 4 2 2 3 2 3" xfId="22887" xr:uid="{00000000-0005-0000-0000-000076460000}"/>
    <cellStyle name="40% - Accent5 4 2 2 3 3" xfId="11191" xr:uid="{00000000-0005-0000-0000-000077460000}"/>
    <cellStyle name="40% - Accent5 4 2 2 3 3 2" xfId="25133" xr:uid="{00000000-0005-0000-0000-000078460000}"/>
    <cellStyle name="40% - Accent5 4 2 2 3 4" xfId="25259" xr:uid="{00000000-0005-0000-0000-000079460000}"/>
    <cellStyle name="40% - Accent5 4 2 2 4" xfId="4545" xr:uid="{00000000-0005-0000-0000-00007A460000}"/>
    <cellStyle name="40% - Accent5 4 2 2 4 2" xfId="12279" xr:uid="{00000000-0005-0000-0000-00007B460000}"/>
    <cellStyle name="40% - Accent5 4 2 2 4 2 2" xfId="25991" xr:uid="{00000000-0005-0000-0000-00007C460000}"/>
    <cellStyle name="40% - Accent5 4 2 2 4 3" xfId="22886" xr:uid="{00000000-0005-0000-0000-00007D460000}"/>
    <cellStyle name="40% - Accent5 4 2 2 5" xfId="4546" xr:uid="{00000000-0005-0000-0000-00007E460000}"/>
    <cellStyle name="40% - Accent5 4 2 2 5 2" xfId="12976" xr:uid="{00000000-0005-0000-0000-00007F460000}"/>
    <cellStyle name="40% - Accent5 4 2 2 5 2 2" xfId="26688" xr:uid="{00000000-0005-0000-0000-000080460000}"/>
    <cellStyle name="40% - Accent5 4 2 2 5 3" xfId="24233" xr:uid="{00000000-0005-0000-0000-000081460000}"/>
    <cellStyle name="40% - Accent5 4 2 2 6" xfId="4547" xr:uid="{00000000-0005-0000-0000-000082460000}"/>
    <cellStyle name="40% - Accent5 4 2 2 6 2" xfId="13843" xr:uid="{00000000-0005-0000-0000-000083460000}"/>
    <cellStyle name="40% - Accent5 4 2 2 6 2 2" xfId="27392" xr:uid="{00000000-0005-0000-0000-000084460000}"/>
    <cellStyle name="40% - Accent5 4 2 2 6 3" xfId="22885" xr:uid="{00000000-0005-0000-0000-000085460000}"/>
    <cellStyle name="40% - Accent5 4 2 2 7" xfId="4548" xr:uid="{00000000-0005-0000-0000-000086460000}"/>
    <cellStyle name="40% - Accent5 4 2 2 7 2" xfId="14424" xr:uid="{00000000-0005-0000-0000-000087460000}"/>
    <cellStyle name="40% - Accent5 4 2 2 7 2 2" xfId="27973" xr:uid="{00000000-0005-0000-0000-000088460000}"/>
    <cellStyle name="40% - Accent5 4 2 2 7 3" xfId="22884" xr:uid="{00000000-0005-0000-0000-000089460000}"/>
    <cellStyle name="40% - Accent5 4 2 2 8" xfId="4549" xr:uid="{00000000-0005-0000-0000-00008A460000}"/>
    <cellStyle name="40% - Accent5 4 2 2 8 2" xfId="15422" xr:uid="{00000000-0005-0000-0000-00008B460000}"/>
    <cellStyle name="40% - Accent5 4 2 2 8 2 2" xfId="28971" xr:uid="{00000000-0005-0000-0000-00008C460000}"/>
    <cellStyle name="40% - Accent5 4 2 2 8 3" xfId="29136" xr:uid="{00000000-0005-0000-0000-00008D460000}"/>
    <cellStyle name="40% - Accent5 4 2 2 9" xfId="4550" xr:uid="{00000000-0005-0000-0000-00008E460000}"/>
    <cellStyle name="40% - Accent5 4 2 2 9 2" xfId="16310" xr:uid="{00000000-0005-0000-0000-00008F460000}"/>
    <cellStyle name="40% - Accent5 4 2 2 9 2 2" xfId="29717" xr:uid="{00000000-0005-0000-0000-000090460000}"/>
    <cellStyle name="40% - Accent5 4 2 2 9 3" xfId="22883" xr:uid="{00000000-0005-0000-0000-000091460000}"/>
    <cellStyle name="40% - Accent5 4 2 3" xfId="4551" xr:uid="{00000000-0005-0000-0000-000092460000}"/>
    <cellStyle name="40% - Accent5 4 2 3 2" xfId="4552" xr:uid="{00000000-0005-0000-0000-000093460000}"/>
    <cellStyle name="40% - Accent5 4 2 3 2 2" xfId="11193" xr:uid="{00000000-0005-0000-0000-000094460000}"/>
    <cellStyle name="40% - Accent5 4 2 3 2 2 2" xfId="25135" xr:uid="{00000000-0005-0000-0000-000095460000}"/>
    <cellStyle name="40% - Accent5 4 2 3 2 3" xfId="26830" xr:uid="{00000000-0005-0000-0000-000096460000}"/>
    <cellStyle name="40% - Accent5 4 2 3 3" xfId="4553" xr:uid="{00000000-0005-0000-0000-000097460000}"/>
    <cellStyle name="40% - Accent5 4 2 3 3 2" xfId="12978" xr:uid="{00000000-0005-0000-0000-000098460000}"/>
    <cellStyle name="40% - Accent5 4 2 3 3 2 2" xfId="26690" xr:uid="{00000000-0005-0000-0000-000099460000}"/>
    <cellStyle name="40% - Accent5 4 2 3 3 3" xfId="22881" xr:uid="{00000000-0005-0000-0000-00009A460000}"/>
    <cellStyle name="40% - Accent5 4 2 3 4" xfId="4554" xr:uid="{00000000-0005-0000-0000-00009B460000}"/>
    <cellStyle name="40% - Accent5 4 2 3 4 2" xfId="15425" xr:uid="{00000000-0005-0000-0000-00009C460000}"/>
    <cellStyle name="40% - Accent5 4 2 3 4 2 2" xfId="28974" xr:uid="{00000000-0005-0000-0000-00009D460000}"/>
    <cellStyle name="40% - Accent5 4 2 3 4 3" xfId="22880" xr:uid="{00000000-0005-0000-0000-00009E460000}"/>
    <cellStyle name="40% - Accent5 4 2 3 5" xfId="4555" xr:uid="{00000000-0005-0000-0000-00009F460000}"/>
    <cellStyle name="40% - Accent5 4 2 3 5 2" xfId="16602" xr:uid="{00000000-0005-0000-0000-0000A0460000}"/>
    <cellStyle name="40% - Accent5 4 2 3 5 2 2" xfId="30009" xr:uid="{00000000-0005-0000-0000-0000A1460000}"/>
    <cellStyle name="40% - Accent5 4 2 3 5 3" xfId="24234" xr:uid="{00000000-0005-0000-0000-0000A2460000}"/>
    <cellStyle name="40% - Accent5 4 2 3 6" xfId="9466" xr:uid="{00000000-0005-0000-0000-0000A3460000}"/>
    <cellStyle name="40% - Accent5 4 2 3 6 2" xfId="23941" xr:uid="{00000000-0005-0000-0000-0000A4460000}"/>
    <cellStyle name="40% - Accent5 4 2 3 7" xfId="22882" xr:uid="{00000000-0005-0000-0000-0000A5460000}"/>
    <cellStyle name="40% - Accent5 4 2 4" xfId="4556" xr:uid="{00000000-0005-0000-0000-0000A6460000}"/>
    <cellStyle name="40% - Accent5 4 2 4 2" xfId="4557" xr:uid="{00000000-0005-0000-0000-0000A7460000}"/>
    <cellStyle name="40% - Accent5 4 2 4 2 2" xfId="15426" xr:uid="{00000000-0005-0000-0000-0000A8460000}"/>
    <cellStyle name="40% - Accent5 4 2 4 2 2 2" xfId="28975" xr:uid="{00000000-0005-0000-0000-0000A9460000}"/>
    <cellStyle name="40% - Accent5 4 2 4 2 3" xfId="25258" xr:uid="{00000000-0005-0000-0000-0000AA460000}"/>
    <cellStyle name="40% - Accent5 4 2 4 3" xfId="11190" xr:uid="{00000000-0005-0000-0000-0000AB460000}"/>
    <cellStyle name="40% - Accent5 4 2 4 3 2" xfId="25132" xr:uid="{00000000-0005-0000-0000-0000AC460000}"/>
    <cellStyle name="40% - Accent5 4 2 4 4" xfId="22879" xr:uid="{00000000-0005-0000-0000-0000AD460000}"/>
    <cellStyle name="40% - Accent5 4 2 5" xfId="4558" xr:uid="{00000000-0005-0000-0000-0000AE460000}"/>
    <cellStyle name="40% - Accent5 4 2 5 2" xfId="11979" xr:uid="{00000000-0005-0000-0000-0000AF460000}"/>
    <cellStyle name="40% - Accent5 4 2 5 2 2" xfId="25694" xr:uid="{00000000-0005-0000-0000-0000B0460000}"/>
    <cellStyle name="40% - Accent5 4 2 5 3" xfId="22878" xr:uid="{00000000-0005-0000-0000-0000B1460000}"/>
    <cellStyle name="40% - Accent5 4 2 6" xfId="4559" xr:uid="{00000000-0005-0000-0000-0000B2460000}"/>
    <cellStyle name="40% - Accent5 4 2 6 2" xfId="12975" xr:uid="{00000000-0005-0000-0000-0000B3460000}"/>
    <cellStyle name="40% - Accent5 4 2 6 2 2" xfId="26687" xr:uid="{00000000-0005-0000-0000-0000B4460000}"/>
    <cellStyle name="40% - Accent5 4 2 6 3" xfId="22877" xr:uid="{00000000-0005-0000-0000-0000B5460000}"/>
    <cellStyle name="40% - Accent5 4 2 7" xfId="4560" xr:uid="{00000000-0005-0000-0000-0000B6460000}"/>
    <cellStyle name="40% - Accent5 4 2 7 2" xfId="13554" xr:uid="{00000000-0005-0000-0000-0000B7460000}"/>
    <cellStyle name="40% - Accent5 4 2 7 2 2" xfId="27103" xr:uid="{00000000-0005-0000-0000-0000B8460000}"/>
    <cellStyle name="40% - Accent5 4 2 7 3" xfId="22876" xr:uid="{00000000-0005-0000-0000-0000B9460000}"/>
    <cellStyle name="40% - Accent5 4 2 8" xfId="4561" xr:uid="{00000000-0005-0000-0000-0000BA460000}"/>
    <cellStyle name="40% - Accent5 4 2 8 2" xfId="14135" xr:uid="{00000000-0005-0000-0000-0000BB460000}"/>
    <cellStyle name="40% - Accent5 4 2 8 2 2" xfId="27684" xr:uid="{00000000-0005-0000-0000-0000BC460000}"/>
    <cellStyle name="40% - Accent5 4 2 8 3" xfId="22875" xr:uid="{00000000-0005-0000-0000-0000BD460000}"/>
    <cellStyle name="40% - Accent5 4 2 9" xfId="4562" xr:uid="{00000000-0005-0000-0000-0000BE460000}"/>
    <cellStyle name="40% - Accent5 4 2 9 2" xfId="15421" xr:uid="{00000000-0005-0000-0000-0000BF460000}"/>
    <cellStyle name="40% - Accent5 4 2 9 2 2" xfId="28970" xr:uid="{00000000-0005-0000-0000-0000C0460000}"/>
    <cellStyle name="40% - Accent5 4 2 9 3" xfId="22874" xr:uid="{00000000-0005-0000-0000-0000C1460000}"/>
    <cellStyle name="40% - Accent5 4 3" xfId="4563" xr:uid="{00000000-0005-0000-0000-0000C2460000}"/>
    <cellStyle name="40% - Accent5 4 3 10" xfId="9467" xr:uid="{00000000-0005-0000-0000-0000C3460000}"/>
    <cellStyle name="40% - Accent5 4 3 10 2" xfId="23942" xr:uid="{00000000-0005-0000-0000-0000C4460000}"/>
    <cellStyle name="40% - Accent5 4 3 11" xfId="22873" xr:uid="{00000000-0005-0000-0000-0000C5460000}"/>
    <cellStyle name="40% - Accent5 4 3 2" xfId="4564" xr:uid="{00000000-0005-0000-0000-0000C6460000}"/>
    <cellStyle name="40% - Accent5 4 3 2 2" xfId="4565" xr:uid="{00000000-0005-0000-0000-0000C7460000}"/>
    <cellStyle name="40% - Accent5 4 3 2 2 2" xfId="11195" xr:uid="{00000000-0005-0000-0000-0000C8460000}"/>
    <cellStyle name="40% - Accent5 4 3 2 2 2 2" xfId="25137" xr:uid="{00000000-0005-0000-0000-0000C9460000}"/>
    <cellStyle name="40% - Accent5 4 3 2 2 3" xfId="22872" xr:uid="{00000000-0005-0000-0000-0000CA460000}"/>
    <cellStyle name="40% - Accent5 4 3 2 3" xfId="4566" xr:uid="{00000000-0005-0000-0000-0000CB460000}"/>
    <cellStyle name="40% - Accent5 4 3 2 3 2" xfId="12980" xr:uid="{00000000-0005-0000-0000-0000CC460000}"/>
    <cellStyle name="40% - Accent5 4 3 2 3 2 2" xfId="26692" xr:uid="{00000000-0005-0000-0000-0000CD460000}"/>
    <cellStyle name="40% - Accent5 4 3 2 3 3" xfId="22871" xr:uid="{00000000-0005-0000-0000-0000CE460000}"/>
    <cellStyle name="40% - Accent5 4 3 2 4" xfId="4567" xr:uid="{00000000-0005-0000-0000-0000CF460000}"/>
    <cellStyle name="40% - Accent5 4 3 2 4 2" xfId="15428" xr:uid="{00000000-0005-0000-0000-0000D0460000}"/>
    <cellStyle name="40% - Accent5 4 3 2 4 2 2" xfId="28977" xr:uid="{00000000-0005-0000-0000-0000D1460000}"/>
    <cellStyle name="40% - Accent5 4 3 2 4 3" xfId="22870" xr:uid="{00000000-0005-0000-0000-0000D2460000}"/>
    <cellStyle name="40% - Accent5 4 3 2 5" xfId="4568" xr:uid="{00000000-0005-0000-0000-0000D3460000}"/>
    <cellStyle name="40% - Accent5 4 3 2 5 2" xfId="16751" xr:uid="{00000000-0005-0000-0000-0000D4460000}"/>
    <cellStyle name="40% - Accent5 4 3 2 5 2 2" xfId="30158" xr:uid="{00000000-0005-0000-0000-0000D5460000}"/>
    <cellStyle name="40% - Accent5 4 3 2 5 3" xfId="26829" xr:uid="{00000000-0005-0000-0000-0000D6460000}"/>
    <cellStyle name="40% - Accent5 4 3 2 6" xfId="9468" xr:uid="{00000000-0005-0000-0000-0000D7460000}"/>
    <cellStyle name="40% - Accent5 4 3 2 6 2" xfId="23943" xr:uid="{00000000-0005-0000-0000-0000D8460000}"/>
    <cellStyle name="40% - Accent5 4 3 2 7" xfId="29135" xr:uid="{00000000-0005-0000-0000-0000D9460000}"/>
    <cellStyle name="40% - Accent5 4 3 3" xfId="4569" xr:uid="{00000000-0005-0000-0000-0000DA460000}"/>
    <cellStyle name="40% - Accent5 4 3 3 2" xfId="4570" xr:uid="{00000000-0005-0000-0000-0000DB460000}"/>
    <cellStyle name="40% - Accent5 4 3 3 2 2" xfId="15429" xr:uid="{00000000-0005-0000-0000-0000DC460000}"/>
    <cellStyle name="40% - Accent5 4 3 3 2 2 2" xfId="28978" xr:uid="{00000000-0005-0000-0000-0000DD460000}"/>
    <cellStyle name="40% - Accent5 4 3 3 2 3" xfId="22868" xr:uid="{00000000-0005-0000-0000-0000DE460000}"/>
    <cellStyle name="40% - Accent5 4 3 3 3" xfId="11194" xr:uid="{00000000-0005-0000-0000-0000DF460000}"/>
    <cellStyle name="40% - Accent5 4 3 3 3 2" xfId="25136" xr:uid="{00000000-0005-0000-0000-0000E0460000}"/>
    <cellStyle name="40% - Accent5 4 3 3 4" xfId="22869" xr:uid="{00000000-0005-0000-0000-0000E1460000}"/>
    <cellStyle name="40% - Accent5 4 3 4" xfId="4571" xr:uid="{00000000-0005-0000-0000-0000E2460000}"/>
    <cellStyle name="40% - Accent5 4 3 4 2" xfId="12139" xr:uid="{00000000-0005-0000-0000-0000E3460000}"/>
    <cellStyle name="40% - Accent5 4 3 4 2 2" xfId="25851" xr:uid="{00000000-0005-0000-0000-0000E4460000}"/>
    <cellStyle name="40% - Accent5 4 3 4 3" xfId="24231" xr:uid="{00000000-0005-0000-0000-0000E5460000}"/>
    <cellStyle name="40% - Accent5 4 3 5" xfId="4572" xr:uid="{00000000-0005-0000-0000-0000E6460000}"/>
    <cellStyle name="40% - Accent5 4 3 5 2" xfId="12979" xr:uid="{00000000-0005-0000-0000-0000E7460000}"/>
    <cellStyle name="40% - Accent5 4 3 5 2 2" xfId="26691" xr:uid="{00000000-0005-0000-0000-0000E8460000}"/>
    <cellStyle name="40% - Accent5 4 3 5 3" xfId="22867" xr:uid="{00000000-0005-0000-0000-0000E9460000}"/>
    <cellStyle name="40% - Accent5 4 3 6" xfId="4573" xr:uid="{00000000-0005-0000-0000-0000EA460000}"/>
    <cellStyle name="40% - Accent5 4 3 6 2" xfId="13703" xr:uid="{00000000-0005-0000-0000-0000EB460000}"/>
    <cellStyle name="40% - Accent5 4 3 6 2 2" xfId="27252" xr:uid="{00000000-0005-0000-0000-0000EC460000}"/>
    <cellStyle name="40% - Accent5 4 3 6 3" xfId="25257" xr:uid="{00000000-0005-0000-0000-0000ED460000}"/>
    <cellStyle name="40% - Accent5 4 3 7" xfId="4574" xr:uid="{00000000-0005-0000-0000-0000EE460000}"/>
    <cellStyle name="40% - Accent5 4 3 7 2" xfId="14284" xr:uid="{00000000-0005-0000-0000-0000EF460000}"/>
    <cellStyle name="40% - Accent5 4 3 7 2 2" xfId="27833" xr:uid="{00000000-0005-0000-0000-0000F0460000}"/>
    <cellStyle name="40% - Accent5 4 3 7 3" xfId="22866" xr:uid="{00000000-0005-0000-0000-0000F1460000}"/>
    <cellStyle name="40% - Accent5 4 3 8" xfId="4575" xr:uid="{00000000-0005-0000-0000-0000F2460000}"/>
    <cellStyle name="40% - Accent5 4 3 8 2" xfId="15427" xr:uid="{00000000-0005-0000-0000-0000F3460000}"/>
    <cellStyle name="40% - Accent5 4 3 8 2 2" xfId="28976" xr:uid="{00000000-0005-0000-0000-0000F4460000}"/>
    <cellStyle name="40% - Accent5 4 3 8 3" xfId="22865" xr:uid="{00000000-0005-0000-0000-0000F5460000}"/>
    <cellStyle name="40% - Accent5 4 3 9" xfId="4576" xr:uid="{00000000-0005-0000-0000-0000F6460000}"/>
    <cellStyle name="40% - Accent5 4 3 9 2" xfId="16170" xr:uid="{00000000-0005-0000-0000-0000F7460000}"/>
    <cellStyle name="40% - Accent5 4 3 9 2 2" xfId="29577" xr:uid="{00000000-0005-0000-0000-0000F8460000}"/>
    <cellStyle name="40% - Accent5 4 3 9 3" xfId="24230" xr:uid="{00000000-0005-0000-0000-0000F9460000}"/>
    <cellStyle name="40% - Accent5 4 4" xfId="4577" xr:uid="{00000000-0005-0000-0000-0000FA460000}"/>
    <cellStyle name="40% - Accent5 4 4 2" xfId="4578" xr:uid="{00000000-0005-0000-0000-0000FB460000}"/>
    <cellStyle name="40% - Accent5 4 4 2 2" xfId="11196" xr:uid="{00000000-0005-0000-0000-0000FC460000}"/>
    <cellStyle name="40% - Accent5 4 4 2 2 2" xfId="25138" xr:uid="{00000000-0005-0000-0000-0000FD460000}"/>
    <cellStyle name="40% - Accent5 4 4 2 3" xfId="22863" xr:uid="{00000000-0005-0000-0000-0000FE460000}"/>
    <cellStyle name="40% - Accent5 4 4 3" xfId="4579" xr:uid="{00000000-0005-0000-0000-0000FF460000}"/>
    <cellStyle name="40% - Accent5 4 4 3 2" xfId="12981" xr:uid="{00000000-0005-0000-0000-000000470000}"/>
    <cellStyle name="40% - Accent5 4 4 3 2 2" xfId="26693" xr:uid="{00000000-0005-0000-0000-000001470000}"/>
    <cellStyle name="40% - Accent5 4 4 3 3" xfId="24228" xr:uid="{00000000-0005-0000-0000-000002470000}"/>
    <cellStyle name="40% - Accent5 4 4 4" xfId="4580" xr:uid="{00000000-0005-0000-0000-000003470000}"/>
    <cellStyle name="40% - Accent5 4 4 4 2" xfId="15430" xr:uid="{00000000-0005-0000-0000-000004470000}"/>
    <cellStyle name="40% - Accent5 4 4 4 2 2" xfId="28979" xr:uid="{00000000-0005-0000-0000-000005470000}"/>
    <cellStyle name="40% - Accent5 4 4 4 3" xfId="22862" xr:uid="{00000000-0005-0000-0000-000006470000}"/>
    <cellStyle name="40% - Accent5 4 4 5" xfId="4581" xr:uid="{00000000-0005-0000-0000-000007470000}"/>
    <cellStyle name="40% - Accent5 4 4 5 2" xfId="16459" xr:uid="{00000000-0005-0000-0000-000008470000}"/>
    <cellStyle name="40% - Accent5 4 4 5 2 2" xfId="29866" xr:uid="{00000000-0005-0000-0000-000009470000}"/>
    <cellStyle name="40% - Accent5 4 4 5 3" xfId="22861" xr:uid="{00000000-0005-0000-0000-00000A470000}"/>
    <cellStyle name="40% - Accent5 4 4 6" xfId="9469" xr:uid="{00000000-0005-0000-0000-00000B470000}"/>
    <cellStyle name="40% - Accent5 4 4 6 2" xfId="23944" xr:uid="{00000000-0005-0000-0000-00000C470000}"/>
    <cellStyle name="40% - Accent5 4 4 7" xfId="22864" xr:uid="{00000000-0005-0000-0000-00000D470000}"/>
    <cellStyle name="40% - Accent5 4 5" xfId="4582" xr:uid="{00000000-0005-0000-0000-00000E470000}"/>
    <cellStyle name="40% - Accent5 4 5 2" xfId="4583" xr:uid="{00000000-0005-0000-0000-00000F470000}"/>
    <cellStyle name="40% - Accent5 4 5 2 2" xfId="15431" xr:uid="{00000000-0005-0000-0000-000010470000}"/>
    <cellStyle name="40% - Accent5 4 5 2 2 2" xfId="28980" xr:uid="{00000000-0005-0000-0000-000011470000}"/>
    <cellStyle name="40% - Accent5 4 5 2 3" xfId="22860" xr:uid="{00000000-0005-0000-0000-000012470000}"/>
    <cellStyle name="40% - Accent5 4 5 3" xfId="11189" xr:uid="{00000000-0005-0000-0000-000013470000}"/>
    <cellStyle name="40% - Accent5 4 5 3 2" xfId="25131" xr:uid="{00000000-0005-0000-0000-000014470000}"/>
    <cellStyle name="40% - Accent5 4 5 4" xfId="29134" xr:uid="{00000000-0005-0000-0000-000015470000}"/>
    <cellStyle name="40% - Accent5 4 6" xfId="4584" xr:uid="{00000000-0005-0000-0000-000016470000}"/>
    <cellStyle name="40% - Accent5 4 6 2" xfId="11810" xr:uid="{00000000-0005-0000-0000-000017470000}"/>
    <cellStyle name="40% - Accent5 4 6 2 2" xfId="25525" xr:uid="{00000000-0005-0000-0000-000018470000}"/>
    <cellStyle name="40% - Accent5 4 6 3" xfId="22859" xr:uid="{00000000-0005-0000-0000-000019470000}"/>
    <cellStyle name="40% - Accent5 4 7" xfId="4585" xr:uid="{00000000-0005-0000-0000-00001A470000}"/>
    <cellStyle name="40% - Accent5 4 7 2" xfId="12974" xr:uid="{00000000-0005-0000-0000-00001B470000}"/>
    <cellStyle name="40% - Accent5 4 7 2 2" xfId="26686" xr:uid="{00000000-0005-0000-0000-00001C470000}"/>
    <cellStyle name="40% - Accent5 4 7 3" xfId="26828" xr:uid="{00000000-0005-0000-0000-00001D470000}"/>
    <cellStyle name="40% - Accent5 4 8" xfId="4586" xr:uid="{00000000-0005-0000-0000-00001E470000}"/>
    <cellStyle name="40% - Accent5 4 8 2" xfId="13411" xr:uid="{00000000-0005-0000-0000-00001F470000}"/>
    <cellStyle name="40% - Accent5 4 8 2 2" xfId="26960" xr:uid="{00000000-0005-0000-0000-000020470000}"/>
    <cellStyle name="40% - Accent5 4 8 3" xfId="22858" xr:uid="{00000000-0005-0000-0000-000021470000}"/>
    <cellStyle name="40% - Accent5 4 9" xfId="4587" xr:uid="{00000000-0005-0000-0000-000022470000}"/>
    <cellStyle name="40% - Accent5 4 9 2" xfId="13992" xr:uid="{00000000-0005-0000-0000-000023470000}"/>
    <cellStyle name="40% - Accent5 4 9 2 2" xfId="27541" xr:uid="{00000000-0005-0000-0000-000024470000}"/>
    <cellStyle name="40% - Accent5 4 9 3" xfId="22857" xr:uid="{00000000-0005-0000-0000-000025470000}"/>
    <cellStyle name="40% - Accent5 5" xfId="4588" xr:uid="{00000000-0005-0000-0000-000026470000}"/>
    <cellStyle name="40% - Accent5 5 10" xfId="4589" xr:uid="{00000000-0005-0000-0000-000027470000}"/>
    <cellStyle name="40% - Accent5 5 10 2" xfId="15432" xr:uid="{00000000-0005-0000-0000-000028470000}"/>
    <cellStyle name="40% - Accent5 5 10 2 2" xfId="28981" xr:uid="{00000000-0005-0000-0000-000029470000}"/>
    <cellStyle name="40% - Accent5 5 10 3" xfId="22856" xr:uid="{00000000-0005-0000-0000-00002A470000}"/>
    <cellStyle name="40% - Accent5 5 11" xfId="4590" xr:uid="{00000000-0005-0000-0000-00002B470000}"/>
    <cellStyle name="40% - Accent5 5 11 2" xfId="15861" xr:uid="{00000000-0005-0000-0000-00002C470000}"/>
    <cellStyle name="40% - Accent5 5 11 2 2" xfId="29268" xr:uid="{00000000-0005-0000-0000-00002D470000}"/>
    <cellStyle name="40% - Accent5 5 11 3" xfId="25256" xr:uid="{00000000-0005-0000-0000-00002E470000}"/>
    <cellStyle name="40% - Accent5 5 12" xfId="9470" xr:uid="{00000000-0005-0000-0000-00002F470000}"/>
    <cellStyle name="40% - Accent5 5 12 2" xfId="23945" xr:uid="{00000000-0005-0000-0000-000030470000}"/>
    <cellStyle name="40% - Accent5 5 13" xfId="24229" xr:uid="{00000000-0005-0000-0000-000031470000}"/>
    <cellStyle name="40% - Accent5 5 2" xfId="4591" xr:uid="{00000000-0005-0000-0000-000032470000}"/>
    <cellStyle name="40% - Accent5 5 2 10" xfId="4592" xr:uid="{00000000-0005-0000-0000-000033470000}"/>
    <cellStyle name="40% - Accent5 5 2 10 2" xfId="16004" xr:uid="{00000000-0005-0000-0000-000034470000}"/>
    <cellStyle name="40% - Accent5 5 2 10 2 2" xfId="29411" xr:uid="{00000000-0005-0000-0000-000035470000}"/>
    <cellStyle name="40% - Accent5 5 2 10 3" xfId="22854" xr:uid="{00000000-0005-0000-0000-000036470000}"/>
    <cellStyle name="40% - Accent5 5 2 11" xfId="9471" xr:uid="{00000000-0005-0000-0000-000037470000}"/>
    <cellStyle name="40% - Accent5 5 2 11 2" xfId="23946" xr:uid="{00000000-0005-0000-0000-000038470000}"/>
    <cellStyle name="40% - Accent5 5 2 12" xfId="22855" xr:uid="{00000000-0005-0000-0000-000039470000}"/>
    <cellStyle name="40% - Accent5 5 2 2" xfId="4593" xr:uid="{00000000-0005-0000-0000-00003A470000}"/>
    <cellStyle name="40% - Accent5 5 2 2 10" xfId="9472" xr:uid="{00000000-0005-0000-0000-00003B470000}"/>
    <cellStyle name="40% - Accent5 5 2 2 10 2" xfId="23947" xr:uid="{00000000-0005-0000-0000-00003C470000}"/>
    <cellStyle name="40% - Accent5 5 2 2 11" xfId="22853" xr:uid="{00000000-0005-0000-0000-00003D470000}"/>
    <cellStyle name="40% - Accent5 5 2 2 2" xfId="4594" xr:uid="{00000000-0005-0000-0000-00003E470000}"/>
    <cellStyle name="40% - Accent5 5 2 2 2 2" xfId="4595" xr:uid="{00000000-0005-0000-0000-00003F470000}"/>
    <cellStyle name="40% - Accent5 5 2 2 2 2 2" xfId="11200" xr:uid="{00000000-0005-0000-0000-000040470000}"/>
    <cellStyle name="40% - Accent5 5 2 2 2 2 2 2" xfId="25142" xr:uid="{00000000-0005-0000-0000-000041470000}"/>
    <cellStyle name="40% - Accent5 5 2 2 2 2 3" xfId="22852" xr:uid="{00000000-0005-0000-0000-000042470000}"/>
    <cellStyle name="40% - Accent5 5 2 2 2 3" xfId="4596" xr:uid="{00000000-0005-0000-0000-000043470000}"/>
    <cellStyle name="40% - Accent5 5 2 2 2 3 2" xfId="12985" xr:uid="{00000000-0005-0000-0000-000044470000}"/>
    <cellStyle name="40% - Accent5 5 2 2 2 3 2 2" xfId="26697" xr:uid="{00000000-0005-0000-0000-000045470000}"/>
    <cellStyle name="40% - Accent5 5 2 2 2 3 3" xfId="22851" xr:uid="{00000000-0005-0000-0000-000046470000}"/>
    <cellStyle name="40% - Accent5 5 2 2 2 4" xfId="4597" xr:uid="{00000000-0005-0000-0000-000047470000}"/>
    <cellStyle name="40% - Accent5 5 2 2 2 4 2" xfId="15435" xr:uid="{00000000-0005-0000-0000-000048470000}"/>
    <cellStyle name="40% - Accent5 5 2 2 2 4 2 2" xfId="28984" xr:uid="{00000000-0005-0000-0000-000049470000}"/>
    <cellStyle name="40% - Accent5 5 2 2 2 4 3" xfId="29133" xr:uid="{00000000-0005-0000-0000-00004A470000}"/>
    <cellStyle name="40% - Accent5 5 2 2 2 5" xfId="4598" xr:uid="{00000000-0005-0000-0000-00004B470000}"/>
    <cellStyle name="40% - Accent5 5 2 2 2 5 2" xfId="16874" xr:uid="{00000000-0005-0000-0000-00004C470000}"/>
    <cellStyle name="40% - Accent5 5 2 2 2 5 2 2" xfId="30281" xr:uid="{00000000-0005-0000-0000-00004D470000}"/>
    <cellStyle name="40% - Accent5 5 2 2 2 5 3" xfId="22850" xr:uid="{00000000-0005-0000-0000-00004E470000}"/>
    <cellStyle name="40% - Accent5 5 2 2 2 6" xfId="9473" xr:uid="{00000000-0005-0000-0000-00004F470000}"/>
    <cellStyle name="40% - Accent5 5 2 2 2 6 2" xfId="23948" xr:uid="{00000000-0005-0000-0000-000050470000}"/>
    <cellStyle name="40% - Accent5 5 2 2 2 7" xfId="24224" xr:uid="{00000000-0005-0000-0000-000051470000}"/>
    <cellStyle name="40% - Accent5 5 2 2 3" xfId="4599" xr:uid="{00000000-0005-0000-0000-000052470000}"/>
    <cellStyle name="40% - Accent5 5 2 2 3 2" xfId="4600" xr:uid="{00000000-0005-0000-0000-000053470000}"/>
    <cellStyle name="40% - Accent5 5 2 2 3 2 2" xfId="15436" xr:uid="{00000000-0005-0000-0000-000054470000}"/>
    <cellStyle name="40% - Accent5 5 2 2 3 2 2 2" xfId="28985" xr:uid="{00000000-0005-0000-0000-000055470000}"/>
    <cellStyle name="40% - Accent5 5 2 2 3 2 3" xfId="26827" xr:uid="{00000000-0005-0000-0000-000056470000}"/>
    <cellStyle name="40% - Accent5 5 2 2 3 3" xfId="11199" xr:uid="{00000000-0005-0000-0000-000057470000}"/>
    <cellStyle name="40% - Accent5 5 2 2 3 3 2" xfId="25141" xr:uid="{00000000-0005-0000-0000-000058470000}"/>
    <cellStyle name="40% - Accent5 5 2 2 3 4" xfId="22849" xr:uid="{00000000-0005-0000-0000-000059470000}"/>
    <cellStyle name="40% - Accent5 5 2 2 4" xfId="4601" xr:uid="{00000000-0005-0000-0000-00005A470000}"/>
    <cellStyle name="40% - Accent5 5 2 2 4 2" xfId="12262" xr:uid="{00000000-0005-0000-0000-00005B470000}"/>
    <cellStyle name="40% - Accent5 5 2 2 4 2 2" xfId="25974" xr:uid="{00000000-0005-0000-0000-00005C470000}"/>
    <cellStyle name="40% - Accent5 5 2 2 4 3" xfId="22848" xr:uid="{00000000-0005-0000-0000-00005D470000}"/>
    <cellStyle name="40% - Accent5 5 2 2 5" xfId="4602" xr:uid="{00000000-0005-0000-0000-00005E470000}"/>
    <cellStyle name="40% - Accent5 5 2 2 5 2" xfId="12984" xr:uid="{00000000-0005-0000-0000-00005F470000}"/>
    <cellStyle name="40% - Accent5 5 2 2 5 2 2" xfId="26696" xr:uid="{00000000-0005-0000-0000-000060470000}"/>
    <cellStyle name="40% - Accent5 5 2 2 5 3" xfId="22847" xr:uid="{00000000-0005-0000-0000-000061470000}"/>
    <cellStyle name="40% - Accent5 5 2 2 6" xfId="4603" xr:uid="{00000000-0005-0000-0000-000062470000}"/>
    <cellStyle name="40% - Accent5 5 2 2 6 2" xfId="13826" xr:uid="{00000000-0005-0000-0000-000063470000}"/>
    <cellStyle name="40% - Accent5 5 2 2 6 2 2" xfId="27375" xr:uid="{00000000-0005-0000-0000-000064470000}"/>
    <cellStyle name="40% - Accent5 5 2 2 6 3" xfId="24227" xr:uid="{00000000-0005-0000-0000-000065470000}"/>
    <cellStyle name="40% - Accent5 5 2 2 7" xfId="4604" xr:uid="{00000000-0005-0000-0000-000066470000}"/>
    <cellStyle name="40% - Accent5 5 2 2 7 2" xfId="14407" xr:uid="{00000000-0005-0000-0000-000067470000}"/>
    <cellStyle name="40% - Accent5 5 2 2 7 2 2" xfId="27956" xr:uid="{00000000-0005-0000-0000-000068470000}"/>
    <cellStyle name="40% - Accent5 5 2 2 7 3" xfId="22846" xr:uid="{00000000-0005-0000-0000-000069470000}"/>
    <cellStyle name="40% - Accent5 5 2 2 8" xfId="4605" xr:uid="{00000000-0005-0000-0000-00006A470000}"/>
    <cellStyle name="40% - Accent5 5 2 2 8 2" xfId="15434" xr:uid="{00000000-0005-0000-0000-00006B470000}"/>
    <cellStyle name="40% - Accent5 5 2 2 8 2 2" xfId="28983" xr:uid="{00000000-0005-0000-0000-00006C470000}"/>
    <cellStyle name="40% - Accent5 5 2 2 8 3" xfId="25255" xr:uid="{00000000-0005-0000-0000-00006D470000}"/>
    <cellStyle name="40% - Accent5 5 2 2 9" xfId="4606" xr:uid="{00000000-0005-0000-0000-00006E470000}"/>
    <cellStyle name="40% - Accent5 5 2 2 9 2" xfId="16293" xr:uid="{00000000-0005-0000-0000-00006F470000}"/>
    <cellStyle name="40% - Accent5 5 2 2 9 2 2" xfId="29700" xr:uid="{00000000-0005-0000-0000-000070470000}"/>
    <cellStyle name="40% - Accent5 5 2 2 9 3" xfId="22845" xr:uid="{00000000-0005-0000-0000-000071470000}"/>
    <cellStyle name="40% - Accent5 5 2 3" xfId="4607" xr:uid="{00000000-0005-0000-0000-000072470000}"/>
    <cellStyle name="40% - Accent5 5 2 3 2" xfId="4608" xr:uid="{00000000-0005-0000-0000-000073470000}"/>
    <cellStyle name="40% - Accent5 5 2 3 2 2" xfId="11201" xr:uid="{00000000-0005-0000-0000-000074470000}"/>
    <cellStyle name="40% - Accent5 5 2 3 2 2 2" xfId="25143" xr:uid="{00000000-0005-0000-0000-000075470000}"/>
    <cellStyle name="40% - Accent5 5 2 3 2 3" xfId="24225" xr:uid="{00000000-0005-0000-0000-000076470000}"/>
    <cellStyle name="40% - Accent5 5 2 3 3" xfId="4609" xr:uid="{00000000-0005-0000-0000-000077470000}"/>
    <cellStyle name="40% - Accent5 5 2 3 3 2" xfId="12986" xr:uid="{00000000-0005-0000-0000-000078470000}"/>
    <cellStyle name="40% - Accent5 5 2 3 3 2 2" xfId="26698" xr:uid="{00000000-0005-0000-0000-000079470000}"/>
    <cellStyle name="40% - Accent5 5 2 3 3 3" xfId="22843" xr:uid="{00000000-0005-0000-0000-00007A470000}"/>
    <cellStyle name="40% - Accent5 5 2 3 4" xfId="4610" xr:uid="{00000000-0005-0000-0000-00007B470000}"/>
    <cellStyle name="40% - Accent5 5 2 3 4 2" xfId="15437" xr:uid="{00000000-0005-0000-0000-00007C470000}"/>
    <cellStyle name="40% - Accent5 5 2 3 4 2 2" xfId="28986" xr:uid="{00000000-0005-0000-0000-00007D470000}"/>
    <cellStyle name="40% - Accent5 5 2 3 4 3" xfId="22842" xr:uid="{00000000-0005-0000-0000-00007E470000}"/>
    <cellStyle name="40% - Accent5 5 2 3 5" xfId="4611" xr:uid="{00000000-0005-0000-0000-00007F470000}"/>
    <cellStyle name="40% - Accent5 5 2 3 5 2" xfId="16585" xr:uid="{00000000-0005-0000-0000-000080470000}"/>
    <cellStyle name="40% - Accent5 5 2 3 5 2 2" xfId="29992" xr:uid="{00000000-0005-0000-0000-000081470000}"/>
    <cellStyle name="40% - Accent5 5 2 3 5 3" xfId="29132" xr:uid="{00000000-0005-0000-0000-000082470000}"/>
    <cellStyle name="40% - Accent5 5 2 3 6" xfId="9474" xr:uid="{00000000-0005-0000-0000-000083470000}"/>
    <cellStyle name="40% - Accent5 5 2 3 6 2" xfId="23949" xr:uid="{00000000-0005-0000-0000-000084470000}"/>
    <cellStyle name="40% - Accent5 5 2 3 7" xfId="22844" xr:uid="{00000000-0005-0000-0000-000085470000}"/>
    <cellStyle name="40% - Accent5 5 2 4" xfId="4612" xr:uid="{00000000-0005-0000-0000-000086470000}"/>
    <cellStyle name="40% - Accent5 5 2 4 2" xfId="4613" xr:uid="{00000000-0005-0000-0000-000087470000}"/>
    <cellStyle name="40% - Accent5 5 2 4 2 2" xfId="15438" xr:uid="{00000000-0005-0000-0000-000088470000}"/>
    <cellStyle name="40% - Accent5 5 2 4 2 2 2" xfId="28987" xr:uid="{00000000-0005-0000-0000-000089470000}"/>
    <cellStyle name="40% - Accent5 5 2 4 2 3" xfId="22840" xr:uid="{00000000-0005-0000-0000-00008A470000}"/>
    <cellStyle name="40% - Accent5 5 2 4 3" xfId="11198" xr:uid="{00000000-0005-0000-0000-00008B470000}"/>
    <cellStyle name="40% - Accent5 5 2 4 3 2" xfId="25140" xr:uid="{00000000-0005-0000-0000-00008C470000}"/>
    <cellStyle name="40% - Accent5 5 2 4 4" xfId="22841" xr:uid="{00000000-0005-0000-0000-00008D470000}"/>
    <cellStyle name="40% - Accent5 5 2 5" xfId="4614" xr:uid="{00000000-0005-0000-0000-00008E470000}"/>
    <cellStyle name="40% - Accent5 5 2 5 2" xfId="11962" xr:uid="{00000000-0005-0000-0000-00008F470000}"/>
    <cellStyle name="40% - Accent5 5 2 5 2 2" xfId="25677" xr:uid="{00000000-0005-0000-0000-000090470000}"/>
    <cellStyle name="40% - Accent5 5 2 5 3" xfId="26826" xr:uid="{00000000-0005-0000-0000-000091470000}"/>
    <cellStyle name="40% - Accent5 5 2 6" xfId="4615" xr:uid="{00000000-0005-0000-0000-000092470000}"/>
    <cellStyle name="40% - Accent5 5 2 6 2" xfId="12983" xr:uid="{00000000-0005-0000-0000-000093470000}"/>
    <cellStyle name="40% - Accent5 5 2 6 2 2" xfId="26695" xr:uid="{00000000-0005-0000-0000-000094470000}"/>
    <cellStyle name="40% - Accent5 5 2 6 3" xfId="22839" xr:uid="{00000000-0005-0000-0000-000095470000}"/>
    <cellStyle name="40% - Accent5 5 2 7" xfId="4616" xr:uid="{00000000-0005-0000-0000-000096470000}"/>
    <cellStyle name="40% - Accent5 5 2 7 2" xfId="13537" xr:uid="{00000000-0005-0000-0000-000097470000}"/>
    <cellStyle name="40% - Accent5 5 2 7 2 2" xfId="27086" xr:uid="{00000000-0005-0000-0000-000098470000}"/>
    <cellStyle name="40% - Accent5 5 2 7 3" xfId="22838" xr:uid="{00000000-0005-0000-0000-000099470000}"/>
    <cellStyle name="40% - Accent5 5 2 8" xfId="4617" xr:uid="{00000000-0005-0000-0000-00009A470000}"/>
    <cellStyle name="40% - Accent5 5 2 8 2" xfId="14118" xr:uid="{00000000-0005-0000-0000-00009B470000}"/>
    <cellStyle name="40% - Accent5 5 2 8 2 2" xfId="27667" xr:uid="{00000000-0005-0000-0000-00009C470000}"/>
    <cellStyle name="40% - Accent5 5 2 8 3" xfId="24226" xr:uid="{00000000-0005-0000-0000-00009D470000}"/>
    <cellStyle name="40% - Accent5 5 2 9" xfId="4618" xr:uid="{00000000-0005-0000-0000-00009E470000}"/>
    <cellStyle name="40% - Accent5 5 2 9 2" xfId="15433" xr:uid="{00000000-0005-0000-0000-00009F470000}"/>
    <cellStyle name="40% - Accent5 5 2 9 2 2" xfId="28982" xr:uid="{00000000-0005-0000-0000-0000A0470000}"/>
    <cellStyle name="40% - Accent5 5 2 9 3" xfId="22837" xr:uid="{00000000-0005-0000-0000-0000A1470000}"/>
    <cellStyle name="40% - Accent5 5 3" xfId="4619" xr:uid="{00000000-0005-0000-0000-0000A2470000}"/>
    <cellStyle name="40% - Accent5 5 3 10" xfId="9475" xr:uid="{00000000-0005-0000-0000-0000A3470000}"/>
    <cellStyle name="40% - Accent5 5 3 10 2" xfId="23950" xr:uid="{00000000-0005-0000-0000-0000A4470000}"/>
    <cellStyle name="40% - Accent5 5 3 11" xfId="25254" xr:uid="{00000000-0005-0000-0000-0000A5470000}"/>
    <cellStyle name="40% - Accent5 5 3 2" xfId="4620" xr:uid="{00000000-0005-0000-0000-0000A6470000}"/>
    <cellStyle name="40% - Accent5 5 3 2 2" xfId="4621" xr:uid="{00000000-0005-0000-0000-0000A7470000}"/>
    <cellStyle name="40% - Accent5 5 3 2 2 2" xfId="11203" xr:uid="{00000000-0005-0000-0000-0000A8470000}"/>
    <cellStyle name="40% - Accent5 5 3 2 2 2 2" xfId="25145" xr:uid="{00000000-0005-0000-0000-0000A9470000}"/>
    <cellStyle name="40% - Accent5 5 3 2 2 3" xfId="22835" xr:uid="{00000000-0005-0000-0000-0000AA470000}"/>
    <cellStyle name="40% - Accent5 5 3 2 3" xfId="4622" xr:uid="{00000000-0005-0000-0000-0000AB470000}"/>
    <cellStyle name="40% - Accent5 5 3 2 3 2" xfId="12988" xr:uid="{00000000-0005-0000-0000-0000AC470000}"/>
    <cellStyle name="40% - Accent5 5 3 2 3 2 2" xfId="26700" xr:uid="{00000000-0005-0000-0000-0000AD470000}"/>
    <cellStyle name="40% - Accent5 5 3 2 3 3" xfId="22834" xr:uid="{00000000-0005-0000-0000-0000AE470000}"/>
    <cellStyle name="40% - Accent5 5 3 2 4" xfId="4623" xr:uid="{00000000-0005-0000-0000-0000AF470000}"/>
    <cellStyle name="40% - Accent5 5 3 2 4 2" xfId="15440" xr:uid="{00000000-0005-0000-0000-0000B0470000}"/>
    <cellStyle name="40% - Accent5 5 3 2 4 2 2" xfId="28989" xr:uid="{00000000-0005-0000-0000-0000B1470000}"/>
    <cellStyle name="40% - Accent5 5 3 2 4 3" xfId="22833" xr:uid="{00000000-0005-0000-0000-0000B2470000}"/>
    <cellStyle name="40% - Accent5 5 3 2 5" xfId="4624" xr:uid="{00000000-0005-0000-0000-0000B3470000}"/>
    <cellStyle name="40% - Accent5 5 3 2 5 2" xfId="16734" xr:uid="{00000000-0005-0000-0000-0000B4470000}"/>
    <cellStyle name="40% - Accent5 5 3 2 5 2 2" xfId="30141" xr:uid="{00000000-0005-0000-0000-0000B5470000}"/>
    <cellStyle name="40% - Accent5 5 3 2 5 3" xfId="24223" xr:uid="{00000000-0005-0000-0000-0000B6470000}"/>
    <cellStyle name="40% - Accent5 5 3 2 6" xfId="9476" xr:uid="{00000000-0005-0000-0000-0000B7470000}"/>
    <cellStyle name="40% - Accent5 5 3 2 6 2" xfId="23951" xr:uid="{00000000-0005-0000-0000-0000B8470000}"/>
    <cellStyle name="40% - Accent5 5 3 2 7" xfId="22836" xr:uid="{00000000-0005-0000-0000-0000B9470000}"/>
    <cellStyle name="40% - Accent5 5 3 3" xfId="4625" xr:uid="{00000000-0005-0000-0000-0000BA470000}"/>
    <cellStyle name="40% - Accent5 5 3 3 2" xfId="4626" xr:uid="{00000000-0005-0000-0000-0000BB470000}"/>
    <cellStyle name="40% - Accent5 5 3 3 2 2" xfId="15441" xr:uid="{00000000-0005-0000-0000-0000BC470000}"/>
    <cellStyle name="40% - Accent5 5 3 3 2 2 2" xfId="28990" xr:uid="{00000000-0005-0000-0000-0000BD470000}"/>
    <cellStyle name="40% - Accent5 5 3 3 2 3" xfId="23220" xr:uid="{00000000-0005-0000-0000-0000BE470000}"/>
    <cellStyle name="40% - Accent5 5 3 3 3" xfId="11202" xr:uid="{00000000-0005-0000-0000-0000BF470000}"/>
    <cellStyle name="40% - Accent5 5 3 3 3 2" xfId="25144" xr:uid="{00000000-0005-0000-0000-0000C0470000}"/>
    <cellStyle name="40% - Accent5 5 3 3 4" xfId="22832" xr:uid="{00000000-0005-0000-0000-0000C1470000}"/>
    <cellStyle name="40% - Accent5 5 3 4" xfId="4627" xr:uid="{00000000-0005-0000-0000-0000C2470000}"/>
    <cellStyle name="40% - Accent5 5 3 4 2" xfId="12122" xr:uid="{00000000-0005-0000-0000-0000C3470000}"/>
    <cellStyle name="40% - Accent5 5 3 4 2 2" xfId="25834" xr:uid="{00000000-0005-0000-0000-0000C4470000}"/>
    <cellStyle name="40% - Accent5 5 3 4 3" xfId="24222" xr:uid="{00000000-0005-0000-0000-0000C5470000}"/>
    <cellStyle name="40% - Accent5 5 3 5" xfId="4628" xr:uid="{00000000-0005-0000-0000-0000C6470000}"/>
    <cellStyle name="40% - Accent5 5 3 5 2" xfId="12987" xr:uid="{00000000-0005-0000-0000-0000C7470000}"/>
    <cellStyle name="40% - Accent5 5 3 5 2 2" xfId="26699" xr:uid="{00000000-0005-0000-0000-0000C8470000}"/>
    <cellStyle name="40% - Accent5 5 3 5 3" xfId="22831" xr:uid="{00000000-0005-0000-0000-0000C9470000}"/>
    <cellStyle name="40% - Accent5 5 3 6" xfId="4629" xr:uid="{00000000-0005-0000-0000-0000CA470000}"/>
    <cellStyle name="40% - Accent5 5 3 6 2" xfId="13686" xr:uid="{00000000-0005-0000-0000-0000CB470000}"/>
    <cellStyle name="40% - Accent5 5 3 6 2 2" xfId="27235" xr:uid="{00000000-0005-0000-0000-0000CC470000}"/>
    <cellStyle name="40% - Accent5 5 3 6 3" xfId="22830" xr:uid="{00000000-0005-0000-0000-0000CD470000}"/>
    <cellStyle name="40% - Accent5 5 3 7" xfId="4630" xr:uid="{00000000-0005-0000-0000-0000CE470000}"/>
    <cellStyle name="40% - Accent5 5 3 7 2" xfId="14267" xr:uid="{00000000-0005-0000-0000-0000CF470000}"/>
    <cellStyle name="40% - Accent5 5 3 7 2 2" xfId="27816" xr:uid="{00000000-0005-0000-0000-0000D0470000}"/>
    <cellStyle name="40% - Accent5 5 3 7 3" xfId="22829" xr:uid="{00000000-0005-0000-0000-0000D1470000}"/>
    <cellStyle name="40% - Accent5 5 3 8" xfId="4631" xr:uid="{00000000-0005-0000-0000-0000D2470000}"/>
    <cellStyle name="40% - Accent5 5 3 8 2" xfId="15439" xr:uid="{00000000-0005-0000-0000-0000D3470000}"/>
    <cellStyle name="40% - Accent5 5 3 8 2 2" xfId="28988" xr:uid="{00000000-0005-0000-0000-0000D4470000}"/>
    <cellStyle name="40% - Accent5 5 3 8 3" xfId="22828" xr:uid="{00000000-0005-0000-0000-0000D5470000}"/>
    <cellStyle name="40% - Accent5 5 3 9" xfId="4632" xr:uid="{00000000-0005-0000-0000-0000D6470000}"/>
    <cellStyle name="40% - Accent5 5 3 9 2" xfId="16153" xr:uid="{00000000-0005-0000-0000-0000D7470000}"/>
    <cellStyle name="40% - Accent5 5 3 9 2 2" xfId="29560" xr:uid="{00000000-0005-0000-0000-0000D8470000}"/>
    <cellStyle name="40% - Accent5 5 3 9 3" xfId="22827" xr:uid="{00000000-0005-0000-0000-0000D9470000}"/>
    <cellStyle name="40% - Accent5 5 4" xfId="4633" xr:uid="{00000000-0005-0000-0000-0000DA470000}"/>
    <cellStyle name="40% - Accent5 5 4 2" xfId="4634" xr:uid="{00000000-0005-0000-0000-0000DB470000}"/>
    <cellStyle name="40% - Accent5 5 4 2 2" xfId="11204" xr:uid="{00000000-0005-0000-0000-0000DC470000}"/>
    <cellStyle name="40% - Accent5 5 4 2 2 2" xfId="25146" xr:uid="{00000000-0005-0000-0000-0000DD470000}"/>
    <cellStyle name="40% - Accent5 5 4 2 3" xfId="29131" xr:uid="{00000000-0005-0000-0000-0000DE470000}"/>
    <cellStyle name="40% - Accent5 5 4 3" xfId="4635" xr:uid="{00000000-0005-0000-0000-0000DF470000}"/>
    <cellStyle name="40% - Accent5 5 4 3 2" xfId="12989" xr:uid="{00000000-0005-0000-0000-0000E0470000}"/>
    <cellStyle name="40% - Accent5 5 4 3 2 2" xfId="26701" xr:uid="{00000000-0005-0000-0000-0000E1470000}"/>
    <cellStyle name="40% - Accent5 5 4 3 3" xfId="22826" xr:uid="{00000000-0005-0000-0000-0000E2470000}"/>
    <cellStyle name="40% - Accent5 5 4 4" xfId="4636" xr:uid="{00000000-0005-0000-0000-0000E3470000}"/>
    <cellStyle name="40% - Accent5 5 4 4 2" xfId="15442" xr:uid="{00000000-0005-0000-0000-0000E4470000}"/>
    <cellStyle name="40% - Accent5 5 4 4 2 2" xfId="28991" xr:uid="{00000000-0005-0000-0000-0000E5470000}"/>
    <cellStyle name="40% - Accent5 5 4 4 3" xfId="22825" xr:uid="{00000000-0005-0000-0000-0000E6470000}"/>
    <cellStyle name="40% - Accent5 5 4 5" xfId="4637" xr:uid="{00000000-0005-0000-0000-0000E7470000}"/>
    <cellStyle name="40% - Accent5 5 4 5 2" xfId="16442" xr:uid="{00000000-0005-0000-0000-0000E8470000}"/>
    <cellStyle name="40% - Accent5 5 4 5 2 2" xfId="29849" xr:uid="{00000000-0005-0000-0000-0000E9470000}"/>
    <cellStyle name="40% - Accent5 5 4 5 3" xfId="22824" xr:uid="{00000000-0005-0000-0000-0000EA470000}"/>
    <cellStyle name="40% - Accent5 5 4 6" xfId="9477" xr:uid="{00000000-0005-0000-0000-0000EB470000}"/>
    <cellStyle name="40% - Accent5 5 4 6 2" xfId="23952" xr:uid="{00000000-0005-0000-0000-0000EC470000}"/>
    <cellStyle name="40% - Accent5 5 4 7" xfId="25440" xr:uid="{00000000-0005-0000-0000-0000ED470000}"/>
    <cellStyle name="40% - Accent5 5 5" xfId="4638" xr:uid="{00000000-0005-0000-0000-0000EE470000}"/>
    <cellStyle name="40% - Accent5 5 5 2" xfId="4639" xr:uid="{00000000-0005-0000-0000-0000EF470000}"/>
    <cellStyle name="40% - Accent5 5 5 2 2" xfId="15443" xr:uid="{00000000-0005-0000-0000-0000F0470000}"/>
    <cellStyle name="40% - Accent5 5 5 2 2 2" xfId="28992" xr:uid="{00000000-0005-0000-0000-0000F1470000}"/>
    <cellStyle name="40% - Accent5 5 5 2 3" xfId="22823" xr:uid="{00000000-0005-0000-0000-0000F2470000}"/>
    <cellStyle name="40% - Accent5 5 5 3" xfId="11197" xr:uid="{00000000-0005-0000-0000-0000F3470000}"/>
    <cellStyle name="40% - Accent5 5 5 3 2" xfId="25139" xr:uid="{00000000-0005-0000-0000-0000F4470000}"/>
    <cellStyle name="40% - Accent5 5 5 4" xfId="25253" xr:uid="{00000000-0005-0000-0000-0000F5470000}"/>
    <cellStyle name="40% - Accent5 5 6" xfId="4640" xr:uid="{00000000-0005-0000-0000-0000F6470000}"/>
    <cellStyle name="40% - Accent5 5 6 2" xfId="11793" xr:uid="{00000000-0005-0000-0000-0000F7470000}"/>
    <cellStyle name="40% - Accent5 5 6 2 2" xfId="25508" xr:uid="{00000000-0005-0000-0000-0000F8470000}"/>
    <cellStyle name="40% - Accent5 5 6 3" xfId="22822" xr:uid="{00000000-0005-0000-0000-0000F9470000}"/>
    <cellStyle name="40% - Accent5 5 7" xfId="4641" xr:uid="{00000000-0005-0000-0000-0000FA470000}"/>
    <cellStyle name="40% - Accent5 5 7 2" xfId="12982" xr:uid="{00000000-0005-0000-0000-0000FB470000}"/>
    <cellStyle name="40% - Accent5 5 7 2 2" xfId="26694" xr:uid="{00000000-0005-0000-0000-0000FC470000}"/>
    <cellStyle name="40% - Accent5 5 7 3" xfId="24221" xr:uid="{00000000-0005-0000-0000-0000FD470000}"/>
    <cellStyle name="40% - Accent5 5 8" xfId="4642" xr:uid="{00000000-0005-0000-0000-0000FE470000}"/>
    <cellStyle name="40% - Accent5 5 8 2" xfId="13394" xr:uid="{00000000-0005-0000-0000-0000FF470000}"/>
    <cellStyle name="40% - Accent5 5 8 2 2" xfId="26943" xr:uid="{00000000-0005-0000-0000-000000480000}"/>
    <cellStyle name="40% - Accent5 5 8 3" xfId="25252" xr:uid="{00000000-0005-0000-0000-000001480000}"/>
    <cellStyle name="40% - Accent5 5 9" xfId="4643" xr:uid="{00000000-0005-0000-0000-000002480000}"/>
    <cellStyle name="40% - Accent5 5 9 2" xfId="13975" xr:uid="{00000000-0005-0000-0000-000003480000}"/>
    <cellStyle name="40% - Accent5 5 9 2 2" xfId="27524" xr:uid="{00000000-0005-0000-0000-000004480000}"/>
    <cellStyle name="40% - Accent5 5 9 3" xfId="22821" xr:uid="{00000000-0005-0000-0000-000005480000}"/>
    <cellStyle name="40% - Accent5 6" xfId="4644" xr:uid="{00000000-0005-0000-0000-000006480000}"/>
    <cellStyle name="40% - Accent5 6 10" xfId="4645" xr:uid="{00000000-0005-0000-0000-000007480000}"/>
    <cellStyle name="40% - Accent5 6 10 2" xfId="15444" xr:uid="{00000000-0005-0000-0000-000008480000}"/>
    <cellStyle name="40% - Accent5 6 10 2 2" xfId="28993" xr:uid="{00000000-0005-0000-0000-000009480000}"/>
    <cellStyle name="40% - Accent5 6 10 3" xfId="24220" xr:uid="{00000000-0005-0000-0000-00000A480000}"/>
    <cellStyle name="40% - Accent5 6 11" xfId="4646" xr:uid="{00000000-0005-0000-0000-00000B480000}"/>
    <cellStyle name="40% - Accent5 6 11 2" xfId="15967" xr:uid="{00000000-0005-0000-0000-00000C480000}"/>
    <cellStyle name="40% - Accent5 6 11 2 2" xfId="29374" xr:uid="{00000000-0005-0000-0000-00000D480000}"/>
    <cellStyle name="40% - Accent5 6 11 3" xfId="25251" xr:uid="{00000000-0005-0000-0000-00000E480000}"/>
    <cellStyle name="40% - Accent5 6 12" xfId="9478" xr:uid="{00000000-0005-0000-0000-00000F480000}"/>
    <cellStyle name="40% - Accent5 6 12 2" xfId="23953" xr:uid="{00000000-0005-0000-0000-000010480000}"/>
    <cellStyle name="40% - Accent5 6 13" xfId="22820" xr:uid="{00000000-0005-0000-0000-000011480000}"/>
    <cellStyle name="40% - Accent5 6 2" xfId="4647" xr:uid="{00000000-0005-0000-0000-000012480000}"/>
    <cellStyle name="40% - Accent5 6 2 10" xfId="4648" xr:uid="{00000000-0005-0000-0000-000013480000}"/>
    <cellStyle name="40% - Accent5 6 2 10 2" xfId="16110" xr:uid="{00000000-0005-0000-0000-000014480000}"/>
    <cellStyle name="40% - Accent5 6 2 10 2 2" xfId="29517" xr:uid="{00000000-0005-0000-0000-000015480000}"/>
    <cellStyle name="40% - Accent5 6 2 10 3" xfId="22818" xr:uid="{00000000-0005-0000-0000-000016480000}"/>
    <cellStyle name="40% - Accent5 6 2 11" xfId="9479" xr:uid="{00000000-0005-0000-0000-000017480000}"/>
    <cellStyle name="40% - Accent5 6 2 11 2" xfId="23954" xr:uid="{00000000-0005-0000-0000-000018480000}"/>
    <cellStyle name="40% - Accent5 6 2 12" xfId="22819" xr:uid="{00000000-0005-0000-0000-000019480000}"/>
    <cellStyle name="40% - Accent5 6 2 2" xfId="4649" xr:uid="{00000000-0005-0000-0000-00001A480000}"/>
    <cellStyle name="40% - Accent5 6 2 2 10" xfId="9480" xr:uid="{00000000-0005-0000-0000-00001B480000}"/>
    <cellStyle name="40% - Accent5 6 2 2 10 2" xfId="23955" xr:uid="{00000000-0005-0000-0000-00001C480000}"/>
    <cellStyle name="40% - Accent5 6 2 2 11" xfId="24219" xr:uid="{00000000-0005-0000-0000-00001D480000}"/>
    <cellStyle name="40% - Accent5 6 2 2 2" xfId="4650" xr:uid="{00000000-0005-0000-0000-00001E480000}"/>
    <cellStyle name="40% - Accent5 6 2 2 2 2" xfId="4651" xr:uid="{00000000-0005-0000-0000-00001F480000}"/>
    <cellStyle name="40% - Accent5 6 2 2 2 2 2" xfId="11208" xr:uid="{00000000-0005-0000-0000-000020480000}"/>
    <cellStyle name="40% - Accent5 6 2 2 2 2 2 2" xfId="25150" xr:uid="{00000000-0005-0000-0000-000021480000}"/>
    <cellStyle name="40% - Accent5 6 2 2 2 2 3" xfId="22817" xr:uid="{00000000-0005-0000-0000-000022480000}"/>
    <cellStyle name="40% - Accent5 6 2 2 2 3" xfId="4652" xr:uid="{00000000-0005-0000-0000-000023480000}"/>
    <cellStyle name="40% - Accent5 6 2 2 2 3 2" xfId="12993" xr:uid="{00000000-0005-0000-0000-000024480000}"/>
    <cellStyle name="40% - Accent5 6 2 2 2 3 2 2" xfId="26705" xr:uid="{00000000-0005-0000-0000-000025480000}"/>
    <cellStyle name="40% - Accent5 6 2 2 2 3 3" xfId="22816" xr:uid="{00000000-0005-0000-0000-000026480000}"/>
    <cellStyle name="40% - Accent5 6 2 2 2 4" xfId="4653" xr:uid="{00000000-0005-0000-0000-000027480000}"/>
    <cellStyle name="40% - Accent5 6 2 2 2 4 2" xfId="15447" xr:uid="{00000000-0005-0000-0000-000028480000}"/>
    <cellStyle name="40% - Accent5 6 2 2 2 4 2 2" xfId="28996" xr:uid="{00000000-0005-0000-0000-000029480000}"/>
    <cellStyle name="40% - Accent5 6 2 2 2 4 3" xfId="24218" xr:uid="{00000000-0005-0000-0000-00002A480000}"/>
    <cellStyle name="40% - Accent5 6 2 2 2 5" xfId="4654" xr:uid="{00000000-0005-0000-0000-00002B480000}"/>
    <cellStyle name="40% - Accent5 6 2 2 2 5 2" xfId="16980" xr:uid="{00000000-0005-0000-0000-00002C480000}"/>
    <cellStyle name="40% - Accent5 6 2 2 2 5 2 2" xfId="30387" xr:uid="{00000000-0005-0000-0000-00002D480000}"/>
    <cellStyle name="40% - Accent5 6 2 2 2 5 3" xfId="25249" xr:uid="{00000000-0005-0000-0000-00002E480000}"/>
    <cellStyle name="40% - Accent5 6 2 2 2 6" xfId="9481" xr:uid="{00000000-0005-0000-0000-00002F480000}"/>
    <cellStyle name="40% - Accent5 6 2 2 2 6 2" xfId="23956" xr:uid="{00000000-0005-0000-0000-000030480000}"/>
    <cellStyle name="40% - Accent5 6 2 2 2 7" xfId="25250" xr:uid="{00000000-0005-0000-0000-000031480000}"/>
    <cellStyle name="40% - Accent5 6 2 2 3" xfId="4655" xr:uid="{00000000-0005-0000-0000-000032480000}"/>
    <cellStyle name="40% - Accent5 6 2 2 3 2" xfId="4656" xr:uid="{00000000-0005-0000-0000-000033480000}"/>
    <cellStyle name="40% - Accent5 6 2 2 3 2 2" xfId="15448" xr:uid="{00000000-0005-0000-0000-000034480000}"/>
    <cellStyle name="40% - Accent5 6 2 2 3 2 2 2" xfId="28997" xr:uid="{00000000-0005-0000-0000-000035480000}"/>
    <cellStyle name="40% - Accent5 6 2 2 3 2 3" xfId="22814" xr:uid="{00000000-0005-0000-0000-000036480000}"/>
    <cellStyle name="40% - Accent5 6 2 2 3 3" xfId="11207" xr:uid="{00000000-0005-0000-0000-000037480000}"/>
    <cellStyle name="40% - Accent5 6 2 2 3 3 2" xfId="25149" xr:uid="{00000000-0005-0000-0000-000038480000}"/>
    <cellStyle name="40% - Accent5 6 2 2 3 4" xfId="22815" xr:uid="{00000000-0005-0000-0000-000039480000}"/>
    <cellStyle name="40% - Accent5 6 2 2 4" xfId="4657" xr:uid="{00000000-0005-0000-0000-00003A480000}"/>
    <cellStyle name="40% - Accent5 6 2 2 4 2" xfId="12368" xr:uid="{00000000-0005-0000-0000-00003B480000}"/>
    <cellStyle name="40% - Accent5 6 2 2 4 2 2" xfId="26080" xr:uid="{00000000-0005-0000-0000-00003C480000}"/>
    <cellStyle name="40% - Accent5 6 2 2 4 3" xfId="24217" xr:uid="{00000000-0005-0000-0000-00003D480000}"/>
    <cellStyle name="40% - Accent5 6 2 2 5" xfId="4658" xr:uid="{00000000-0005-0000-0000-00003E480000}"/>
    <cellStyle name="40% - Accent5 6 2 2 5 2" xfId="12992" xr:uid="{00000000-0005-0000-0000-00003F480000}"/>
    <cellStyle name="40% - Accent5 6 2 2 5 2 2" xfId="26704" xr:uid="{00000000-0005-0000-0000-000040480000}"/>
    <cellStyle name="40% - Accent5 6 2 2 5 3" xfId="22813" xr:uid="{00000000-0005-0000-0000-000041480000}"/>
    <cellStyle name="40% - Accent5 6 2 2 6" xfId="4659" xr:uid="{00000000-0005-0000-0000-000042480000}"/>
    <cellStyle name="40% - Accent5 6 2 2 6 2" xfId="13932" xr:uid="{00000000-0005-0000-0000-000043480000}"/>
    <cellStyle name="40% - Accent5 6 2 2 6 2 2" xfId="27481" xr:uid="{00000000-0005-0000-0000-000044480000}"/>
    <cellStyle name="40% - Accent5 6 2 2 6 3" xfId="25248" xr:uid="{00000000-0005-0000-0000-000045480000}"/>
    <cellStyle name="40% - Accent5 6 2 2 7" xfId="4660" xr:uid="{00000000-0005-0000-0000-000046480000}"/>
    <cellStyle name="40% - Accent5 6 2 2 7 2" xfId="14513" xr:uid="{00000000-0005-0000-0000-000047480000}"/>
    <cellStyle name="40% - Accent5 6 2 2 7 2 2" xfId="28062" xr:uid="{00000000-0005-0000-0000-000048480000}"/>
    <cellStyle name="40% - Accent5 6 2 2 7 3" xfId="22812" xr:uid="{00000000-0005-0000-0000-000049480000}"/>
    <cellStyle name="40% - Accent5 6 2 2 8" xfId="4661" xr:uid="{00000000-0005-0000-0000-00004A480000}"/>
    <cellStyle name="40% - Accent5 6 2 2 8 2" xfId="15446" xr:uid="{00000000-0005-0000-0000-00004B480000}"/>
    <cellStyle name="40% - Accent5 6 2 2 8 2 2" xfId="28995" xr:uid="{00000000-0005-0000-0000-00004C480000}"/>
    <cellStyle name="40% - Accent5 6 2 2 8 3" xfId="22811" xr:uid="{00000000-0005-0000-0000-00004D480000}"/>
    <cellStyle name="40% - Accent5 6 2 2 9" xfId="4662" xr:uid="{00000000-0005-0000-0000-00004E480000}"/>
    <cellStyle name="40% - Accent5 6 2 2 9 2" xfId="16399" xr:uid="{00000000-0005-0000-0000-00004F480000}"/>
    <cellStyle name="40% - Accent5 6 2 2 9 2 2" xfId="29806" xr:uid="{00000000-0005-0000-0000-000050480000}"/>
    <cellStyle name="40% - Accent5 6 2 2 9 3" xfId="24215" xr:uid="{00000000-0005-0000-0000-000051480000}"/>
    <cellStyle name="40% - Accent5 6 2 3" xfId="4663" xr:uid="{00000000-0005-0000-0000-000052480000}"/>
    <cellStyle name="40% - Accent5 6 2 3 2" xfId="4664" xr:uid="{00000000-0005-0000-0000-000053480000}"/>
    <cellStyle name="40% - Accent5 6 2 3 2 2" xfId="11209" xr:uid="{00000000-0005-0000-0000-000054480000}"/>
    <cellStyle name="40% - Accent5 6 2 3 2 2 2" xfId="25151" xr:uid="{00000000-0005-0000-0000-000055480000}"/>
    <cellStyle name="40% - Accent5 6 2 3 2 3" xfId="25246" xr:uid="{00000000-0005-0000-0000-000056480000}"/>
    <cellStyle name="40% - Accent5 6 2 3 3" xfId="4665" xr:uid="{00000000-0005-0000-0000-000057480000}"/>
    <cellStyle name="40% - Accent5 6 2 3 3 2" xfId="12994" xr:uid="{00000000-0005-0000-0000-000058480000}"/>
    <cellStyle name="40% - Accent5 6 2 3 3 2 2" xfId="26706" xr:uid="{00000000-0005-0000-0000-000059480000}"/>
    <cellStyle name="40% - Accent5 6 2 3 3 3" xfId="22809" xr:uid="{00000000-0005-0000-0000-00005A480000}"/>
    <cellStyle name="40% - Accent5 6 2 3 4" xfId="4666" xr:uid="{00000000-0005-0000-0000-00005B480000}"/>
    <cellStyle name="40% - Accent5 6 2 3 4 2" xfId="15449" xr:uid="{00000000-0005-0000-0000-00005C480000}"/>
    <cellStyle name="40% - Accent5 6 2 3 4 2 2" xfId="28998" xr:uid="{00000000-0005-0000-0000-00005D480000}"/>
    <cellStyle name="40% - Accent5 6 2 3 4 3" xfId="24216" xr:uid="{00000000-0005-0000-0000-00005E480000}"/>
    <cellStyle name="40% - Accent5 6 2 3 5" xfId="4667" xr:uid="{00000000-0005-0000-0000-00005F480000}"/>
    <cellStyle name="40% - Accent5 6 2 3 5 2" xfId="16691" xr:uid="{00000000-0005-0000-0000-000060480000}"/>
    <cellStyle name="40% - Accent5 6 2 3 5 2 2" xfId="30098" xr:uid="{00000000-0005-0000-0000-000061480000}"/>
    <cellStyle name="40% - Accent5 6 2 3 5 3" xfId="25247" xr:uid="{00000000-0005-0000-0000-000062480000}"/>
    <cellStyle name="40% - Accent5 6 2 3 6" xfId="9482" xr:uid="{00000000-0005-0000-0000-000063480000}"/>
    <cellStyle name="40% - Accent5 6 2 3 6 2" xfId="23957" xr:uid="{00000000-0005-0000-0000-000064480000}"/>
    <cellStyle name="40% - Accent5 6 2 3 7" xfId="22810" xr:uid="{00000000-0005-0000-0000-000065480000}"/>
    <cellStyle name="40% - Accent5 6 2 4" xfId="4668" xr:uid="{00000000-0005-0000-0000-000066480000}"/>
    <cellStyle name="40% - Accent5 6 2 4 2" xfId="4669" xr:uid="{00000000-0005-0000-0000-000067480000}"/>
    <cellStyle name="40% - Accent5 6 2 4 2 2" xfId="15450" xr:uid="{00000000-0005-0000-0000-000068480000}"/>
    <cellStyle name="40% - Accent5 6 2 4 2 2 2" xfId="28999" xr:uid="{00000000-0005-0000-0000-000069480000}"/>
    <cellStyle name="40% - Accent5 6 2 4 2 3" xfId="22807" xr:uid="{00000000-0005-0000-0000-00006A480000}"/>
    <cellStyle name="40% - Accent5 6 2 4 3" xfId="11206" xr:uid="{00000000-0005-0000-0000-00006B480000}"/>
    <cellStyle name="40% - Accent5 6 2 4 3 2" xfId="25148" xr:uid="{00000000-0005-0000-0000-00006C480000}"/>
    <cellStyle name="40% - Accent5 6 2 4 4" xfId="22808" xr:uid="{00000000-0005-0000-0000-00006D480000}"/>
    <cellStyle name="40% - Accent5 6 2 5" xfId="4670" xr:uid="{00000000-0005-0000-0000-00006E480000}"/>
    <cellStyle name="40% - Accent5 6 2 5 2" xfId="12068" xr:uid="{00000000-0005-0000-0000-00006F480000}"/>
    <cellStyle name="40% - Accent5 6 2 5 2 2" xfId="25783" xr:uid="{00000000-0005-0000-0000-000070480000}"/>
    <cellStyle name="40% - Accent5 6 2 5 3" xfId="22806" xr:uid="{00000000-0005-0000-0000-000071480000}"/>
    <cellStyle name="40% - Accent5 6 2 6" xfId="4671" xr:uid="{00000000-0005-0000-0000-000072480000}"/>
    <cellStyle name="40% - Accent5 6 2 6 2" xfId="12991" xr:uid="{00000000-0005-0000-0000-000073480000}"/>
    <cellStyle name="40% - Accent5 6 2 6 2 2" xfId="26703" xr:uid="{00000000-0005-0000-0000-000074480000}"/>
    <cellStyle name="40% - Accent5 6 2 6 3" xfId="24214" xr:uid="{00000000-0005-0000-0000-000075480000}"/>
    <cellStyle name="40% - Accent5 6 2 7" xfId="4672" xr:uid="{00000000-0005-0000-0000-000076480000}"/>
    <cellStyle name="40% - Accent5 6 2 7 2" xfId="13643" xr:uid="{00000000-0005-0000-0000-000077480000}"/>
    <cellStyle name="40% - Accent5 6 2 7 2 2" xfId="27192" xr:uid="{00000000-0005-0000-0000-000078480000}"/>
    <cellStyle name="40% - Accent5 6 2 7 3" xfId="22805" xr:uid="{00000000-0005-0000-0000-000079480000}"/>
    <cellStyle name="40% - Accent5 6 2 8" xfId="4673" xr:uid="{00000000-0005-0000-0000-00007A480000}"/>
    <cellStyle name="40% - Accent5 6 2 8 2" xfId="14224" xr:uid="{00000000-0005-0000-0000-00007B480000}"/>
    <cellStyle name="40% - Accent5 6 2 8 2 2" xfId="27773" xr:uid="{00000000-0005-0000-0000-00007C480000}"/>
    <cellStyle name="40% - Accent5 6 2 8 3" xfId="22804" xr:uid="{00000000-0005-0000-0000-00007D480000}"/>
    <cellStyle name="40% - Accent5 6 2 9" xfId="4674" xr:uid="{00000000-0005-0000-0000-00007E480000}"/>
    <cellStyle name="40% - Accent5 6 2 9 2" xfId="15445" xr:uid="{00000000-0005-0000-0000-00007F480000}"/>
    <cellStyle name="40% - Accent5 6 2 9 2 2" xfId="28994" xr:uid="{00000000-0005-0000-0000-000080480000}"/>
    <cellStyle name="40% - Accent5 6 2 9 3" xfId="24213" xr:uid="{00000000-0005-0000-0000-000081480000}"/>
    <cellStyle name="40% - Accent5 6 3" xfId="4675" xr:uid="{00000000-0005-0000-0000-000082480000}"/>
    <cellStyle name="40% - Accent5 6 3 10" xfId="9483" xr:uid="{00000000-0005-0000-0000-000083480000}"/>
    <cellStyle name="40% - Accent5 6 3 10 2" xfId="23958" xr:uid="{00000000-0005-0000-0000-000084480000}"/>
    <cellStyle name="40% - Accent5 6 3 11" xfId="22803" xr:uid="{00000000-0005-0000-0000-000085480000}"/>
    <cellStyle name="40% - Accent5 6 3 2" xfId="4676" xr:uid="{00000000-0005-0000-0000-000086480000}"/>
    <cellStyle name="40% - Accent5 6 3 2 2" xfId="4677" xr:uid="{00000000-0005-0000-0000-000087480000}"/>
    <cellStyle name="40% - Accent5 6 3 2 2 2" xfId="11211" xr:uid="{00000000-0005-0000-0000-000088480000}"/>
    <cellStyle name="40% - Accent5 6 3 2 2 2 2" xfId="25153" xr:uid="{00000000-0005-0000-0000-000089480000}"/>
    <cellStyle name="40% - Accent5 6 3 2 2 3" xfId="26824" xr:uid="{00000000-0005-0000-0000-00008A480000}"/>
    <cellStyle name="40% - Accent5 6 3 2 3" xfId="4678" xr:uid="{00000000-0005-0000-0000-00008B480000}"/>
    <cellStyle name="40% - Accent5 6 3 2 3 2" xfId="12996" xr:uid="{00000000-0005-0000-0000-00008C480000}"/>
    <cellStyle name="40% - Accent5 6 3 2 3 2 2" xfId="26708" xr:uid="{00000000-0005-0000-0000-00008D480000}"/>
    <cellStyle name="40% - Accent5 6 3 2 3 3" xfId="22801" xr:uid="{00000000-0005-0000-0000-00008E480000}"/>
    <cellStyle name="40% - Accent5 6 3 2 4" xfId="4679" xr:uid="{00000000-0005-0000-0000-00008F480000}"/>
    <cellStyle name="40% - Accent5 6 3 2 4 2" xfId="15452" xr:uid="{00000000-0005-0000-0000-000090480000}"/>
    <cellStyle name="40% - Accent5 6 3 2 4 2 2" xfId="29001" xr:uid="{00000000-0005-0000-0000-000091480000}"/>
    <cellStyle name="40% - Accent5 6 3 2 4 3" xfId="22800" xr:uid="{00000000-0005-0000-0000-000092480000}"/>
    <cellStyle name="40% - Accent5 6 3 2 5" xfId="4680" xr:uid="{00000000-0005-0000-0000-000093480000}"/>
    <cellStyle name="40% - Accent5 6 3 2 5 2" xfId="16837" xr:uid="{00000000-0005-0000-0000-000094480000}"/>
    <cellStyle name="40% - Accent5 6 3 2 5 2 2" xfId="30244" xr:uid="{00000000-0005-0000-0000-000095480000}"/>
    <cellStyle name="40% - Accent5 6 3 2 5 3" xfId="24212" xr:uid="{00000000-0005-0000-0000-000096480000}"/>
    <cellStyle name="40% - Accent5 6 3 2 6" xfId="9484" xr:uid="{00000000-0005-0000-0000-000097480000}"/>
    <cellStyle name="40% - Accent5 6 3 2 6 2" xfId="23959" xr:uid="{00000000-0005-0000-0000-000098480000}"/>
    <cellStyle name="40% - Accent5 6 3 2 7" xfId="22802" xr:uid="{00000000-0005-0000-0000-000099480000}"/>
    <cellStyle name="40% - Accent5 6 3 3" xfId="4681" xr:uid="{00000000-0005-0000-0000-00009A480000}"/>
    <cellStyle name="40% - Accent5 6 3 3 2" xfId="4682" xr:uid="{00000000-0005-0000-0000-00009B480000}"/>
    <cellStyle name="40% - Accent5 6 3 3 2 2" xfId="15453" xr:uid="{00000000-0005-0000-0000-00009C480000}"/>
    <cellStyle name="40% - Accent5 6 3 3 2 2 2" xfId="29002" xr:uid="{00000000-0005-0000-0000-00009D480000}"/>
    <cellStyle name="40% - Accent5 6 3 3 2 3" xfId="26822" xr:uid="{00000000-0005-0000-0000-00009E480000}"/>
    <cellStyle name="40% - Accent5 6 3 3 3" xfId="11210" xr:uid="{00000000-0005-0000-0000-00009F480000}"/>
    <cellStyle name="40% - Accent5 6 3 3 3 2" xfId="25152" xr:uid="{00000000-0005-0000-0000-0000A0480000}"/>
    <cellStyle name="40% - Accent5 6 3 3 4" xfId="22799" xr:uid="{00000000-0005-0000-0000-0000A1480000}"/>
    <cellStyle name="40% - Accent5 6 3 4" xfId="4683" xr:uid="{00000000-0005-0000-0000-0000A2480000}"/>
    <cellStyle name="40% - Accent5 6 3 4 2" xfId="12225" xr:uid="{00000000-0005-0000-0000-0000A3480000}"/>
    <cellStyle name="40% - Accent5 6 3 4 2 2" xfId="25937" xr:uid="{00000000-0005-0000-0000-0000A4480000}"/>
    <cellStyle name="40% - Accent5 6 3 4 3" xfId="22798" xr:uid="{00000000-0005-0000-0000-0000A5480000}"/>
    <cellStyle name="40% - Accent5 6 3 5" xfId="4684" xr:uid="{00000000-0005-0000-0000-0000A6480000}"/>
    <cellStyle name="40% - Accent5 6 3 5 2" xfId="12995" xr:uid="{00000000-0005-0000-0000-0000A7480000}"/>
    <cellStyle name="40% - Accent5 6 3 5 2 2" xfId="26707" xr:uid="{00000000-0005-0000-0000-0000A8480000}"/>
    <cellStyle name="40% - Accent5 6 3 5 3" xfId="22797" xr:uid="{00000000-0005-0000-0000-0000A9480000}"/>
    <cellStyle name="40% - Accent5 6 3 6" xfId="4685" xr:uid="{00000000-0005-0000-0000-0000AA480000}"/>
    <cellStyle name="40% - Accent5 6 3 6 2" xfId="13789" xr:uid="{00000000-0005-0000-0000-0000AB480000}"/>
    <cellStyle name="40% - Accent5 6 3 6 2 2" xfId="27338" xr:uid="{00000000-0005-0000-0000-0000AC480000}"/>
    <cellStyle name="40% - Accent5 6 3 6 3" xfId="24211" xr:uid="{00000000-0005-0000-0000-0000AD480000}"/>
    <cellStyle name="40% - Accent5 6 3 7" xfId="4686" xr:uid="{00000000-0005-0000-0000-0000AE480000}"/>
    <cellStyle name="40% - Accent5 6 3 7 2" xfId="14370" xr:uid="{00000000-0005-0000-0000-0000AF480000}"/>
    <cellStyle name="40% - Accent5 6 3 7 2 2" xfId="27919" xr:uid="{00000000-0005-0000-0000-0000B0480000}"/>
    <cellStyle name="40% - Accent5 6 3 7 3" xfId="22796" xr:uid="{00000000-0005-0000-0000-0000B1480000}"/>
    <cellStyle name="40% - Accent5 6 3 8" xfId="4687" xr:uid="{00000000-0005-0000-0000-0000B2480000}"/>
    <cellStyle name="40% - Accent5 6 3 8 2" xfId="15451" xr:uid="{00000000-0005-0000-0000-0000B3480000}"/>
    <cellStyle name="40% - Accent5 6 3 8 2 2" xfId="29000" xr:uid="{00000000-0005-0000-0000-0000B4480000}"/>
    <cellStyle name="40% - Accent5 6 3 8 3" xfId="22795" xr:uid="{00000000-0005-0000-0000-0000B5480000}"/>
    <cellStyle name="40% - Accent5 6 3 9" xfId="4688" xr:uid="{00000000-0005-0000-0000-0000B6480000}"/>
    <cellStyle name="40% - Accent5 6 3 9 2" xfId="16256" xr:uid="{00000000-0005-0000-0000-0000B7480000}"/>
    <cellStyle name="40% - Accent5 6 3 9 2 2" xfId="29663" xr:uid="{00000000-0005-0000-0000-0000B8480000}"/>
    <cellStyle name="40% - Accent5 6 3 9 3" xfId="23192" xr:uid="{00000000-0005-0000-0000-0000B9480000}"/>
    <cellStyle name="40% - Accent5 6 4" xfId="4689" xr:uid="{00000000-0005-0000-0000-0000BA480000}"/>
    <cellStyle name="40% - Accent5 6 4 2" xfId="4690" xr:uid="{00000000-0005-0000-0000-0000BB480000}"/>
    <cellStyle name="40% - Accent5 6 4 2 2" xfId="11212" xr:uid="{00000000-0005-0000-0000-0000BC480000}"/>
    <cellStyle name="40% - Accent5 6 4 2 2 2" xfId="25154" xr:uid="{00000000-0005-0000-0000-0000BD480000}"/>
    <cellStyle name="40% - Accent5 6 4 2 3" xfId="30675" xr:uid="{00000000-0005-0000-0000-0000BE480000}"/>
    <cellStyle name="40% - Accent5 6 4 3" xfId="4691" xr:uid="{00000000-0005-0000-0000-0000BF480000}"/>
    <cellStyle name="40% - Accent5 6 4 3 2" xfId="12997" xr:uid="{00000000-0005-0000-0000-0000C0480000}"/>
    <cellStyle name="40% - Accent5 6 4 3 2 2" xfId="26709" xr:uid="{00000000-0005-0000-0000-0000C1480000}"/>
    <cellStyle name="40% - Accent5 6 4 3 3" xfId="22794" xr:uid="{00000000-0005-0000-0000-0000C2480000}"/>
    <cellStyle name="40% - Accent5 6 4 4" xfId="4692" xr:uid="{00000000-0005-0000-0000-0000C3480000}"/>
    <cellStyle name="40% - Accent5 6 4 4 2" xfId="15454" xr:uid="{00000000-0005-0000-0000-0000C4480000}"/>
    <cellStyle name="40% - Accent5 6 4 4 2 2" xfId="29003" xr:uid="{00000000-0005-0000-0000-0000C5480000}"/>
    <cellStyle name="40% - Accent5 6 4 4 3" xfId="26821" xr:uid="{00000000-0005-0000-0000-0000C6480000}"/>
    <cellStyle name="40% - Accent5 6 4 5" xfId="4693" xr:uid="{00000000-0005-0000-0000-0000C7480000}"/>
    <cellStyle name="40% - Accent5 6 4 5 2" xfId="16548" xr:uid="{00000000-0005-0000-0000-0000C8480000}"/>
    <cellStyle name="40% - Accent5 6 4 5 2 2" xfId="29955" xr:uid="{00000000-0005-0000-0000-0000C9480000}"/>
    <cellStyle name="40% - Accent5 6 4 5 3" xfId="22793" xr:uid="{00000000-0005-0000-0000-0000CA480000}"/>
    <cellStyle name="40% - Accent5 6 4 6" xfId="9485" xr:uid="{00000000-0005-0000-0000-0000CB480000}"/>
    <cellStyle name="40% - Accent5 6 4 6 2" xfId="23960" xr:uid="{00000000-0005-0000-0000-0000CC480000}"/>
    <cellStyle name="40% - Accent5 6 4 7" xfId="23226" xr:uid="{00000000-0005-0000-0000-0000CD480000}"/>
    <cellStyle name="40% - Accent5 6 5" xfId="4694" xr:uid="{00000000-0005-0000-0000-0000CE480000}"/>
    <cellStyle name="40% - Accent5 6 5 2" xfId="4695" xr:uid="{00000000-0005-0000-0000-0000CF480000}"/>
    <cellStyle name="40% - Accent5 6 5 2 2" xfId="15455" xr:uid="{00000000-0005-0000-0000-0000D0480000}"/>
    <cellStyle name="40% - Accent5 6 5 2 2 2" xfId="29004" xr:uid="{00000000-0005-0000-0000-0000D1480000}"/>
    <cellStyle name="40% - Accent5 6 5 2 3" xfId="23197" xr:uid="{00000000-0005-0000-0000-0000D2480000}"/>
    <cellStyle name="40% - Accent5 6 5 3" xfId="11205" xr:uid="{00000000-0005-0000-0000-0000D3480000}"/>
    <cellStyle name="40% - Accent5 6 5 3 2" xfId="25147" xr:uid="{00000000-0005-0000-0000-0000D4480000}"/>
    <cellStyle name="40% - Accent5 6 5 4" xfId="22792" xr:uid="{00000000-0005-0000-0000-0000D5480000}"/>
    <cellStyle name="40% - Accent5 6 6" xfId="4696" xr:uid="{00000000-0005-0000-0000-0000D6480000}"/>
    <cellStyle name="40% - Accent5 6 6 2" xfId="11923" xr:uid="{00000000-0005-0000-0000-0000D7480000}"/>
    <cellStyle name="40% - Accent5 6 6 2 2" xfId="25638" xr:uid="{00000000-0005-0000-0000-0000D8480000}"/>
    <cellStyle name="40% - Accent5 6 6 3" xfId="26820" xr:uid="{00000000-0005-0000-0000-0000D9480000}"/>
    <cellStyle name="40% - Accent5 6 7" xfId="4697" xr:uid="{00000000-0005-0000-0000-0000DA480000}"/>
    <cellStyle name="40% - Accent5 6 7 2" xfId="12990" xr:uid="{00000000-0005-0000-0000-0000DB480000}"/>
    <cellStyle name="40% - Accent5 6 7 2 2" xfId="26702" xr:uid="{00000000-0005-0000-0000-0000DC480000}"/>
    <cellStyle name="40% - Accent5 6 7 3" xfId="22791" xr:uid="{00000000-0005-0000-0000-0000DD480000}"/>
    <cellStyle name="40% - Accent5 6 8" xfId="4698" xr:uid="{00000000-0005-0000-0000-0000DE480000}"/>
    <cellStyle name="40% - Accent5 6 8 2" xfId="13500" xr:uid="{00000000-0005-0000-0000-0000DF480000}"/>
    <cellStyle name="40% - Accent5 6 8 2 2" xfId="27049" xr:uid="{00000000-0005-0000-0000-0000E0480000}"/>
    <cellStyle name="40% - Accent5 6 8 3" xfId="24209" xr:uid="{00000000-0005-0000-0000-0000E1480000}"/>
    <cellStyle name="40% - Accent5 6 9" xfId="4699" xr:uid="{00000000-0005-0000-0000-0000E2480000}"/>
    <cellStyle name="40% - Accent5 6 9 2" xfId="14081" xr:uid="{00000000-0005-0000-0000-0000E3480000}"/>
    <cellStyle name="40% - Accent5 6 9 2 2" xfId="27630" xr:uid="{00000000-0005-0000-0000-0000E4480000}"/>
    <cellStyle name="40% - Accent5 6 9 3" xfId="22790" xr:uid="{00000000-0005-0000-0000-0000E5480000}"/>
    <cellStyle name="40% - Accent5 7" xfId="4700" xr:uid="{00000000-0005-0000-0000-0000E6480000}"/>
    <cellStyle name="40% - Accent5 7 10" xfId="4701" xr:uid="{00000000-0005-0000-0000-0000E7480000}"/>
    <cellStyle name="40% - Accent5 7 10 2" xfId="15986" xr:uid="{00000000-0005-0000-0000-0000E8480000}"/>
    <cellStyle name="40% - Accent5 7 10 2 2" xfId="29393" xr:uid="{00000000-0005-0000-0000-0000E9480000}"/>
    <cellStyle name="40% - Accent5 7 10 3" xfId="23219" xr:uid="{00000000-0005-0000-0000-0000EA480000}"/>
    <cellStyle name="40% - Accent5 7 11" xfId="9486" xr:uid="{00000000-0005-0000-0000-0000EB480000}"/>
    <cellStyle name="40% - Accent5 7 11 2" xfId="23961" xr:uid="{00000000-0005-0000-0000-0000EC480000}"/>
    <cellStyle name="40% - Accent5 7 12" xfId="22789" xr:uid="{00000000-0005-0000-0000-0000ED480000}"/>
    <cellStyle name="40% - Accent5 7 2" xfId="4702" xr:uid="{00000000-0005-0000-0000-0000EE480000}"/>
    <cellStyle name="40% - Accent5 7 2 10" xfId="9487" xr:uid="{00000000-0005-0000-0000-0000EF480000}"/>
    <cellStyle name="40% - Accent5 7 2 10 2" xfId="23962" xr:uid="{00000000-0005-0000-0000-0000F0480000}"/>
    <cellStyle name="40% - Accent5 7 2 11" xfId="24208" xr:uid="{00000000-0005-0000-0000-0000F1480000}"/>
    <cellStyle name="40% - Accent5 7 2 2" xfId="4703" xr:uid="{00000000-0005-0000-0000-0000F2480000}"/>
    <cellStyle name="40% - Accent5 7 2 2 2" xfId="4704" xr:uid="{00000000-0005-0000-0000-0000F3480000}"/>
    <cellStyle name="40% - Accent5 7 2 2 2 2" xfId="11215" xr:uid="{00000000-0005-0000-0000-0000F4480000}"/>
    <cellStyle name="40% - Accent5 7 2 2 2 2 2" xfId="25157" xr:uid="{00000000-0005-0000-0000-0000F5480000}"/>
    <cellStyle name="40% - Accent5 7 2 2 2 3" xfId="24207" xr:uid="{00000000-0005-0000-0000-0000F6480000}"/>
    <cellStyle name="40% - Accent5 7 2 2 3" xfId="4705" xr:uid="{00000000-0005-0000-0000-0000F7480000}"/>
    <cellStyle name="40% - Accent5 7 2 2 3 2" xfId="13000" xr:uid="{00000000-0005-0000-0000-0000F8480000}"/>
    <cellStyle name="40% - Accent5 7 2 2 3 2 2" xfId="26712" xr:uid="{00000000-0005-0000-0000-0000F9480000}"/>
    <cellStyle name="40% - Accent5 7 2 2 3 3" xfId="22787" xr:uid="{00000000-0005-0000-0000-0000FA480000}"/>
    <cellStyle name="40% - Accent5 7 2 2 4" xfId="4706" xr:uid="{00000000-0005-0000-0000-0000FB480000}"/>
    <cellStyle name="40% - Accent5 7 2 2 4 2" xfId="15458" xr:uid="{00000000-0005-0000-0000-0000FC480000}"/>
    <cellStyle name="40% - Accent5 7 2 2 4 2 2" xfId="29007" xr:uid="{00000000-0005-0000-0000-0000FD480000}"/>
    <cellStyle name="40% - Accent5 7 2 2 4 3" xfId="22786" xr:uid="{00000000-0005-0000-0000-0000FE480000}"/>
    <cellStyle name="40% - Accent5 7 2 2 5" xfId="4707" xr:uid="{00000000-0005-0000-0000-0000FF480000}"/>
    <cellStyle name="40% - Accent5 7 2 2 5 2" xfId="16856" xr:uid="{00000000-0005-0000-0000-000000490000}"/>
    <cellStyle name="40% - Accent5 7 2 2 5 2 2" xfId="30263" xr:uid="{00000000-0005-0000-0000-000001490000}"/>
    <cellStyle name="40% - Accent5 7 2 2 5 3" xfId="22785" xr:uid="{00000000-0005-0000-0000-000002490000}"/>
    <cellStyle name="40% - Accent5 7 2 2 6" xfId="9488" xr:uid="{00000000-0005-0000-0000-000003490000}"/>
    <cellStyle name="40% - Accent5 7 2 2 6 2" xfId="23963" xr:uid="{00000000-0005-0000-0000-000004490000}"/>
    <cellStyle name="40% - Accent5 7 2 2 7" xfId="22788" xr:uid="{00000000-0005-0000-0000-000005490000}"/>
    <cellStyle name="40% - Accent5 7 2 3" xfId="4708" xr:uid="{00000000-0005-0000-0000-000006490000}"/>
    <cellStyle name="40% - Accent5 7 2 3 2" xfId="4709" xr:uid="{00000000-0005-0000-0000-000007490000}"/>
    <cellStyle name="40% - Accent5 7 2 3 2 2" xfId="15459" xr:uid="{00000000-0005-0000-0000-000008490000}"/>
    <cellStyle name="40% - Accent5 7 2 3 2 2 2" xfId="29008" xr:uid="{00000000-0005-0000-0000-000009490000}"/>
    <cellStyle name="40% - Accent5 7 2 3 2 3" xfId="26819" xr:uid="{00000000-0005-0000-0000-00000A490000}"/>
    <cellStyle name="40% - Accent5 7 2 3 3" xfId="11214" xr:uid="{00000000-0005-0000-0000-00000B490000}"/>
    <cellStyle name="40% - Accent5 7 2 3 3 2" xfId="25156" xr:uid="{00000000-0005-0000-0000-00000C490000}"/>
    <cellStyle name="40% - Accent5 7 2 3 4" xfId="24452" xr:uid="{00000000-0005-0000-0000-00000D490000}"/>
    <cellStyle name="40% - Accent5 7 2 4" xfId="4710" xr:uid="{00000000-0005-0000-0000-00000E490000}"/>
    <cellStyle name="40% - Accent5 7 2 4 2" xfId="12244" xr:uid="{00000000-0005-0000-0000-00000F490000}"/>
    <cellStyle name="40% - Accent5 7 2 4 2 2" xfId="25956" xr:uid="{00000000-0005-0000-0000-000010490000}"/>
    <cellStyle name="40% - Accent5 7 2 4 3" xfId="22784" xr:uid="{00000000-0005-0000-0000-000011490000}"/>
    <cellStyle name="40% - Accent5 7 2 5" xfId="4711" xr:uid="{00000000-0005-0000-0000-000012490000}"/>
    <cellStyle name="40% - Accent5 7 2 5 2" xfId="12999" xr:uid="{00000000-0005-0000-0000-000013490000}"/>
    <cellStyle name="40% - Accent5 7 2 5 2 2" xfId="26711" xr:uid="{00000000-0005-0000-0000-000014490000}"/>
    <cellStyle name="40% - Accent5 7 2 5 3" xfId="22783" xr:uid="{00000000-0005-0000-0000-000015490000}"/>
    <cellStyle name="40% - Accent5 7 2 6" xfId="4712" xr:uid="{00000000-0005-0000-0000-000016490000}"/>
    <cellStyle name="40% - Accent5 7 2 6 2" xfId="13808" xr:uid="{00000000-0005-0000-0000-000017490000}"/>
    <cellStyle name="40% - Accent5 7 2 6 2 2" xfId="27357" xr:uid="{00000000-0005-0000-0000-000018490000}"/>
    <cellStyle name="40% - Accent5 7 2 6 3" xfId="23231" xr:uid="{00000000-0005-0000-0000-000019490000}"/>
    <cellStyle name="40% - Accent5 7 2 7" xfId="4713" xr:uid="{00000000-0005-0000-0000-00001A490000}"/>
    <cellStyle name="40% - Accent5 7 2 7 2" xfId="14389" xr:uid="{00000000-0005-0000-0000-00001B490000}"/>
    <cellStyle name="40% - Accent5 7 2 7 2 2" xfId="27938" xr:uid="{00000000-0005-0000-0000-00001C490000}"/>
    <cellStyle name="40% - Accent5 7 2 7 3" xfId="23280" xr:uid="{00000000-0005-0000-0000-00001D490000}"/>
    <cellStyle name="40% - Accent5 7 2 8" xfId="4714" xr:uid="{00000000-0005-0000-0000-00001E490000}"/>
    <cellStyle name="40% - Accent5 7 2 8 2" xfId="15457" xr:uid="{00000000-0005-0000-0000-00001F490000}"/>
    <cellStyle name="40% - Accent5 7 2 8 2 2" xfId="29006" xr:uid="{00000000-0005-0000-0000-000020490000}"/>
    <cellStyle name="40% - Accent5 7 2 8 3" xfId="22782" xr:uid="{00000000-0005-0000-0000-000021490000}"/>
    <cellStyle name="40% - Accent5 7 2 9" xfId="4715" xr:uid="{00000000-0005-0000-0000-000022490000}"/>
    <cellStyle name="40% - Accent5 7 2 9 2" xfId="16275" xr:uid="{00000000-0005-0000-0000-000023490000}"/>
    <cellStyle name="40% - Accent5 7 2 9 2 2" xfId="29682" xr:uid="{00000000-0005-0000-0000-000024490000}"/>
    <cellStyle name="40% - Accent5 7 2 9 3" xfId="24206" xr:uid="{00000000-0005-0000-0000-000025490000}"/>
    <cellStyle name="40% - Accent5 7 3" xfId="4716" xr:uid="{00000000-0005-0000-0000-000026490000}"/>
    <cellStyle name="40% - Accent5 7 3 2" xfId="4717" xr:uid="{00000000-0005-0000-0000-000027490000}"/>
    <cellStyle name="40% - Accent5 7 3 2 2" xfId="11216" xr:uid="{00000000-0005-0000-0000-000028490000}"/>
    <cellStyle name="40% - Accent5 7 3 2 2 2" xfId="25158" xr:uid="{00000000-0005-0000-0000-000029490000}"/>
    <cellStyle name="40% - Accent5 7 3 2 3" xfId="24205" xr:uid="{00000000-0005-0000-0000-00002A490000}"/>
    <cellStyle name="40% - Accent5 7 3 3" xfId="4718" xr:uid="{00000000-0005-0000-0000-00002B490000}"/>
    <cellStyle name="40% - Accent5 7 3 3 2" xfId="13001" xr:uid="{00000000-0005-0000-0000-00002C490000}"/>
    <cellStyle name="40% - Accent5 7 3 3 2 2" xfId="26713" xr:uid="{00000000-0005-0000-0000-00002D490000}"/>
    <cellStyle name="40% - Accent5 7 3 3 3" xfId="22780" xr:uid="{00000000-0005-0000-0000-00002E490000}"/>
    <cellStyle name="40% - Accent5 7 3 4" xfId="4719" xr:uid="{00000000-0005-0000-0000-00002F490000}"/>
    <cellStyle name="40% - Accent5 7 3 4 2" xfId="15460" xr:uid="{00000000-0005-0000-0000-000030490000}"/>
    <cellStyle name="40% - Accent5 7 3 4 2 2" xfId="29009" xr:uid="{00000000-0005-0000-0000-000031490000}"/>
    <cellStyle name="40% - Accent5 7 3 4 3" xfId="24204" xr:uid="{00000000-0005-0000-0000-000032490000}"/>
    <cellStyle name="40% - Accent5 7 3 5" xfId="4720" xr:uid="{00000000-0005-0000-0000-000033490000}"/>
    <cellStyle name="40% - Accent5 7 3 5 2" xfId="16567" xr:uid="{00000000-0005-0000-0000-000034490000}"/>
    <cellStyle name="40% - Accent5 7 3 5 2 2" xfId="29974" xr:uid="{00000000-0005-0000-0000-000035490000}"/>
    <cellStyle name="40% - Accent5 7 3 5 3" xfId="22779" xr:uid="{00000000-0005-0000-0000-000036490000}"/>
    <cellStyle name="40% - Accent5 7 3 6" xfId="9489" xr:uid="{00000000-0005-0000-0000-000037490000}"/>
    <cellStyle name="40% - Accent5 7 3 6 2" xfId="23964" xr:uid="{00000000-0005-0000-0000-000038490000}"/>
    <cellStyle name="40% - Accent5 7 3 7" xfId="22781" xr:uid="{00000000-0005-0000-0000-000039490000}"/>
    <cellStyle name="40% - Accent5 7 4" xfId="4721" xr:uid="{00000000-0005-0000-0000-00003A490000}"/>
    <cellStyle name="40% - Accent5 7 4 2" xfId="4722" xr:uid="{00000000-0005-0000-0000-00003B490000}"/>
    <cellStyle name="40% - Accent5 7 4 2 2" xfId="15461" xr:uid="{00000000-0005-0000-0000-00003C490000}"/>
    <cellStyle name="40% - Accent5 7 4 2 2 2" xfId="29010" xr:uid="{00000000-0005-0000-0000-00003D490000}"/>
    <cellStyle name="40% - Accent5 7 4 2 3" xfId="22778" xr:uid="{00000000-0005-0000-0000-00003E490000}"/>
    <cellStyle name="40% - Accent5 7 4 3" xfId="11213" xr:uid="{00000000-0005-0000-0000-00003F490000}"/>
    <cellStyle name="40% - Accent5 7 4 3 2" xfId="25155" xr:uid="{00000000-0005-0000-0000-000040490000}"/>
    <cellStyle name="40% - Accent5 7 4 4" xfId="24203" xr:uid="{00000000-0005-0000-0000-000041490000}"/>
    <cellStyle name="40% - Accent5 7 5" xfId="4723" xr:uid="{00000000-0005-0000-0000-000042490000}"/>
    <cellStyle name="40% - Accent5 7 5 2" xfId="11942" xr:uid="{00000000-0005-0000-0000-000043490000}"/>
    <cellStyle name="40% - Accent5 7 5 2 2" xfId="25657" xr:uid="{00000000-0005-0000-0000-000044490000}"/>
    <cellStyle name="40% - Accent5 7 5 3" xfId="24201" xr:uid="{00000000-0005-0000-0000-000045490000}"/>
    <cellStyle name="40% - Accent5 7 6" xfId="4724" xr:uid="{00000000-0005-0000-0000-000046490000}"/>
    <cellStyle name="40% - Accent5 7 6 2" xfId="12998" xr:uid="{00000000-0005-0000-0000-000047490000}"/>
    <cellStyle name="40% - Accent5 7 6 2 2" xfId="26710" xr:uid="{00000000-0005-0000-0000-000048490000}"/>
    <cellStyle name="40% - Accent5 7 6 3" xfId="24202" xr:uid="{00000000-0005-0000-0000-000049490000}"/>
    <cellStyle name="40% - Accent5 7 7" xfId="4725" xr:uid="{00000000-0005-0000-0000-00004A490000}"/>
    <cellStyle name="40% - Accent5 7 7 2" xfId="13519" xr:uid="{00000000-0005-0000-0000-00004B490000}"/>
    <cellStyle name="40% - Accent5 7 7 2 2" xfId="27068" xr:uid="{00000000-0005-0000-0000-00004C490000}"/>
    <cellStyle name="40% - Accent5 7 7 3" xfId="22777" xr:uid="{00000000-0005-0000-0000-00004D490000}"/>
    <cellStyle name="40% - Accent5 7 8" xfId="4726" xr:uid="{00000000-0005-0000-0000-00004E490000}"/>
    <cellStyle name="40% - Accent5 7 8 2" xfId="14100" xr:uid="{00000000-0005-0000-0000-00004F490000}"/>
    <cellStyle name="40% - Accent5 7 8 2 2" xfId="27649" xr:uid="{00000000-0005-0000-0000-000050490000}"/>
    <cellStyle name="40% - Accent5 7 8 3" xfId="22776" xr:uid="{00000000-0005-0000-0000-000051490000}"/>
    <cellStyle name="40% - Accent5 7 9" xfId="4727" xr:uid="{00000000-0005-0000-0000-000052490000}"/>
    <cellStyle name="40% - Accent5 7 9 2" xfId="15456" xr:uid="{00000000-0005-0000-0000-000053490000}"/>
    <cellStyle name="40% - Accent5 7 9 2 2" xfId="29005" xr:uid="{00000000-0005-0000-0000-000054490000}"/>
    <cellStyle name="40% - Accent5 7 9 3" xfId="24200" xr:uid="{00000000-0005-0000-0000-000055490000}"/>
    <cellStyle name="40% - Accent5 8" xfId="4728" xr:uid="{00000000-0005-0000-0000-000056490000}"/>
    <cellStyle name="40% - Accent5 8 10" xfId="9490" xr:uid="{00000000-0005-0000-0000-000057490000}"/>
    <cellStyle name="40% - Accent5 8 10 2" xfId="23965" xr:uid="{00000000-0005-0000-0000-000058490000}"/>
    <cellStyle name="40% - Accent5 8 11" xfId="26817" xr:uid="{00000000-0005-0000-0000-000059490000}"/>
    <cellStyle name="40% - Accent5 8 2" xfId="4729" xr:uid="{00000000-0005-0000-0000-00005A490000}"/>
    <cellStyle name="40% - Accent5 8 2 2" xfId="4730" xr:uid="{00000000-0005-0000-0000-00005B490000}"/>
    <cellStyle name="40% - Accent5 8 2 2 2" xfId="11218" xr:uid="{00000000-0005-0000-0000-00005C490000}"/>
    <cellStyle name="40% - Accent5 8 2 2 2 2" xfId="25160" xr:uid="{00000000-0005-0000-0000-00005D490000}"/>
    <cellStyle name="40% - Accent5 8 2 2 3" xfId="26818" xr:uid="{00000000-0005-0000-0000-00005E490000}"/>
    <cellStyle name="40% - Accent5 8 2 3" xfId="4731" xr:uid="{00000000-0005-0000-0000-00005F490000}"/>
    <cellStyle name="40% - Accent5 8 2 3 2" xfId="13003" xr:uid="{00000000-0005-0000-0000-000060490000}"/>
    <cellStyle name="40% - Accent5 8 2 3 2 2" xfId="26715" xr:uid="{00000000-0005-0000-0000-000061490000}"/>
    <cellStyle name="40% - Accent5 8 2 3 3" xfId="22774" xr:uid="{00000000-0005-0000-0000-000062490000}"/>
    <cellStyle name="40% - Accent5 8 2 4" xfId="4732" xr:uid="{00000000-0005-0000-0000-000063490000}"/>
    <cellStyle name="40% - Accent5 8 2 4 2" xfId="15463" xr:uid="{00000000-0005-0000-0000-000064490000}"/>
    <cellStyle name="40% - Accent5 8 2 4 2 2" xfId="29012" xr:uid="{00000000-0005-0000-0000-000065490000}"/>
    <cellStyle name="40% - Accent5 8 2 4 3" xfId="22773" xr:uid="{00000000-0005-0000-0000-000066490000}"/>
    <cellStyle name="40% - Accent5 8 2 5" xfId="4733" xr:uid="{00000000-0005-0000-0000-000067490000}"/>
    <cellStyle name="40% - Accent5 8 2 5 2" xfId="16711" xr:uid="{00000000-0005-0000-0000-000068490000}"/>
    <cellStyle name="40% - Accent5 8 2 5 2 2" xfId="30118" xr:uid="{00000000-0005-0000-0000-000069490000}"/>
    <cellStyle name="40% - Accent5 8 2 5 3" xfId="24198" xr:uid="{00000000-0005-0000-0000-00006A490000}"/>
    <cellStyle name="40% - Accent5 8 2 6" xfId="9491" xr:uid="{00000000-0005-0000-0000-00006B490000}"/>
    <cellStyle name="40% - Accent5 8 2 6 2" xfId="23966" xr:uid="{00000000-0005-0000-0000-00006C490000}"/>
    <cellStyle name="40% - Accent5 8 2 7" xfId="22775" xr:uid="{00000000-0005-0000-0000-00006D490000}"/>
    <cellStyle name="40% - Accent5 8 3" xfId="4734" xr:uid="{00000000-0005-0000-0000-00006E490000}"/>
    <cellStyle name="40% - Accent5 8 3 2" xfId="4735" xr:uid="{00000000-0005-0000-0000-00006F490000}"/>
    <cellStyle name="40% - Accent5 8 3 2 2" xfId="15464" xr:uid="{00000000-0005-0000-0000-000070490000}"/>
    <cellStyle name="40% - Accent5 8 3 2 2 2" xfId="29013" xr:uid="{00000000-0005-0000-0000-000071490000}"/>
    <cellStyle name="40% - Accent5 8 3 2 3" xfId="22772" xr:uid="{00000000-0005-0000-0000-000072490000}"/>
    <cellStyle name="40% - Accent5 8 3 3" xfId="11217" xr:uid="{00000000-0005-0000-0000-000073490000}"/>
    <cellStyle name="40% - Accent5 8 3 3 2" xfId="25159" xr:uid="{00000000-0005-0000-0000-000074490000}"/>
    <cellStyle name="40% - Accent5 8 3 4" xfId="24199" xr:uid="{00000000-0005-0000-0000-000075490000}"/>
    <cellStyle name="40% - Accent5 8 4" xfId="4736" xr:uid="{00000000-0005-0000-0000-000076490000}"/>
    <cellStyle name="40% - Accent5 8 4 2" xfId="12089" xr:uid="{00000000-0005-0000-0000-000077490000}"/>
    <cellStyle name="40% - Accent5 8 4 2 2" xfId="25803" xr:uid="{00000000-0005-0000-0000-000078490000}"/>
    <cellStyle name="40% - Accent5 8 4 3" xfId="22771" xr:uid="{00000000-0005-0000-0000-000079490000}"/>
    <cellStyle name="40% - Accent5 8 5" xfId="4737" xr:uid="{00000000-0005-0000-0000-00007A490000}"/>
    <cellStyle name="40% - Accent5 8 5 2" xfId="13002" xr:uid="{00000000-0005-0000-0000-00007B490000}"/>
    <cellStyle name="40% - Accent5 8 5 2 2" xfId="26714" xr:uid="{00000000-0005-0000-0000-00007C490000}"/>
    <cellStyle name="40% - Accent5 8 5 3" xfId="24197" xr:uid="{00000000-0005-0000-0000-00007D490000}"/>
    <cellStyle name="40% - Accent5 8 6" xfId="4738" xr:uid="{00000000-0005-0000-0000-00007E490000}"/>
    <cellStyle name="40% - Accent5 8 6 2" xfId="13663" xr:uid="{00000000-0005-0000-0000-00007F490000}"/>
    <cellStyle name="40% - Accent5 8 6 2 2" xfId="27212" xr:uid="{00000000-0005-0000-0000-000080490000}"/>
    <cellStyle name="40% - Accent5 8 6 3" xfId="22770" xr:uid="{00000000-0005-0000-0000-000081490000}"/>
    <cellStyle name="40% - Accent5 8 7" xfId="4739" xr:uid="{00000000-0005-0000-0000-000082490000}"/>
    <cellStyle name="40% - Accent5 8 7 2" xfId="14244" xr:uid="{00000000-0005-0000-0000-000083490000}"/>
    <cellStyle name="40% - Accent5 8 7 2 2" xfId="27793" xr:uid="{00000000-0005-0000-0000-000084490000}"/>
    <cellStyle name="40% - Accent5 8 7 3" xfId="24194" xr:uid="{00000000-0005-0000-0000-000085490000}"/>
    <cellStyle name="40% - Accent5 8 8" xfId="4740" xr:uid="{00000000-0005-0000-0000-000086490000}"/>
    <cellStyle name="40% - Accent5 8 8 2" xfId="15462" xr:uid="{00000000-0005-0000-0000-000087490000}"/>
    <cellStyle name="40% - Accent5 8 8 2 2" xfId="29011" xr:uid="{00000000-0005-0000-0000-000088490000}"/>
    <cellStyle name="40% - Accent5 8 8 3" xfId="22769" xr:uid="{00000000-0005-0000-0000-000089490000}"/>
    <cellStyle name="40% - Accent5 8 9" xfId="4741" xr:uid="{00000000-0005-0000-0000-00008A490000}"/>
    <cellStyle name="40% - Accent5 8 9 2" xfId="16130" xr:uid="{00000000-0005-0000-0000-00008B490000}"/>
    <cellStyle name="40% - Accent5 8 9 2 2" xfId="29537" xr:uid="{00000000-0005-0000-0000-00008C490000}"/>
    <cellStyle name="40% - Accent5 8 9 3" xfId="25244" xr:uid="{00000000-0005-0000-0000-00008D490000}"/>
    <cellStyle name="40% - Accent5 9" xfId="4742" xr:uid="{00000000-0005-0000-0000-00008E490000}"/>
    <cellStyle name="40% - Accent5 9 2" xfId="4743" xr:uid="{00000000-0005-0000-0000-00008F490000}"/>
    <cellStyle name="40% - Accent5 9 2 2" xfId="11219" xr:uid="{00000000-0005-0000-0000-000090490000}"/>
    <cellStyle name="40% - Accent5 9 2 2 2" xfId="25161" xr:uid="{00000000-0005-0000-0000-000091490000}"/>
    <cellStyle name="40% - Accent5 9 2 3" xfId="24434" xr:uid="{00000000-0005-0000-0000-000092490000}"/>
    <cellStyle name="40% - Accent5 9 3" xfId="4744" xr:uid="{00000000-0005-0000-0000-000093490000}"/>
    <cellStyle name="40% - Accent5 9 3 2" xfId="13004" xr:uid="{00000000-0005-0000-0000-000094490000}"/>
    <cellStyle name="40% - Accent5 9 3 2 2" xfId="26716" xr:uid="{00000000-0005-0000-0000-000095490000}"/>
    <cellStyle name="40% - Accent5 9 3 3" xfId="29130" xr:uid="{00000000-0005-0000-0000-000096490000}"/>
    <cellStyle name="40% - Accent5 9 4" xfId="4745" xr:uid="{00000000-0005-0000-0000-000097490000}"/>
    <cellStyle name="40% - Accent5 9 4 2" xfId="15465" xr:uid="{00000000-0005-0000-0000-000098490000}"/>
    <cellStyle name="40% - Accent5 9 4 2 2" xfId="29014" xr:uid="{00000000-0005-0000-0000-000099490000}"/>
    <cellStyle name="40% - Accent5 9 4 3" xfId="22767" xr:uid="{00000000-0005-0000-0000-00009A490000}"/>
    <cellStyle name="40% - Accent5 9 5" xfId="4746" xr:uid="{00000000-0005-0000-0000-00009B490000}"/>
    <cellStyle name="40% - Accent5 9 5 2" xfId="17095" xr:uid="{00000000-0005-0000-0000-00009C490000}"/>
    <cellStyle name="40% - Accent5 9 5 2 2" xfId="30454" xr:uid="{00000000-0005-0000-0000-00009D490000}"/>
    <cellStyle name="40% - Accent5 9 5 3" xfId="22766" xr:uid="{00000000-0005-0000-0000-00009E490000}"/>
    <cellStyle name="40% - Accent5 9 6" xfId="9492" xr:uid="{00000000-0005-0000-0000-00009F490000}"/>
    <cellStyle name="40% - Accent5 9 6 2" xfId="23967" xr:uid="{00000000-0005-0000-0000-0000A0490000}"/>
    <cellStyle name="40% - Accent5 9 7" xfId="22768" xr:uid="{00000000-0005-0000-0000-0000A1490000}"/>
    <cellStyle name="40% - Accent6" xfId="38" builtinId="51" customBuiltin="1"/>
    <cellStyle name="40% - Accent6 10" xfId="4747" xr:uid="{00000000-0005-0000-0000-0000A3490000}"/>
    <cellStyle name="40% - Accent6 10 2" xfId="4748" xr:uid="{00000000-0005-0000-0000-0000A4490000}"/>
    <cellStyle name="40% - Accent6 10 2 2" xfId="4749" xr:uid="{00000000-0005-0000-0000-0000A5490000}"/>
    <cellStyle name="40% - Accent6 10 2 2 2" xfId="13007" xr:uid="{00000000-0005-0000-0000-0000A6490000}"/>
    <cellStyle name="40% - Accent6 10 2 2 2 2" xfId="26719" xr:uid="{00000000-0005-0000-0000-0000A7490000}"/>
    <cellStyle name="40% - Accent6 10 2 2 3" xfId="24195" xr:uid="{00000000-0005-0000-0000-0000A8490000}"/>
    <cellStyle name="40% - Accent6 10 2 3" xfId="4750" xr:uid="{00000000-0005-0000-0000-0000A9490000}"/>
    <cellStyle name="40% - Accent6 10 2 3 2" xfId="15468" xr:uid="{00000000-0005-0000-0000-0000AA490000}"/>
    <cellStyle name="40% - Accent6 10 2 3 2 2" xfId="29017" xr:uid="{00000000-0005-0000-0000-0000AB490000}"/>
    <cellStyle name="40% - Accent6 10 2 3 3" xfId="22764" xr:uid="{00000000-0005-0000-0000-0000AC490000}"/>
    <cellStyle name="40% - Accent6 10 2 4" xfId="11221" xr:uid="{00000000-0005-0000-0000-0000AD490000}"/>
    <cellStyle name="40% - Accent6 10 2 4 2" xfId="25163" xr:uid="{00000000-0005-0000-0000-0000AE490000}"/>
    <cellStyle name="40% - Accent6 10 2 5" xfId="22765" xr:uid="{00000000-0005-0000-0000-0000AF490000}"/>
    <cellStyle name="40% - Accent6 10 3" xfId="4751" xr:uid="{00000000-0005-0000-0000-0000B0490000}"/>
    <cellStyle name="40% - Accent6 10 3 2" xfId="13006" xr:uid="{00000000-0005-0000-0000-0000B1490000}"/>
    <cellStyle name="40% - Accent6 10 3 2 2" xfId="26718" xr:uid="{00000000-0005-0000-0000-0000B2490000}"/>
    <cellStyle name="40% - Accent6 10 3 3" xfId="23233" xr:uid="{00000000-0005-0000-0000-0000B3490000}"/>
    <cellStyle name="40% - Accent6 10 4" xfId="4752" xr:uid="{00000000-0005-0000-0000-0000B4490000}"/>
    <cellStyle name="40% - Accent6 10 4 2" xfId="15467" xr:uid="{00000000-0005-0000-0000-0000B5490000}"/>
    <cellStyle name="40% - Accent6 10 4 2 2" xfId="29016" xr:uid="{00000000-0005-0000-0000-0000B6490000}"/>
    <cellStyle name="40% - Accent6 10 4 3" xfId="24193" xr:uid="{00000000-0005-0000-0000-0000B7490000}"/>
    <cellStyle name="40% - Accent6 10 5" xfId="4753" xr:uid="{00000000-0005-0000-0000-0000B8490000}"/>
    <cellStyle name="40% - Accent6 10 5 2" xfId="17185" xr:uid="{00000000-0005-0000-0000-0000B9490000}"/>
    <cellStyle name="40% - Accent6 10 5 2 2" xfId="30544" xr:uid="{00000000-0005-0000-0000-0000BA490000}"/>
    <cellStyle name="40% - Accent6 10 5 3" xfId="22763" xr:uid="{00000000-0005-0000-0000-0000BB490000}"/>
    <cellStyle name="40% - Accent6 10 6" xfId="9494" xr:uid="{00000000-0005-0000-0000-0000BC490000}"/>
    <cellStyle name="40% - Accent6 10 6 2" xfId="23969" xr:uid="{00000000-0005-0000-0000-0000BD490000}"/>
    <cellStyle name="40% - Accent6 10 7" xfId="24196" xr:uid="{00000000-0005-0000-0000-0000BE490000}"/>
    <cellStyle name="40% - Accent6 11" xfId="4754" xr:uid="{00000000-0005-0000-0000-0000BF490000}"/>
    <cellStyle name="40% - Accent6 11 2" xfId="4755" xr:uid="{00000000-0005-0000-0000-0000C0490000}"/>
    <cellStyle name="40% - Accent6 11 2 2" xfId="11222" xr:uid="{00000000-0005-0000-0000-0000C1490000}"/>
    <cellStyle name="40% - Accent6 11 2 2 2" xfId="25164" xr:uid="{00000000-0005-0000-0000-0000C2490000}"/>
    <cellStyle name="40% - Accent6 11 2 3" xfId="22762" xr:uid="{00000000-0005-0000-0000-0000C3490000}"/>
    <cellStyle name="40% - Accent6 11 3" xfId="4756" xr:uid="{00000000-0005-0000-0000-0000C4490000}"/>
    <cellStyle name="40% - Accent6 11 3 2" xfId="13008" xr:uid="{00000000-0005-0000-0000-0000C5490000}"/>
    <cellStyle name="40% - Accent6 11 3 2 2" xfId="26720" xr:uid="{00000000-0005-0000-0000-0000C6490000}"/>
    <cellStyle name="40% - Accent6 11 3 3" xfId="24191" xr:uid="{00000000-0005-0000-0000-0000C7490000}"/>
    <cellStyle name="40% - Accent6 11 4" xfId="4757" xr:uid="{00000000-0005-0000-0000-0000C8490000}"/>
    <cellStyle name="40% - Accent6 11 4 2" xfId="15469" xr:uid="{00000000-0005-0000-0000-0000C9490000}"/>
    <cellStyle name="40% - Accent6 11 4 2 2" xfId="29018" xr:uid="{00000000-0005-0000-0000-0000CA490000}"/>
    <cellStyle name="40% - Accent6 11 4 3" xfId="22761" xr:uid="{00000000-0005-0000-0000-0000CB490000}"/>
    <cellStyle name="40% - Accent6 11 5" xfId="4758" xr:uid="{00000000-0005-0000-0000-0000CC490000}"/>
    <cellStyle name="40% - Accent6 11 5 2" xfId="17274" xr:uid="{00000000-0005-0000-0000-0000CD490000}"/>
    <cellStyle name="40% - Accent6 11 5 2 2" xfId="30633" xr:uid="{00000000-0005-0000-0000-0000CE490000}"/>
    <cellStyle name="40% - Accent6 11 5 3" xfId="24190" xr:uid="{00000000-0005-0000-0000-0000CF490000}"/>
    <cellStyle name="40% - Accent6 11 6" xfId="9495" xr:uid="{00000000-0005-0000-0000-0000D0490000}"/>
    <cellStyle name="40% - Accent6 11 6 2" xfId="23970" xr:uid="{00000000-0005-0000-0000-0000D1490000}"/>
    <cellStyle name="40% - Accent6 11 7" xfId="24192" xr:uid="{00000000-0005-0000-0000-0000D2490000}"/>
    <cellStyle name="40% - Accent6 12" xfId="4759" xr:uid="{00000000-0005-0000-0000-0000D3490000}"/>
    <cellStyle name="40% - Accent6 12 2" xfId="4760" xr:uid="{00000000-0005-0000-0000-0000D4490000}"/>
    <cellStyle name="40% - Accent6 12 2 2" xfId="4761" xr:uid="{00000000-0005-0000-0000-0000D5490000}"/>
    <cellStyle name="40% - Accent6 12 2 2 2" xfId="11224" xr:uid="{00000000-0005-0000-0000-0000D6490000}"/>
    <cellStyle name="40% - Accent6 12 2 2 2 2" xfId="25166" xr:uid="{00000000-0005-0000-0000-0000D7490000}"/>
    <cellStyle name="40% - Accent6 12 2 2 3" xfId="24189" xr:uid="{00000000-0005-0000-0000-0000D8490000}"/>
    <cellStyle name="40% - Accent6 12 2 3" xfId="4762" xr:uid="{00000000-0005-0000-0000-0000D9490000}"/>
    <cellStyle name="40% - Accent6 12 2 3 2" xfId="13010" xr:uid="{00000000-0005-0000-0000-0000DA490000}"/>
    <cellStyle name="40% - Accent6 12 2 3 2 2" xfId="26722" xr:uid="{00000000-0005-0000-0000-0000DB490000}"/>
    <cellStyle name="40% - Accent6 12 2 3 3" xfId="22759" xr:uid="{00000000-0005-0000-0000-0000DC490000}"/>
    <cellStyle name="40% - Accent6 12 2 4" xfId="4763" xr:uid="{00000000-0005-0000-0000-0000DD490000}"/>
    <cellStyle name="40% - Accent6 12 2 4 2" xfId="15471" xr:uid="{00000000-0005-0000-0000-0000DE490000}"/>
    <cellStyle name="40% - Accent6 12 2 4 2 2" xfId="29020" xr:uid="{00000000-0005-0000-0000-0000DF490000}"/>
    <cellStyle name="40% - Accent6 12 2 4 3" xfId="22758" xr:uid="{00000000-0005-0000-0000-0000E0490000}"/>
    <cellStyle name="40% - Accent6 12 2 5" xfId="9497" xr:uid="{00000000-0005-0000-0000-0000E1490000}"/>
    <cellStyle name="40% - Accent6 12 2 5 2" xfId="23972" xr:uid="{00000000-0005-0000-0000-0000E2490000}"/>
    <cellStyle name="40% - Accent6 12 2 6" xfId="24188" xr:uid="{00000000-0005-0000-0000-0000E3490000}"/>
    <cellStyle name="40% - Accent6 12 3" xfId="4764" xr:uid="{00000000-0005-0000-0000-0000E4490000}"/>
    <cellStyle name="40% - Accent6 12 3 2" xfId="11223" xr:uid="{00000000-0005-0000-0000-0000E5490000}"/>
    <cellStyle name="40% - Accent6 12 3 2 2" xfId="25165" xr:uid="{00000000-0005-0000-0000-0000E6490000}"/>
    <cellStyle name="40% - Accent6 12 3 3" xfId="24187" xr:uid="{00000000-0005-0000-0000-0000E7490000}"/>
    <cellStyle name="40% - Accent6 12 4" xfId="4765" xr:uid="{00000000-0005-0000-0000-0000E8490000}"/>
    <cellStyle name="40% - Accent6 12 4 2" xfId="13009" xr:uid="{00000000-0005-0000-0000-0000E9490000}"/>
    <cellStyle name="40% - Accent6 12 4 2 2" xfId="26721" xr:uid="{00000000-0005-0000-0000-0000EA490000}"/>
    <cellStyle name="40% - Accent6 12 4 3" xfId="26815" xr:uid="{00000000-0005-0000-0000-0000EB490000}"/>
    <cellStyle name="40% - Accent6 12 5" xfId="4766" xr:uid="{00000000-0005-0000-0000-0000EC490000}"/>
    <cellStyle name="40% - Accent6 12 5 2" xfId="15470" xr:uid="{00000000-0005-0000-0000-0000ED490000}"/>
    <cellStyle name="40% - Accent6 12 5 2 2" xfId="29019" xr:uid="{00000000-0005-0000-0000-0000EE490000}"/>
    <cellStyle name="40% - Accent6 12 5 3" xfId="22757" xr:uid="{00000000-0005-0000-0000-0000EF490000}"/>
    <cellStyle name="40% - Accent6 12 6" xfId="4767" xr:uid="{00000000-0005-0000-0000-0000F0490000}"/>
    <cellStyle name="40% - Accent6 12 6 2" xfId="16426" xr:uid="{00000000-0005-0000-0000-0000F1490000}"/>
    <cellStyle name="40% - Accent6 12 6 2 2" xfId="29833" xr:uid="{00000000-0005-0000-0000-0000F2490000}"/>
    <cellStyle name="40% - Accent6 12 6 3" xfId="26816" xr:uid="{00000000-0005-0000-0000-0000F3490000}"/>
    <cellStyle name="40% - Accent6 12 7" xfId="9496" xr:uid="{00000000-0005-0000-0000-0000F4490000}"/>
    <cellStyle name="40% - Accent6 12 7 2" xfId="23971" xr:uid="{00000000-0005-0000-0000-0000F5490000}"/>
    <cellStyle name="40% - Accent6 12 8" xfId="22760" xr:uid="{00000000-0005-0000-0000-0000F6490000}"/>
    <cellStyle name="40% - Accent6 13" xfId="4768" xr:uid="{00000000-0005-0000-0000-0000F7490000}"/>
    <cellStyle name="40% - Accent6 13 2" xfId="4769" xr:uid="{00000000-0005-0000-0000-0000F8490000}"/>
    <cellStyle name="40% - Accent6 13 2 2" xfId="11225" xr:uid="{00000000-0005-0000-0000-0000F9490000}"/>
    <cellStyle name="40% - Accent6 13 2 2 2" xfId="25167" xr:uid="{00000000-0005-0000-0000-0000FA490000}"/>
    <cellStyle name="40% - Accent6 13 2 3" xfId="22755" xr:uid="{00000000-0005-0000-0000-0000FB490000}"/>
    <cellStyle name="40% - Accent6 13 3" xfId="4770" xr:uid="{00000000-0005-0000-0000-0000FC490000}"/>
    <cellStyle name="40% - Accent6 13 3 2" xfId="13011" xr:uid="{00000000-0005-0000-0000-0000FD490000}"/>
    <cellStyle name="40% - Accent6 13 3 2 2" xfId="26723" xr:uid="{00000000-0005-0000-0000-0000FE490000}"/>
    <cellStyle name="40% - Accent6 13 3 3" xfId="24185" xr:uid="{00000000-0005-0000-0000-0000FF490000}"/>
    <cellStyle name="40% - Accent6 13 4" xfId="4771" xr:uid="{00000000-0005-0000-0000-0000004A0000}"/>
    <cellStyle name="40% - Accent6 13 4 2" xfId="15472" xr:uid="{00000000-0005-0000-0000-0000014A0000}"/>
    <cellStyle name="40% - Accent6 13 4 2 2" xfId="29021" xr:uid="{00000000-0005-0000-0000-0000024A0000}"/>
    <cellStyle name="40% - Accent6 13 4 3" xfId="24186" xr:uid="{00000000-0005-0000-0000-0000034A0000}"/>
    <cellStyle name="40% - Accent6 13 5" xfId="9498" xr:uid="{00000000-0005-0000-0000-0000044A0000}"/>
    <cellStyle name="40% - Accent6 13 5 2" xfId="23973" xr:uid="{00000000-0005-0000-0000-0000054A0000}"/>
    <cellStyle name="40% - Accent6 13 6" xfId="22756" xr:uid="{00000000-0005-0000-0000-0000064A0000}"/>
    <cellStyle name="40% - Accent6 14" xfId="4772" xr:uid="{00000000-0005-0000-0000-0000074A0000}"/>
    <cellStyle name="40% - Accent6 14 2" xfId="4773" xr:uid="{00000000-0005-0000-0000-0000084A0000}"/>
    <cellStyle name="40% - Accent6 14 2 2" xfId="11226" xr:uid="{00000000-0005-0000-0000-0000094A0000}"/>
    <cellStyle name="40% - Accent6 14 2 2 2" xfId="25168" xr:uid="{00000000-0005-0000-0000-00000A4A0000}"/>
    <cellStyle name="40% - Accent6 14 2 3" xfId="22753" xr:uid="{00000000-0005-0000-0000-00000B4A0000}"/>
    <cellStyle name="40% - Accent6 14 3" xfId="4774" xr:uid="{00000000-0005-0000-0000-00000C4A0000}"/>
    <cellStyle name="40% - Accent6 14 3 2" xfId="13012" xr:uid="{00000000-0005-0000-0000-00000D4A0000}"/>
    <cellStyle name="40% - Accent6 14 3 2 2" xfId="26724" xr:uid="{00000000-0005-0000-0000-00000E4A0000}"/>
    <cellStyle name="40% - Accent6 14 3 3" xfId="24184" xr:uid="{00000000-0005-0000-0000-00000F4A0000}"/>
    <cellStyle name="40% - Accent6 14 4" xfId="4775" xr:uid="{00000000-0005-0000-0000-0000104A0000}"/>
    <cellStyle name="40% - Accent6 14 4 2" xfId="15473" xr:uid="{00000000-0005-0000-0000-0000114A0000}"/>
    <cellStyle name="40% - Accent6 14 4 2 2" xfId="29022" xr:uid="{00000000-0005-0000-0000-0000124A0000}"/>
    <cellStyle name="40% - Accent6 14 4 3" xfId="22752" xr:uid="{00000000-0005-0000-0000-0000134A0000}"/>
    <cellStyle name="40% - Accent6 14 5" xfId="9499" xr:uid="{00000000-0005-0000-0000-0000144A0000}"/>
    <cellStyle name="40% - Accent6 14 5 2" xfId="23974" xr:uid="{00000000-0005-0000-0000-0000154A0000}"/>
    <cellStyle name="40% - Accent6 14 6" xfId="22754" xr:uid="{00000000-0005-0000-0000-0000164A0000}"/>
    <cellStyle name="40% - Accent6 15" xfId="4776" xr:uid="{00000000-0005-0000-0000-0000174A0000}"/>
    <cellStyle name="40% - Accent6 15 2" xfId="4777" xr:uid="{00000000-0005-0000-0000-0000184A0000}"/>
    <cellStyle name="40% - Accent6 15 2 2" xfId="11227" xr:uid="{00000000-0005-0000-0000-0000194A0000}"/>
    <cellStyle name="40% - Accent6 15 2 2 2" xfId="25169" xr:uid="{00000000-0005-0000-0000-00001A4A0000}"/>
    <cellStyle name="40% - Accent6 15 2 3" xfId="22751" xr:uid="{00000000-0005-0000-0000-00001B4A0000}"/>
    <cellStyle name="40% - Accent6 15 3" xfId="4778" xr:uid="{00000000-0005-0000-0000-00001C4A0000}"/>
    <cellStyle name="40% - Accent6 15 3 2" xfId="13013" xr:uid="{00000000-0005-0000-0000-00001D4A0000}"/>
    <cellStyle name="40% - Accent6 15 3 2 2" xfId="26725" xr:uid="{00000000-0005-0000-0000-00001E4A0000}"/>
    <cellStyle name="40% - Accent6 15 3 3" xfId="25243" xr:uid="{00000000-0005-0000-0000-00001F4A0000}"/>
    <cellStyle name="40% - Accent6 15 4" xfId="4779" xr:uid="{00000000-0005-0000-0000-0000204A0000}"/>
    <cellStyle name="40% - Accent6 15 4 2" xfId="15474" xr:uid="{00000000-0005-0000-0000-0000214A0000}"/>
    <cellStyle name="40% - Accent6 15 4 2 2" xfId="29023" xr:uid="{00000000-0005-0000-0000-0000224A0000}"/>
    <cellStyle name="40% - Accent6 15 4 3" xfId="22750" xr:uid="{00000000-0005-0000-0000-0000234A0000}"/>
    <cellStyle name="40% - Accent6 15 5" xfId="9500" xr:uid="{00000000-0005-0000-0000-0000244A0000}"/>
    <cellStyle name="40% - Accent6 15 5 2" xfId="23975" xr:uid="{00000000-0005-0000-0000-0000254A0000}"/>
    <cellStyle name="40% - Accent6 15 6" xfId="24181" xr:uid="{00000000-0005-0000-0000-0000264A0000}"/>
    <cellStyle name="40% - Accent6 16" xfId="4780" xr:uid="{00000000-0005-0000-0000-0000274A0000}"/>
    <cellStyle name="40% - Accent6 16 2" xfId="4781" xr:uid="{00000000-0005-0000-0000-0000284A0000}"/>
    <cellStyle name="40% - Accent6 16 2 2" xfId="11228" xr:uid="{00000000-0005-0000-0000-0000294A0000}"/>
    <cellStyle name="40% - Accent6 16 2 2 2" xfId="25170" xr:uid="{00000000-0005-0000-0000-00002A4A0000}"/>
    <cellStyle name="40% - Accent6 16 2 3" xfId="29129" xr:uid="{00000000-0005-0000-0000-00002B4A0000}"/>
    <cellStyle name="40% - Accent6 16 3" xfId="4782" xr:uid="{00000000-0005-0000-0000-00002C4A0000}"/>
    <cellStyle name="40% - Accent6 16 3 2" xfId="13014" xr:uid="{00000000-0005-0000-0000-00002D4A0000}"/>
    <cellStyle name="40% - Accent6 16 3 2 2" xfId="26726" xr:uid="{00000000-0005-0000-0000-00002E4A0000}"/>
    <cellStyle name="40% - Accent6 16 3 3" xfId="22749" xr:uid="{00000000-0005-0000-0000-00002F4A0000}"/>
    <cellStyle name="40% - Accent6 16 4" xfId="4783" xr:uid="{00000000-0005-0000-0000-0000304A0000}"/>
    <cellStyle name="40% - Accent6 16 4 2" xfId="15475" xr:uid="{00000000-0005-0000-0000-0000314A0000}"/>
    <cellStyle name="40% - Accent6 16 4 2 2" xfId="29024" xr:uid="{00000000-0005-0000-0000-0000324A0000}"/>
    <cellStyle name="40% - Accent6 16 4 3" xfId="22748" xr:uid="{00000000-0005-0000-0000-0000334A0000}"/>
    <cellStyle name="40% - Accent6 16 5" xfId="9501" xr:uid="{00000000-0005-0000-0000-0000344A0000}"/>
    <cellStyle name="40% - Accent6 16 5 2" xfId="23976" xr:uid="{00000000-0005-0000-0000-0000354A0000}"/>
    <cellStyle name="40% - Accent6 16 6" xfId="24433" xr:uid="{00000000-0005-0000-0000-0000364A0000}"/>
    <cellStyle name="40% - Accent6 17" xfId="4784" xr:uid="{00000000-0005-0000-0000-0000374A0000}"/>
    <cellStyle name="40% - Accent6 17 2" xfId="4785" xr:uid="{00000000-0005-0000-0000-0000384A0000}"/>
    <cellStyle name="40% - Accent6 17 2 2" xfId="11229" xr:uid="{00000000-0005-0000-0000-0000394A0000}"/>
    <cellStyle name="40% - Accent6 17 2 2 2" xfId="25171" xr:uid="{00000000-0005-0000-0000-00003A4A0000}"/>
    <cellStyle name="40% - Accent6 17 2 3" xfId="22747" xr:uid="{00000000-0005-0000-0000-00003B4A0000}"/>
    <cellStyle name="40% - Accent6 17 3" xfId="4786" xr:uid="{00000000-0005-0000-0000-00003C4A0000}"/>
    <cellStyle name="40% - Accent6 17 3 2" xfId="13015" xr:uid="{00000000-0005-0000-0000-00003D4A0000}"/>
    <cellStyle name="40% - Accent6 17 3 2 2" xfId="26727" xr:uid="{00000000-0005-0000-0000-00003E4A0000}"/>
    <cellStyle name="40% - Accent6 17 3 3" xfId="24182" xr:uid="{00000000-0005-0000-0000-00003F4A0000}"/>
    <cellStyle name="40% - Accent6 17 4" xfId="4787" xr:uid="{00000000-0005-0000-0000-0000404A0000}"/>
    <cellStyle name="40% - Accent6 17 4 2" xfId="15476" xr:uid="{00000000-0005-0000-0000-0000414A0000}"/>
    <cellStyle name="40% - Accent6 17 4 2 2" xfId="29025" xr:uid="{00000000-0005-0000-0000-0000424A0000}"/>
    <cellStyle name="40% - Accent6 17 4 3" xfId="22746" xr:uid="{00000000-0005-0000-0000-0000434A0000}"/>
    <cellStyle name="40% - Accent6 17 5" xfId="9502" xr:uid="{00000000-0005-0000-0000-0000444A0000}"/>
    <cellStyle name="40% - Accent6 17 5 2" xfId="23977" xr:uid="{00000000-0005-0000-0000-0000454A0000}"/>
    <cellStyle name="40% - Accent6 17 6" xfId="24183" xr:uid="{00000000-0005-0000-0000-0000464A0000}"/>
    <cellStyle name="40% - Accent6 18" xfId="4788" xr:uid="{00000000-0005-0000-0000-0000474A0000}"/>
    <cellStyle name="40% - Accent6 18 2" xfId="4789" xr:uid="{00000000-0005-0000-0000-0000484A0000}"/>
    <cellStyle name="40% - Accent6 18 2 2" xfId="11230" xr:uid="{00000000-0005-0000-0000-0000494A0000}"/>
    <cellStyle name="40% - Accent6 18 2 2 2" xfId="25172" xr:uid="{00000000-0005-0000-0000-00004A4A0000}"/>
    <cellStyle name="40% - Accent6 18 2 3" xfId="24180" xr:uid="{00000000-0005-0000-0000-00004B4A0000}"/>
    <cellStyle name="40% - Accent6 18 3" xfId="4790" xr:uid="{00000000-0005-0000-0000-00004C4A0000}"/>
    <cellStyle name="40% - Accent6 18 3 2" xfId="13016" xr:uid="{00000000-0005-0000-0000-00004D4A0000}"/>
    <cellStyle name="40% - Accent6 18 3 2 2" xfId="26728" xr:uid="{00000000-0005-0000-0000-00004E4A0000}"/>
    <cellStyle name="40% - Accent6 18 3 3" xfId="22745" xr:uid="{00000000-0005-0000-0000-00004F4A0000}"/>
    <cellStyle name="40% - Accent6 18 4" xfId="4791" xr:uid="{00000000-0005-0000-0000-0000504A0000}"/>
    <cellStyle name="40% - Accent6 18 4 2" xfId="15477" xr:uid="{00000000-0005-0000-0000-0000514A0000}"/>
    <cellStyle name="40% - Accent6 18 4 2 2" xfId="29026" xr:uid="{00000000-0005-0000-0000-0000524A0000}"/>
    <cellStyle name="40% - Accent6 18 4 3" xfId="24179" xr:uid="{00000000-0005-0000-0000-0000534A0000}"/>
    <cellStyle name="40% - Accent6 18 5" xfId="9503" xr:uid="{00000000-0005-0000-0000-0000544A0000}"/>
    <cellStyle name="40% - Accent6 18 5 2" xfId="23978" xr:uid="{00000000-0005-0000-0000-0000554A0000}"/>
    <cellStyle name="40% - Accent6 18 6" xfId="23232" xr:uid="{00000000-0005-0000-0000-0000564A0000}"/>
    <cellStyle name="40% - Accent6 19" xfId="4792" xr:uid="{00000000-0005-0000-0000-0000574A0000}"/>
    <cellStyle name="40% - Accent6 19 2" xfId="4793" xr:uid="{00000000-0005-0000-0000-0000584A0000}"/>
    <cellStyle name="40% - Accent6 19 2 2" xfId="11710" xr:uid="{00000000-0005-0000-0000-0000594A0000}"/>
    <cellStyle name="40% - Accent6 19 2 2 2" xfId="25430" xr:uid="{00000000-0005-0000-0000-00005A4A0000}"/>
    <cellStyle name="40% - Accent6 19 2 3" xfId="24178" xr:uid="{00000000-0005-0000-0000-00005B4A0000}"/>
    <cellStyle name="40% - Accent6 19 3" xfId="4794" xr:uid="{00000000-0005-0000-0000-00005C4A0000}"/>
    <cellStyle name="40% - Accent6 19 3 2" xfId="13017" xr:uid="{00000000-0005-0000-0000-00005D4A0000}"/>
    <cellStyle name="40% - Accent6 19 3 2 2" xfId="26729" xr:uid="{00000000-0005-0000-0000-00005E4A0000}"/>
    <cellStyle name="40% - Accent6 19 3 3" xfId="22743" xr:uid="{00000000-0005-0000-0000-00005F4A0000}"/>
    <cellStyle name="40% - Accent6 19 4" xfId="4795" xr:uid="{00000000-0005-0000-0000-0000604A0000}"/>
    <cellStyle name="40% - Accent6 19 4 2" xfId="15478" xr:uid="{00000000-0005-0000-0000-0000614A0000}"/>
    <cellStyle name="40% - Accent6 19 4 2 2" xfId="29027" xr:uid="{00000000-0005-0000-0000-0000624A0000}"/>
    <cellStyle name="40% - Accent6 19 4 3" xfId="24177" xr:uid="{00000000-0005-0000-0000-0000634A0000}"/>
    <cellStyle name="40% - Accent6 19 5" xfId="10462" xr:uid="{00000000-0005-0000-0000-0000644A0000}"/>
    <cellStyle name="40% - Accent6 19 5 2" xfId="24421" xr:uid="{00000000-0005-0000-0000-0000654A0000}"/>
    <cellStyle name="40% - Accent6 19 6" xfId="22744" xr:uid="{00000000-0005-0000-0000-0000664A0000}"/>
    <cellStyle name="40% - Accent6 2" xfId="4796" xr:uid="{00000000-0005-0000-0000-0000674A0000}"/>
    <cellStyle name="40% - Accent6 2 10" xfId="4797" xr:uid="{00000000-0005-0000-0000-0000684A0000}"/>
    <cellStyle name="40% - Accent6 2 10 2" xfId="4798" xr:uid="{00000000-0005-0000-0000-0000694A0000}"/>
    <cellStyle name="40% - Accent6 2 10 2 2" xfId="15480" xr:uid="{00000000-0005-0000-0000-00006A4A0000}"/>
    <cellStyle name="40% - Accent6 2 10 2 2 2" xfId="29029" xr:uid="{00000000-0005-0000-0000-00006B4A0000}"/>
    <cellStyle name="40% - Accent6 2 10 2 3" xfId="24176" xr:uid="{00000000-0005-0000-0000-00006C4A0000}"/>
    <cellStyle name="40% - Accent6 2 10 3" xfId="11838" xr:uid="{00000000-0005-0000-0000-00006D4A0000}"/>
    <cellStyle name="40% - Accent6 2 10 3 2" xfId="25553" xr:uid="{00000000-0005-0000-0000-00006E4A0000}"/>
    <cellStyle name="40% - Accent6 2 10 4" xfId="24175" xr:uid="{00000000-0005-0000-0000-00006F4A0000}"/>
    <cellStyle name="40% - Accent6 2 11" xfId="4799" xr:uid="{00000000-0005-0000-0000-0000704A0000}"/>
    <cellStyle name="40% - Accent6 2 11 2" xfId="13018" xr:uid="{00000000-0005-0000-0000-0000714A0000}"/>
    <cellStyle name="40% - Accent6 2 11 2 2" xfId="26730" xr:uid="{00000000-0005-0000-0000-0000724A0000}"/>
    <cellStyle name="40% - Accent6 2 11 3" xfId="22741" xr:uid="{00000000-0005-0000-0000-0000734A0000}"/>
    <cellStyle name="40% - Accent6 2 12" xfId="4800" xr:uid="{00000000-0005-0000-0000-0000744A0000}"/>
    <cellStyle name="40% - Accent6 2 12 2" xfId="13435" xr:uid="{00000000-0005-0000-0000-0000754A0000}"/>
    <cellStyle name="40% - Accent6 2 12 2 2" xfId="26984" xr:uid="{00000000-0005-0000-0000-0000764A0000}"/>
    <cellStyle name="40% - Accent6 2 12 3" xfId="22740" xr:uid="{00000000-0005-0000-0000-0000774A0000}"/>
    <cellStyle name="40% - Accent6 2 13" xfId="4801" xr:uid="{00000000-0005-0000-0000-0000784A0000}"/>
    <cellStyle name="40% - Accent6 2 13 2" xfId="14016" xr:uid="{00000000-0005-0000-0000-0000794A0000}"/>
    <cellStyle name="40% - Accent6 2 13 2 2" xfId="27565" xr:uid="{00000000-0005-0000-0000-00007A4A0000}"/>
    <cellStyle name="40% - Accent6 2 13 3" xfId="24174" xr:uid="{00000000-0005-0000-0000-00007B4A0000}"/>
    <cellStyle name="40% - Accent6 2 14" xfId="4802" xr:uid="{00000000-0005-0000-0000-00007C4A0000}"/>
    <cellStyle name="40% - Accent6 2 14 2" xfId="15479" xr:uid="{00000000-0005-0000-0000-00007D4A0000}"/>
    <cellStyle name="40% - Accent6 2 14 2 2" xfId="29028" xr:uid="{00000000-0005-0000-0000-00007E4A0000}"/>
    <cellStyle name="40% - Accent6 2 14 3" xfId="26813" xr:uid="{00000000-0005-0000-0000-00007F4A0000}"/>
    <cellStyle name="40% - Accent6 2 15" xfId="4803" xr:uid="{00000000-0005-0000-0000-0000804A0000}"/>
    <cellStyle name="40% - Accent6 2 15 2" xfId="15902" xr:uid="{00000000-0005-0000-0000-0000814A0000}"/>
    <cellStyle name="40% - Accent6 2 15 2 2" xfId="29309" xr:uid="{00000000-0005-0000-0000-0000824A0000}"/>
    <cellStyle name="40% - Accent6 2 15 3" xfId="22739" xr:uid="{00000000-0005-0000-0000-0000834A0000}"/>
    <cellStyle name="40% - Accent6 2 16" xfId="9504" xr:uid="{00000000-0005-0000-0000-0000844A0000}"/>
    <cellStyle name="40% - Accent6 2 16 2" xfId="23979" xr:uid="{00000000-0005-0000-0000-0000854A0000}"/>
    <cellStyle name="40% - Accent6 2 17" xfId="22742" xr:uid="{00000000-0005-0000-0000-0000864A0000}"/>
    <cellStyle name="40% - Accent6 2 2" xfId="4804" xr:uid="{00000000-0005-0000-0000-0000874A0000}"/>
    <cellStyle name="40% - Accent6 2 2 10" xfId="4805" xr:uid="{00000000-0005-0000-0000-0000884A0000}"/>
    <cellStyle name="40% - Accent6 2 2 10 2" xfId="15481" xr:uid="{00000000-0005-0000-0000-0000894A0000}"/>
    <cellStyle name="40% - Accent6 2 2 10 2 2" xfId="29030" xr:uid="{00000000-0005-0000-0000-00008A4A0000}"/>
    <cellStyle name="40% - Accent6 2 2 10 3" xfId="22738" xr:uid="{00000000-0005-0000-0000-00008B4A0000}"/>
    <cellStyle name="40% - Accent6 2 2 11" xfId="4806" xr:uid="{00000000-0005-0000-0000-00008C4A0000}"/>
    <cellStyle name="40% - Accent6 2 2 11 2" xfId="15948" xr:uid="{00000000-0005-0000-0000-00008D4A0000}"/>
    <cellStyle name="40% - Accent6 2 2 11 2 2" xfId="29355" xr:uid="{00000000-0005-0000-0000-00008E4A0000}"/>
    <cellStyle name="40% - Accent6 2 2 11 3" xfId="22737" xr:uid="{00000000-0005-0000-0000-00008F4A0000}"/>
    <cellStyle name="40% - Accent6 2 2 12" xfId="9505" xr:uid="{00000000-0005-0000-0000-0000904A0000}"/>
    <cellStyle name="40% - Accent6 2 2 12 2" xfId="23980" xr:uid="{00000000-0005-0000-0000-0000914A0000}"/>
    <cellStyle name="40% - Accent6 2 2 13" xfId="26814" xr:uid="{00000000-0005-0000-0000-0000924A0000}"/>
    <cellStyle name="40% - Accent6 2 2 2" xfId="4807" xr:uid="{00000000-0005-0000-0000-0000934A0000}"/>
    <cellStyle name="40% - Accent6 2 2 2 10" xfId="4808" xr:uid="{00000000-0005-0000-0000-0000944A0000}"/>
    <cellStyle name="40% - Accent6 2 2 2 10 2" xfId="16091" xr:uid="{00000000-0005-0000-0000-0000954A0000}"/>
    <cellStyle name="40% - Accent6 2 2 2 10 2 2" xfId="29498" xr:uid="{00000000-0005-0000-0000-0000964A0000}"/>
    <cellStyle name="40% - Accent6 2 2 2 10 3" xfId="24173" xr:uid="{00000000-0005-0000-0000-0000974A0000}"/>
    <cellStyle name="40% - Accent6 2 2 2 11" xfId="9506" xr:uid="{00000000-0005-0000-0000-0000984A0000}"/>
    <cellStyle name="40% - Accent6 2 2 2 11 2" xfId="23981" xr:uid="{00000000-0005-0000-0000-0000994A0000}"/>
    <cellStyle name="40% - Accent6 2 2 2 12" xfId="24172" xr:uid="{00000000-0005-0000-0000-00009A4A0000}"/>
    <cellStyle name="40% - Accent6 2 2 2 2" xfId="4809" xr:uid="{00000000-0005-0000-0000-00009B4A0000}"/>
    <cellStyle name="40% - Accent6 2 2 2 2 10" xfId="9507" xr:uid="{00000000-0005-0000-0000-00009C4A0000}"/>
    <cellStyle name="40% - Accent6 2 2 2 2 10 2" xfId="23982" xr:uid="{00000000-0005-0000-0000-00009D4A0000}"/>
    <cellStyle name="40% - Accent6 2 2 2 2 11" xfId="22736" xr:uid="{00000000-0005-0000-0000-00009E4A0000}"/>
    <cellStyle name="40% - Accent6 2 2 2 2 2" xfId="4810" xr:uid="{00000000-0005-0000-0000-00009F4A0000}"/>
    <cellStyle name="40% - Accent6 2 2 2 2 2 2" xfId="4811" xr:uid="{00000000-0005-0000-0000-0000A04A0000}"/>
    <cellStyle name="40% - Accent6 2 2 2 2 2 2 2" xfId="11235" xr:uid="{00000000-0005-0000-0000-0000A14A0000}"/>
    <cellStyle name="40% - Accent6 2 2 2 2 2 2 2 2" xfId="25177" xr:uid="{00000000-0005-0000-0000-0000A24A0000}"/>
    <cellStyle name="40% - Accent6 2 2 2 2 2 2 3" xfId="24171" xr:uid="{00000000-0005-0000-0000-0000A34A0000}"/>
    <cellStyle name="40% - Accent6 2 2 2 2 2 3" xfId="4812" xr:uid="{00000000-0005-0000-0000-0000A44A0000}"/>
    <cellStyle name="40% - Accent6 2 2 2 2 2 3 2" xfId="13022" xr:uid="{00000000-0005-0000-0000-0000A54A0000}"/>
    <cellStyle name="40% - Accent6 2 2 2 2 2 3 2 2" xfId="26734" xr:uid="{00000000-0005-0000-0000-0000A64A0000}"/>
    <cellStyle name="40% - Accent6 2 2 2 2 2 3 3" xfId="22734" xr:uid="{00000000-0005-0000-0000-0000A74A0000}"/>
    <cellStyle name="40% - Accent6 2 2 2 2 2 4" xfId="4813" xr:uid="{00000000-0005-0000-0000-0000A84A0000}"/>
    <cellStyle name="40% - Accent6 2 2 2 2 2 4 2" xfId="15484" xr:uid="{00000000-0005-0000-0000-0000A94A0000}"/>
    <cellStyle name="40% - Accent6 2 2 2 2 2 4 2 2" xfId="29033" xr:uid="{00000000-0005-0000-0000-0000AA4A0000}"/>
    <cellStyle name="40% - Accent6 2 2 2 2 2 4 3" xfId="24168" xr:uid="{00000000-0005-0000-0000-0000AB4A0000}"/>
    <cellStyle name="40% - Accent6 2 2 2 2 2 5" xfId="4814" xr:uid="{00000000-0005-0000-0000-0000AC4A0000}"/>
    <cellStyle name="40% - Accent6 2 2 2 2 2 5 2" xfId="16961" xr:uid="{00000000-0005-0000-0000-0000AD4A0000}"/>
    <cellStyle name="40% - Accent6 2 2 2 2 2 5 2 2" xfId="30368" xr:uid="{00000000-0005-0000-0000-0000AE4A0000}"/>
    <cellStyle name="40% - Accent6 2 2 2 2 2 5 3" xfId="22733" xr:uid="{00000000-0005-0000-0000-0000AF4A0000}"/>
    <cellStyle name="40% - Accent6 2 2 2 2 2 6" xfId="9508" xr:uid="{00000000-0005-0000-0000-0000B04A0000}"/>
    <cellStyle name="40% - Accent6 2 2 2 2 2 6 2" xfId="23983" xr:uid="{00000000-0005-0000-0000-0000B14A0000}"/>
    <cellStyle name="40% - Accent6 2 2 2 2 2 7" xfId="22735" xr:uid="{00000000-0005-0000-0000-0000B24A0000}"/>
    <cellStyle name="40% - Accent6 2 2 2 2 3" xfId="4815" xr:uid="{00000000-0005-0000-0000-0000B34A0000}"/>
    <cellStyle name="40% - Accent6 2 2 2 2 3 2" xfId="4816" xr:uid="{00000000-0005-0000-0000-0000B44A0000}"/>
    <cellStyle name="40% - Accent6 2 2 2 2 3 2 2" xfId="15485" xr:uid="{00000000-0005-0000-0000-0000B54A0000}"/>
    <cellStyle name="40% - Accent6 2 2 2 2 3 2 2 2" xfId="29034" xr:uid="{00000000-0005-0000-0000-0000B64A0000}"/>
    <cellStyle name="40% - Accent6 2 2 2 2 3 2 3" xfId="22732" xr:uid="{00000000-0005-0000-0000-0000B74A0000}"/>
    <cellStyle name="40% - Accent6 2 2 2 2 3 3" xfId="11234" xr:uid="{00000000-0005-0000-0000-0000B84A0000}"/>
    <cellStyle name="40% - Accent6 2 2 2 2 3 3 2" xfId="25176" xr:uid="{00000000-0005-0000-0000-0000B94A0000}"/>
    <cellStyle name="40% - Accent6 2 2 2 2 3 4" xfId="25242" xr:uid="{00000000-0005-0000-0000-0000BA4A0000}"/>
    <cellStyle name="40% - Accent6 2 2 2 2 4" xfId="4817" xr:uid="{00000000-0005-0000-0000-0000BB4A0000}"/>
    <cellStyle name="40% - Accent6 2 2 2 2 4 2" xfId="12349" xr:uid="{00000000-0005-0000-0000-0000BC4A0000}"/>
    <cellStyle name="40% - Accent6 2 2 2 2 4 2 2" xfId="26061" xr:uid="{00000000-0005-0000-0000-0000BD4A0000}"/>
    <cellStyle name="40% - Accent6 2 2 2 2 4 3" xfId="24432" xr:uid="{00000000-0005-0000-0000-0000BE4A0000}"/>
    <cellStyle name="40% - Accent6 2 2 2 2 5" xfId="4818" xr:uid="{00000000-0005-0000-0000-0000BF4A0000}"/>
    <cellStyle name="40% - Accent6 2 2 2 2 5 2" xfId="13021" xr:uid="{00000000-0005-0000-0000-0000C04A0000}"/>
    <cellStyle name="40% - Accent6 2 2 2 2 5 2 2" xfId="26733" xr:uid="{00000000-0005-0000-0000-0000C14A0000}"/>
    <cellStyle name="40% - Accent6 2 2 2 2 5 3" xfId="29128" xr:uid="{00000000-0005-0000-0000-0000C24A0000}"/>
    <cellStyle name="40% - Accent6 2 2 2 2 6" xfId="4819" xr:uid="{00000000-0005-0000-0000-0000C34A0000}"/>
    <cellStyle name="40% - Accent6 2 2 2 2 6 2" xfId="13913" xr:uid="{00000000-0005-0000-0000-0000C44A0000}"/>
    <cellStyle name="40% - Accent6 2 2 2 2 6 2 2" xfId="27462" xr:uid="{00000000-0005-0000-0000-0000C54A0000}"/>
    <cellStyle name="40% - Accent6 2 2 2 2 6 3" xfId="22731" xr:uid="{00000000-0005-0000-0000-0000C64A0000}"/>
    <cellStyle name="40% - Accent6 2 2 2 2 7" xfId="4820" xr:uid="{00000000-0005-0000-0000-0000C74A0000}"/>
    <cellStyle name="40% - Accent6 2 2 2 2 7 2" xfId="14494" xr:uid="{00000000-0005-0000-0000-0000C84A0000}"/>
    <cellStyle name="40% - Accent6 2 2 2 2 7 2 2" xfId="28043" xr:uid="{00000000-0005-0000-0000-0000C94A0000}"/>
    <cellStyle name="40% - Accent6 2 2 2 2 7 3" xfId="22730" xr:uid="{00000000-0005-0000-0000-0000CA4A0000}"/>
    <cellStyle name="40% - Accent6 2 2 2 2 8" xfId="4821" xr:uid="{00000000-0005-0000-0000-0000CB4A0000}"/>
    <cellStyle name="40% - Accent6 2 2 2 2 8 2" xfId="15483" xr:uid="{00000000-0005-0000-0000-0000CC4A0000}"/>
    <cellStyle name="40% - Accent6 2 2 2 2 8 2 2" xfId="29032" xr:uid="{00000000-0005-0000-0000-0000CD4A0000}"/>
    <cellStyle name="40% - Accent6 2 2 2 2 8 3" xfId="24170" xr:uid="{00000000-0005-0000-0000-0000CE4A0000}"/>
    <cellStyle name="40% - Accent6 2 2 2 2 9" xfId="4822" xr:uid="{00000000-0005-0000-0000-0000CF4A0000}"/>
    <cellStyle name="40% - Accent6 2 2 2 2 9 2" xfId="16380" xr:uid="{00000000-0005-0000-0000-0000D04A0000}"/>
    <cellStyle name="40% - Accent6 2 2 2 2 9 2 2" xfId="29787" xr:uid="{00000000-0005-0000-0000-0000D14A0000}"/>
    <cellStyle name="40% - Accent6 2 2 2 2 9 3" xfId="22729" xr:uid="{00000000-0005-0000-0000-0000D24A0000}"/>
    <cellStyle name="40% - Accent6 2 2 2 3" xfId="4823" xr:uid="{00000000-0005-0000-0000-0000D34A0000}"/>
    <cellStyle name="40% - Accent6 2 2 2 3 2" xfId="4824" xr:uid="{00000000-0005-0000-0000-0000D44A0000}"/>
    <cellStyle name="40% - Accent6 2 2 2 3 2 2" xfId="11236" xr:uid="{00000000-0005-0000-0000-0000D54A0000}"/>
    <cellStyle name="40% - Accent6 2 2 2 3 2 2 2" xfId="25178" xr:uid="{00000000-0005-0000-0000-0000D64A0000}"/>
    <cellStyle name="40% - Accent6 2 2 2 3 2 3" xfId="22728" xr:uid="{00000000-0005-0000-0000-0000D74A0000}"/>
    <cellStyle name="40% - Accent6 2 2 2 3 3" xfId="4825" xr:uid="{00000000-0005-0000-0000-0000D84A0000}"/>
    <cellStyle name="40% - Accent6 2 2 2 3 3 2" xfId="13023" xr:uid="{00000000-0005-0000-0000-0000D94A0000}"/>
    <cellStyle name="40% - Accent6 2 2 2 3 3 2 2" xfId="26735" xr:uid="{00000000-0005-0000-0000-0000DA4A0000}"/>
    <cellStyle name="40% - Accent6 2 2 2 3 3 3" xfId="23251" xr:uid="{00000000-0005-0000-0000-0000DB4A0000}"/>
    <cellStyle name="40% - Accent6 2 2 2 3 4" xfId="4826" xr:uid="{00000000-0005-0000-0000-0000DC4A0000}"/>
    <cellStyle name="40% - Accent6 2 2 2 3 4 2" xfId="15486" xr:uid="{00000000-0005-0000-0000-0000DD4A0000}"/>
    <cellStyle name="40% - Accent6 2 2 2 3 4 2 2" xfId="29035" xr:uid="{00000000-0005-0000-0000-0000DE4A0000}"/>
    <cellStyle name="40% - Accent6 2 2 2 3 4 3" xfId="23282" xr:uid="{00000000-0005-0000-0000-0000DF4A0000}"/>
    <cellStyle name="40% - Accent6 2 2 2 3 5" xfId="4827" xr:uid="{00000000-0005-0000-0000-0000E04A0000}"/>
    <cellStyle name="40% - Accent6 2 2 2 3 5 2" xfId="16672" xr:uid="{00000000-0005-0000-0000-0000E14A0000}"/>
    <cellStyle name="40% - Accent6 2 2 2 3 5 2 2" xfId="30079" xr:uid="{00000000-0005-0000-0000-0000E24A0000}"/>
    <cellStyle name="40% - Accent6 2 2 2 3 5 3" xfId="22727" xr:uid="{00000000-0005-0000-0000-0000E34A0000}"/>
    <cellStyle name="40% - Accent6 2 2 2 3 6" xfId="9509" xr:uid="{00000000-0005-0000-0000-0000E44A0000}"/>
    <cellStyle name="40% - Accent6 2 2 2 3 6 2" xfId="23984" xr:uid="{00000000-0005-0000-0000-0000E54A0000}"/>
    <cellStyle name="40% - Accent6 2 2 2 3 7" xfId="24169" xr:uid="{00000000-0005-0000-0000-0000E64A0000}"/>
    <cellStyle name="40% - Accent6 2 2 2 4" xfId="4828" xr:uid="{00000000-0005-0000-0000-0000E74A0000}"/>
    <cellStyle name="40% - Accent6 2 2 2 4 2" xfId="4829" xr:uid="{00000000-0005-0000-0000-0000E84A0000}"/>
    <cellStyle name="40% - Accent6 2 2 2 4 2 2" xfId="15487" xr:uid="{00000000-0005-0000-0000-0000E94A0000}"/>
    <cellStyle name="40% - Accent6 2 2 2 4 2 2 2" xfId="29036" xr:uid="{00000000-0005-0000-0000-0000EA4A0000}"/>
    <cellStyle name="40% - Accent6 2 2 2 4 2 3" xfId="22726" xr:uid="{00000000-0005-0000-0000-0000EB4A0000}"/>
    <cellStyle name="40% - Accent6 2 2 2 4 3" xfId="11233" xr:uid="{00000000-0005-0000-0000-0000EC4A0000}"/>
    <cellStyle name="40% - Accent6 2 2 2 4 3 2" xfId="25175" xr:uid="{00000000-0005-0000-0000-0000ED4A0000}"/>
    <cellStyle name="40% - Accent6 2 2 2 4 4" xfId="24167" xr:uid="{00000000-0005-0000-0000-0000EE4A0000}"/>
    <cellStyle name="40% - Accent6 2 2 2 5" xfId="4830" xr:uid="{00000000-0005-0000-0000-0000EF4A0000}"/>
    <cellStyle name="40% - Accent6 2 2 2 5 2" xfId="12049" xr:uid="{00000000-0005-0000-0000-0000F04A0000}"/>
    <cellStyle name="40% - Accent6 2 2 2 5 2 2" xfId="25764" xr:uid="{00000000-0005-0000-0000-0000F14A0000}"/>
    <cellStyle name="40% - Accent6 2 2 2 5 3" xfId="24166" xr:uid="{00000000-0005-0000-0000-0000F24A0000}"/>
    <cellStyle name="40% - Accent6 2 2 2 6" xfId="4831" xr:uid="{00000000-0005-0000-0000-0000F34A0000}"/>
    <cellStyle name="40% - Accent6 2 2 2 6 2" xfId="13020" xr:uid="{00000000-0005-0000-0000-0000F44A0000}"/>
    <cellStyle name="40% - Accent6 2 2 2 6 2 2" xfId="26732" xr:uid="{00000000-0005-0000-0000-0000F54A0000}"/>
    <cellStyle name="40% - Accent6 2 2 2 6 3" xfId="22725" xr:uid="{00000000-0005-0000-0000-0000F64A0000}"/>
    <cellStyle name="40% - Accent6 2 2 2 7" xfId="4832" xr:uid="{00000000-0005-0000-0000-0000F74A0000}"/>
    <cellStyle name="40% - Accent6 2 2 2 7 2" xfId="13624" xr:uid="{00000000-0005-0000-0000-0000F84A0000}"/>
    <cellStyle name="40% - Accent6 2 2 2 7 2 2" xfId="27173" xr:uid="{00000000-0005-0000-0000-0000F94A0000}"/>
    <cellStyle name="40% - Accent6 2 2 2 7 3" xfId="24165" xr:uid="{00000000-0005-0000-0000-0000FA4A0000}"/>
    <cellStyle name="40% - Accent6 2 2 2 8" xfId="4833" xr:uid="{00000000-0005-0000-0000-0000FB4A0000}"/>
    <cellStyle name="40% - Accent6 2 2 2 8 2" xfId="14205" xr:uid="{00000000-0005-0000-0000-0000FC4A0000}"/>
    <cellStyle name="40% - Accent6 2 2 2 8 2 2" xfId="27754" xr:uid="{00000000-0005-0000-0000-0000FD4A0000}"/>
    <cellStyle name="40% - Accent6 2 2 2 8 3" xfId="22724" xr:uid="{00000000-0005-0000-0000-0000FE4A0000}"/>
    <cellStyle name="40% - Accent6 2 2 2 9" xfId="4834" xr:uid="{00000000-0005-0000-0000-0000FF4A0000}"/>
    <cellStyle name="40% - Accent6 2 2 2 9 2" xfId="15482" xr:uid="{00000000-0005-0000-0000-0000004B0000}"/>
    <cellStyle name="40% - Accent6 2 2 2 9 2 2" xfId="29031" xr:uid="{00000000-0005-0000-0000-0000014B0000}"/>
    <cellStyle name="40% - Accent6 2 2 2 9 3" xfId="24164" xr:uid="{00000000-0005-0000-0000-0000024B0000}"/>
    <cellStyle name="40% - Accent6 2 2 3" xfId="4835" xr:uid="{00000000-0005-0000-0000-0000034B0000}"/>
    <cellStyle name="40% - Accent6 2 2 3 10" xfId="9510" xr:uid="{00000000-0005-0000-0000-0000044B0000}"/>
    <cellStyle name="40% - Accent6 2 2 3 10 2" xfId="23985" xr:uid="{00000000-0005-0000-0000-0000054B0000}"/>
    <cellStyle name="40% - Accent6 2 2 3 11" xfId="22723" xr:uid="{00000000-0005-0000-0000-0000064B0000}"/>
    <cellStyle name="40% - Accent6 2 2 3 2" xfId="4836" xr:uid="{00000000-0005-0000-0000-0000074B0000}"/>
    <cellStyle name="40% - Accent6 2 2 3 2 2" xfId="4837" xr:uid="{00000000-0005-0000-0000-0000084B0000}"/>
    <cellStyle name="40% - Accent6 2 2 3 2 2 2" xfId="11238" xr:uid="{00000000-0005-0000-0000-0000094B0000}"/>
    <cellStyle name="40% - Accent6 2 2 3 2 2 2 2" xfId="25180" xr:uid="{00000000-0005-0000-0000-00000A4B0000}"/>
    <cellStyle name="40% - Accent6 2 2 3 2 2 3" xfId="24163" xr:uid="{00000000-0005-0000-0000-00000B4B0000}"/>
    <cellStyle name="40% - Accent6 2 2 3 2 3" xfId="4838" xr:uid="{00000000-0005-0000-0000-00000C4B0000}"/>
    <cellStyle name="40% - Accent6 2 2 3 2 3 2" xfId="13025" xr:uid="{00000000-0005-0000-0000-00000D4B0000}"/>
    <cellStyle name="40% - Accent6 2 2 3 2 3 2 2" xfId="26737" xr:uid="{00000000-0005-0000-0000-00000E4B0000}"/>
    <cellStyle name="40% - Accent6 2 2 3 2 3 3" xfId="22722" xr:uid="{00000000-0005-0000-0000-00000F4B0000}"/>
    <cellStyle name="40% - Accent6 2 2 3 2 4" xfId="4839" xr:uid="{00000000-0005-0000-0000-0000104B0000}"/>
    <cellStyle name="40% - Accent6 2 2 3 2 4 2" xfId="15489" xr:uid="{00000000-0005-0000-0000-0000114B0000}"/>
    <cellStyle name="40% - Accent6 2 2 3 2 4 2 2" xfId="29038" xr:uid="{00000000-0005-0000-0000-0000124B0000}"/>
    <cellStyle name="40% - Accent6 2 2 3 2 4 3" xfId="22721" xr:uid="{00000000-0005-0000-0000-0000134B0000}"/>
    <cellStyle name="40% - Accent6 2 2 3 2 5" xfId="4840" xr:uid="{00000000-0005-0000-0000-0000144B0000}"/>
    <cellStyle name="40% - Accent6 2 2 3 2 5 2" xfId="16818" xr:uid="{00000000-0005-0000-0000-0000154B0000}"/>
    <cellStyle name="40% - Accent6 2 2 3 2 5 2 2" xfId="30225" xr:uid="{00000000-0005-0000-0000-0000164B0000}"/>
    <cellStyle name="40% - Accent6 2 2 3 2 5 3" xfId="24161" xr:uid="{00000000-0005-0000-0000-0000174B0000}"/>
    <cellStyle name="40% - Accent6 2 2 3 2 6" xfId="9511" xr:uid="{00000000-0005-0000-0000-0000184B0000}"/>
    <cellStyle name="40% - Accent6 2 2 3 2 6 2" xfId="23986" xr:uid="{00000000-0005-0000-0000-0000194B0000}"/>
    <cellStyle name="40% - Accent6 2 2 3 2 7" xfId="24162" xr:uid="{00000000-0005-0000-0000-00001A4B0000}"/>
    <cellStyle name="40% - Accent6 2 2 3 3" xfId="4841" xr:uid="{00000000-0005-0000-0000-00001B4B0000}"/>
    <cellStyle name="40% - Accent6 2 2 3 3 2" xfId="4842" xr:uid="{00000000-0005-0000-0000-00001C4B0000}"/>
    <cellStyle name="40% - Accent6 2 2 3 3 2 2" xfId="15490" xr:uid="{00000000-0005-0000-0000-00001D4B0000}"/>
    <cellStyle name="40% - Accent6 2 2 3 3 2 2 2" xfId="29039" xr:uid="{00000000-0005-0000-0000-00001E4B0000}"/>
    <cellStyle name="40% - Accent6 2 2 3 3 2 3" xfId="22720" xr:uid="{00000000-0005-0000-0000-00001F4B0000}"/>
    <cellStyle name="40% - Accent6 2 2 3 3 3" xfId="11237" xr:uid="{00000000-0005-0000-0000-0000204B0000}"/>
    <cellStyle name="40% - Accent6 2 2 3 3 3 2" xfId="25179" xr:uid="{00000000-0005-0000-0000-0000214B0000}"/>
    <cellStyle name="40% - Accent6 2 2 3 3 4" xfId="26811" xr:uid="{00000000-0005-0000-0000-0000224B0000}"/>
    <cellStyle name="40% - Accent6 2 2 3 4" xfId="4843" xr:uid="{00000000-0005-0000-0000-0000234B0000}"/>
    <cellStyle name="40% - Accent6 2 2 3 4 2" xfId="12206" xr:uid="{00000000-0005-0000-0000-0000244B0000}"/>
    <cellStyle name="40% - Accent6 2 2 3 4 2 2" xfId="25918" xr:uid="{00000000-0005-0000-0000-0000254B0000}"/>
    <cellStyle name="40% - Accent6 2 2 3 4 3" xfId="26812" xr:uid="{00000000-0005-0000-0000-0000264B0000}"/>
    <cellStyle name="40% - Accent6 2 2 3 5" xfId="4844" xr:uid="{00000000-0005-0000-0000-0000274B0000}"/>
    <cellStyle name="40% - Accent6 2 2 3 5 2" xfId="13024" xr:uid="{00000000-0005-0000-0000-0000284B0000}"/>
    <cellStyle name="40% - Accent6 2 2 3 5 2 2" xfId="26736" xr:uid="{00000000-0005-0000-0000-0000294B0000}"/>
    <cellStyle name="40% - Accent6 2 2 3 5 3" xfId="22719" xr:uid="{00000000-0005-0000-0000-00002A4B0000}"/>
    <cellStyle name="40% - Accent6 2 2 3 6" xfId="4845" xr:uid="{00000000-0005-0000-0000-00002B4B0000}"/>
    <cellStyle name="40% - Accent6 2 2 3 6 2" xfId="13770" xr:uid="{00000000-0005-0000-0000-00002C4B0000}"/>
    <cellStyle name="40% - Accent6 2 2 3 6 2 2" xfId="27319" xr:uid="{00000000-0005-0000-0000-00002D4B0000}"/>
    <cellStyle name="40% - Accent6 2 2 3 6 3" xfId="22718" xr:uid="{00000000-0005-0000-0000-00002E4B0000}"/>
    <cellStyle name="40% - Accent6 2 2 3 7" xfId="4846" xr:uid="{00000000-0005-0000-0000-00002F4B0000}"/>
    <cellStyle name="40% - Accent6 2 2 3 7 2" xfId="14351" xr:uid="{00000000-0005-0000-0000-0000304B0000}"/>
    <cellStyle name="40% - Accent6 2 2 3 7 2 2" xfId="27900" xr:uid="{00000000-0005-0000-0000-0000314B0000}"/>
    <cellStyle name="40% - Accent6 2 2 3 7 3" xfId="24159" xr:uid="{00000000-0005-0000-0000-0000324B0000}"/>
    <cellStyle name="40% - Accent6 2 2 3 8" xfId="4847" xr:uid="{00000000-0005-0000-0000-0000334B0000}"/>
    <cellStyle name="40% - Accent6 2 2 3 8 2" xfId="15488" xr:uid="{00000000-0005-0000-0000-0000344B0000}"/>
    <cellStyle name="40% - Accent6 2 2 3 8 2 2" xfId="29037" xr:uid="{00000000-0005-0000-0000-0000354B0000}"/>
    <cellStyle name="40% - Accent6 2 2 3 8 3" xfId="24160" xr:uid="{00000000-0005-0000-0000-0000364B0000}"/>
    <cellStyle name="40% - Accent6 2 2 3 9" xfId="4848" xr:uid="{00000000-0005-0000-0000-0000374B0000}"/>
    <cellStyle name="40% - Accent6 2 2 3 9 2" xfId="16237" xr:uid="{00000000-0005-0000-0000-0000384B0000}"/>
    <cellStyle name="40% - Accent6 2 2 3 9 2 2" xfId="29644" xr:uid="{00000000-0005-0000-0000-0000394B0000}"/>
    <cellStyle name="40% - Accent6 2 2 3 9 3" xfId="22717" xr:uid="{00000000-0005-0000-0000-00003A4B0000}"/>
    <cellStyle name="40% - Accent6 2 2 4" xfId="4849" xr:uid="{00000000-0005-0000-0000-00003B4B0000}"/>
    <cellStyle name="40% - Accent6 2 2 4 2" xfId="4850" xr:uid="{00000000-0005-0000-0000-00003C4B0000}"/>
    <cellStyle name="40% - Accent6 2 2 4 2 2" xfId="11239" xr:uid="{00000000-0005-0000-0000-00003D4B0000}"/>
    <cellStyle name="40% - Accent6 2 2 4 2 2 2" xfId="25181" xr:uid="{00000000-0005-0000-0000-00003E4B0000}"/>
    <cellStyle name="40% - Accent6 2 2 4 2 3" xfId="24158" xr:uid="{00000000-0005-0000-0000-00003F4B0000}"/>
    <cellStyle name="40% - Accent6 2 2 4 3" xfId="4851" xr:uid="{00000000-0005-0000-0000-0000404B0000}"/>
    <cellStyle name="40% - Accent6 2 2 4 3 2" xfId="13026" xr:uid="{00000000-0005-0000-0000-0000414B0000}"/>
    <cellStyle name="40% - Accent6 2 2 4 3 2 2" xfId="26738" xr:uid="{00000000-0005-0000-0000-0000424B0000}"/>
    <cellStyle name="40% - Accent6 2 2 4 3 3" xfId="22715" xr:uid="{00000000-0005-0000-0000-0000434B0000}"/>
    <cellStyle name="40% - Accent6 2 2 4 4" xfId="4852" xr:uid="{00000000-0005-0000-0000-0000444B0000}"/>
    <cellStyle name="40% - Accent6 2 2 4 4 2" xfId="15491" xr:uid="{00000000-0005-0000-0000-0000454B0000}"/>
    <cellStyle name="40% - Accent6 2 2 4 4 2 2" xfId="29040" xr:uid="{00000000-0005-0000-0000-0000464B0000}"/>
    <cellStyle name="40% - Accent6 2 2 4 4 3" xfId="24155" xr:uid="{00000000-0005-0000-0000-0000474B0000}"/>
    <cellStyle name="40% - Accent6 2 2 4 5" xfId="4853" xr:uid="{00000000-0005-0000-0000-0000484B0000}"/>
    <cellStyle name="40% - Accent6 2 2 4 5 2" xfId="17165" xr:uid="{00000000-0005-0000-0000-0000494B0000}"/>
    <cellStyle name="40% - Accent6 2 2 4 5 2 2" xfId="30524" xr:uid="{00000000-0005-0000-0000-00004A4B0000}"/>
    <cellStyle name="40% - Accent6 2 2 4 5 3" xfId="22714" xr:uid="{00000000-0005-0000-0000-00004B4B0000}"/>
    <cellStyle name="40% - Accent6 2 2 4 6" xfId="9512" xr:uid="{00000000-0005-0000-0000-00004C4B0000}"/>
    <cellStyle name="40% - Accent6 2 2 4 6 2" xfId="23987" xr:uid="{00000000-0005-0000-0000-00004D4B0000}"/>
    <cellStyle name="40% - Accent6 2 2 4 7" xfId="22716" xr:uid="{00000000-0005-0000-0000-00004E4B0000}"/>
    <cellStyle name="40% - Accent6 2 2 5" xfId="4854" xr:uid="{00000000-0005-0000-0000-00004F4B0000}"/>
    <cellStyle name="40% - Accent6 2 2 5 2" xfId="4855" xr:uid="{00000000-0005-0000-0000-0000504B0000}"/>
    <cellStyle name="40% - Accent6 2 2 5 2 2" xfId="15492" xr:uid="{00000000-0005-0000-0000-0000514B0000}"/>
    <cellStyle name="40% - Accent6 2 2 5 2 2 2" xfId="29041" xr:uid="{00000000-0005-0000-0000-0000524B0000}"/>
    <cellStyle name="40% - Accent6 2 2 5 2 3" xfId="22713" xr:uid="{00000000-0005-0000-0000-0000534B0000}"/>
    <cellStyle name="40% - Accent6 2 2 5 3" xfId="4856" xr:uid="{00000000-0005-0000-0000-0000544B0000}"/>
    <cellStyle name="40% - Accent6 2 2 5 3 2" xfId="17254" xr:uid="{00000000-0005-0000-0000-0000554B0000}"/>
    <cellStyle name="40% - Accent6 2 2 5 3 2 2" xfId="30613" xr:uid="{00000000-0005-0000-0000-0000564B0000}"/>
    <cellStyle name="40% - Accent6 2 2 5 3 3" xfId="24431" xr:uid="{00000000-0005-0000-0000-0000574B0000}"/>
    <cellStyle name="40% - Accent6 2 2 5 4" xfId="11232" xr:uid="{00000000-0005-0000-0000-0000584B0000}"/>
    <cellStyle name="40% - Accent6 2 2 5 4 2" xfId="25174" xr:uid="{00000000-0005-0000-0000-0000594B0000}"/>
    <cellStyle name="40% - Accent6 2 2 5 5" xfId="25241" xr:uid="{00000000-0005-0000-0000-00005A4B0000}"/>
    <cellStyle name="40% - Accent6 2 2 6" xfId="4857" xr:uid="{00000000-0005-0000-0000-00005B4B0000}"/>
    <cellStyle name="40% - Accent6 2 2 6 2" xfId="4858" xr:uid="{00000000-0005-0000-0000-00005C4B0000}"/>
    <cellStyle name="40% - Accent6 2 2 6 2 2" xfId="16529" xr:uid="{00000000-0005-0000-0000-00005D4B0000}"/>
    <cellStyle name="40% - Accent6 2 2 6 2 2 2" xfId="29936" xr:uid="{00000000-0005-0000-0000-00005E4B0000}"/>
    <cellStyle name="40% - Accent6 2 2 6 2 3" xfId="22712" xr:uid="{00000000-0005-0000-0000-00005F4B0000}"/>
    <cellStyle name="40% - Accent6 2 2 6 3" xfId="11904" xr:uid="{00000000-0005-0000-0000-0000604B0000}"/>
    <cellStyle name="40% - Accent6 2 2 6 3 2" xfId="25619" xr:uid="{00000000-0005-0000-0000-0000614B0000}"/>
    <cellStyle name="40% - Accent6 2 2 6 4" xfId="29127" xr:uid="{00000000-0005-0000-0000-0000624B0000}"/>
    <cellStyle name="40% - Accent6 2 2 7" xfId="4859" xr:uid="{00000000-0005-0000-0000-0000634B0000}"/>
    <cellStyle name="40% - Accent6 2 2 7 2" xfId="13019" xr:uid="{00000000-0005-0000-0000-0000644B0000}"/>
    <cellStyle name="40% - Accent6 2 2 7 2 2" xfId="26731" xr:uid="{00000000-0005-0000-0000-0000654B0000}"/>
    <cellStyle name="40% - Accent6 2 2 7 3" xfId="22711" xr:uid="{00000000-0005-0000-0000-0000664B0000}"/>
    <cellStyle name="40% - Accent6 2 2 8" xfId="4860" xr:uid="{00000000-0005-0000-0000-0000674B0000}"/>
    <cellStyle name="40% - Accent6 2 2 8 2" xfId="13481" xr:uid="{00000000-0005-0000-0000-0000684B0000}"/>
    <cellStyle name="40% - Accent6 2 2 8 2 2" xfId="27030" xr:uid="{00000000-0005-0000-0000-0000694B0000}"/>
    <cellStyle name="40% - Accent6 2 2 8 3" xfId="24157" xr:uid="{00000000-0005-0000-0000-00006A4B0000}"/>
    <cellStyle name="40% - Accent6 2 2 9" xfId="4861" xr:uid="{00000000-0005-0000-0000-00006B4B0000}"/>
    <cellStyle name="40% - Accent6 2 2 9 2" xfId="14062" xr:uid="{00000000-0005-0000-0000-00006C4B0000}"/>
    <cellStyle name="40% - Accent6 2 2 9 2 2" xfId="27611" xr:uid="{00000000-0005-0000-0000-00006D4B0000}"/>
    <cellStyle name="40% - Accent6 2 2 9 3" xfId="22710" xr:uid="{00000000-0005-0000-0000-00006E4B0000}"/>
    <cellStyle name="40% - Accent6 2 3" xfId="4862" xr:uid="{00000000-0005-0000-0000-00006F4B0000}"/>
    <cellStyle name="40% - Accent6 2 3 10" xfId="4863" xr:uid="{00000000-0005-0000-0000-0000704B0000}"/>
    <cellStyle name="40% - Accent6 2 3 10 2" xfId="16045" xr:uid="{00000000-0005-0000-0000-0000714B0000}"/>
    <cellStyle name="40% - Accent6 2 3 10 2 2" xfId="29452" xr:uid="{00000000-0005-0000-0000-0000724B0000}"/>
    <cellStyle name="40% - Accent6 2 3 10 3" xfId="22709" xr:uid="{00000000-0005-0000-0000-0000734B0000}"/>
    <cellStyle name="40% - Accent6 2 3 11" xfId="9513" xr:uid="{00000000-0005-0000-0000-0000744B0000}"/>
    <cellStyle name="40% - Accent6 2 3 11 2" xfId="23988" xr:uid="{00000000-0005-0000-0000-0000754B0000}"/>
    <cellStyle name="40% - Accent6 2 3 12" xfId="24156" xr:uid="{00000000-0005-0000-0000-0000764B0000}"/>
    <cellStyle name="40% - Accent6 2 3 2" xfId="4864" xr:uid="{00000000-0005-0000-0000-0000774B0000}"/>
    <cellStyle name="40% - Accent6 2 3 2 10" xfId="9514" xr:uid="{00000000-0005-0000-0000-0000784B0000}"/>
    <cellStyle name="40% - Accent6 2 3 2 10 2" xfId="23989" xr:uid="{00000000-0005-0000-0000-0000794B0000}"/>
    <cellStyle name="40% - Accent6 2 3 2 11" xfId="23245" xr:uid="{00000000-0005-0000-0000-00007A4B0000}"/>
    <cellStyle name="40% - Accent6 2 3 2 2" xfId="4865" xr:uid="{00000000-0005-0000-0000-00007B4B0000}"/>
    <cellStyle name="40% - Accent6 2 3 2 2 2" xfId="4866" xr:uid="{00000000-0005-0000-0000-00007C4B0000}"/>
    <cellStyle name="40% - Accent6 2 3 2 2 2 2" xfId="11242" xr:uid="{00000000-0005-0000-0000-00007D4B0000}"/>
    <cellStyle name="40% - Accent6 2 3 2 2 2 2 2" xfId="25184" xr:uid="{00000000-0005-0000-0000-00007E4B0000}"/>
    <cellStyle name="40% - Accent6 2 3 2 2 2 3" xfId="22708" xr:uid="{00000000-0005-0000-0000-00007F4B0000}"/>
    <cellStyle name="40% - Accent6 2 3 2 2 3" xfId="4867" xr:uid="{00000000-0005-0000-0000-0000804B0000}"/>
    <cellStyle name="40% - Accent6 2 3 2 2 3 2" xfId="13029" xr:uid="{00000000-0005-0000-0000-0000814B0000}"/>
    <cellStyle name="40% - Accent6 2 3 2 2 3 2 2" xfId="26741" xr:uid="{00000000-0005-0000-0000-0000824B0000}"/>
    <cellStyle name="40% - Accent6 2 3 2 2 3 3" xfId="24153" xr:uid="{00000000-0005-0000-0000-0000834B0000}"/>
    <cellStyle name="40% - Accent6 2 3 2 2 4" xfId="4868" xr:uid="{00000000-0005-0000-0000-0000844B0000}"/>
    <cellStyle name="40% - Accent6 2 3 2 2 4 2" xfId="15495" xr:uid="{00000000-0005-0000-0000-0000854B0000}"/>
    <cellStyle name="40% - Accent6 2 3 2 2 4 2 2" xfId="29044" xr:uid="{00000000-0005-0000-0000-0000864B0000}"/>
    <cellStyle name="40% - Accent6 2 3 2 2 4 3" xfId="22707" xr:uid="{00000000-0005-0000-0000-0000874B0000}"/>
    <cellStyle name="40% - Accent6 2 3 2 2 5" xfId="4869" xr:uid="{00000000-0005-0000-0000-0000884B0000}"/>
    <cellStyle name="40% - Accent6 2 3 2 2 5 2" xfId="16915" xr:uid="{00000000-0005-0000-0000-0000894B0000}"/>
    <cellStyle name="40% - Accent6 2 3 2 2 5 2 2" xfId="30322" xr:uid="{00000000-0005-0000-0000-00008A4B0000}"/>
    <cellStyle name="40% - Accent6 2 3 2 2 5 3" xfId="24152" xr:uid="{00000000-0005-0000-0000-00008B4B0000}"/>
    <cellStyle name="40% - Accent6 2 3 2 2 6" xfId="9515" xr:uid="{00000000-0005-0000-0000-00008C4B0000}"/>
    <cellStyle name="40% - Accent6 2 3 2 2 6 2" xfId="23990" xr:uid="{00000000-0005-0000-0000-00008D4B0000}"/>
    <cellStyle name="40% - Accent6 2 3 2 2 7" xfId="24154" xr:uid="{00000000-0005-0000-0000-00008E4B0000}"/>
    <cellStyle name="40% - Accent6 2 3 2 3" xfId="4870" xr:uid="{00000000-0005-0000-0000-00008F4B0000}"/>
    <cellStyle name="40% - Accent6 2 3 2 3 2" xfId="4871" xr:uid="{00000000-0005-0000-0000-0000904B0000}"/>
    <cellStyle name="40% - Accent6 2 3 2 3 2 2" xfId="15496" xr:uid="{00000000-0005-0000-0000-0000914B0000}"/>
    <cellStyle name="40% - Accent6 2 3 2 3 2 2 2" xfId="29045" xr:uid="{00000000-0005-0000-0000-0000924B0000}"/>
    <cellStyle name="40% - Accent6 2 3 2 3 2 3" xfId="24151" xr:uid="{00000000-0005-0000-0000-0000934B0000}"/>
    <cellStyle name="40% - Accent6 2 3 2 3 3" xfId="11241" xr:uid="{00000000-0005-0000-0000-0000944B0000}"/>
    <cellStyle name="40% - Accent6 2 3 2 3 3 2" xfId="25183" xr:uid="{00000000-0005-0000-0000-0000954B0000}"/>
    <cellStyle name="40% - Accent6 2 3 2 3 4" xfId="22706" xr:uid="{00000000-0005-0000-0000-0000964B0000}"/>
    <cellStyle name="40% - Accent6 2 3 2 4" xfId="4872" xr:uid="{00000000-0005-0000-0000-0000974B0000}"/>
    <cellStyle name="40% - Accent6 2 3 2 4 2" xfId="12303" xr:uid="{00000000-0005-0000-0000-0000984B0000}"/>
    <cellStyle name="40% - Accent6 2 3 2 4 2 2" xfId="26015" xr:uid="{00000000-0005-0000-0000-0000994B0000}"/>
    <cellStyle name="40% - Accent6 2 3 2 4 3" xfId="22705" xr:uid="{00000000-0005-0000-0000-00009A4B0000}"/>
    <cellStyle name="40% - Accent6 2 3 2 5" xfId="4873" xr:uid="{00000000-0005-0000-0000-00009B4B0000}"/>
    <cellStyle name="40% - Accent6 2 3 2 5 2" xfId="13028" xr:uid="{00000000-0005-0000-0000-00009C4B0000}"/>
    <cellStyle name="40% - Accent6 2 3 2 5 2 2" xfId="26740" xr:uid="{00000000-0005-0000-0000-00009D4B0000}"/>
    <cellStyle name="40% - Accent6 2 3 2 5 3" xfId="24149" xr:uid="{00000000-0005-0000-0000-00009E4B0000}"/>
    <cellStyle name="40% - Accent6 2 3 2 6" xfId="4874" xr:uid="{00000000-0005-0000-0000-00009F4B0000}"/>
    <cellStyle name="40% - Accent6 2 3 2 6 2" xfId="13867" xr:uid="{00000000-0005-0000-0000-0000A04B0000}"/>
    <cellStyle name="40% - Accent6 2 3 2 6 2 2" xfId="27416" xr:uid="{00000000-0005-0000-0000-0000A14B0000}"/>
    <cellStyle name="40% - Accent6 2 3 2 6 3" xfId="24150" xr:uid="{00000000-0005-0000-0000-0000A24B0000}"/>
    <cellStyle name="40% - Accent6 2 3 2 7" xfId="4875" xr:uid="{00000000-0005-0000-0000-0000A34B0000}"/>
    <cellStyle name="40% - Accent6 2 3 2 7 2" xfId="14448" xr:uid="{00000000-0005-0000-0000-0000A44B0000}"/>
    <cellStyle name="40% - Accent6 2 3 2 7 2 2" xfId="27997" xr:uid="{00000000-0005-0000-0000-0000A54B0000}"/>
    <cellStyle name="40% - Accent6 2 3 2 7 3" xfId="22704" xr:uid="{00000000-0005-0000-0000-0000A64B0000}"/>
    <cellStyle name="40% - Accent6 2 3 2 8" xfId="4876" xr:uid="{00000000-0005-0000-0000-0000A74B0000}"/>
    <cellStyle name="40% - Accent6 2 3 2 8 2" xfId="15494" xr:uid="{00000000-0005-0000-0000-0000A84B0000}"/>
    <cellStyle name="40% - Accent6 2 3 2 8 2 2" xfId="29043" xr:uid="{00000000-0005-0000-0000-0000A94B0000}"/>
    <cellStyle name="40% - Accent6 2 3 2 8 3" xfId="22703" xr:uid="{00000000-0005-0000-0000-0000AA4B0000}"/>
    <cellStyle name="40% - Accent6 2 3 2 9" xfId="4877" xr:uid="{00000000-0005-0000-0000-0000AB4B0000}"/>
    <cellStyle name="40% - Accent6 2 3 2 9 2" xfId="16334" xr:uid="{00000000-0005-0000-0000-0000AC4B0000}"/>
    <cellStyle name="40% - Accent6 2 3 2 9 2 2" xfId="29741" xr:uid="{00000000-0005-0000-0000-0000AD4B0000}"/>
    <cellStyle name="40% - Accent6 2 3 2 9 3" xfId="24148" xr:uid="{00000000-0005-0000-0000-0000AE4B0000}"/>
    <cellStyle name="40% - Accent6 2 3 3" xfId="4878" xr:uid="{00000000-0005-0000-0000-0000AF4B0000}"/>
    <cellStyle name="40% - Accent6 2 3 3 2" xfId="4879" xr:uid="{00000000-0005-0000-0000-0000B04B0000}"/>
    <cellStyle name="40% - Accent6 2 3 3 2 2" xfId="11243" xr:uid="{00000000-0005-0000-0000-0000B14B0000}"/>
    <cellStyle name="40% - Accent6 2 3 3 2 2 2" xfId="25185" xr:uid="{00000000-0005-0000-0000-0000B24B0000}"/>
    <cellStyle name="40% - Accent6 2 3 3 2 3" xfId="22702" xr:uid="{00000000-0005-0000-0000-0000B34B0000}"/>
    <cellStyle name="40% - Accent6 2 3 3 3" xfId="4880" xr:uid="{00000000-0005-0000-0000-0000B44B0000}"/>
    <cellStyle name="40% - Accent6 2 3 3 3 2" xfId="13030" xr:uid="{00000000-0005-0000-0000-0000B54B0000}"/>
    <cellStyle name="40% - Accent6 2 3 3 3 2 2" xfId="26742" xr:uid="{00000000-0005-0000-0000-0000B64B0000}"/>
    <cellStyle name="40% - Accent6 2 3 3 3 3" xfId="26810" xr:uid="{00000000-0005-0000-0000-0000B74B0000}"/>
    <cellStyle name="40% - Accent6 2 3 3 4" xfId="4881" xr:uid="{00000000-0005-0000-0000-0000B84B0000}"/>
    <cellStyle name="40% - Accent6 2 3 3 4 2" xfId="15497" xr:uid="{00000000-0005-0000-0000-0000B94B0000}"/>
    <cellStyle name="40% - Accent6 2 3 3 4 2 2" xfId="29046" xr:uid="{00000000-0005-0000-0000-0000BA4B0000}"/>
    <cellStyle name="40% - Accent6 2 3 3 4 3" xfId="22701" xr:uid="{00000000-0005-0000-0000-0000BB4B0000}"/>
    <cellStyle name="40% - Accent6 2 3 3 5" xfId="4882" xr:uid="{00000000-0005-0000-0000-0000BC4B0000}"/>
    <cellStyle name="40% - Accent6 2 3 3 5 2" xfId="16626" xr:uid="{00000000-0005-0000-0000-0000BD4B0000}"/>
    <cellStyle name="40% - Accent6 2 3 3 5 2 2" xfId="30033" xr:uid="{00000000-0005-0000-0000-0000BE4B0000}"/>
    <cellStyle name="40% - Accent6 2 3 3 5 3" xfId="22700" xr:uid="{00000000-0005-0000-0000-0000BF4B0000}"/>
    <cellStyle name="40% - Accent6 2 3 3 6" xfId="9516" xr:uid="{00000000-0005-0000-0000-0000C04B0000}"/>
    <cellStyle name="40% - Accent6 2 3 3 6 2" xfId="23991" xr:uid="{00000000-0005-0000-0000-0000C14B0000}"/>
    <cellStyle name="40% - Accent6 2 3 3 7" xfId="26809" xr:uid="{00000000-0005-0000-0000-0000C24B0000}"/>
    <cellStyle name="40% - Accent6 2 3 4" xfId="4883" xr:uid="{00000000-0005-0000-0000-0000C34B0000}"/>
    <cellStyle name="40% - Accent6 2 3 4 2" xfId="4884" xr:uid="{00000000-0005-0000-0000-0000C44B0000}"/>
    <cellStyle name="40% - Accent6 2 3 4 2 2" xfId="15498" xr:uid="{00000000-0005-0000-0000-0000C54B0000}"/>
    <cellStyle name="40% - Accent6 2 3 4 2 2 2" xfId="29047" xr:uid="{00000000-0005-0000-0000-0000C64B0000}"/>
    <cellStyle name="40% - Accent6 2 3 4 2 3" xfId="24147" xr:uid="{00000000-0005-0000-0000-0000C74B0000}"/>
    <cellStyle name="40% - Accent6 2 3 4 3" xfId="11240" xr:uid="{00000000-0005-0000-0000-0000C84B0000}"/>
    <cellStyle name="40% - Accent6 2 3 4 3 2" xfId="25182" xr:uid="{00000000-0005-0000-0000-0000C94B0000}"/>
    <cellStyle name="40% - Accent6 2 3 4 4" xfId="24146" xr:uid="{00000000-0005-0000-0000-0000CA4B0000}"/>
    <cellStyle name="40% - Accent6 2 3 5" xfId="4885" xr:uid="{00000000-0005-0000-0000-0000CB4B0000}"/>
    <cellStyle name="40% - Accent6 2 3 5 2" xfId="12003" xr:uid="{00000000-0005-0000-0000-0000CC4B0000}"/>
    <cellStyle name="40% - Accent6 2 3 5 2 2" xfId="25718" xr:uid="{00000000-0005-0000-0000-0000CD4B0000}"/>
    <cellStyle name="40% - Accent6 2 3 5 3" xfId="22699" xr:uid="{00000000-0005-0000-0000-0000CE4B0000}"/>
    <cellStyle name="40% - Accent6 2 3 6" xfId="4886" xr:uid="{00000000-0005-0000-0000-0000CF4B0000}"/>
    <cellStyle name="40% - Accent6 2 3 6 2" xfId="13027" xr:uid="{00000000-0005-0000-0000-0000D04B0000}"/>
    <cellStyle name="40% - Accent6 2 3 6 2 2" xfId="26739" xr:uid="{00000000-0005-0000-0000-0000D14B0000}"/>
    <cellStyle name="40% - Accent6 2 3 6 3" xfId="22698" xr:uid="{00000000-0005-0000-0000-0000D24B0000}"/>
    <cellStyle name="40% - Accent6 2 3 7" xfId="4887" xr:uid="{00000000-0005-0000-0000-0000D34B0000}"/>
    <cellStyle name="40% - Accent6 2 3 7 2" xfId="13578" xr:uid="{00000000-0005-0000-0000-0000D44B0000}"/>
    <cellStyle name="40% - Accent6 2 3 7 2 2" xfId="27127" xr:uid="{00000000-0005-0000-0000-0000D54B0000}"/>
    <cellStyle name="40% - Accent6 2 3 7 3" xfId="24145" xr:uid="{00000000-0005-0000-0000-0000D64B0000}"/>
    <cellStyle name="40% - Accent6 2 3 8" xfId="4888" xr:uid="{00000000-0005-0000-0000-0000D74B0000}"/>
    <cellStyle name="40% - Accent6 2 3 8 2" xfId="14159" xr:uid="{00000000-0005-0000-0000-0000D84B0000}"/>
    <cellStyle name="40% - Accent6 2 3 8 2 2" xfId="27708" xr:uid="{00000000-0005-0000-0000-0000D94B0000}"/>
    <cellStyle name="40% - Accent6 2 3 8 3" xfId="22697" xr:uid="{00000000-0005-0000-0000-0000DA4B0000}"/>
    <cellStyle name="40% - Accent6 2 3 9" xfId="4889" xr:uid="{00000000-0005-0000-0000-0000DB4B0000}"/>
    <cellStyle name="40% - Accent6 2 3 9 2" xfId="15493" xr:uid="{00000000-0005-0000-0000-0000DC4B0000}"/>
    <cellStyle name="40% - Accent6 2 3 9 2 2" xfId="29042" xr:uid="{00000000-0005-0000-0000-0000DD4B0000}"/>
    <cellStyle name="40% - Accent6 2 3 9 3" xfId="24142" xr:uid="{00000000-0005-0000-0000-0000DE4B0000}"/>
    <cellStyle name="40% - Accent6 2 4" xfId="4890" xr:uid="{00000000-0005-0000-0000-0000DF4B0000}"/>
    <cellStyle name="40% - Accent6 2 4 10" xfId="9517" xr:uid="{00000000-0005-0000-0000-0000E04B0000}"/>
    <cellStyle name="40% - Accent6 2 4 10 2" xfId="23992" xr:uid="{00000000-0005-0000-0000-0000E14B0000}"/>
    <cellStyle name="40% - Accent6 2 4 11" xfId="22696" xr:uid="{00000000-0005-0000-0000-0000E24B0000}"/>
    <cellStyle name="40% - Accent6 2 4 2" xfId="4891" xr:uid="{00000000-0005-0000-0000-0000E34B0000}"/>
    <cellStyle name="40% - Accent6 2 4 2 2" xfId="4892" xr:uid="{00000000-0005-0000-0000-0000E44B0000}"/>
    <cellStyle name="40% - Accent6 2 4 2 2 2" xfId="11245" xr:uid="{00000000-0005-0000-0000-0000E54B0000}"/>
    <cellStyle name="40% - Accent6 2 4 2 2 2 2" xfId="25187" xr:uid="{00000000-0005-0000-0000-0000E64B0000}"/>
    <cellStyle name="40% - Accent6 2 4 2 2 3" xfId="22695" xr:uid="{00000000-0005-0000-0000-0000E74B0000}"/>
    <cellStyle name="40% - Accent6 2 4 2 3" xfId="4893" xr:uid="{00000000-0005-0000-0000-0000E84B0000}"/>
    <cellStyle name="40% - Accent6 2 4 2 3 2" xfId="13032" xr:uid="{00000000-0005-0000-0000-0000E94B0000}"/>
    <cellStyle name="40% - Accent6 2 4 2 3 2 2" xfId="26744" xr:uid="{00000000-0005-0000-0000-0000EA4B0000}"/>
    <cellStyle name="40% - Accent6 2 4 2 3 3" xfId="24430" xr:uid="{00000000-0005-0000-0000-0000EB4B0000}"/>
    <cellStyle name="40% - Accent6 2 4 2 4" xfId="4894" xr:uid="{00000000-0005-0000-0000-0000EC4B0000}"/>
    <cellStyle name="40% - Accent6 2 4 2 4 2" xfId="15500" xr:uid="{00000000-0005-0000-0000-0000ED4B0000}"/>
    <cellStyle name="40% - Accent6 2 4 2 4 2 2" xfId="29049" xr:uid="{00000000-0005-0000-0000-0000EE4B0000}"/>
    <cellStyle name="40% - Accent6 2 4 2 4 3" xfId="29126" xr:uid="{00000000-0005-0000-0000-0000EF4B0000}"/>
    <cellStyle name="40% - Accent6 2 4 2 5" xfId="4895" xr:uid="{00000000-0005-0000-0000-0000F04B0000}"/>
    <cellStyle name="40% - Accent6 2 4 2 5 2" xfId="16772" xr:uid="{00000000-0005-0000-0000-0000F14B0000}"/>
    <cellStyle name="40% - Accent6 2 4 2 5 2 2" xfId="30179" xr:uid="{00000000-0005-0000-0000-0000F24B0000}"/>
    <cellStyle name="40% - Accent6 2 4 2 5 3" xfId="22694" xr:uid="{00000000-0005-0000-0000-0000F34B0000}"/>
    <cellStyle name="40% - Accent6 2 4 2 6" xfId="9518" xr:uid="{00000000-0005-0000-0000-0000F44B0000}"/>
    <cellStyle name="40% - Accent6 2 4 2 6 2" xfId="23993" xr:uid="{00000000-0005-0000-0000-0000F54B0000}"/>
    <cellStyle name="40% - Accent6 2 4 2 7" xfId="25240" xr:uid="{00000000-0005-0000-0000-0000F64B0000}"/>
    <cellStyle name="40% - Accent6 2 4 3" xfId="4896" xr:uid="{00000000-0005-0000-0000-0000F74B0000}"/>
    <cellStyle name="40% - Accent6 2 4 3 2" xfId="4897" xr:uid="{00000000-0005-0000-0000-0000F84B0000}"/>
    <cellStyle name="40% - Accent6 2 4 3 2 2" xfId="15501" xr:uid="{00000000-0005-0000-0000-0000F94B0000}"/>
    <cellStyle name="40% - Accent6 2 4 3 2 2 2" xfId="29050" xr:uid="{00000000-0005-0000-0000-0000FA4B0000}"/>
    <cellStyle name="40% - Accent6 2 4 3 2 3" xfId="24144" xr:uid="{00000000-0005-0000-0000-0000FB4B0000}"/>
    <cellStyle name="40% - Accent6 2 4 3 3" xfId="11244" xr:uid="{00000000-0005-0000-0000-0000FC4B0000}"/>
    <cellStyle name="40% - Accent6 2 4 3 3 2" xfId="25186" xr:uid="{00000000-0005-0000-0000-0000FD4B0000}"/>
    <cellStyle name="40% - Accent6 2 4 3 4" xfId="22693" xr:uid="{00000000-0005-0000-0000-0000FE4B0000}"/>
    <cellStyle name="40% - Accent6 2 4 4" xfId="4898" xr:uid="{00000000-0005-0000-0000-0000FF4B0000}"/>
    <cellStyle name="40% - Accent6 2 4 4 2" xfId="12160" xr:uid="{00000000-0005-0000-0000-0000004C0000}"/>
    <cellStyle name="40% - Accent6 2 4 4 2 2" xfId="25872" xr:uid="{00000000-0005-0000-0000-0000014C0000}"/>
    <cellStyle name="40% - Accent6 2 4 4 3" xfId="22692" xr:uid="{00000000-0005-0000-0000-0000024C0000}"/>
    <cellStyle name="40% - Accent6 2 4 5" xfId="4899" xr:uid="{00000000-0005-0000-0000-0000034C0000}"/>
    <cellStyle name="40% - Accent6 2 4 5 2" xfId="13031" xr:uid="{00000000-0005-0000-0000-0000044C0000}"/>
    <cellStyle name="40% - Accent6 2 4 5 2 2" xfId="26743" xr:uid="{00000000-0005-0000-0000-0000054C0000}"/>
    <cellStyle name="40% - Accent6 2 4 5 3" xfId="24143" xr:uid="{00000000-0005-0000-0000-0000064C0000}"/>
    <cellStyle name="40% - Accent6 2 4 6" xfId="4900" xr:uid="{00000000-0005-0000-0000-0000074C0000}"/>
    <cellStyle name="40% - Accent6 2 4 6 2" xfId="13724" xr:uid="{00000000-0005-0000-0000-0000084C0000}"/>
    <cellStyle name="40% - Accent6 2 4 6 2 2" xfId="27273" xr:uid="{00000000-0005-0000-0000-0000094C0000}"/>
    <cellStyle name="40% - Accent6 2 4 6 3" xfId="22691" xr:uid="{00000000-0005-0000-0000-00000A4C0000}"/>
    <cellStyle name="40% - Accent6 2 4 7" xfId="4901" xr:uid="{00000000-0005-0000-0000-00000B4C0000}"/>
    <cellStyle name="40% - Accent6 2 4 7 2" xfId="14305" xr:uid="{00000000-0005-0000-0000-00000C4C0000}"/>
    <cellStyle name="40% - Accent6 2 4 7 2 2" xfId="27854" xr:uid="{00000000-0005-0000-0000-00000D4C0000}"/>
    <cellStyle name="40% - Accent6 2 4 7 3" xfId="23241" xr:uid="{00000000-0005-0000-0000-00000E4C0000}"/>
    <cellStyle name="40% - Accent6 2 4 8" xfId="4902" xr:uid="{00000000-0005-0000-0000-00000F4C0000}"/>
    <cellStyle name="40% - Accent6 2 4 8 2" xfId="15499" xr:uid="{00000000-0005-0000-0000-0000104C0000}"/>
    <cellStyle name="40% - Accent6 2 4 8 2 2" xfId="29048" xr:uid="{00000000-0005-0000-0000-0000114C0000}"/>
    <cellStyle name="40% - Accent6 2 4 8 3" xfId="24141" xr:uid="{00000000-0005-0000-0000-0000124C0000}"/>
    <cellStyle name="40% - Accent6 2 4 9" xfId="4903" xr:uid="{00000000-0005-0000-0000-0000134C0000}"/>
    <cellStyle name="40% - Accent6 2 4 9 2" xfId="16191" xr:uid="{00000000-0005-0000-0000-0000144C0000}"/>
    <cellStyle name="40% - Accent6 2 4 9 2 2" xfId="29598" xr:uid="{00000000-0005-0000-0000-0000154C0000}"/>
    <cellStyle name="40% - Accent6 2 4 9 3" xfId="22690" xr:uid="{00000000-0005-0000-0000-0000164C0000}"/>
    <cellStyle name="40% - Accent6 2 5" xfId="4904" xr:uid="{00000000-0005-0000-0000-0000174C0000}"/>
    <cellStyle name="40% - Accent6 2 5 2" xfId="4905" xr:uid="{00000000-0005-0000-0000-0000184C0000}"/>
    <cellStyle name="40% - Accent6 2 5 2 2" xfId="4906" xr:uid="{00000000-0005-0000-0000-0000194C0000}"/>
    <cellStyle name="40% - Accent6 2 5 2 2 2" xfId="11247" xr:uid="{00000000-0005-0000-0000-00001A4C0000}"/>
    <cellStyle name="40% - Accent6 2 5 2 2 2 2" xfId="25189" xr:uid="{00000000-0005-0000-0000-00001B4C0000}"/>
    <cellStyle name="40% - Accent6 2 5 2 2 3" xfId="24139" xr:uid="{00000000-0005-0000-0000-00001C4C0000}"/>
    <cellStyle name="40% - Accent6 2 5 2 3" xfId="4907" xr:uid="{00000000-0005-0000-0000-00001D4C0000}"/>
    <cellStyle name="40% - Accent6 2 5 2 3 2" xfId="13034" xr:uid="{00000000-0005-0000-0000-00001E4C0000}"/>
    <cellStyle name="40% - Accent6 2 5 2 3 2 2" xfId="26746" xr:uid="{00000000-0005-0000-0000-00001F4C0000}"/>
    <cellStyle name="40% - Accent6 2 5 2 3 3" xfId="22688" xr:uid="{00000000-0005-0000-0000-0000204C0000}"/>
    <cellStyle name="40% - Accent6 2 5 2 4" xfId="4908" xr:uid="{00000000-0005-0000-0000-0000214C0000}"/>
    <cellStyle name="40% - Accent6 2 5 2 4 2" xfId="15503" xr:uid="{00000000-0005-0000-0000-0000224C0000}"/>
    <cellStyle name="40% - Accent6 2 5 2 4 2 2" xfId="29052" xr:uid="{00000000-0005-0000-0000-0000234C0000}"/>
    <cellStyle name="40% - Accent6 2 5 2 4 3" xfId="24138" xr:uid="{00000000-0005-0000-0000-0000244C0000}"/>
    <cellStyle name="40% - Accent6 2 5 2 5" xfId="9520" xr:uid="{00000000-0005-0000-0000-0000254C0000}"/>
    <cellStyle name="40% - Accent6 2 5 2 5 2" xfId="23995" xr:uid="{00000000-0005-0000-0000-0000264C0000}"/>
    <cellStyle name="40% - Accent6 2 5 2 6" xfId="22689" xr:uid="{00000000-0005-0000-0000-0000274C0000}"/>
    <cellStyle name="40% - Accent6 2 5 3" xfId="4909" xr:uid="{00000000-0005-0000-0000-0000284C0000}"/>
    <cellStyle name="40% - Accent6 2 5 3 2" xfId="11246" xr:uid="{00000000-0005-0000-0000-0000294C0000}"/>
    <cellStyle name="40% - Accent6 2 5 3 2 2" xfId="25188" xr:uid="{00000000-0005-0000-0000-00002A4C0000}"/>
    <cellStyle name="40% - Accent6 2 5 3 3" xfId="22687" xr:uid="{00000000-0005-0000-0000-00002B4C0000}"/>
    <cellStyle name="40% - Accent6 2 5 4" xfId="4910" xr:uid="{00000000-0005-0000-0000-00002C4C0000}"/>
    <cellStyle name="40% - Accent6 2 5 4 2" xfId="13033" xr:uid="{00000000-0005-0000-0000-00002D4C0000}"/>
    <cellStyle name="40% - Accent6 2 5 4 2 2" xfId="26745" xr:uid="{00000000-0005-0000-0000-00002E4C0000}"/>
    <cellStyle name="40% - Accent6 2 5 4 3" xfId="24136" xr:uid="{00000000-0005-0000-0000-00002F4C0000}"/>
    <cellStyle name="40% - Accent6 2 5 5" xfId="4911" xr:uid="{00000000-0005-0000-0000-0000304C0000}"/>
    <cellStyle name="40% - Accent6 2 5 5 2" xfId="15502" xr:uid="{00000000-0005-0000-0000-0000314C0000}"/>
    <cellStyle name="40% - Accent6 2 5 5 2 2" xfId="29051" xr:uid="{00000000-0005-0000-0000-0000324C0000}"/>
    <cellStyle name="40% - Accent6 2 5 5 3" xfId="24137" xr:uid="{00000000-0005-0000-0000-0000334C0000}"/>
    <cellStyle name="40% - Accent6 2 5 6" xfId="4912" xr:uid="{00000000-0005-0000-0000-0000344C0000}"/>
    <cellStyle name="40% - Accent6 2 5 6 2" xfId="17007" xr:uid="{00000000-0005-0000-0000-0000354C0000}"/>
    <cellStyle name="40% - Accent6 2 5 6 2 2" xfId="30414" xr:uid="{00000000-0005-0000-0000-0000364C0000}"/>
    <cellStyle name="40% - Accent6 2 5 6 3" xfId="22686" xr:uid="{00000000-0005-0000-0000-0000374C0000}"/>
    <cellStyle name="40% - Accent6 2 5 7" xfId="9519" xr:uid="{00000000-0005-0000-0000-0000384C0000}"/>
    <cellStyle name="40% - Accent6 2 5 7 2" xfId="23994" xr:uid="{00000000-0005-0000-0000-0000394C0000}"/>
    <cellStyle name="40% - Accent6 2 5 8" xfId="24140" xr:uid="{00000000-0005-0000-0000-00003A4C0000}"/>
    <cellStyle name="40% - Accent6 2 6" xfId="4913" xr:uid="{00000000-0005-0000-0000-00003B4C0000}"/>
    <cellStyle name="40% - Accent6 2 6 2" xfId="4914" xr:uid="{00000000-0005-0000-0000-00003C4C0000}"/>
    <cellStyle name="40% - Accent6 2 6 2 2" xfId="11248" xr:uid="{00000000-0005-0000-0000-00003D4C0000}"/>
    <cellStyle name="40% - Accent6 2 6 2 2 2" xfId="25190" xr:uid="{00000000-0005-0000-0000-00003E4C0000}"/>
    <cellStyle name="40% - Accent6 2 6 2 3" xfId="24135" xr:uid="{00000000-0005-0000-0000-00003F4C0000}"/>
    <cellStyle name="40% - Accent6 2 6 3" xfId="4915" xr:uid="{00000000-0005-0000-0000-0000404C0000}"/>
    <cellStyle name="40% - Accent6 2 6 3 2" xfId="13035" xr:uid="{00000000-0005-0000-0000-0000414C0000}"/>
    <cellStyle name="40% - Accent6 2 6 3 2 2" xfId="26747" xr:uid="{00000000-0005-0000-0000-0000424C0000}"/>
    <cellStyle name="40% - Accent6 2 6 3 3" xfId="26807" xr:uid="{00000000-0005-0000-0000-0000434C0000}"/>
    <cellStyle name="40% - Accent6 2 6 4" xfId="4916" xr:uid="{00000000-0005-0000-0000-0000444C0000}"/>
    <cellStyle name="40% - Accent6 2 6 4 2" xfId="15504" xr:uid="{00000000-0005-0000-0000-0000454C0000}"/>
    <cellStyle name="40% - Accent6 2 6 4 2 2" xfId="29053" xr:uid="{00000000-0005-0000-0000-0000464C0000}"/>
    <cellStyle name="40% - Accent6 2 6 4 3" xfId="22684" xr:uid="{00000000-0005-0000-0000-0000474C0000}"/>
    <cellStyle name="40% - Accent6 2 6 5" xfId="4917" xr:uid="{00000000-0005-0000-0000-0000484C0000}"/>
    <cellStyle name="40% - Accent6 2 6 5 2" xfId="17119" xr:uid="{00000000-0005-0000-0000-0000494C0000}"/>
    <cellStyle name="40% - Accent6 2 6 5 2 2" xfId="30478" xr:uid="{00000000-0005-0000-0000-00004A4C0000}"/>
    <cellStyle name="40% - Accent6 2 6 5 3" xfId="26808" xr:uid="{00000000-0005-0000-0000-00004B4C0000}"/>
    <cellStyle name="40% - Accent6 2 6 6" xfId="9521" xr:uid="{00000000-0005-0000-0000-00004C4C0000}"/>
    <cellStyle name="40% - Accent6 2 6 6 2" xfId="23996" xr:uid="{00000000-0005-0000-0000-00004D4C0000}"/>
    <cellStyle name="40% - Accent6 2 6 7" xfId="22685" xr:uid="{00000000-0005-0000-0000-00004E4C0000}"/>
    <cellStyle name="40% - Accent6 2 7" xfId="4918" xr:uid="{00000000-0005-0000-0000-00004F4C0000}"/>
    <cellStyle name="40% - Accent6 2 7 2" xfId="4919" xr:uid="{00000000-0005-0000-0000-0000504C0000}"/>
    <cellStyle name="40% - Accent6 2 7 2 2" xfId="11249" xr:uid="{00000000-0005-0000-0000-0000514C0000}"/>
    <cellStyle name="40% - Accent6 2 7 2 2 2" xfId="25191" xr:uid="{00000000-0005-0000-0000-0000524C0000}"/>
    <cellStyle name="40% - Accent6 2 7 2 3" xfId="22682" xr:uid="{00000000-0005-0000-0000-0000534C0000}"/>
    <cellStyle name="40% - Accent6 2 7 3" xfId="4920" xr:uid="{00000000-0005-0000-0000-0000544C0000}"/>
    <cellStyle name="40% - Accent6 2 7 3 2" xfId="13036" xr:uid="{00000000-0005-0000-0000-0000554C0000}"/>
    <cellStyle name="40% - Accent6 2 7 3 2 2" xfId="26748" xr:uid="{00000000-0005-0000-0000-0000564C0000}"/>
    <cellStyle name="40% - Accent6 2 7 3 3" xfId="24133" xr:uid="{00000000-0005-0000-0000-0000574C0000}"/>
    <cellStyle name="40% - Accent6 2 7 4" xfId="4921" xr:uid="{00000000-0005-0000-0000-0000584C0000}"/>
    <cellStyle name="40% - Accent6 2 7 4 2" xfId="15505" xr:uid="{00000000-0005-0000-0000-0000594C0000}"/>
    <cellStyle name="40% - Accent6 2 7 4 2 2" xfId="29054" xr:uid="{00000000-0005-0000-0000-00005A4C0000}"/>
    <cellStyle name="40% - Accent6 2 7 4 3" xfId="24134" xr:uid="{00000000-0005-0000-0000-00005B4C0000}"/>
    <cellStyle name="40% - Accent6 2 7 5" xfId="4922" xr:uid="{00000000-0005-0000-0000-00005C4C0000}"/>
    <cellStyle name="40% - Accent6 2 7 5 2" xfId="17208" xr:uid="{00000000-0005-0000-0000-00005D4C0000}"/>
    <cellStyle name="40% - Accent6 2 7 5 2 2" xfId="30567" xr:uid="{00000000-0005-0000-0000-00005E4C0000}"/>
    <cellStyle name="40% - Accent6 2 7 5 3" xfId="22681" xr:uid="{00000000-0005-0000-0000-00005F4C0000}"/>
    <cellStyle name="40% - Accent6 2 7 6" xfId="9522" xr:uid="{00000000-0005-0000-0000-0000604C0000}"/>
    <cellStyle name="40% - Accent6 2 7 6 2" xfId="23997" xr:uid="{00000000-0005-0000-0000-0000614C0000}"/>
    <cellStyle name="40% - Accent6 2 7 7" xfId="22683" xr:uid="{00000000-0005-0000-0000-0000624C0000}"/>
    <cellStyle name="40% - Accent6 2 8" xfId="4923" xr:uid="{00000000-0005-0000-0000-0000634C0000}"/>
    <cellStyle name="40% - Accent6 2 8 2" xfId="4924" xr:uid="{00000000-0005-0000-0000-0000644C0000}"/>
    <cellStyle name="40% - Accent6 2 8 2 2" xfId="13037" xr:uid="{00000000-0005-0000-0000-0000654C0000}"/>
    <cellStyle name="40% - Accent6 2 8 2 2 2" xfId="26749" xr:uid="{00000000-0005-0000-0000-0000664C0000}"/>
    <cellStyle name="40% - Accent6 2 8 2 3" xfId="24132" xr:uid="{00000000-0005-0000-0000-0000674C0000}"/>
    <cellStyle name="40% - Accent6 2 8 3" xfId="4925" xr:uid="{00000000-0005-0000-0000-0000684C0000}"/>
    <cellStyle name="40% - Accent6 2 8 3 2" xfId="15506" xr:uid="{00000000-0005-0000-0000-0000694C0000}"/>
    <cellStyle name="40% - Accent6 2 8 3 2 2" xfId="29055" xr:uid="{00000000-0005-0000-0000-00006A4C0000}"/>
    <cellStyle name="40% - Accent6 2 8 3 3" xfId="22679" xr:uid="{00000000-0005-0000-0000-00006B4C0000}"/>
    <cellStyle name="40% - Accent6 2 8 4" xfId="4926" xr:uid="{00000000-0005-0000-0000-00006C4C0000}"/>
    <cellStyle name="40% - Accent6 2 8 4 2" xfId="16483" xr:uid="{00000000-0005-0000-0000-00006D4C0000}"/>
    <cellStyle name="40% - Accent6 2 8 4 2 2" xfId="29890" xr:uid="{00000000-0005-0000-0000-00006E4C0000}"/>
    <cellStyle name="40% - Accent6 2 8 4 3" xfId="24129" xr:uid="{00000000-0005-0000-0000-00006F4C0000}"/>
    <cellStyle name="40% - Accent6 2 8 5" xfId="10528" xr:uid="{00000000-0005-0000-0000-0000704C0000}"/>
    <cellStyle name="40% - Accent6 2 8 5 2" xfId="24470" xr:uid="{00000000-0005-0000-0000-0000714C0000}"/>
    <cellStyle name="40% - Accent6 2 8 6" xfId="22680" xr:uid="{00000000-0005-0000-0000-0000724C0000}"/>
    <cellStyle name="40% - Accent6 2 9" xfId="4927" xr:uid="{00000000-0005-0000-0000-0000734C0000}"/>
    <cellStyle name="40% - Accent6 2 9 2" xfId="4928" xr:uid="{00000000-0005-0000-0000-0000744C0000}"/>
    <cellStyle name="40% - Accent6 2 9 2 2" xfId="13038" xr:uid="{00000000-0005-0000-0000-0000754C0000}"/>
    <cellStyle name="40% - Accent6 2 9 2 2 2" xfId="26750" xr:uid="{00000000-0005-0000-0000-0000764C0000}"/>
    <cellStyle name="40% - Accent6 2 9 2 3" xfId="25239" xr:uid="{00000000-0005-0000-0000-0000774C0000}"/>
    <cellStyle name="40% - Accent6 2 9 3" xfId="4929" xr:uid="{00000000-0005-0000-0000-0000784C0000}"/>
    <cellStyle name="40% - Accent6 2 9 3 2" xfId="15507" xr:uid="{00000000-0005-0000-0000-0000794C0000}"/>
    <cellStyle name="40% - Accent6 2 9 3 2 2" xfId="29056" xr:uid="{00000000-0005-0000-0000-00007A4C0000}"/>
    <cellStyle name="40% - Accent6 2 9 3 3" xfId="22677" xr:uid="{00000000-0005-0000-0000-00007B4C0000}"/>
    <cellStyle name="40% - Accent6 2 9 4" xfId="11231" xr:uid="{00000000-0005-0000-0000-00007C4C0000}"/>
    <cellStyle name="40% - Accent6 2 9 4 2" xfId="25173" xr:uid="{00000000-0005-0000-0000-00007D4C0000}"/>
    <cellStyle name="40% - Accent6 2 9 5" xfId="22678" xr:uid="{00000000-0005-0000-0000-00007E4C0000}"/>
    <cellStyle name="40% - Accent6 20" xfId="4930" xr:uid="{00000000-0005-0000-0000-00007F4C0000}"/>
    <cellStyle name="40% - Accent6 20 2" xfId="4931" xr:uid="{00000000-0005-0000-0000-0000804C0000}"/>
    <cellStyle name="40% - Accent6 20 2 2" xfId="13039" xr:uid="{00000000-0005-0000-0000-0000814C0000}"/>
    <cellStyle name="40% - Accent6 20 2 2 2" xfId="26751" xr:uid="{00000000-0005-0000-0000-0000824C0000}"/>
    <cellStyle name="40% - Accent6 20 2 3" xfId="29125" xr:uid="{00000000-0005-0000-0000-0000834C0000}"/>
    <cellStyle name="40% - Accent6 20 3" xfId="4932" xr:uid="{00000000-0005-0000-0000-0000844C0000}"/>
    <cellStyle name="40% - Accent6 20 3 2" xfId="15508" xr:uid="{00000000-0005-0000-0000-0000854C0000}"/>
    <cellStyle name="40% - Accent6 20 3 2 2" xfId="29057" xr:uid="{00000000-0005-0000-0000-0000864C0000}"/>
    <cellStyle name="40% - Accent6 20 3 3" xfId="22676" xr:uid="{00000000-0005-0000-0000-0000874C0000}"/>
    <cellStyle name="40% - Accent6 20 4" xfId="10503" xr:uid="{00000000-0005-0000-0000-0000884C0000}"/>
    <cellStyle name="40% - Accent6 20 4 2" xfId="24451" xr:uid="{00000000-0005-0000-0000-0000894C0000}"/>
    <cellStyle name="40% - Accent6 20 5" xfId="24429" xr:uid="{00000000-0005-0000-0000-00008A4C0000}"/>
    <cellStyle name="40% - Accent6 21" xfId="4933" xr:uid="{00000000-0005-0000-0000-00008B4C0000}"/>
    <cellStyle name="40% - Accent6 21 2" xfId="4934" xr:uid="{00000000-0005-0000-0000-00008C4C0000}"/>
    <cellStyle name="40% - Accent6 21 2 2" xfId="13040" xr:uid="{00000000-0005-0000-0000-00008D4C0000}"/>
    <cellStyle name="40% - Accent6 21 2 2 2" xfId="26752" xr:uid="{00000000-0005-0000-0000-00008E4C0000}"/>
    <cellStyle name="40% - Accent6 21 2 3" xfId="24131" xr:uid="{00000000-0005-0000-0000-00008F4C0000}"/>
    <cellStyle name="40% - Accent6 21 3" xfId="4935" xr:uid="{00000000-0005-0000-0000-0000904C0000}"/>
    <cellStyle name="40% - Accent6 21 3 2" xfId="15509" xr:uid="{00000000-0005-0000-0000-0000914C0000}"/>
    <cellStyle name="40% - Accent6 21 3 2 2" xfId="29058" xr:uid="{00000000-0005-0000-0000-0000924C0000}"/>
    <cellStyle name="40% - Accent6 21 3 3" xfId="22674" xr:uid="{00000000-0005-0000-0000-0000934C0000}"/>
    <cellStyle name="40% - Accent6 21 4" xfId="11220" xr:uid="{00000000-0005-0000-0000-0000944C0000}"/>
    <cellStyle name="40% - Accent6 21 4 2" xfId="25162" xr:uid="{00000000-0005-0000-0000-0000954C0000}"/>
    <cellStyle name="40% - Accent6 21 5" xfId="22675" xr:uid="{00000000-0005-0000-0000-0000964C0000}"/>
    <cellStyle name="40% - Accent6 22" xfId="4936" xr:uid="{00000000-0005-0000-0000-0000974C0000}"/>
    <cellStyle name="40% - Accent6 22 2" xfId="11739" xr:uid="{00000000-0005-0000-0000-0000984C0000}"/>
    <cellStyle name="40% - Accent6 22 2 2" xfId="25454" xr:uid="{00000000-0005-0000-0000-0000994C0000}"/>
    <cellStyle name="40% - Accent6 22 3" xfId="24130" xr:uid="{00000000-0005-0000-0000-00009A4C0000}"/>
    <cellStyle name="40% - Accent6 23" xfId="4937" xr:uid="{00000000-0005-0000-0000-00009B4C0000}"/>
    <cellStyle name="40% - Accent6 23 2" xfId="13005" xr:uid="{00000000-0005-0000-0000-00009C4C0000}"/>
    <cellStyle name="40% - Accent6 23 2 2" xfId="26717" xr:uid="{00000000-0005-0000-0000-00009D4C0000}"/>
    <cellStyle name="40% - Accent6 23 3" xfId="22673" xr:uid="{00000000-0005-0000-0000-00009E4C0000}"/>
    <cellStyle name="40% - Accent6 24" xfId="4938" xr:uid="{00000000-0005-0000-0000-00009F4C0000}"/>
    <cellStyle name="40% - Accent6 24 2" xfId="13378" xr:uid="{00000000-0005-0000-0000-0000A04C0000}"/>
    <cellStyle name="40% - Accent6 24 2 2" xfId="26927" xr:uid="{00000000-0005-0000-0000-0000A14C0000}"/>
    <cellStyle name="40% - Accent6 24 3" xfId="23238" xr:uid="{00000000-0005-0000-0000-0000A24C0000}"/>
    <cellStyle name="40% - Accent6 25" xfId="4939" xr:uid="{00000000-0005-0000-0000-0000A34C0000}"/>
    <cellStyle name="40% - Accent6 25 2" xfId="13959" xr:uid="{00000000-0005-0000-0000-0000A44C0000}"/>
    <cellStyle name="40% - Accent6 25 2 2" xfId="27508" xr:uid="{00000000-0005-0000-0000-0000A54C0000}"/>
    <cellStyle name="40% - Accent6 25 3" xfId="24128" xr:uid="{00000000-0005-0000-0000-0000A64C0000}"/>
    <cellStyle name="40% - Accent6 26" xfId="4940" xr:uid="{00000000-0005-0000-0000-0000A74C0000}"/>
    <cellStyle name="40% - Accent6 26 2" xfId="15466" xr:uid="{00000000-0005-0000-0000-0000A84C0000}"/>
    <cellStyle name="40% - Accent6 26 2 2" xfId="29015" xr:uid="{00000000-0005-0000-0000-0000A94C0000}"/>
    <cellStyle name="40% - Accent6 26 3" xfId="22672" xr:uid="{00000000-0005-0000-0000-0000AA4C0000}"/>
    <cellStyle name="40% - Accent6 27" xfId="4941" xr:uid="{00000000-0005-0000-0000-0000AB4C0000}"/>
    <cellStyle name="40% - Accent6 27 2" xfId="15819" xr:uid="{00000000-0005-0000-0000-0000AC4C0000}"/>
    <cellStyle name="40% - Accent6 27 2 2" xfId="29226" xr:uid="{00000000-0005-0000-0000-0000AD4C0000}"/>
    <cellStyle name="40% - Accent6 27 3" xfId="24127" xr:uid="{00000000-0005-0000-0000-0000AE4C0000}"/>
    <cellStyle name="40% - Accent6 28" xfId="4942" xr:uid="{00000000-0005-0000-0000-0000AF4C0000}"/>
    <cellStyle name="40% - Accent6 28 2" xfId="15845" xr:uid="{00000000-0005-0000-0000-0000B04C0000}"/>
    <cellStyle name="40% - Accent6 28 2 2" xfId="29252" xr:uid="{00000000-0005-0000-0000-0000B14C0000}"/>
    <cellStyle name="40% - Accent6 28 3" xfId="22671" xr:uid="{00000000-0005-0000-0000-0000B24C0000}"/>
    <cellStyle name="40% - Accent6 29" xfId="4943" xr:uid="{00000000-0005-0000-0000-0000B34C0000}"/>
    <cellStyle name="40% - Accent6 29 2" xfId="9493" xr:uid="{00000000-0005-0000-0000-0000B44C0000}"/>
    <cellStyle name="40% - Accent6 29 2 2" xfId="23968" xr:uid="{00000000-0005-0000-0000-0000B54C0000}"/>
    <cellStyle name="40% - Accent6 29 3" xfId="24126" xr:uid="{00000000-0005-0000-0000-0000B64C0000}"/>
    <cellStyle name="40% - Accent6 3" xfId="4944" xr:uid="{00000000-0005-0000-0000-0000B74C0000}"/>
    <cellStyle name="40% - Accent6 3 10" xfId="4945" xr:uid="{00000000-0005-0000-0000-0000B84C0000}"/>
    <cellStyle name="40% - Accent6 3 10 2" xfId="14039" xr:uid="{00000000-0005-0000-0000-0000B94C0000}"/>
    <cellStyle name="40% - Accent6 3 10 2 2" xfId="27588" xr:uid="{00000000-0005-0000-0000-0000BA4C0000}"/>
    <cellStyle name="40% - Accent6 3 10 3" xfId="24125" xr:uid="{00000000-0005-0000-0000-0000BB4C0000}"/>
    <cellStyle name="40% - Accent6 3 11" xfId="4946" xr:uid="{00000000-0005-0000-0000-0000BC4C0000}"/>
    <cellStyle name="40% - Accent6 3 11 2" xfId="15510" xr:uid="{00000000-0005-0000-0000-0000BD4C0000}"/>
    <cellStyle name="40% - Accent6 3 11 2 2" xfId="29059" xr:uid="{00000000-0005-0000-0000-0000BE4C0000}"/>
    <cellStyle name="40% - Accent6 3 11 3" xfId="22669" xr:uid="{00000000-0005-0000-0000-0000BF4C0000}"/>
    <cellStyle name="40% - Accent6 3 12" xfId="4947" xr:uid="{00000000-0005-0000-0000-0000C04C0000}"/>
    <cellStyle name="40% - Accent6 3 12 2" xfId="15925" xr:uid="{00000000-0005-0000-0000-0000C14C0000}"/>
    <cellStyle name="40% - Accent6 3 12 2 2" xfId="29332" xr:uid="{00000000-0005-0000-0000-0000C24C0000}"/>
    <cellStyle name="40% - Accent6 3 12 3" xfId="24123" xr:uid="{00000000-0005-0000-0000-0000C34C0000}"/>
    <cellStyle name="40% - Accent6 3 13" xfId="9523" xr:uid="{00000000-0005-0000-0000-0000C44C0000}"/>
    <cellStyle name="40% - Accent6 3 13 2" xfId="23998" xr:uid="{00000000-0005-0000-0000-0000C54C0000}"/>
    <cellStyle name="40% - Accent6 3 14" xfId="22670" xr:uid="{00000000-0005-0000-0000-0000C64C0000}"/>
    <cellStyle name="40% - Accent6 3 2" xfId="4948" xr:uid="{00000000-0005-0000-0000-0000C74C0000}"/>
    <cellStyle name="40% - Accent6 3 2 10" xfId="4949" xr:uid="{00000000-0005-0000-0000-0000C84C0000}"/>
    <cellStyle name="40% - Accent6 3 2 10 2" xfId="16068" xr:uid="{00000000-0005-0000-0000-0000C94C0000}"/>
    <cellStyle name="40% - Accent6 3 2 10 2 2" xfId="29475" xr:uid="{00000000-0005-0000-0000-0000CA4C0000}"/>
    <cellStyle name="40% - Accent6 3 2 10 3" xfId="22668" xr:uid="{00000000-0005-0000-0000-0000CB4C0000}"/>
    <cellStyle name="40% - Accent6 3 2 11" xfId="9524" xr:uid="{00000000-0005-0000-0000-0000CC4C0000}"/>
    <cellStyle name="40% - Accent6 3 2 11 2" xfId="23999" xr:uid="{00000000-0005-0000-0000-0000CD4C0000}"/>
    <cellStyle name="40% - Accent6 3 2 12" xfId="24124" xr:uid="{00000000-0005-0000-0000-0000CE4C0000}"/>
    <cellStyle name="40% - Accent6 3 2 2" xfId="4950" xr:uid="{00000000-0005-0000-0000-0000CF4C0000}"/>
    <cellStyle name="40% - Accent6 3 2 2 10" xfId="9525" xr:uid="{00000000-0005-0000-0000-0000D04C0000}"/>
    <cellStyle name="40% - Accent6 3 2 2 10 2" xfId="24000" xr:uid="{00000000-0005-0000-0000-0000D14C0000}"/>
    <cellStyle name="40% - Accent6 3 2 2 11" xfId="22667" xr:uid="{00000000-0005-0000-0000-0000D24C0000}"/>
    <cellStyle name="40% - Accent6 3 2 2 2" xfId="4951" xr:uid="{00000000-0005-0000-0000-0000D34C0000}"/>
    <cellStyle name="40% - Accent6 3 2 2 2 2" xfId="4952" xr:uid="{00000000-0005-0000-0000-0000D44C0000}"/>
    <cellStyle name="40% - Accent6 3 2 2 2 2 2" xfId="11253" xr:uid="{00000000-0005-0000-0000-0000D54C0000}"/>
    <cellStyle name="40% - Accent6 3 2 2 2 2 2 2" xfId="25195" xr:uid="{00000000-0005-0000-0000-0000D64C0000}"/>
    <cellStyle name="40% - Accent6 3 2 2 2 2 3" xfId="26805" xr:uid="{00000000-0005-0000-0000-0000D74C0000}"/>
    <cellStyle name="40% - Accent6 3 2 2 2 3" xfId="4953" xr:uid="{00000000-0005-0000-0000-0000D84C0000}"/>
    <cellStyle name="40% - Accent6 3 2 2 2 3 2" xfId="13044" xr:uid="{00000000-0005-0000-0000-0000D94C0000}"/>
    <cellStyle name="40% - Accent6 3 2 2 2 3 2 2" xfId="26756" xr:uid="{00000000-0005-0000-0000-0000DA4C0000}"/>
    <cellStyle name="40% - Accent6 3 2 2 2 3 3" xfId="22666" xr:uid="{00000000-0005-0000-0000-0000DB4C0000}"/>
    <cellStyle name="40% - Accent6 3 2 2 2 4" xfId="4954" xr:uid="{00000000-0005-0000-0000-0000DC4C0000}"/>
    <cellStyle name="40% - Accent6 3 2 2 2 4 2" xfId="15513" xr:uid="{00000000-0005-0000-0000-0000DD4C0000}"/>
    <cellStyle name="40% - Accent6 3 2 2 2 4 2 2" xfId="29062" xr:uid="{00000000-0005-0000-0000-0000DE4C0000}"/>
    <cellStyle name="40% - Accent6 3 2 2 2 4 3" xfId="26806" xr:uid="{00000000-0005-0000-0000-0000DF4C0000}"/>
    <cellStyle name="40% - Accent6 3 2 2 2 5" xfId="4955" xr:uid="{00000000-0005-0000-0000-0000E04C0000}"/>
    <cellStyle name="40% - Accent6 3 2 2 2 5 2" xfId="16938" xr:uid="{00000000-0005-0000-0000-0000E14C0000}"/>
    <cellStyle name="40% - Accent6 3 2 2 2 5 2 2" xfId="30345" xr:uid="{00000000-0005-0000-0000-0000E24C0000}"/>
    <cellStyle name="40% - Accent6 3 2 2 2 5 3" xfId="22665" xr:uid="{00000000-0005-0000-0000-0000E34C0000}"/>
    <cellStyle name="40% - Accent6 3 2 2 2 6" xfId="9526" xr:uid="{00000000-0005-0000-0000-0000E44C0000}"/>
    <cellStyle name="40% - Accent6 3 2 2 2 6 2" xfId="24001" xr:uid="{00000000-0005-0000-0000-0000E54C0000}"/>
    <cellStyle name="40% - Accent6 3 2 2 2 7" xfId="24122" xr:uid="{00000000-0005-0000-0000-0000E64C0000}"/>
    <cellStyle name="40% - Accent6 3 2 2 3" xfId="4956" xr:uid="{00000000-0005-0000-0000-0000E74C0000}"/>
    <cellStyle name="40% - Accent6 3 2 2 3 2" xfId="4957" xr:uid="{00000000-0005-0000-0000-0000E84C0000}"/>
    <cellStyle name="40% - Accent6 3 2 2 3 2 2" xfId="15514" xr:uid="{00000000-0005-0000-0000-0000E94C0000}"/>
    <cellStyle name="40% - Accent6 3 2 2 3 2 2 2" xfId="29063" xr:uid="{00000000-0005-0000-0000-0000EA4C0000}"/>
    <cellStyle name="40% - Accent6 3 2 2 3 2 3" xfId="24120" xr:uid="{00000000-0005-0000-0000-0000EB4C0000}"/>
    <cellStyle name="40% - Accent6 3 2 2 3 3" xfId="11252" xr:uid="{00000000-0005-0000-0000-0000EC4C0000}"/>
    <cellStyle name="40% - Accent6 3 2 2 3 3 2" xfId="25194" xr:uid="{00000000-0005-0000-0000-0000ED4C0000}"/>
    <cellStyle name="40% - Accent6 3 2 2 3 4" xfId="22664" xr:uid="{00000000-0005-0000-0000-0000EE4C0000}"/>
    <cellStyle name="40% - Accent6 3 2 2 4" xfId="4958" xr:uid="{00000000-0005-0000-0000-0000EF4C0000}"/>
    <cellStyle name="40% - Accent6 3 2 2 4 2" xfId="12326" xr:uid="{00000000-0005-0000-0000-0000F04C0000}"/>
    <cellStyle name="40% - Accent6 3 2 2 4 2 2" xfId="26038" xr:uid="{00000000-0005-0000-0000-0000F14C0000}"/>
    <cellStyle name="40% - Accent6 3 2 2 4 3" xfId="24121" xr:uid="{00000000-0005-0000-0000-0000F24C0000}"/>
    <cellStyle name="40% - Accent6 3 2 2 5" xfId="4959" xr:uid="{00000000-0005-0000-0000-0000F34C0000}"/>
    <cellStyle name="40% - Accent6 3 2 2 5 2" xfId="13043" xr:uid="{00000000-0005-0000-0000-0000F44C0000}"/>
    <cellStyle name="40% - Accent6 3 2 2 5 2 2" xfId="26755" xr:uid="{00000000-0005-0000-0000-0000F54C0000}"/>
    <cellStyle name="40% - Accent6 3 2 2 5 3" xfId="22663" xr:uid="{00000000-0005-0000-0000-0000F64C0000}"/>
    <cellStyle name="40% - Accent6 3 2 2 6" xfId="4960" xr:uid="{00000000-0005-0000-0000-0000F74C0000}"/>
    <cellStyle name="40% - Accent6 3 2 2 6 2" xfId="13890" xr:uid="{00000000-0005-0000-0000-0000F84C0000}"/>
    <cellStyle name="40% - Accent6 3 2 2 6 2 2" xfId="27439" xr:uid="{00000000-0005-0000-0000-0000F94C0000}"/>
    <cellStyle name="40% - Accent6 3 2 2 6 3" xfId="22662" xr:uid="{00000000-0005-0000-0000-0000FA4C0000}"/>
    <cellStyle name="40% - Accent6 3 2 2 7" xfId="4961" xr:uid="{00000000-0005-0000-0000-0000FB4C0000}"/>
    <cellStyle name="40% - Accent6 3 2 2 7 2" xfId="14471" xr:uid="{00000000-0005-0000-0000-0000FC4C0000}"/>
    <cellStyle name="40% - Accent6 3 2 2 7 2 2" xfId="28020" xr:uid="{00000000-0005-0000-0000-0000FD4C0000}"/>
    <cellStyle name="40% - Accent6 3 2 2 7 3" xfId="24119" xr:uid="{00000000-0005-0000-0000-0000FE4C0000}"/>
    <cellStyle name="40% - Accent6 3 2 2 8" xfId="4962" xr:uid="{00000000-0005-0000-0000-0000FF4C0000}"/>
    <cellStyle name="40% - Accent6 3 2 2 8 2" xfId="15512" xr:uid="{00000000-0005-0000-0000-0000004D0000}"/>
    <cellStyle name="40% - Accent6 3 2 2 8 2 2" xfId="29061" xr:uid="{00000000-0005-0000-0000-0000014D0000}"/>
    <cellStyle name="40% - Accent6 3 2 2 8 3" xfId="22661" xr:uid="{00000000-0005-0000-0000-0000024D0000}"/>
    <cellStyle name="40% - Accent6 3 2 2 9" xfId="4963" xr:uid="{00000000-0005-0000-0000-0000034D0000}"/>
    <cellStyle name="40% - Accent6 3 2 2 9 2" xfId="16357" xr:uid="{00000000-0005-0000-0000-0000044D0000}"/>
    <cellStyle name="40% - Accent6 3 2 2 9 2 2" xfId="29764" xr:uid="{00000000-0005-0000-0000-0000054D0000}"/>
    <cellStyle name="40% - Accent6 3 2 2 9 3" xfId="24116" xr:uid="{00000000-0005-0000-0000-0000064D0000}"/>
    <cellStyle name="40% - Accent6 3 2 3" xfId="4964" xr:uid="{00000000-0005-0000-0000-0000074D0000}"/>
    <cellStyle name="40% - Accent6 3 2 3 2" xfId="4965" xr:uid="{00000000-0005-0000-0000-0000084D0000}"/>
    <cellStyle name="40% - Accent6 3 2 3 2 2" xfId="11254" xr:uid="{00000000-0005-0000-0000-0000094D0000}"/>
    <cellStyle name="40% - Accent6 3 2 3 2 2 2" xfId="25196" xr:uid="{00000000-0005-0000-0000-00000A4D0000}"/>
    <cellStyle name="40% - Accent6 3 2 3 2 3" xfId="25238" xr:uid="{00000000-0005-0000-0000-00000B4D0000}"/>
    <cellStyle name="40% - Accent6 3 2 3 3" xfId="4966" xr:uid="{00000000-0005-0000-0000-00000C4D0000}"/>
    <cellStyle name="40% - Accent6 3 2 3 3 2" xfId="13045" xr:uid="{00000000-0005-0000-0000-00000D4D0000}"/>
    <cellStyle name="40% - Accent6 3 2 3 3 2 2" xfId="26757" xr:uid="{00000000-0005-0000-0000-00000E4D0000}"/>
    <cellStyle name="40% - Accent6 3 2 3 3 3" xfId="22659" xr:uid="{00000000-0005-0000-0000-00000F4D0000}"/>
    <cellStyle name="40% - Accent6 3 2 3 4" xfId="4967" xr:uid="{00000000-0005-0000-0000-0000104D0000}"/>
    <cellStyle name="40% - Accent6 3 2 3 4 2" xfId="15515" xr:uid="{00000000-0005-0000-0000-0000114D0000}"/>
    <cellStyle name="40% - Accent6 3 2 3 4 2 2" xfId="29064" xr:uid="{00000000-0005-0000-0000-0000124D0000}"/>
    <cellStyle name="40% - Accent6 3 2 3 4 3" xfId="24428" xr:uid="{00000000-0005-0000-0000-0000134D0000}"/>
    <cellStyle name="40% - Accent6 3 2 3 5" xfId="4968" xr:uid="{00000000-0005-0000-0000-0000144D0000}"/>
    <cellStyle name="40% - Accent6 3 2 3 5 2" xfId="16649" xr:uid="{00000000-0005-0000-0000-0000154D0000}"/>
    <cellStyle name="40% - Accent6 3 2 3 5 2 2" xfId="30056" xr:uid="{00000000-0005-0000-0000-0000164D0000}"/>
    <cellStyle name="40% - Accent6 3 2 3 5 3" xfId="29124" xr:uid="{00000000-0005-0000-0000-0000174D0000}"/>
    <cellStyle name="40% - Accent6 3 2 3 6" xfId="9527" xr:uid="{00000000-0005-0000-0000-0000184D0000}"/>
    <cellStyle name="40% - Accent6 3 2 3 6 2" xfId="24002" xr:uid="{00000000-0005-0000-0000-0000194D0000}"/>
    <cellStyle name="40% - Accent6 3 2 3 7" xfId="22660" xr:uid="{00000000-0005-0000-0000-00001A4D0000}"/>
    <cellStyle name="40% - Accent6 3 2 4" xfId="4969" xr:uid="{00000000-0005-0000-0000-00001B4D0000}"/>
    <cellStyle name="40% - Accent6 3 2 4 2" xfId="4970" xr:uid="{00000000-0005-0000-0000-00001C4D0000}"/>
    <cellStyle name="40% - Accent6 3 2 4 2 2" xfId="15516" xr:uid="{00000000-0005-0000-0000-00001D4D0000}"/>
    <cellStyle name="40% - Accent6 3 2 4 2 2 2" xfId="29065" xr:uid="{00000000-0005-0000-0000-00001E4D0000}"/>
    <cellStyle name="40% - Accent6 3 2 4 2 3" xfId="22657" xr:uid="{00000000-0005-0000-0000-00001F4D0000}"/>
    <cellStyle name="40% - Accent6 3 2 4 3" xfId="11251" xr:uid="{00000000-0005-0000-0000-0000204D0000}"/>
    <cellStyle name="40% - Accent6 3 2 4 3 2" xfId="25193" xr:uid="{00000000-0005-0000-0000-0000214D0000}"/>
    <cellStyle name="40% - Accent6 3 2 4 4" xfId="22658" xr:uid="{00000000-0005-0000-0000-0000224D0000}"/>
    <cellStyle name="40% - Accent6 3 2 5" xfId="4971" xr:uid="{00000000-0005-0000-0000-0000234D0000}"/>
    <cellStyle name="40% - Accent6 3 2 5 2" xfId="12026" xr:uid="{00000000-0005-0000-0000-0000244D0000}"/>
    <cellStyle name="40% - Accent6 3 2 5 2 2" xfId="25741" xr:uid="{00000000-0005-0000-0000-0000254D0000}"/>
    <cellStyle name="40% - Accent6 3 2 5 3" xfId="24118" xr:uid="{00000000-0005-0000-0000-0000264D0000}"/>
    <cellStyle name="40% - Accent6 3 2 6" xfId="4972" xr:uid="{00000000-0005-0000-0000-0000274D0000}"/>
    <cellStyle name="40% - Accent6 3 2 6 2" xfId="13042" xr:uid="{00000000-0005-0000-0000-0000284D0000}"/>
    <cellStyle name="40% - Accent6 3 2 6 2 2" xfId="26754" xr:uid="{00000000-0005-0000-0000-0000294D0000}"/>
    <cellStyle name="40% - Accent6 3 2 6 3" xfId="22656" xr:uid="{00000000-0005-0000-0000-00002A4D0000}"/>
    <cellStyle name="40% - Accent6 3 2 7" xfId="4973" xr:uid="{00000000-0005-0000-0000-00002B4D0000}"/>
    <cellStyle name="40% - Accent6 3 2 7 2" xfId="13601" xr:uid="{00000000-0005-0000-0000-00002C4D0000}"/>
    <cellStyle name="40% - Accent6 3 2 7 2 2" xfId="27150" xr:uid="{00000000-0005-0000-0000-00002D4D0000}"/>
    <cellStyle name="40% - Accent6 3 2 7 3" xfId="24117" xr:uid="{00000000-0005-0000-0000-00002E4D0000}"/>
    <cellStyle name="40% - Accent6 3 2 8" xfId="4974" xr:uid="{00000000-0005-0000-0000-00002F4D0000}"/>
    <cellStyle name="40% - Accent6 3 2 8 2" xfId="14182" xr:uid="{00000000-0005-0000-0000-0000304D0000}"/>
    <cellStyle name="40% - Accent6 3 2 8 2 2" xfId="27731" xr:uid="{00000000-0005-0000-0000-0000314D0000}"/>
    <cellStyle name="40% - Accent6 3 2 8 3" xfId="22655" xr:uid="{00000000-0005-0000-0000-0000324D0000}"/>
    <cellStyle name="40% - Accent6 3 2 9" xfId="4975" xr:uid="{00000000-0005-0000-0000-0000334D0000}"/>
    <cellStyle name="40% - Accent6 3 2 9 2" xfId="15511" xr:uid="{00000000-0005-0000-0000-0000344D0000}"/>
    <cellStyle name="40% - Accent6 3 2 9 2 2" xfId="29060" xr:uid="{00000000-0005-0000-0000-0000354D0000}"/>
    <cellStyle name="40% - Accent6 3 2 9 3" xfId="23234" xr:uid="{00000000-0005-0000-0000-0000364D0000}"/>
    <cellStyle name="40% - Accent6 3 3" xfId="4976" xr:uid="{00000000-0005-0000-0000-0000374D0000}"/>
    <cellStyle name="40% - Accent6 3 3 10" xfId="9528" xr:uid="{00000000-0005-0000-0000-0000384D0000}"/>
    <cellStyle name="40% - Accent6 3 3 10 2" xfId="24003" xr:uid="{00000000-0005-0000-0000-0000394D0000}"/>
    <cellStyle name="40% - Accent6 3 3 11" xfId="24115" xr:uid="{00000000-0005-0000-0000-00003A4D0000}"/>
    <cellStyle name="40% - Accent6 3 3 2" xfId="4977" xr:uid="{00000000-0005-0000-0000-00003B4D0000}"/>
    <cellStyle name="40% - Accent6 3 3 2 2" xfId="4978" xr:uid="{00000000-0005-0000-0000-00003C4D0000}"/>
    <cellStyle name="40% - Accent6 3 3 2 2 2" xfId="11256" xr:uid="{00000000-0005-0000-0000-00003D4D0000}"/>
    <cellStyle name="40% - Accent6 3 3 2 2 2 2" xfId="25198" xr:uid="{00000000-0005-0000-0000-00003E4D0000}"/>
    <cellStyle name="40% - Accent6 3 3 2 2 3" xfId="24114" xr:uid="{00000000-0005-0000-0000-00003F4D0000}"/>
    <cellStyle name="40% - Accent6 3 3 2 3" xfId="4979" xr:uid="{00000000-0005-0000-0000-0000404D0000}"/>
    <cellStyle name="40% - Accent6 3 3 2 3 2" xfId="13047" xr:uid="{00000000-0005-0000-0000-0000414D0000}"/>
    <cellStyle name="40% - Accent6 3 3 2 3 2 2" xfId="26759" xr:uid="{00000000-0005-0000-0000-0000424D0000}"/>
    <cellStyle name="40% - Accent6 3 3 2 3 3" xfId="22653" xr:uid="{00000000-0005-0000-0000-0000434D0000}"/>
    <cellStyle name="40% - Accent6 3 3 2 4" xfId="4980" xr:uid="{00000000-0005-0000-0000-0000444D0000}"/>
    <cellStyle name="40% - Accent6 3 3 2 4 2" xfId="15518" xr:uid="{00000000-0005-0000-0000-0000454D0000}"/>
    <cellStyle name="40% - Accent6 3 3 2 4 2 2" xfId="29067" xr:uid="{00000000-0005-0000-0000-0000464D0000}"/>
    <cellStyle name="40% - Accent6 3 3 2 4 3" xfId="24113" xr:uid="{00000000-0005-0000-0000-0000474D0000}"/>
    <cellStyle name="40% - Accent6 3 3 2 5" xfId="4981" xr:uid="{00000000-0005-0000-0000-0000484D0000}"/>
    <cellStyle name="40% - Accent6 3 3 2 5 2" xfId="16795" xr:uid="{00000000-0005-0000-0000-0000494D0000}"/>
    <cellStyle name="40% - Accent6 3 3 2 5 2 2" xfId="30202" xr:uid="{00000000-0005-0000-0000-00004A4D0000}"/>
    <cellStyle name="40% - Accent6 3 3 2 5 3" xfId="22652" xr:uid="{00000000-0005-0000-0000-00004B4D0000}"/>
    <cellStyle name="40% - Accent6 3 3 2 6" xfId="9529" xr:uid="{00000000-0005-0000-0000-00004C4D0000}"/>
    <cellStyle name="40% - Accent6 3 3 2 6 2" xfId="24004" xr:uid="{00000000-0005-0000-0000-00004D4D0000}"/>
    <cellStyle name="40% - Accent6 3 3 2 7" xfId="22654" xr:uid="{00000000-0005-0000-0000-00004E4D0000}"/>
    <cellStyle name="40% - Accent6 3 3 3" xfId="4982" xr:uid="{00000000-0005-0000-0000-00004F4D0000}"/>
    <cellStyle name="40% - Accent6 3 3 3 2" xfId="4983" xr:uid="{00000000-0005-0000-0000-0000504D0000}"/>
    <cellStyle name="40% - Accent6 3 3 3 2 2" xfId="15519" xr:uid="{00000000-0005-0000-0000-0000514D0000}"/>
    <cellStyle name="40% - Accent6 3 3 3 2 2 2" xfId="29068" xr:uid="{00000000-0005-0000-0000-0000524D0000}"/>
    <cellStyle name="40% - Accent6 3 3 3 2 3" xfId="22651" xr:uid="{00000000-0005-0000-0000-0000534D0000}"/>
    <cellStyle name="40% - Accent6 3 3 3 3" xfId="11255" xr:uid="{00000000-0005-0000-0000-0000544D0000}"/>
    <cellStyle name="40% - Accent6 3 3 3 3 2" xfId="25197" xr:uid="{00000000-0005-0000-0000-0000554D0000}"/>
    <cellStyle name="40% - Accent6 3 3 3 4" xfId="24112" xr:uid="{00000000-0005-0000-0000-0000564D0000}"/>
    <cellStyle name="40% - Accent6 3 3 4" xfId="4984" xr:uid="{00000000-0005-0000-0000-0000574D0000}"/>
    <cellStyle name="40% - Accent6 3 3 4 2" xfId="12183" xr:uid="{00000000-0005-0000-0000-0000584D0000}"/>
    <cellStyle name="40% - Accent6 3 3 4 2 2" xfId="25895" xr:uid="{00000000-0005-0000-0000-0000594D0000}"/>
    <cellStyle name="40% - Accent6 3 3 4 3" xfId="24110" xr:uid="{00000000-0005-0000-0000-00005A4D0000}"/>
    <cellStyle name="40% - Accent6 3 3 5" xfId="4985" xr:uid="{00000000-0005-0000-0000-00005B4D0000}"/>
    <cellStyle name="40% - Accent6 3 3 5 2" xfId="13046" xr:uid="{00000000-0005-0000-0000-00005C4D0000}"/>
    <cellStyle name="40% - Accent6 3 3 5 2 2" xfId="26758" xr:uid="{00000000-0005-0000-0000-00005D4D0000}"/>
    <cellStyle name="40% - Accent6 3 3 5 3" xfId="24111" xr:uid="{00000000-0005-0000-0000-00005E4D0000}"/>
    <cellStyle name="40% - Accent6 3 3 6" xfId="4986" xr:uid="{00000000-0005-0000-0000-00005F4D0000}"/>
    <cellStyle name="40% - Accent6 3 3 6 2" xfId="13747" xr:uid="{00000000-0005-0000-0000-0000604D0000}"/>
    <cellStyle name="40% - Accent6 3 3 6 2 2" xfId="27296" xr:uid="{00000000-0005-0000-0000-0000614D0000}"/>
    <cellStyle name="40% - Accent6 3 3 6 3" xfId="22650" xr:uid="{00000000-0005-0000-0000-0000624D0000}"/>
    <cellStyle name="40% - Accent6 3 3 7" xfId="4987" xr:uid="{00000000-0005-0000-0000-0000634D0000}"/>
    <cellStyle name="40% - Accent6 3 3 7 2" xfId="14328" xr:uid="{00000000-0005-0000-0000-0000644D0000}"/>
    <cellStyle name="40% - Accent6 3 3 7 2 2" xfId="27877" xr:uid="{00000000-0005-0000-0000-0000654D0000}"/>
    <cellStyle name="40% - Accent6 3 3 7 3" xfId="22649" xr:uid="{00000000-0005-0000-0000-0000664D0000}"/>
    <cellStyle name="40% - Accent6 3 3 8" xfId="4988" xr:uid="{00000000-0005-0000-0000-0000674D0000}"/>
    <cellStyle name="40% - Accent6 3 3 8 2" xfId="15517" xr:uid="{00000000-0005-0000-0000-0000684D0000}"/>
    <cellStyle name="40% - Accent6 3 3 8 2 2" xfId="29066" xr:uid="{00000000-0005-0000-0000-0000694D0000}"/>
    <cellStyle name="40% - Accent6 3 3 8 3" xfId="24109" xr:uid="{00000000-0005-0000-0000-00006A4D0000}"/>
    <cellStyle name="40% - Accent6 3 3 9" xfId="4989" xr:uid="{00000000-0005-0000-0000-00006B4D0000}"/>
    <cellStyle name="40% - Accent6 3 3 9 2" xfId="16214" xr:uid="{00000000-0005-0000-0000-00006C4D0000}"/>
    <cellStyle name="40% - Accent6 3 3 9 2 2" xfId="29621" xr:uid="{00000000-0005-0000-0000-00006D4D0000}"/>
    <cellStyle name="40% - Accent6 3 3 9 3" xfId="26803" xr:uid="{00000000-0005-0000-0000-00006E4D0000}"/>
    <cellStyle name="40% - Accent6 3 4" xfId="4990" xr:uid="{00000000-0005-0000-0000-00006F4D0000}"/>
    <cellStyle name="40% - Accent6 3 4 2" xfId="4991" xr:uid="{00000000-0005-0000-0000-0000704D0000}"/>
    <cellStyle name="40% - Accent6 3 4 2 2" xfId="11257" xr:uid="{00000000-0005-0000-0000-0000714D0000}"/>
    <cellStyle name="40% - Accent6 3 4 2 2 2" xfId="25199" xr:uid="{00000000-0005-0000-0000-0000724D0000}"/>
    <cellStyle name="40% - Accent6 3 4 2 3" xfId="26804" xr:uid="{00000000-0005-0000-0000-0000734D0000}"/>
    <cellStyle name="40% - Accent6 3 4 3" xfId="4992" xr:uid="{00000000-0005-0000-0000-0000744D0000}"/>
    <cellStyle name="40% - Accent6 3 4 3 2" xfId="13048" xr:uid="{00000000-0005-0000-0000-0000754D0000}"/>
    <cellStyle name="40% - Accent6 3 4 3 2 2" xfId="26760" xr:uid="{00000000-0005-0000-0000-0000764D0000}"/>
    <cellStyle name="40% - Accent6 3 4 3 3" xfId="22647" xr:uid="{00000000-0005-0000-0000-0000774D0000}"/>
    <cellStyle name="40% - Accent6 3 4 4" xfId="4993" xr:uid="{00000000-0005-0000-0000-0000784D0000}"/>
    <cellStyle name="40% - Accent6 3 4 4 2" xfId="15520" xr:uid="{00000000-0005-0000-0000-0000794D0000}"/>
    <cellStyle name="40% - Accent6 3 4 4 2 2" xfId="29069" xr:uid="{00000000-0005-0000-0000-00007A4D0000}"/>
    <cellStyle name="40% - Accent6 3 4 4 3" xfId="22646" xr:uid="{00000000-0005-0000-0000-00007B4D0000}"/>
    <cellStyle name="40% - Accent6 3 4 5" xfId="4994" xr:uid="{00000000-0005-0000-0000-00007C4D0000}"/>
    <cellStyle name="40% - Accent6 3 4 5 2" xfId="17142" xr:uid="{00000000-0005-0000-0000-00007D4D0000}"/>
    <cellStyle name="40% - Accent6 3 4 5 2 2" xfId="30501" xr:uid="{00000000-0005-0000-0000-00007E4D0000}"/>
    <cellStyle name="40% - Accent6 3 4 5 3" xfId="24107" xr:uid="{00000000-0005-0000-0000-00007F4D0000}"/>
    <cellStyle name="40% - Accent6 3 4 6" xfId="9530" xr:uid="{00000000-0005-0000-0000-0000804D0000}"/>
    <cellStyle name="40% - Accent6 3 4 6 2" xfId="24005" xr:uid="{00000000-0005-0000-0000-0000814D0000}"/>
    <cellStyle name="40% - Accent6 3 4 7" xfId="22648" xr:uid="{00000000-0005-0000-0000-0000824D0000}"/>
    <cellStyle name="40% - Accent6 3 5" xfId="4995" xr:uid="{00000000-0005-0000-0000-0000834D0000}"/>
    <cellStyle name="40% - Accent6 3 5 2" xfId="4996" xr:uid="{00000000-0005-0000-0000-0000844D0000}"/>
    <cellStyle name="40% - Accent6 3 5 2 2" xfId="11258" xr:uid="{00000000-0005-0000-0000-0000854D0000}"/>
    <cellStyle name="40% - Accent6 3 5 2 2 2" xfId="25200" xr:uid="{00000000-0005-0000-0000-0000864D0000}"/>
    <cellStyle name="40% - Accent6 3 5 2 3" xfId="22645" xr:uid="{00000000-0005-0000-0000-0000874D0000}"/>
    <cellStyle name="40% - Accent6 3 5 3" xfId="4997" xr:uid="{00000000-0005-0000-0000-0000884D0000}"/>
    <cellStyle name="40% - Accent6 3 5 3 2" xfId="13049" xr:uid="{00000000-0005-0000-0000-0000894D0000}"/>
    <cellStyle name="40% - Accent6 3 5 3 2 2" xfId="26761" xr:uid="{00000000-0005-0000-0000-00008A4D0000}"/>
    <cellStyle name="40% - Accent6 3 5 3 3" xfId="22644" xr:uid="{00000000-0005-0000-0000-00008B4D0000}"/>
    <cellStyle name="40% - Accent6 3 5 4" xfId="4998" xr:uid="{00000000-0005-0000-0000-00008C4D0000}"/>
    <cellStyle name="40% - Accent6 3 5 4 2" xfId="15521" xr:uid="{00000000-0005-0000-0000-00008D4D0000}"/>
    <cellStyle name="40% - Accent6 3 5 4 2 2" xfId="29070" xr:uid="{00000000-0005-0000-0000-00008E4D0000}"/>
    <cellStyle name="40% - Accent6 3 5 4 3" xfId="24106" xr:uid="{00000000-0005-0000-0000-00008F4D0000}"/>
    <cellStyle name="40% - Accent6 3 5 5" xfId="4999" xr:uid="{00000000-0005-0000-0000-0000904D0000}"/>
    <cellStyle name="40% - Accent6 3 5 5 2" xfId="17231" xr:uid="{00000000-0005-0000-0000-0000914D0000}"/>
    <cellStyle name="40% - Accent6 3 5 5 2 2" xfId="30590" xr:uid="{00000000-0005-0000-0000-0000924D0000}"/>
    <cellStyle name="40% - Accent6 3 5 5 3" xfId="22643" xr:uid="{00000000-0005-0000-0000-0000934D0000}"/>
    <cellStyle name="40% - Accent6 3 5 6" xfId="9531" xr:uid="{00000000-0005-0000-0000-0000944D0000}"/>
    <cellStyle name="40% - Accent6 3 5 6 2" xfId="24006" xr:uid="{00000000-0005-0000-0000-0000954D0000}"/>
    <cellStyle name="40% - Accent6 3 5 7" xfId="24108" xr:uid="{00000000-0005-0000-0000-0000964D0000}"/>
    <cellStyle name="40% - Accent6 3 6" xfId="5000" xr:uid="{00000000-0005-0000-0000-0000974D0000}"/>
    <cellStyle name="40% - Accent6 3 6 2" xfId="5001" xr:uid="{00000000-0005-0000-0000-0000984D0000}"/>
    <cellStyle name="40% - Accent6 3 6 2 2" xfId="15522" xr:uid="{00000000-0005-0000-0000-0000994D0000}"/>
    <cellStyle name="40% - Accent6 3 6 2 2 2" xfId="29071" xr:uid="{00000000-0005-0000-0000-00009A4D0000}"/>
    <cellStyle name="40% - Accent6 3 6 2 3" xfId="22642" xr:uid="{00000000-0005-0000-0000-00009B4D0000}"/>
    <cellStyle name="40% - Accent6 3 6 3" xfId="5002" xr:uid="{00000000-0005-0000-0000-00009C4D0000}"/>
    <cellStyle name="40% - Accent6 3 6 3 2" xfId="16506" xr:uid="{00000000-0005-0000-0000-00009D4D0000}"/>
    <cellStyle name="40% - Accent6 3 6 3 2 2" xfId="29913" xr:uid="{00000000-0005-0000-0000-00009E4D0000}"/>
    <cellStyle name="40% - Accent6 3 6 3 3" xfId="25237" xr:uid="{00000000-0005-0000-0000-00009F4D0000}"/>
    <cellStyle name="40% - Accent6 3 6 4" xfId="11250" xr:uid="{00000000-0005-0000-0000-0000A04D0000}"/>
    <cellStyle name="40% - Accent6 3 6 4 2" xfId="25192" xr:uid="{00000000-0005-0000-0000-0000A14D0000}"/>
    <cellStyle name="40% - Accent6 3 6 5" xfId="24103" xr:uid="{00000000-0005-0000-0000-0000A24D0000}"/>
    <cellStyle name="40% - Accent6 3 7" xfId="5003" xr:uid="{00000000-0005-0000-0000-0000A34D0000}"/>
    <cellStyle name="40% - Accent6 3 7 2" xfId="11878" xr:uid="{00000000-0005-0000-0000-0000A44D0000}"/>
    <cellStyle name="40% - Accent6 3 7 2 2" xfId="25593" xr:uid="{00000000-0005-0000-0000-0000A54D0000}"/>
    <cellStyle name="40% - Accent6 3 7 3" xfId="22641" xr:uid="{00000000-0005-0000-0000-0000A64D0000}"/>
    <cellStyle name="40% - Accent6 3 8" xfId="5004" xr:uid="{00000000-0005-0000-0000-0000A74D0000}"/>
    <cellStyle name="40% - Accent6 3 8 2" xfId="13041" xr:uid="{00000000-0005-0000-0000-0000A84D0000}"/>
    <cellStyle name="40% - Accent6 3 8 2 2" xfId="26753" xr:uid="{00000000-0005-0000-0000-0000A94D0000}"/>
    <cellStyle name="40% - Accent6 3 8 3" xfId="24427" xr:uid="{00000000-0005-0000-0000-0000AA4D0000}"/>
    <cellStyle name="40% - Accent6 3 9" xfId="5005" xr:uid="{00000000-0005-0000-0000-0000AB4D0000}"/>
    <cellStyle name="40% - Accent6 3 9 2" xfId="13458" xr:uid="{00000000-0005-0000-0000-0000AC4D0000}"/>
    <cellStyle name="40% - Accent6 3 9 2 2" xfId="27007" xr:uid="{00000000-0005-0000-0000-0000AD4D0000}"/>
    <cellStyle name="40% - Accent6 3 9 3" xfId="29123" xr:uid="{00000000-0005-0000-0000-0000AE4D0000}"/>
    <cellStyle name="40% - Accent6 30" xfId="23253" xr:uid="{00000000-0005-0000-0000-0000AF4D0000}"/>
    <cellStyle name="40% - Accent6 4" xfId="5006" xr:uid="{00000000-0005-0000-0000-0000B04D0000}"/>
    <cellStyle name="40% - Accent6 4 10" xfId="5007" xr:uid="{00000000-0005-0000-0000-0000B14D0000}"/>
    <cellStyle name="40% - Accent6 4 10 2" xfId="15523" xr:uid="{00000000-0005-0000-0000-0000B24D0000}"/>
    <cellStyle name="40% - Accent6 4 10 2 2" xfId="29072" xr:uid="{00000000-0005-0000-0000-0000B34D0000}"/>
    <cellStyle name="40% - Accent6 4 10 3" xfId="22639" xr:uid="{00000000-0005-0000-0000-0000B44D0000}"/>
    <cellStyle name="40% - Accent6 4 11" xfId="5008" xr:uid="{00000000-0005-0000-0000-0000B54D0000}"/>
    <cellStyle name="40% - Accent6 4 11 2" xfId="15879" xr:uid="{00000000-0005-0000-0000-0000B64D0000}"/>
    <cellStyle name="40% - Accent6 4 11 2 2" xfId="29286" xr:uid="{00000000-0005-0000-0000-0000B74D0000}"/>
    <cellStyle name="40% - Accent6 4 11 3" xfId="24105" xr:uid="{00000000-0005-0000-0000-0000B84D0000}"/>
    <cellStyle name="40% - Accent6 4 12" xfId="9532" xr:uid="{00000000-0005-0000-0000-0000B94D0000}"/>
    <cellStyle name="40% - Accent6 4 12 2" xfId="24007" xr:uid="{00000000-0005-0000-0000-0000BA4D0000}"/>
    <cellStyle name="40% - Accent6 4 13" xfId="22640" xr:uid="{00000000-0005-0000-0000-0000BB4D0000}"/>
    <cellStyle name="40% - Accent6 4 2" xfId="5009" xr:uid="{00000000-0005-0000-0000-0000BC4D0000}"/>
    <cellStyle name="40% - Accent6 4 2 10" xfId="5010" xr:uid="{00000000-0005-0000-0000-0000BD4D0000}"/>
    <cellStyle name="40% - Accent6 4 2 10 2" xfId="16022" xr:uid="{00000000-0005-0000-0000-0000BE4D0000}"/>
    <cellStyle name="40% - Accent6 4 2 10 2 2" xfId="29429" xr:uid="{00000000-0005-0000-0000-0000BF4D0000}"/>
    <cellStyle name="40% - Accent6 4 2 10 3" xfId="24104" xr:uid="{00000000-0005-0000-0000-0000C04D0000}"/>
    <cellStyle name="40% - Accent6 4 2 11" xfId="9533" xr:uid="{00000000-0005-0000-0000-0000C14D0000}"/>
    <cellStyle name="40% - Accent6 4 2 11 2" xfId="24008" xr:uid="{00000000-0005-0000-0000-0000C24D0000}"/>
    <cellStyle name="40% - Accent6 4 2 12" xfId="22638" xr:uid="{00000000-0005-0000-0000-0000C34D0000}"/>
    <cellStyle name="40% - Accent6 4 2 2" xfId="5011" xr:uid="{00000000-0005-0000-0000-0000C44D0000}"/>
    <cellStyle name="40% - Accent6 4 2 2 10" xfId="9534" xr:uid="{00000000-0005-0000-0000-0000C54D0000}"/>
    <cellStyle name="40% - Accent6 4 2 2 10 2" xfId="24009" xr:uid="{00000000-0005-0000-0000-0000C64D0000}"/>
    <cellStyle name="40% - Accent6 4 2 2 11" xfId="22637" xr:uid="{00000000-0005-0000-0000-0000C74D0000}"/>
    <cellStyle name="40% - Accent6 4 2 2 2" xfId="5012" xr:uid="{00000000-0005-0000-0000-0000C84D0000}"/>
    <cellStyle name="40% - Accent6 4 2 2 2 2" xfId="5013" xr:uid="{00000000-0005-0000-0000-0000C94D0000}"/>
    <cellStyle name="40% - Accent6 4 2 2 2 2 2" xfId="11262" xr:uid="{00000000-0005-0000-0000-0000CA4D0000}"/>
    <cellStyle name="40% - Accent6 4 2 2 2 2 2 2" xfId="25204" xr:uid="{00000000-0005-0000-0000-0000CB4D0000}"/>
    <cellStyle name="40% - Accent6 4 2 2 2 2 3" xfId="24102" xr:uid="{00000000-0005-0000-0000-0000CC4D0000}"/>
    <cellStyle name="40% - Accent6 4 2 2 2 3" xfId="5014" xr:uid="{00000000-0005-0000-0000-0000CD4D0000}"/>
    <cellStyle name="40% - Accent6 4 2 2 2 3 2" xfId="13053" xr:uid="{00000000-0005-0000-0000-0000CE4D0000}"/>
    <cellStyle name="40% - Accent6 4 2 2 2 3 2 2" xfId="26765" xr:uid="{00000000-0005-0000-0000-0000CF4D0000}"/>
    <cellStyle name="40% - Accent6 4 2 2 2 3 3" xfId="22636" xr:uid="{00000000-0005-0000-0000-0000D04D0000}"/>
    <cellStyle name="40% - Accent6 4 2 2 2 4" xfId="5015" xr:uid="{00000000-0005-0000-0000-0000D14D0000}"/>
    <cellStyle name="40% - Accent6 4 2 2 2 4 2" xfId="15526" xr:uid="{00000000-0005-0000-0000-0000D24D0000}"/>
    <cellStyle name="40% - Accent6 4 2 2 2 4 2 2" xfId="29075" xr:uid="{00000000-0005-0000-0000-0000D34D0000}"/>
    <cellStyle name="40% - Accent6 4 2 2 2 4 3" xfId="24101" xr:uid="{00000000-0005-0000-0000-0000D44D0000}"/>
    <cellStyle name="40% - Accent6 4 2 2 2 5" xfId="5016" xr:uid="{00000000-0005-0000-0000-0000D54D0000}"/>
    <cellStyle name="40% - Accent6 4 2 2 2 5 2" xfId="16892" xr:uid="{00000000-0005-0000-0000-0000D64D0000}"/>
    <cellStyle name="40% - Accent6 4 2 2 2 5 2 2" xfId="30299" xr:uid="{00000000-0005-0000-0000-0000D74D0000}"/>
    <cellStyle name="40% - Accent6 4 2 2 2 5 3" xfId="22635" xr:uid="{00000000-0005-0000-0000-0000D84D0000}"/>
    <cellStyle name="40% - Accent6 4 2 2 2 6" xfId="9535" xr:uid="{00000000-0005-0000-0000-0000D94D0000}"/>
    <cellStyle name="40% - Accent6 4 2 2 2 6 2" xfId="24010" xr:uid="{00000000-0005-0000-0000-0000DA4D0000}"/>
    <cellStyle name="40% - Accent6 4 2 2 2 7" xfId="23254" xr:uid="{00000000-0005-0000-0000-0000DB4D0000}"/>
    <cellStyle name="40% - Accent6 4 2 2 3" xfId="5017" xr:uid="{00000000-0005-0000-0000-0000DC4D0000}"/>
    <cellStyle name="40% - Accent6 4 2 2 3 2" xfId="5018" xr:uid="{00000000-0005-0000-0000-0000DD4D0000}"/>
    <cellStyle name="40% - Accent6 4 2 2 3 2 2" xfId="15527" xr:uid="{00000000-0005-0000-0000-0000DE4D0000}"/>
    <cellStyle name="40% - Accent6 4 2 2 3 2 2 2" xfId="29076" xr:uid="{00000000-0005-0000-0000-0000DF4D0000}"/>
    <cellStyle name="40% - Accent6 4 2 2 3 2 3" xfId="22634" xr:uid="{00000000-0005-0000-0000-0000E04D0000}"/>
    <cellStyle name="40% - Accent6 4 2 2 3 3" xfId="11261" xr:uid="{00000000-0005-0000-0000-0000E14D0000}"/>
    <cellStyle name="40% - Accent6 4 2 2 3 3 2" xfId="25203" xr:uid="{00000000-0005-0000-0000-0000E24D0000}"/>
    <cellStyle name="40% - Accent6 4 2 2 3 4" xfId="24100" xr:uid="{00000000-0005-0000-0000-0000E34D0000}"/>
    <cellStyle name="40% - Accent6 4 2 2 4" xfId="5019" xr:uid="{00000000-0005-0000-0000-0000E44D0000}"/>
    <cellStyle name="40% - Accent6 4 2 2 4 2" xfId="12280" xr:uid="{00000000-0005-0000-0000-0000E54D0000}"/>
    <cellStyle name="40% - Accent6 4 2 2 4 2 2" xfId="25992" xr:uid="{00000000-0005-0000-0000-0000E64D0000}"/>
    <cellStyle name="40% - Accent6 4 2 2 4 3" xfId="24099" xr:uid="{00000000-0005-0000-0000-0000E74D0000}"/>
    <cellStyle name="40% - Accent6 4 2 2 5" xfId="5020" xr:uid="{00000000-0005-0000-0000-0000E84D0000}"/>
    <cellStyle name="40% - Accent6 4 2 2 5 2" xfId="13052" xr:uid="{00000000-0005-0000-0000-0000E94D0000}"/>
    <cellStyle name="40% - Accent6 4 2 2 5 2 2" xfId="26764" xr:uid="{00000000-0005-0000-0000-0000EA4D0000}"/>
    <cellStyle name="40% - Accent6 4 2 2 5 3" xfId="22633" xr:uid="{00000000-0005-0000-0000-0000EB4D0000}"/>
    <cellStyle name="40% - Accent6 4 2 2 6" xfId="5021" xr:uid="{00000000-0005-0000-0000-0000EC4D0000}"/>
    <cellStyle name="40% - Accent6 4 2 2 6 2" xfId="13844" xr:uid="{00000000-0005-0000-0000-0000ED4D0000}"/>
    <cellStyle name="40% - Accent6 4 2 2 6 2 2" xfId="27393" xr:uid="{00000000-0005-0000-0000-0000EE4D0000}"/>
    <cellStyle name="40% - Accent6 4 2 2 6 3" xfId="24097" xr:uid="{00000000-0005-0000-0000-0000EF4D0000}"/>
    <cellStyle name="40% - Accent6 4 2 2 7" xfId="5022" xr:uid="{00000000-0005-0000-0000-0000F04D0000}"/>
    <cellStyle name="40% - Accent6 4 2 2 7 2" xfId="14425" xr:uid="{00000000-0005-0000-0000-0000F14D0000}"/>
    <cellStyle name="40% - Accent6 4 2 2 7 2 2" xfId="27974" xr:uid="{00000000-0005-0000-0000-0000F24D0000}"/>
    <cellStyle name="40% - Accent6 4 2 2 7 3" xfId="24098" xr:uid="{00000000-0005-0000-0000-0000F34D0000}"/>
    <cellStyle name="40% - Accent6 4 2 2 8" xfId="5023" xr:uid="{00000000-0005-0000-0000-0000F44D0000}"/>
    <cellStyle name="40% - Accent6 4 2 2 8 2" xfId="15525" xr:uid="{00000000-0005-0000-0000-0000F54D0000}"/>
    <cellStyle name="40% - Accent6 4 2 2 8 2 2" xfId="29074" xr:uid="{00000000-0005-0000-0000-0000F64D0000}"/>
    <cellStyle name="40% - Accent6 4 2 2 8 3" xfId="22632" xr:uid="{00000000-0005-0000-0000-0000F74D0000}"/>
    <cellStyle name="40% - Accent6 4 2 2 9" xfId="5024" xr:uid="{00000000-0005-0000-0000-0000F84D0000}"/>
    <cellStyle name="40% - Accent6 4 2 2 9 2" xfId="16311" xr:uid="{00000000-0005-0000-0000-0000F94D0000}"/>
    <cellStyle name="40% - Accent6 4 2 2 9 2 2" xfId="29718" xr:uid="{00000000-0005-0000-0000-0000FA4D0000}"/>
    <cellStyle name="40% - Accent6 4 2 2 9 3" xfId="22631" xr:uid="{00000000-0005-0000-0000-0000FB4D0000}"/>
    <cellStyle name="40% - Accent6 4 2 3" xfId="5025" xr:uid="{00000000-0005-0000-0000-0000FC4D0000}"/>
    <cellStyle name="40% - Accent6 4 2 3 2" xfId="5026" xr:uid="{00000000-0005-0000-0000-0000FD4D0000}"/>
    <cellStyle name="40% - Accent6 4 2 3 2 2" xfId="11263" xr:uid="{00000000-0005-0000-0000-0000FE4D0000}"/>
    <cellStyle name="40% - Accent6 4 2 3 2 2 2" xfId="25205" xr:uid="{00000000-0005-0000-0000-0000FF4D0000}"/>
    <cellStyle name="40% - Accent6 4 2 3 2 3" xfId="26801" xr:uid="{00000000-0005-0000-0000-0000004E0000}"/>
    <cellStyle name="40% - Accent6 4 2 3 3" xfId="5027" xr:uid="{00000000-0005-0000-0000-0000014E0000}"/>
    <cellStyle name="40% - Accent6 4 2 3 3 2" xfId="13054" xr:uid="{00000000-0005-0000-0000-0000024E0000}"/>
    <cellStyle name="40% - Accent6 4 2 3 3 2 2" xfId="26766" xr:uid="{00000000-0005-0000-0000-0000034E0000}"/>
    <cellStyle name="40% - Accent6 4 2 3 3 3" xfId="22630" xr:uid="{00000000-0005-0000-0000-0000044E0000}"/>
    <cellStyle name="40% - Accent6 4 2 3 4" xfId="5028" xr:uid="{00000000-0005-0000-0000-0000054E0000}"/>
    <cellStyle name="40% - Accent6 4 2 3 4 2" xfId="15528" xr:uid="{00000000-0005-0000-0000-0000064E0000}"/>
    <cellStyle name="40% - Accent6 4 2 3 4 2 2" xfId="29077" xr:uid="{00000000-0005-0000-0000-0000074E0000}"/>
    <cellStyle name="40% - Accent6 4 2 3 4 3" xfId="26802" xr:uid="{00000000-0005-0000-0000-0000084E0000}"/>
    <cellStyle name="40% - Accent6 4 2 3 5" xfId="5029" xr:uid="{00000000-0005-0000-0000-0000094E0000}"/>
    <cellStyle name="40% - Accent6 4 2 3 5 2" xfId="16603" xr:uid="{00000000-0005-0000-0000-00000A4E0000}"/>
    <cellStyle name="40% - Accent6 4 2 3 5 2 2" xfId="30010" xr:uid="{00000000-0005-0000-0000-00000B4E0000}"/>
    <cellStyle name="40% - Accent6 4 2 3 5 3" xfId="22629" xr:uid="{00000000-0005-0000-0000-00000C4E0000}"/>
    <cellStyle name="40% - Accent6 4 2 3 6" xfId="9536" xr:uid="{00000000-0005-0000-0000-00000D4E0000}"/>
    <cellStyle name="40% - Accent6 4 2 3 6 2" xfId="24011" xr:uid="{00000000-0005-0000-0000-00000E4E0000}"/>
    <cellStyle name="40% - Accent6 4 2 3 7" xfId="24096" xr:uid="{00000000-0005-0000-0000-00000F4E0000}"/>
    <cellStyle name="40% - Accent6 4 2 4" xfId="5030" xr:uid="{00000000-0005-0000-0000-0000104E0000}"/>
    <cellStyle name="40% - Accent6 4 2 4 2" xfId="5031" xr:uid="{00000000-0005-0000-0000-0000114E0000}"/>
    <cellStyle name="40% - Accent6 4 2 4 2 2" xfId="15529" xr:uid="{00000000-0005-0000-0000-0000124E0000}"/>
    <cellStyle name="40% - Accent6 4 2 4 2 2 2" xfId="29078" xr:uid="{00000000-0005-0000-0000-0000134E0000}"/>
    <cellStyle name="40% - Accent6 4 2 4 2 3" xfId="24094" xr:uid="{00000000-0005-0000-0000-0000144E0000}"/>
    <cellStyle name="40% - Accent6 4 2 4 3" xfId="11260" xr:uid="{00000000-0005-0000-0000-0000154E0000}"/>
    <cellStyle name="40% - Accent6 4 2 4 3 2" xfId="25202" xr:uid="{00000000-0005-0000-0000-0000164E0000}"/>
    <cellStyle name="40% - Accent6 4 2 4 4" xfId="22628" xr:uid="{00000000-0005-0000-0000-0000174E0000}"/>
    <cellStyle name="40% - Accent6 4 2 5" xfId="5032" xr:uid="{00000000-0005-0000-0000-0000184E0000}"/>
    <cellStyle name="40% - Accent6 4 2 5 2" xfId="11980" xr:uid="{00000000-0005-0000-0000-0000194E0000}"/>
    <cellStyle name="40% - Accent6 4 2 5 2 2" xfId="25695" xr:uid="{00000000-0005-0000-0000-00001A4E0000}"/>
    <cellStyle name="40% - Accent6 4 2 5 3" xfId="24095" xr:uid="{00000000-0005-0000-0000-00001B4E0000}"/>
    <cellStyle name="40% - Accent6 4 2 6" xfId="5033" xr:uid="{00000000-0005-0000-0000-00001C4E0000}"/>
    <cellStyle name="40% - Accent6 4 2 6 2" xfId="13051" xr:uid="{00000000-0005-0000-0000-00001D4E0000}"/>
    <cellStyle name="40% - Accent6 4 2 6 2 2" xfId="26763" xr:uid="{00000000-0005-0000-0000-00001E4E0000}"/>
    <cellStyle name="40% - Accent6 4 2 6 3" xfId="22627" xr:uid="{00000000-0005-0000-0000-00001F4E0000}"/>
    <cellStyle name="40% - Accent6 4 2 7" xfId="5034" xr:uid="{00000000-0005-0000-0000-0000204E0000}"/>
    <cellStyle name="40% - Accent6 4 2 7 2" xfId="13555" xr:uid="{00000000-0005-0000-0000-0000214E0000}"/>
    <cellStyle name="40% - Accent6 4 2 7 2 2" xfId="27104" xr:uid="{00000000-0005-0000-0000-0000224E0000}"/>
    <cellStyle name="40% - Accent6 4 2 7 3" xfId="22626" xr:uid="{00000000-0005-0000-0000-0000234E0000}"/>
    <cellStyle name="40% - Accent6 4 2 8" xfId="5035" xr:uid="{00000000-0005-0000-0000-0000244E0000}"/>
    <cellStyle name="40% - Accent6 4 2 8 2" xfId="14136" xr:uid="{00000000-0005-0000-0000-0000254E0000}"/>
    <cellStyle name="40% - Accent6 4 2 8 2 2" xfId="27685" xr:uid="{00000000-0005-0000-0000-0000264E0000}"/>
    <cellStyle name="40% - Accent6 4 2 8 3" xfId="24093" xr:uid="{00000000-0005-0000-0000-0000274E0000}"/>
    <cellStyle name="40% - Accent6 4 2 9" xfId="5036" xr:uid="{00000000-0005-0000-0000-0000284E0000}"/>
    <cellStyle name="40% - Accent6 4 2 9 2" xfId="15524" xr:uid="{00000000-0005-0000-0000-0000294E0000}"/>
    <cellStyle name="40% - Accent6 4 2 9 2 2" xfId="29073" xr:uid="{00000000-0005-0000-0000-00002A4E0000}"/>
    <cellStyle name="40% - Accent6 4 2 9 3" xfId="22625" xr:uid="{00000000-0005-0000-0000-00002B4E0000}"/>
    <cellStyle name="40% - Accent6 4 3" xfId="5037" xr:uid="{00000000-0005-0000-0000-00002C4E0000}"/>
    <cellStyle name="40% - Accent6 4 3 10" xfId="9537" xr:uid="{00000000-0005-0000-0000-00002D4E0000}"/>
    <cellStyle name="40% - Accent6 4 3 10 2" xfId="24012" xr:uid="{00000000-0005-0000-0000-00002E4E0000}"/>
    <cellStyle name="40% - Accent6 4 3 11" xfId="24090" xr:uid="{00000000-0005-0000-0000-00002F4E0000}"/>
    <cellStyle name="40% - Accent6 4 3 2" xfId="5038" xr:uid="{00000000-0005-0000-0000-0000304E0000}"/>
    <cellStyle name="40% - Accent6 4 3 2 2" xfId="5039" xr:uid="{00000000-0005-0000-0000-0000314E0000}"/>
    <cellStyle name="40% - Accent6 4 3 2 2 2" xfId="11265" xr:uid="{00000000-0005-0000-0000-0000324E0000}"/>
    <cellStyle name="40% - Accent6 4 3 2 2 2 2" xfId="25207" xr:uid="{00000000-0005-0000-0000-0000334E0000}"/>
    <cellStyle name="40% - Accent6 4 3 2 2 3" xfId="25236" xr:uid="{00000000-0005-0000-0000-0000344E0000}"/>
    <cellStyle name="40% - Accent6 4 3 2 3" xfId="5040" xr:uid="{00000000-0005-0000-0000-0000354E0000}"/>
    <cellStyle name="40% - Accent6 4 3 2 3 2" xfId="13056" xr:uid="{00000000-0005-0000-0000-0000364E0000}"/>
    <cellStyle name="40% - Accent6 4 3 2 3 2 2" xfId="26768" xr:uid="{00000000-0005-0000-0000-0000374E0000}"/>
    <cellStyle name="40% - Accent6 4 3 2 3 3" xfId="22623" xr:uid="{00000000-0005-0000-0000-0000384E0000}"/>
    <cellStyle name="40% - Accent6 4 3 2 4" xfId="5041" xr:uid="{00000000-0005-0000-0000-0000394E0000}"/>
    <cellStyle name="40% - Accent6 4 3 2 4 2" xfId="15531" xr:uid="{00000000-0005-0000-0000-00003A4E0000}"/>
    <cellStyle name="40% - Accent6 4 3 2 4 2 2" xfId="29080" xr:uid="{00000000-0005-0000-0000-00003B4E0000}"/>
    <cellStyle name="40% - Accent6 4 3 2 4 3" xfId="24426" xr:uid="{00000000-0005-0000-0000-00003C4E0000}"/>
    <cellStyle name="40% - Accent6 4 3 2 5" xfId="5042" xr:uid="{00000000-0005-0000-0000-00003D4E0000}"/>
    <cellStyle name="40% - Accent6 4 3 2 5 2" xfId="16752" xr:uid="{00000000-0005-0000-0000-00003E4E0000}"/>
    <cellStyle name="40% - Accent6 4 3 2 5 2 2" xfId="30159" xr:uid="{00000000-0005-0000-0000-00003F4E0000}"/>
    <cellStyle name="40% - Accent6 4 3 2 5 3" xfId="29122" xr:uid="{00000000-0005-0000-0000-0000404E0000}"/>
    <cellStyle name="40% - Accent6 4 3 2 6" xfId="9538" xr:uid="{00000000-0005-0000-0000-0000414E0000}"/>
    <cellStyle name="40% - Accent6 4 3 2 6 2" xfId="24013" xr:uid="{00000000-0005-0000-0000-0000424E0000}"/>
    <cellStyle name="40% - Accent6 4 3 2 7" xfId="22624" xr:uid="{00000000-0005-0000-0000-0000434E0000}"/>
    <cellStyle name="40% - Accent6 4 3 3" xfId="5043" xr:uid="{00000000-0005-0000-0000-0000444E0000}"/>
    <cellStyle name="40% - Accent6 4 3 3 2" xfId="5044" xr:uid="{00000000-0005-0000-0000-0000454E0000}"/>
    <cellStyle name="40% - Accent6 4 3 3 2 2" xfId="15532" xr:uid="{00000000-0005-0000-0000-0000464E0000}"/>
    <cellStyle name="40% - Accent6 4 3 3 2 2 2" xfId="29081" xr:uid="{00000000-0005-0000-0000-0000474E0000}"/>
    <cellStyle name="40% - Accent6 4 3 3 2 3" xfId="22621" xr:uid="{00000000-0005-0000-0000-0000484E0000}"/>
    <cellStyle name="40% - Accent6 4 3 3 3" xfId="11264" xr:uid="{00000000-0005-0000-0000-0000494E0000}"/>
    <cellStyle name="40% - Accent6 4 3 3 3 2" xfId="25206" xr:uid="{00000000-0005-0000-0000-00004A4E0000}"/>
    <cellStyle name="40% - Accent6 4 3 3 4" xfId="22622" xr:uid="{00000000-0005-0000-0000-00004B4E0000}"/>
    <cellStyle name="40% - Accent6 4 3 4" xfId="5045" xr:uid="{00000000-0005-0000-0000-00004C4E0000}"/>
    <cellStyle name="40% - Accent6 4 3 4 2" xfId="12140" xr:uid="{00000000-0005-0000-0000-00004D4E0000}"/>
    <cellStyle name="40% - Accent6 4 3 4 2 2" xfId="25852" xr:uid="{00000000-0005-0000-0000-00004E4E0000}"/>
    <cellStyle name="40% - Accent6 4 3 4 3" xfId="24092" xr:uid="{00000000-0005-0000-0000-00004F4E0000}"/>
    <cellStyle name="40% - Accent6 4 3 5" xfId="5046" xr:uid="{00000000-0005-0000-0000-0000504E0000}"/>
    <cellStyle name="40% - Accent6 4 3 5 2" xfId="13055" xr:uid="{00000000-0005-0000-0000-0000514E0000}"/>
    <cellStyle name="40% - Accent6 4 3 5 2 2" xfId="26767" xr:uid="{00000000-0005-0000-0000-0000524E0000}"/>
    <cellStyle name="40% - Accent6 4 3 5 3" xfId="22620" xr:uid="{00000000-0005-0000-0000-0000534E0000}"/>
    <cellStyle name="40% - Accent6 4 3 6" xfId="5047" xr:uid="{00000000-0005-0000-0000-0000544E0000}"/>
    <cellStyle name="40% - Accent6 4 3 6 2" xfId="13704" xr:uid="{00000000-0005-0000-0000-0000554E0000}"/>
    <cellStyle name="40% - Accent6 4 3 6 2 2" xfId="27253" xr:uid="{00000000-0005-0000-0000-0000564E0000}"/>
    <cellStyle name="40% - Accent6 4 3 6 3" xfId="24091" xr:uid="{00000000-0005-0000-0000-0000574E0000}"/>
    <cellStyle name="40% - Accent6 4 3 7" xfId="5048" xr:uid="{00000000-0005-0000-0000-0000584E0000}"/>
    <cellStyle name="40% - Accent6 4 3 7 2" xfId="14285" xr:uid="{00000000-0005-0000-0000-0000594E0000}"/>
    <cellStyle name="40% - Accent6 4 3 7 2 2" xfId="27834" xr:uid="{00000000-0005-0000-0000-00005A4E0000}"/>
    <cellStyle name="40% - Accent6 4 3 7 3" xfId="22619" xr:uid="{00000000-0005-0000-0000-00005B4E0000}"/>
    <cellStyle name="40% - Accent6 4 3 8" xfId="5049" xr:uid="{00000000-0005-0000-0000-00005C4E0000}"/>
    <cellStyle name="40% - Accent6 4 3 8 2" xfId="15530" xr:uid="{00000000-0005-0000-0000-00005D4E0000}"/>
    <cellStyle name="40% - Accent6 4 3 8 2 2" xfId="29079" xr:uid="{00000000-0005-0000-0000-00005E4E0000}"/>
    <cellStyle name="40% - Accent6 4 3 8 3" xfId="23250" xr:uid="{00000000-0005-0000-0000-00005F4E0000}"/>
    <cellStyle name="40% - Accent6 4 3 9" xfId="5050" xr:uid="{00000000-0005-0000-0000-0000604E0000}"/>
    <cellStyle name="40% - Accent6 4 3 9 2" xfId="16171" xr:uid="{00000000-0005-0000-0000-0000614E0000}"/>
    <cellStyle name="40% - Accent6 4 3 9 2 2" xfId="29578" xr:uid="{00000000-0005-0000-0000-0000624E0000}"/>
    <cellStyle name="40% - Accent6 4 3 9 3" xfId="24089" xr:uid="{00000000-0005-0000-0000-0000634E0000}"/>
    <cellStyle name="40% - Accent6 4 4" xfId="5051" xr:uid="{00000000-0005-0000-0000-0000644E0000}"/>
    <cellStyle name="40% - Accent6 4 4 2" xfId="5052" xr:uid="{00000000-0005-0000-0000-0000654E0000}"/>
    <cellStyle name="40% - Accent6 4 4 2 2" xfId="11266" xr:uid="{00000000-0005-0000-0000-0000664E0000}"/>
    <cellStyle name="40% - Accent6 4 4 2 2 2" xfId="25208" xr:uid="{00000000-0005-0000-0000-0000674E0000}"/>
    <cellStyle name="40% - Accent6 4 4 2 3" xfId="24088" xr:uid="{00000000-0005-0000-0000-0000684E0000}"/>
    <cellStyle name="40% - Accent6 4 4 3" xfId="5053" xr:uid="{00000000-0005-0000-0000-0000694E0000}"/>
    <cellStyle name="40% - Accent6 4 4 3 2" xfId="13057" xr:uid="{00000000-0005-0000-0000-00006A4E0000}"/>
    <cellStyle name="40% - Accent6 4 4 3 2 2" xfId="26769" xr:uid="{00000000-0005-0000-0000-00006B4E0000}"/>
    <cellStyle name="40% - Accent6 4 4 3 3" xfId="22617" xr:uid="{00000000-0005-0000-0000-00006C4E0000}"/>
    <cellStyle name="40% - Accent6 4 4 4" xfId="5054" xr:uid="{00000000-0005-0000-0000-00006D4E0000}"/>
    <cellStyle name="40% - Accent6 4 4 4 2" xfId="15533" xr:uid="{00000000-0005-0000-0000-00006E4E0000}"/>
    <cellStyle name="40% - Accent6 4 4 4 2 2" xfId="29082" xr:uid="{00000000-0005-0000-0000-00006F4E0000}"/>
    <cellStyle name="40% - Accent6 4 4 4 3" xfId="24087" xr:uid="{00000000-0005-0000-0000-0000704E0000}"/>
    <cellStyle name="40% - Accent6 4 4 5" xfId="5055" xr:uid="{00000000-0005-0000-0000-0000714E0000}"/>
    <cellStyle name="40% - Accent6 4 4 5 2" xfId="16460" xr:uid="{00000000-0005-0000-0000-0000724E0000}"/>
    <cellStyle name="40% - Accent6 4 4 5 2 2" xfId="29867" xr:uid="{00000000-0005-0000-0000-0000734E0000}"/>
    <cellStyle name="40% - Accent6 4 4 5 3" xfId="22616" xr:uid="{00000000-0005-0000-0000-0000744E0000}"/>
    <cellStyle name="40% - Accent6 4 4 6" xfId="9539" xr:uid="{00000000-0005-0000-0000-0000754E0000}"/>
    <cellStyle name="40% - Accent6 4 4 6 2" xfId="24014" xr:uid="{00000000-0005-0000-0000-0000764E0000}"/>
    <cellStyle name="40% - Accent6 4 4 7" xfId="22618" xr:uid="{00000000-0005-0000-0000-0000774E0000}"/>
    <cellStyle name="40% - Accent6 4 5" xfId="5056" xr:uid="{00000000-0005-0000-0000-0000784E0000}"/>
    <cellStyle name="40% - Accent6 4 5 2" xfId="5057" xr:uid="{00000000-0005-0000-0000-0000794E0000}"/>
    <cellStyle name="40% - Accent6 4 5 2 2" xfId="15534" xr:uid="{00000000-0005-0000-0000-00007A4E0000}"/>
    <cellStyle name="40% - Accent6 4 5 2 2 2" xfId="29083" xr:uid="{00000000-0005-0000-0000-00007B4E0000}"/>
    <cellStyle name="40% - Accent6 4 5 2 3" xfId="22615" xr:uid="{00000000-0005-0000-0000-00007C4E0000}"/>
    <cellStyle name="40% - Accent6 4 5 3" xfId="11259" xr:uid="{00000000-0005-0000-0000-00007D4E0000}"/>
    <cellStyle name="40% - Accent6 4 5 3 2" xfId="25201" xr:uid="{00000000-0005-0000-0000-00007E4E0000}"/>
    <cellStyle name="40% - Accent6 4 5 4" xfId="24086" xr:uid="{00000000-0005-0000-0000-00007F4E0000}"/>
    <cellStyle name="40% - Accent6 4 6" xfId="5058" xr:uid="{00000000-0005-0000-0000-0000804E0000}"/>
    <cellStyle name="40% - Accent6 4 6 2" xfId="11811" xr:uid="{00000000-0005-0000-0000-0000814E0000}"/>
    <cellStyle name="40% - Accent6 4 6 2 2" xfId="25526" xr:uid="{00000000-0005-0000-0000-0000824E0000}"/>
    <cellStyle name="40% - Accent6 4 6 3" xfId="24084" xr:uid="{00000000-0005-0000-0000-0000834E0000}"/>
    <cellStyle name="40% - Accent6 4 7" xfId="5059" xr:uid="{00000000-0005-0000-0000-0000844E0000}"/>
    <cellStyle name="40% - Accent6 4 7 2" xfId="13050" xr:uid="{00000000-0005-0000-0000-0000854E0000}"/>
    <cellStyle name="40% - Accent6 4 7 2 2" xfId="26762" xr:uid="{00000000-0005-0000-0000-0000864E0000}"/>
    <cellStyle name="40% - Accent6 4 7 3" xfId="24085" xr:uid="{00000000-0005-0000-0000-0000874E0000}"/>
    <cellStyle name="40% - Accent6 4 8" xfId="5060" xr:uid="{00000000-0005-0000-0000-0000884E0000}"/>
    <cellStyle name="40% - Accent6 4 8 2" xfId="13412" xr:uid="{00000000-0005-0000-0000-0000894E0000}"/>
    <cellStyle name="40% - Accent6 4 8 2 2" xfId="26961" xr:uid="{00000000-0005-0000-0000-00008A4E0000}"/>
    <cellStyle name="40% - Accent6 4 8 3" xfId="22614" xr:uid="{00000000-0005-0000-0000-00008B4E0000}"/>
    <cellStyle name="40% - Accent6 4 9" xfId="5061" xr:uid="{00000000-0005-0000-0000-00008C4E0000}"/>
    <cellStyle name="40% - Accent6 4 9 2" xfId="13993" xr:uid="{00000000-0005-0000-0000-00008D4E0000}"/>
    <cellStyle name="40% - Accent6 4 9 2 2" xfId="27542" xr:uid="{00000000-0005-0000-0000-00008E4E0000}"/>
    <cellStyle name="40% - Accent6 4 9 3" xfId="22613" xr:uid="{00000000-0005-0000-0000-00008F4E0000}"/>
    <cellStyle name="40% - Accent6 5" xfId="5062" xr:uid="{00000000-0005-0000-0000-0000904E0000}"/>
    <cellStyle name="40% - Accent6 5 10" xfId="5063" xr:uid="{00000000-0005-0000-0000-0000914E0000}"/>
    <cellStyle name="40% - Accent6 5 10 2" xfId="15535" xr:uid="{00000000-0005-0000-0000-0000924E0000}"/>
    <cellStyle name="40% - Accent6 5 10 2 2" xfId="29084" xr:uid="{00000000-0005-0000-0000-0000934E0000}"/>
    <cellStyle name="40% - Accent6 5 10 3" xfId="26799" xr:uid="{00000000-0005-0000-0000-0000944E0000}"/>
    <cellStyle name="40% - Accent6 5 11" xfId="5064" xr:uid="{00000000-0005-0000-0000-0000954E0000}"/>
    <cellStyle name="40% - Accent6 5 11 2" xfId="15862" xr:uid="{00000000-0005-0000-0000-0000964E0000}"/>
    <cellStyle name="40% - Accent6 5 11 2 2" xfId="29269" xr:uid="{00000000-0005-0000-0000-0000974E0000}"/>
    <cellStyle name="40% - Accent6 5 11 3" xfId="22612" xr:uid="{00000000-0005-0000-0000-0000984E0000}"/>
    <cellStyle name="40% - Accent6 5 12" xfId="9540" xr:uid="{00000000-0005-0000-0000-0000994E0000}"/>
    <cellStyle name="40% - Accent6 5 12 2" xfId="24015" xr:uid="{00000000-0005-0000-0000-00009A4E0000}"/>
    <cellStyle name="40% - Accent6 5 13" xfId="24083" xr:uid="{00000000-0005-0000-0000-00009B4E0000}"/>
    <cellStyle name="40% - Accent6 5 2" xfId="5065" xr:uid="{00000000-0005-0000-0000-00009C4E0000}"/>
    <cellStyle name="40% - Accent6 5 2 10" xfId="5066" xr:uid="{00000000-0005-0000-0000-00009D4E0000}"/>
    <cellStyle name="40% - Accent6 5 2 10 2" xfId="16005" xr:uid="{00000000-0005-0000-0000-00009E4E0000}"/>
    <cellStyle name="40% - Accent6 5 2 10 2 2" xfId="29412" xr:uid="{00000000-0005-0000-0000-00009F4E0000}"/>
    <cellStyle name="40% - Accent6 5 2 10 3" xfId="22611" xr:uid="{00000000-0005-0000-0000-0000A04E0000}"/>
    <cellStyle name="40% - Accent6 5 2 11" xfId="9541" xr:uid="{00000000-0005-0000-0000-0000A14E0000}"/>
    <cellStyle name="40% - Accent6 5 2 11 2" xfId="24016" xr:uid="{00000000-0005-0000-0000-0000A24E0000}"/>
    <cellStyle name="40% - Accent6 5 2 12" xfId="26800" xr:uid="{00000000-0005-0000-0000-0000A34E0000}"/>
    <cellStyle name="40% - Accent6 5 2 2" xfId="5067" xr:uid="{00000000-0005-0000-0000-0000A44E0000}"/>
    <cellStyle name="40% - Accent6 5 2 2 10" xfId="9542" xr:uid="{00000000-0005-0000-0000-0000A54E0000}"/>
    <cellStyle name="40% - Accent6 5 2 2 10 2" xfId="24017" xr:uid="{00000000-0005-0000-0000-0000A64E0000}"/>
    <cellStyle name="40% - Accent6 5 2 2 11" xfId="22610" xr:uid="{00000000-0005-0000-0000-0000A74E0000}"/>
    <cellStyle name="40% - Accent6 5 2 2 2" xfId="5068" xr:uid="{00000000-0005-0000-0000-0000A84E0000}"/>
    <cellStyle name="40% - Accent6 5 2 2 2 2" xfId="5069" xr:uid="{00000000-0005-0000-0000-0000A94E0000}"/>
    <cellStyle name="40% - Accent6 5 2 2 2 2 2" xfId="11270" xr:uid="{00000000-0005-0000-0000-0000AA4E0000}"/>
    <cellStyle name="40% - Accent6 5 2 2 2 2 2 2" xfId="25212" xr:uid="{00000000-0005-0000-0000-0000AB4E0000}"/>
    <cellStyle name="40% - Accent6 5 2 2 2 2 3" xfId="24082" xr:uid="{00000000-0005-0000-0000-0000AC4E0000}"/>
    <cellStyle name="40% - Accent6 5 2 2 2 3" xfId="5070" xr:uid="{00000000-0005-0000-0000-0000AD4E0000}"/>
    <cellStyle name="40% - Accent6 5 2 2 2 3 2" xfId="13061" xr:uid="{00000000-0005-0000-0000-0000AE4E0000}"/>
    <cellStyle name="40% - Accent6 5 2 2 2 3 2 2" xfId="26773" xr:uid="{00000000-0005-0000-0000-0000AF4E0000}"/>
    <cellStyle name="40% - Accent6 5 2 2 2 3 3" xfId="22609" xr:uid="{00000000-0005-0000-0000-0000B04E0000}"/>
    <cellStyle name="40% - Accent6 5 2 2 2 4" xfId="5071" xr:uid="{00000000-0005-0000-0000-0000B14E0000}"/>
    <cellStyle name="40% - Accent6 5 2 2 2 4 2" xfId="15538" xr:uid="{00000000-0005-0000-0000-0000B24E0000}"/>
    <cellStyle name="40% - Accent6 5 2 2 2 4 2 2" xfId="29087" xr:uid="{00000000-0005-0000-0000-0000B34E0000}"/>
    <cellStyle name="40% - Accent6 5 2 2 2 4 3" xfId="22608" xr:uid="{00000000-0005-0000-0000-0000B44E0000}"/>
    <cellStyle name="40% - Accent6 5 2 2 2 5" xfId="5072" xr:uid="{00000000-0005-0000-0000-0000B54E0000}"/>
    <cellStyle name="40% - Accent6 5 2 2 2 5 2" xfId="16875" xr:uid="{00000000-0005-0000-0000-0000B64E0000}"/>
    <cellStyle name="40% - Accent6 5 2 2 2 5 2 2" xfId="30282" xr:uid="{00000000-0005-0000-0000-0000B74E0000}"/>
    <cellStyle name="40% - Accent6 5 2 2 2 5 3" xfId="24080" xr:uid="{00000000-0005-0000-0000-0000B84E0000}"/>
    <cellStyle name="40% - Accent6 5 2 2 2 6" xfId="9543" xr:uid="{00000000-0005-0000-0000-0000B94E0000}"/>
    <cellStyle name="40% - Accent6 5 2 2 2 6 2" xfId="24018" xr:uid="{00000000-0005-0000-0000-0000BA4E0000}"/>
    <cellStyle name="40% - Accent6 5 2 2 2 7" xfId="24081" xr:uid="{00000000-0005-0000-0000-0000BB4E0000}"/>
    <cellStyle name="40% - Accent6 5 2 2 3" xfId="5073" xr:uid="{00000000-0005-0000-0000-0000BC4E0000}"/>
    <cellStyle name="40% - Accent6 5 2 2 3 2" xfId="5074" xr:uid="{00000000-0005-0000-0000-0000BD4E0000}"/>
    <cellStyle name="40% - Accent6 5 2 2 3 2 2" xfId="15539" xr:uid="{00000000-0005-0000-0000-0000BE4E0000}"/>
    <cellStyle name="40% - Accent6 5 2 2 3 2 2 2" xfId="29088" xr:uid="{00000000-0005-0000-0000-0000BF4E0000}"/>
    <cellStyle name="40% - Accent6 5 2 2 3 2 3" xfId="24077" xr:uid="{00000000-0005-0000-0000-0000C04E0000}"/>
    <cellStyle name="40% - Accent6 5 2 2 3 3" xfId="11269" xr:uid="{00000000-0005-0000-0000-0000C14E0000}"/>
    <cellStyle name="40% - Accent6 5 2 2 3 3 2" xfId="25211" xr:uid="{00000000-0005-0000-0000-0000C24E0000}"/>
    <cellStyle name="40% - Accent6 5 2 2 3 4" xfId="22607" xr:uid="{00000000-0005-0000-0000-0000C34E0000}"/>
    <cellStyle name="40% - Accent6 5 2 2 4" xfId="5075" xr:uid="{00000000-0005-0000-0000-0000C44E0000}"/>
    <cellStyle name="40% - Accent6 5 2 2 4 2" xfId="12263" xr:uid="{00000000-0005-0000-0000-0000C54E0000}"/>
    <cellStyle name="40% - Accent6 5 2 2 4 2 2" xfId="25975" xr:uid="{00000000-0005-0000-0000-0000C64E0000}"/>
    <cellStyle name="40% - Accent6 5 2 2 4 3" xfId="22606" xr:uid="{00000000-0005-0000-0000-0000C74E0000}"/>
    <cellStyle name="40% - Accent6 5 2 2 5" xfId="5076" xr:uid="{00000000-0005-0000-0000-0000C84E0000}"/>
    <cellStyle name="40% - Accent6 5 2 2 5 2" xfId="13060" xr:uid="{00000000-0005-0000-0000-0000C94E0000}"/>
    <cellStyle name="40% - Accent6 5 2 2 5 2 2" xfId="26772" xr:uid="{00000000-0005-0000-0000-0000CA4E0000}"/>
    <cellStyle name="40% - Accent6 5 2 2 5 3" xfId="25235" xr:uid="{00000000-0005-0000-0000-0000CB4E0000}"/>
    <cellStyle name="40% - Accent6 5 2 2 6" xfId="5077" xr:uid="{00000000-0005-0000-0000-0000CC4E0000}"/>
    <cellStyle name="40% - Accent6 5 2 2 6 2" xfId="13827" xr:uid="{00000000-0005-0000-0000-0000CD4E0000}"/>
    <cellStyle name="40% - Accent6 5 2 2 6 2 2" xfId="27376" xr:uid="{00000000-0005-0000-0000-0000CE4E0000}"/>
    <cellStyle name="40% - Accent6 5 2 2 6 3" xfId="22605" xr:uid="{00000000-0005-0000-0000-0000CF4E0000}"/>
    <cellStyle name="40% - Accent6 5 2 2 7" xfId="5078" xr:uid="{00000000-0005-0000-0000-0000D04E0000}"/>
    <cellStyle name="40% - Accent6 5 2 2 7 2" xfId="14408" xr:uid="{00000000-0005-0000-0000-0000D14E0000}"/>
    <cellStyle name="40% - Accent6 5 2 2 7 2 2" xfId="27957" xr:uid="{00000000-0005-0000-0000-0000D24E0000}"/>
    <cellStyle name="40% - Accent6 5 2 2 7 3" xfId="24425" xr:uid="{00000000-0005-0000-0000-0000D34E0000}"/>
    <cellStyle name="40% - Accent6 5 2 2 8" xfId="5079" xr:uid="{00000000-0005-0000-0000-0000D44E0000}"/>
    <cellStyle name="40% - Accent6 5 2 2 8 2" xfId="15537" xr:uid="{00000000-0005-0000-0000-0000D54E0000}"/>
    <cellStyle name="40% - Accent6 5 2 2 8 2 2" xfId="29086" xr:uid="{00000000-0005-0000-0000-0000D64E0000}"/>
    <cellStyle name="40% - Accent6 5 2 2 8 3" xfId="29121" xr:uid="{00000000-0005-0000-0000-0000D74E0000}"/>
    <cellStyle name="40% - Accent6 5 2 2 9" xfId="5080" xr:uid="{00000000-0005-0000-0000-0000D84E0000}"/>
    <cellStyle name="40% - Accent6 5 2 2 9 2" xfId="16294" xr:uid="{00000000-0005-0000-0000-0000D94E0000}"/>
    <cellStyle name="40% - Accent6 5 2 2 9 2 2" xfId="29701" xr:uid="{00000000-0005-0000-0000-0000DA4E0000}"/>
    <cellStyle name="40% - Accent6 5 2 2 9 3" xfId="22604" xr:uid="{00000000-0005-0000-0000-0000DB4E0000}"/>
    <cellStyle name="40% - Accent6 5 2 3" xfId="5081" xr:uid="{00000000-0005-0000-0000-0000DC4E0000}"/>
    <cellStyle name="40% - Accent6 5 2 3 2" xfId="5082" xr:uid="{00000000-0005-0000-0000-0000DD4E0000}"/>
    <cellStyle name="40% - Accent6 5 2 3 2 2" xfId="11271" xr:uid="{00000000-0005-0000-0000-0000DE4E0000}"/>
    <cellStyle name="40% - Accent6 5 2 3 2 2 2" xfId="25213" xr:uid="{00000000-0005-0000-0000-0000DF4E0000}"/>
    <cellStyle name="40% - Accent6 5 2 3 2 3" xfId="24079" xr:uid="{00000000-0005-0000-0000-0000E04E0000}"/>
    <cellStyle name="40% - Accent6 5 2 3 3" xfId="5083" xr:uid="{00000000-0005-0000-0000-0000E14E0000}"/>
    <cellStyle name="40% - Accent6 5 2 3 3 2" xfId="13062" xr:uid="{00000000-0005-0000-0000-0000E24E0000}"/>
    <cellStyle name="40% - Accent6 5 2 3 3 2 2" xfId="26774" xr:uid="{00000000-0005-0000-0000-0000E34E0000}"/>
    <cellStyle name="40% - Accent6 5 2 3 3 3" xfId="22602" xr:uid="{00000000-0005-0000-0000-0000E44E0000}"/>
    <cellStyle name="40% - Accent6 5 2 3 4" xfId="5084" xr:uid="{00000000-0005-0000-0000-0000E54E0000}"/>
    <cellStyle name="40% - Accent6 5 2 3 4 2" xfId="15540" xr:uid="{00000000-0005-0000-0000-0000E64E0000}"/>
    <cellStyle name="40% - Accent6 5 2 3 4 2 2" xfId="29089" xr:uid="{00000000-0005-0000-0000-0000E74E0000}"/>
    <cellStyle name="40% - Accent6 5 2 3 4 3" xfId="24078" xr:uid="{00000000-0005-0000-0000-0000E84E0000}"/>
    <cellStyle name="40% - Accent6 5 2 3 5" xfId="5085" xr:uid="{00000000-0005-0000-0000-0000E94E0000}"/>
    <cellStyle name="40% - Accent6 5 2 3 5 2" xfId="16586" xr:uid="{00000000-0005-0000-0000-0000EA4E0000}"/>
    <cellStyle name="40% - Accent6 5 2 3 5 2 2" xfId="29993" xr:uid="{00000000-0005-0000-0000-0000EB4E0000}"/>
    <cellStyle name="40% - Accent6 5 2 3 5 3" xfId="22601" xr:uid="{00000000-0005-0000-0000-0000EC4E0000}"/>
    <cellStyle name="40% - Accent6 5 2 3 6" xfId="9544" xr:uid="{00000000-0005-0000-0000-0000ED4E0000}"/>
    <cellStyle name="40% - Accent6 5 2 3 6 2" xfId="24019" xr:uid="{00000000-0005-0000-0000-0000EE4E0000}"/>
    <cellStyle name="40% - Accent6 5 2 3 7" xfId="22603" xr:uid="{00000000-0005-0000-0000-0000EF4E0000}"/>
    <cellStyle name="40% - Accent6 5 2 4" xfId="5086" xr:uid="{00000000-0005-0000-0000-0000F04E0000}"/>
    <cellStyle name="40% - Accent6 5 2 4 2" xfId="5087" xr:uid="{00000000-0005-0000-0000-0000F14E0000}"/>
    <cellStyle name="40% - Accent6 5 2 4 2 2" xfId="15541" xr:uid="{00000000-0005-0000-0000-0000F24E0000}"/>
    <cellStyle name="40% - Accent6 5 2 4 2 2 2" xfId="29090" xr:uid="{00000000-0005-0000-0000-0000F34E0000}"/>
    <cellStyle name="40% - Accent6 5 2 4 2 3" xfId="24076" xr:uid="{00000000-0005-0000-0000-0000F44E0000}"/>
    <cellStyle name="40% - Accent6 5 2 4 3" xfId="11268" xr:uid="{00000000-0005-0000-0000-0000F54E0000}"/>
    <cellStyle name="40% - Accent6 5 2 4 3 2" xfId="25210" xr:uid="{00000000-0005-0000-0000-0000F64E0000}"/>
    <cellStyle name="40% - Accent6 5 2 4 4" xfId="23248" xr:uid="{00000000-0005-0000-0000-0000F74E0000}"/>
    <cellStyle name="40% - Accent6 5 2 5" xfId="5088" xr:uid="{00000000-0005-0000-0000-0000F84E0000}"/>
    <cellStyle name="40% - Accent6 5 2 5 2" xfId="11963" xr:uid="{00000000-0005-0000-0000-0000F94E0000}"/>
    <cellStyle name="40% - Accent6 5 2 5 2 2" xfId="25678" xr:uid="{00000000-0005-0000-0000-0000FA4E0000}"/>
    <cellStyle name="40% - Accent6 5 2 5 3" xfId="22600" xr:uid="{00000000-0005-0000-0000-0000FB4E0000}"/>
    <cellStyle name="40% - Accent6 5 2 6" xfId="5089" xr:uid="{00000000-0005-0000-0000-0000FC4E0000}"/>
    <cellStyle name="40% - Accent6 5 2 6 2" xfId="13059" xr:uid="{00000000-0005-0000-0000-0000FD4E0000}"/>
    <cellStyle name="40% - Accent6 5 2 6 2 2" xfId="26771" xr:uid="{00000000-0005-0000-0000-0000FE4E0000}"/>
    <cellStyle name="40% - Accent6 5 2 6 3" xfId="24075" xr:uid="{00000000-0005-0000-0000-0000FF4E0000}"/>
    <cellStyle name="40% - Accent6 5 2 7" xfId="5090" xr:uid="{00000000-0005-0000-0000-0000004F0000}"/>
    <cellStyle name="40% - Accent6 5 2 7 2" xfId="13538" xr:uid="{00000000-0005-0000-0000-0000014F0000}"/>
    <cellStyle name="40% - Accent6 5 2 7 2 2" xfId="27087" xr:uid="{00000000-0005-0000-0000-0000024F0000}"/>
    <cellStyle name="40% - Accent6 5 2 7 3" xfId="22599" xr:uid="{00000000-0005-0000-0000-0000034F0000}"/>
    <cellStyle name="40% - Accent6 5 2 8" xfId="5091" xr:uid="{00000000-0005-0000-0000-0000044F0000}"/>
    <cellStyle name="40% - Accent6 5 2 8 2" xfId="14119" xr:uid="{00000000-0005-0000-0000-0000054F0000}"/>
    <cellStyle name="40% - Accent6 5 2 8 2 2" xfId="27668" xr:uid="{00000000-0005-0000-0000-0000064F0000}"/>
    <cellStyle name="40% - Accent6 5 2 8 3" xfId="24074" xr:uid="{00000000-0005-0000-0000-0000074F0000}"/>
    <cellStyle name="40% - Accent6 5 2 9" xfId="5092" xr:uid="{00000000-0005-0000-0000-0000084F0000}"/>
    <cellStyle name="40% - Accent6 5 2 9 2" xfId="15536" xr:uid="{00000000-0005-0000-0000-0000094F0000}"/>
    <cellStyle name="40% - Accent6 5 2 9 2 2" xfId="29085" xr:uid="{00000000-0005-0000-0000-00000A4F0000}"/>
    <cellStyle name="40% - Accent6 5 2 9 3" xfId="22598" xr:uid="{00000000-0005-0000-0000-00000B4F0000}"/>
    <cellStyle name="40% - Accent6 5 3" xfId="5093" xr:uid="{00000000-0005-0000-0000-00000C4F0000}"/>
    <cellStyle name="40% - Accent6 5 3 10" xfId="9545" xr:uid="{00000000-0005-0000-0000-00000D4F0000}"/>
    <cellStyle name="40% - Accent6 5 3 10 2" xfId="24020" xr:uid="{00000000-0005-0000-0000-00000E4F0000}"/>
    <cellStyle name="40% - Accent6 5 3 11" xfId="24073" xr:uid="{00000000-0005-0000-0000-00000F4F0000}"/>
    <cellStyle name="40% - Accent6 5 3 2" xfId="5094" xr:uid="{00000000-0005-0000-0000-0000104F0000}"/>
    <cellStyle name="40% - Accent6 5 3 2 2" xfId="5095" xr:uid="{00000000-0005-0000-0000-0000114F0000}"/>
    <cellStyle name="40% - Accent6 5 3 2 2 2" xfId="11273" xr:uid="{00000000-0005-0000-0000-0000124F0000}"/>
    <cellStyle name="40% - Accent6 5 3 2 2 2 2" xfId="25215" xr:uid="{00000000-0005-0000-0000-0000134F0000}"/>
    <cellStyle name="40% - Accent6 5 3 2 2 3" xfId="24071" xr:uid="{00000000-0005-0000-0000-0000144F0000}"/>
    <cellStyle name="40% - Accent6 5 3 2 3" xfId="5096" xr:uid="{00000000-0005-0000-0000-0000154F0000}"/>
    <cellStyle name="40% - Accent6 5 3 2 3 2" xfId="13064" xr:uid="{00000000-0005-0000-0000-0000164F0000}"/>
    <cellStyle name="40% - Accent6 5 3 2 3 2 2" xfId="26776" xr:uid="{00000000-0005-0000-0000-0000174F0000}"/>
    <cellStyle name="40% - Accent6 5 3 2 3 3" xfId="24072" xr:uid="{00000000-0005-0000-0000-0000184F0000}"/>
    <cellStyle name="40% - Accent6 5 3 2 4" xfId="5097" xr:uid="{00000000-0005-0000-0000-0000194F0000}"/>
    <cellStyle name="40% - Accent6 5 3 2 4 2" xfId="15543" xr:uid="{00000000-0005-0000-0000-00001A4F0000}"/>
    <cellStyle name="40% - Accent6 5 3 2 4 2 2" xfId="29092" xr:uid="{00000000-0005-0000-0000-00001B4F0000}"/>
    <cellStyle name="40% - Accent6 5 3 2 4 3" xfId="22596" xr:uid="{00000000-0005-0000-0000-00001C4F0000}"/>
    <cellStyle name="40% - Accent6 5 3 2 5" xfId="5098" xr:uid="{00000000-0005-0000-0000-00001D4F0000}"/>
    <cellStyle name="40% - Accent6 5 3 2 5 2" xfId="16735" xr:uid="{00000000-0005-0000-0000-00001E4F0000}"/>
    <cellStyle name="40% - Accent6 5 3 2 5 2 2" xfId="30142" xr:uid="{00000000-0005-0000-0000-00001F4F0000}"/>
    <cellStyle name="40% - Accent6 5 3 2 5 3" xfId="22595" xr:uid="{00000000-0005-0000-0000-0000204F0000}"/>
    <cellStyle name="40% - Accent6 5 3 2 6" xfId="9546" xr:uid="{00000000-0005-0000-0000-0000214F0000}"/>
    <cellStyle name="40% - Accent6 5 3 2 6 2" xfId="24021" xr:uid="{00000000-0005-0000-0000-0000224F0000}"/>
    <cellStyle name="40% - Accent6 5 3 2 7" xfId="22597" xr:uid="{00000000-0005-0000-0000-0000234F0000}"/>
    <cellStyle name="40% - Accent6 5 3 3" xfId="5099" xr:uid="{00000000-0005-0000-0000-0000244F0000}"/>
    <cellStyle name="40% - Accent6 5 3 3 2" xfId="5100" xr:uid="{00000000-0005-0000-0000-0000254F0000}"/>
    <cellStyle name="40% - Accent6 5 3 3 2 2" xfId="15544" xr:uid="{00000000-0005-0000-0000-0000264F0000}"/>
    <cellStyle name="40% - Accent6 5 3 3 2 2 2" xfId="29093" xr:uid="{00000000-0005-0000-0000-0000274F0000}"/>
    <cellStyle name="40% - Accent6 5 3 3 2 3" xfId="26797" xr:uid="{00000000-0005-0000-0000-0000284F0000}"/>
    <cellStyle name="40% - Accent6 5 3 3 3" xfId="11272" xr:uid="{00000000-0005-0000-0000-0000294F0000}"/>
    <cellStyle name="40% - Accent6 5 3 3 3 2" xfId="25214" xr:uid="{00000000-0005-0000-0000-00002A4F0000}"/>
    <cellStyle name="40% - Accent6 5 3 3 4" xfId="24070" xr:uid="{00000000-0005-0000-0000-00002B4F0000}"/>
    <cellStyle name="40% - Accent6 5 3 4" xfId="5101" xr:uid="{00000000-0005-0000-0000-00002C4F0000}"/>
    <cellStyle name="40% - Accent6 5 3 4 2" xfId="12123" xr:uid="{00000000-0005-0000-0000-00002D4F0000}"/>
    <cellStyle name="40% - Accent6 5 3 4 2 2" xfId="25835" xr:uid="{00000000-0005-0000-0000-00002E4F0000}"/>
    <cellStyle name="40% - Accent6 5 3 4 3" xfId="22594" xr:uid="{00000000-0005-0000-0000-00002F4F0000}"/>
    <cellStyle name="40% - Accent6 5 3 5" xfId="5102" xr:uid="{00000000-0005-0000-0000-0000304F0000}"/>
    <cellStyle name="40% - Accent6 5 3 5 2" xfId="13063" xr:uid="{00000000-0005-0000-0000-0000314F0000}"/>
    <cellStyle name="40% - Accent6 5 3 5 2 2" xfId="26775" xr:uid="{00000000-0005-0000-0000-0000324F0000}"/>
    <cellStyle name="40% - Accent6 5 3 5 3" xfId="26798" xr:uid="{00000000-0005-0000-0000-0000334F0000}"/>
    <cellStyle name="40% - Accent6 5 3 6" xfId="5103" xr:uid="{00000000-0005-0000-0000-0000344F0000}"/>
    <cellStyle name="40% - Accent6 5 3 6 2" xfId="13687" xr:uid="{00000000-0005-0000-0000-0000354F0000}"/>
    <cellStyle name="40% - Accent6 5 3 6 2 2" xfId="27236" xr:uid="{00000000-0005-0000-0000-0000364F0000}"/>
    <cellStyle name="40% - Accent6 5 3 6 3" xfId="22593" xr:uid="{00000000-0005-0000-0000-0000374F0000}"/>
    <cellStyle name="40% - Accent6 5 3 7" xfId="5104" xr:uid="{00000000-0005-0000-0000-0000384F0000}"/>
    <cellStyle name="40% - Accent6 5 3 7 2" xfId="14268" xr:uid="{00000000-0005-0000-0000-0000394F0000}"/>
    <cellStyle name="40% - Accent6 5 3 7 2 2" xfId="27817" xr:uid="{00000000-0005-0000-0000-00003A4F0000}"/>
    <cellStyle name="40% - Accent6 5 3 7 3" xfId="22592" xr:uid="{00000000-0005-0000-0000-00003B4F0000}"/>
    <cellStyle name="40% - Accent6 5 3 8" xfId="5105" xr:uid="{00000000-0005-0000-0000-00003C4F0000}"/>
    <cellStyle name="40% - Accent6 5 3 8 2" xfId="15542" xr:uid="{00000000-0005-0000-0000-00003D4F0000}"/>
    <cellStyle name="40% - Accent6 5 3 8 2 2" xfId="29091" xr:uid="{00000000-0005-0000-0000-00003E4F0000}"/>
    <cellStyle name="40% - Accent6 5 3 8 3" xfId="24068" xr:uid="{00000000-0005-0000-0000-00003F4F0000}"/>
    <cellStyle name="40% - Accent6 5 3 9" xfId="5106" xr:uid="{00000000-0005-0000-0000-0000404F0000}"/>
    <cellStyle name="40% - Accent6 5 3 9 2" xfId="16154" xr:uid="{00000000-0005-0000-0000-0000414F0000}"/>
    <cellStyle name="40% - Accent6 5 3 9 2 2" xfId="29561" xr:uid="{00000000-0005-0000-0000-0000424F0000}"/>
    <cellStyle name="40% - Accent6 5 3 9 3" xfId="24069" xr:uid="{00000000-0005-0000-0000-0000434F0000}"/>
    <cellStyle name="40% - Accent6 5 4" xfId="5107" xr:uid="{00000000-0005-0000-0000-0000444F0000}"/>
    <cellStyle name="40% - Accent6 5 4 2" xfId="5108" xr:uid="{00000000-0005-0000-0000-0000454F0000}"/>
    <cellStyle name="40% - Accent6 5 4 2 2" xfId="11274" xr:uid="{00000000-0005-0000-0000-0000464F0000}"/>
    <cellStyle name="40% - Accent6 5 4 2 2 2" xfId="25216" xr:uid="{00000000-0005-0000-0000-0000474F0000}"/>
    <cellStyle name="40% - Accent6 5 4 2 3" xfId="22590" xr:uid="{00000000-0005-0000-0000-0000484F0000}"/>
    <cellStyle name="40% - Accent6 5 4 3" xfId="5109" xr:uid="{00000000-0005-0000-0000-0000494F0000}"/>
    <cellStyle name="40% - Accent6 5 4 3 2" xfId="13065" xr:uid="{00000000-0005-0000-0000-00004A4F0000}"/>
    <cellStyle name="40% - Accent6 5 4 3 2 2" xfId="26777" xr:uid="{00000000-0005-0000-0000-00004B4F0000}"/>
    <cellStyle name="40% - Accent6 5 4 3 3" xfId="24067" xr:uid="{00000000-0005-0000-0000-00004C4F0000}"/>
    <cellStyle name="40% - Accent6 5 4 4" xfId="5110" xr:uid="{00000000-0005-0000-0000-00004D4F0000}"/>
    <cellStyle name="40% - Accent6 5 4 4 2" xfId="15545" xr:uid="{00000000-0005-0000-0000-00004E4F0000}"/>
    <cellStyle name="40% - Accent6 5 4 4 2 2" xfId="29094" xr:uid="{00000000-0005-0000-0000-00004F4F0000}"/>
    <cellStyle name="40% - Accent6 5 4 4 3" xfId="22589" xr:uid="{00000000-0005-0000-0000-0000504F0000}"/>
    <cellStyle name="40% - Accent6 5 4 5" xfId="5111" xr:uid="{00000000-0005-0000-0000-0000514F0000}"/>
    <cellStyle name="40% - Accent6 5 4 5 2" xfId="16443" xr:uid="{00000000-0005-0000-0000-0000524F0000}"/>
    <cellStyle name="40% - Accent6 5 4 5 2 2" xfId="29850" xr:uid="{00000000-0005-0000-0000-0000534F0000}"/>
    <cellStyle name="40% - Accent6 5 4 5 3" xfId="24064" xr:uid="{00000000-0005-0000-0000-0000544F0000}"/>
    <cellStyle name="40% - Accent6 5 4 6" xfId="9547" xr:uid="{00000000-0005-0000-0000-0000554F0000}"/>
    <cellStyle name="40% - Accent6 5 4 6 2" xfId="24022" xr:uid="{00000000-0005-0000-0000-0000564F0000}"/>
    <cellStyle name="40% - Accent6 5 4 7" xfId="22591" xr:uid="{00000000-0005-0000-0000-0000574F0000}"/>
    <cellStyle name="40% - Accent6 5 5" xfId="5112" xr:uid="{00000000-0005-0000-0000-0000584F0000}"/>
    <cellStyle name="40% - Accent6 5 5 2" xfId="5113" xr:uid="{00000000-0005-0000-0000-0000594F0000}"/>
    <cellStyle name="40% - Accent6 5 5 2 2" xfId="15546" xr:uid="{00000000-0005-0000-0000-00005A4F0000}"/>
    <cellStyle name="40% - Accent6 5 5 2 2 2" xfId="29095" xr:uid="{00000000-0005-0000-0000-00005B4F0000}"/>
    <cellStyle name="40% - Accent6 5 5 2 3" xfId="25234" xr:uid="{00000000-0005-0000-0000-00005C4F0000}"/>
    <cellStyle name="40% - Accent6 5 5 3" xfId="11267" xr:uid="{00000000-0005-0000-0000-00005D4F0000}"/>
    <cellStyle name="40% - Accent6 5 5 3 2" xfId="25209" xr:uid="{00000000-0005-0000-0000-00005E4F0000}"/>
    <cellStyle name="40% - Accent6 5 5 4" xfId="22588" xr:uid="{00000000-0005-0000-0000-00005F4F0000}"/>
    <cellStyle name="40% - Accent6 5 6" xfId="5114" xr:uid="{00000000-0005-0000-0000-0000604F0000}"/>
    <cellStyle name="40% - Accent6 5 6 2" xfId="11794" xr:uid="{00000000-0005-0000-0000-0000614F0000}"/>
    <cellStyle name="40% - Accent6 5 6 2 2" xfId="25509" xr:uid="{00000000-0005-0000-0000-0000624F0000}"/>
    <cellStyle name="40% - Accent6 5 6 3" xfId="22587" xr:uid="{00000000-0005-0000-0000-0000634F0000}"/>
    <cellStyle name="40% - Accent6 5 7" xfId="5115" xr:uid="{00000000-0005-0000-0000-0000644F0000}"/>
    <cellStyle name="40% - Accent6 5 7 2" xfId="13058" xr:uid="{00000000-0005-0000-0000-0000654F0000}"/>
    <cellStyle name="40% - Accent6 5 7 2 2" xfId="26770" xr:uid="{00000000-0005-0000-0000-0000664F0000}"/>
    <cellStyle name="40% - Accent6 5 7 3" xfId="24424" xr:uid="{00000000-0005-0000-0000-0000674F0000}"/>
    <cellStyle name="40% - Accent6 5 8" xfId="5116" xr:uid="{00000000-0005-0000-0000-0000684F0000}"/>
    <cellStyle name="40% - Accent6 5 8 2" xfId="13395" xr:uid="{00000000-0005-0000-0000-0000694F0000}"/>
    <cellStyle name="40% - Accent6 5 8 2 2" xfId="26944" xr:uid="{00000000-0005-0000-0000-00006A4F0000}"/>
    <cellStyle name="40% - Accent6 5 8 3" xfId="29120" xr:uid="{00000000-0005-0000-0000-00006B4F0000}"/>
    <cellStyle name="40% - Accent6 5 9" xfId="5117" xr:uid="{00000000-0005-0000-0000-00006C4F0000}"/>
    <cellStyle name="40% - Accent6 5 9 2" xfId="13976" xr:uid="{00000000-0005-0000-0000-00006D4F0000}"/>
    <cellStyle name="40% - Accent6 5 9 2 2" xfId="27525" xr:uid="{00000000-0005-0000-0000-00006E4F0000}"/>
    <cellStyle name="40% - Accent6 5 9 3" xfId="22586" xr:uid="{00000000-0005-0000-0000-00006F4F0000}"/>
    <cellStyle name="40% - Accent6 6" xfId="5118" xr:uid="{00000000-0005-0000-0000-0000704F0000}"/>
    <cellStyle name="40% - Accent6 6 10" xfId="5119" xr:uid="{00000000-0005-0000-0000-0000714F0000}"/>
    <cellStyle name="40% - Accent6 6 10 2" xfId="15547" xr:uid="{00000000-0005-0000-0000-0000724F0000}"/>
    <cellStyle name="40% - Accent6 6 10 2 2" xfId="29096" xr:uid="{00000000-0005-0000-0000-0000734F0000}"/>
    <cellStyle name="40% - Accent6 6 10 3" xfId="24066" xr:uid="{00000000-0005-0000-0000-0000744F0000}"/>
    <cellStyle name="40% - Accent6 6 11" xfId="5120" xr:uid="{00000000-0005-0000-0000-0000754F0000}"/>
    <cellStyle name="40% - Accent6 6 11 2" xfId="15968" xr:uid="{00000000-0005-0000-0000-0000764F0000}"/>
    <cellStyle name="40% - Accent6 6 11 2 2" xfId="29375" xr:uid="{00000000-0005-0000-0000-0000774F0000}"/>
    <cellStyle name="40% - Accent6 6 11 3" xfId="22584" xr:uid="{00000000-0005-0000-0000-0000784F0000}"/>
    <cellStyle name="40% - Accent6 6 12" xfId="9548" xr:uid="{00000000-0005-0000-0000-0000794F0000}"/>
    <cellStyle name="40% - Accent6 6 12 2" xfId="24023" xr:uid="{00000000-0005-0000-0000-00007A4F0000}"/>
    <cellStyle name="40% - Accent6 6 13" xfId="22585" xr:uid="{00000000-0005-0000-0000-00007B4F0000}"/>
    <cellStyle name="40% - Accent6 6 2" xfId="5121" xr:uid="{00000000-0005-0000-0000-00007C4F0000}"/>
    <cellStyle name="40% - Accent6 6 2 10" xfId="5122" xr:uid="{00000000-0005-0000-0000-00007D4F0000}"/>
    <cellStyle name="40% - Accent6 6 2 10 2" xfId="16111" xr:uid="{00000000-0005-0000-0000-00007E4F0000}"/>
    <cellStyle name="40% - Accent6 6 2 10 2 2" xfId="29518" xr:uid="{00000000-0005-0000-0000-00007F4F0000}"/>
    <cellStyle name="40% - Accent6 6 2 10 3" xfId="22583" xr:uid="{00000000-0005-0000-0000-0000804F0000}"/>
    <cellStyle name="40% - Accent6 6 2 11" xfId="9549" xr:uid="{00000000-0005-0000-0000-0000814F0000}"/>
    <cellStyle name="40% - Accent6 6 2 11 2" xfId="24024" xr:uid="{00000000-0005-0000-0000-0000824F0000}"/>
    <cellStyle name="40% - Accent6 6 2 12" xfId="24065" xr:uid="{00000000-0005-0000-0000-0000834F0000}"/>
    <cellStyle name="40% - Accent6 6 2 2" xfId="5123" xr:uid="{00000000-0005-0000-0000-0000844F0000}"/>
    <cellStyle name="40% - Accent6 6 2 2 10" xfId="9550" xr:uid="{00000000-0005-0000-0000-0000854F0000}"/>
    <cellStyle name="40% - Accent6 6 2 2 10 2" xfId="24025" xr:uid="{00000000-0005-0000-0000-0000864F0000}"/>
    <cellStyle name="40% - Accent6 6 2 2 11" xfId="23244" xr:uid="{00000000-0005-0000-0000-0000874F0000}"/>
    <cellStyle name="40% - Accent6 6 2 2 2" xfId="5124" xr:uid="{00000000-0005-0000-0000-0000884F0000}"/>
    <cellStyle name="40% - Accent6 6 2 2 2 2" xfId="5125" xr:uid="{00000000-0005-0000-0000-0000894F0000}"/>
    <cellStyle name="40% - Accent6 6 2 2 2 2 2" xfId="11278" xr:uid="{00000000-0005-0000-0000-00008A4F0000}"/>
    <cellStyle name="40% - Accent6 6 2 2 2 2 2 2" xfId="25220" xr:uid="{00000000-0005-0000-0000-00008B4F0000}"/>
    <cellStyle name="40% - Accent6 6 2 2 2 2 3" xfId="22582" xr:uid="{00000000-0005-0000-0000-00008C4F0000}"/>
    <cellStyle name="40% - Accent6 6 2 2 2 3" xfId="5126" xr:uid="{00000000-0005-0000-0000-00008D4F0000}"/>
    <cellStyle name="40% - Accent6 6 2 2 2 3 2" xfId="13069" xr:uid="{00000000-0005-0000-0000-00008E4F0000}"/>
    <cellStyle name="40% - Accent6 6 2 2 2 3 2 2" xfId="26781" xr:uid="{00000000-0005-0000-0000-00008F4F0000}"/>
    <cellStyle name="40% - Accent6 6 2 2 2 3 3" xfId="24062" xr:uid="{00000000-0005-0000-0000-0000904F0000}"/>
    <cellStyle name="40% - Accent6 6 2 2 2 4" xfId="5127" xr:uid="{00000000-0005-0000-0000-0000914F0000}"/>
    <cellStyle name="40% - Accent6 6 2 2 2 4 2" xfId="15550" xr:uid="{00000000-0005-0000-0000-0000924F0000}"/>
    <cellStyle name="40% - Accent6 6 2 2 2 4 2 2" xfId="29099" xr:uid="{00000000-0005-0000-0000-0000934F0000}"/>
    <cellStyle name="40% - Accent6 6 2 2 2 4 3" xfId="22581" xr:uid="{00000000-0005-0000-0000-0000944F0000}"/>
    <cellStyle name="40% - Accent6 6 2 2 2 5" xfId="5128" xr:uid="{00000000-0005-0000-0000-0000954F0000}"/>
    <cellStyle name="40% - Accent6 6 2 2 2 5 2" xfId="16981" xr:uid="{00000000-0005-0000-0000-0000964F0000}"/>
    <cellStyle name="40% - Accent6 6 2 2 2 5 2 2" xfId="30388" xr:uid="{00000000-0005-0000-0000-0000974F0000}"/>
    <cellStyle name="40% - Accent6 6 2 2 2 5 3" xfId="24061" xr:uid="{00000000-0005-0000-0000-0000984F0000}"/>
    <cellStyle name="40% - Accent6 6 2 2 2 6" xfId="9551" xr:uid="{00000000-0005-0000-0000-0000994F0000}"/>
    <cellStyle name="40% - Accent6 6 2 2 2 6 2" xfId="24026" xr:uid="{00000000-0005-0000-0000-00009A4F0000}"/>
    <cellStyle name="40% - Accent6 6 2 2 2 7" xfId="24063" xr:uid="{00000000-0005-0000-0000-00009B4F0000}"/>
    <cellStyle name="40% - Accent6 6 2 2 3" xfId="5129" xr:uid="{00000000-0005-0000-0000-00009C4F0000}"/>
    <cellStyle name="40% - Accent6 6 2 2 3 2" xfId="5130" xr:uid="{00000000-0005-0000-0000-00009D4F0000}"/>
    <cellStyle name="40% - Accent6 6 2 2 3 2 2" xfId="15551" xr:uid="{00000000-0005-0000-0000-00009E4F0000}"/>
    <cellStyle name="40% - Accent6 6 2 2 3 2 2 2" xfId="29100" xr:uid="{00000000-0005-0000-0000-00009F4F0000}"/>
    <cellStyle name="40% - Accent6 6 2 2 3 2 3" xfId="24060" xr:uid="{00000000-0005-0000-0000-0000A04F0000}"/>
    <cellStyle name="40% - Accent6 6 2 2 3 3" xfId="11277" xr:uid="{00000000-0005-0000-0000-0000A14F0000}"/>
    <cellStyle name="40% - Accent6 6 2 2 3 3 2" xfId="25219" xr:uid="{00000000-0005-0000-0000-0000A24F0000}"/>
    <cellStyle name="40% - Accent6 6 2 2 3 4" xfId="22580" xr:uid="{00000000-0005-0000-0000-0000A34F0000}"/>
    <cellStyle name="40% - Accent6 6 2 2 4" xfId="5131" xr:uid="{00000000-0005-0000-0000-0000A44F0000}"/>
    <cellStyle name="40% - Accent6 6 2 2 4 2" xfId="12369" xr:uid="{00000000-0005-0000-0000-0000A54F0000}"/>
    <cellStyle name="40% - Accent6 6 2 2 4 2 2" xfId="26081" xr:uid="{00000000-0005-0000-0000-0000A64F0000}"/>
    <cellStyle name="40% - Accent6 6 2 2 4 3" xfId="22579" xr:uid="{00000000-0005-0000-0000-0000A74F0000}"/>
    <cellStyle name="40% - Accent6 6 2 2 5" xfId="5132" xr:uid="{00000000-0005-0000-0000-0000A84F0000}"/>
    <cellStyle name="40% - Accent6 6 2 2 5 2" xfId="13068" xr:uid="{00000000-0005-0000-0000-0000A94F0000}"/>
    <cellStyle name="40% - Accent6 6 2 2 5 2 2" xfId="26780" xr:uid="{00000000-0005-0000-0000-0000AA4F0000}"/>
    <cellStyle name="40% - Accent6 6 2 2 5 3" xfId="24058" xr:uid="{00000000-0005-0000-0000-0000AB4F0000}"/>
    <cellStyle name="40% - Accent6 6 2 2 6" xfId="5133" xr:uid="{00000000-0005-0000-0000-0000AC4F0000}"/>
    <cellStyle name="40% - Accent6 6 2 2 6 2" xfId="13933" xr:uid="{00000000-0005-0000-0000-0000AD4F0000}"/>
    <cellStyle name="40% - Accent6 6 2 2 6 2 2" xfId="27482" xr:uid="{00000000-0005-0000-0000-0000AE4F0000}"/>
    <cellStyle name="40% - Accent6 6 2 2 6 3" xfId="24059" xr:uid="{00000000-0005-0000-0000-0000AF4F0000}"/>
    <cellStyle name="40% - Accent6 6 2 2 7" xfId="5134" xr:uid="{00000000-0005-0000-0000-0000B04F0000}"/>
    <cellStyle name="40% - Accent6 6 2 2 7 2" xfId="14514" xr:uid="{00000000-0005-0000-0000-0000B14F0000}"/>
    <cellStyle name="40% - Accent6 6 2 2 7 2 2" xfId="28063" xr:uid="{00000000-0005-0000-0000-0000B24F0000}"/>
    <cellStyle name="40% - Accent6 6 2 2 7 3" xfId="22578" xr:uid="{00000000-0005-0000-0000-0000B34F0000}"/>
    <cellStyle name="40% - Accent6 6 2 2 8" xfId="5135" xr:uid="{00000000-0005-0000-0000-0000B44F0000}"/>
    <cellStyle name="40% - Accent6 6 2 2 8 2" xfId="15549" xr:uid="{00000000-0005-0000-0000-0000B54F0000}"/>
    <cellStyle name="40% - Accent6 6 2 2 8 2 2" xfId="29098" xr:uid="{00000000-0005-0000-0000-0000B64F0000}"/>
    <cellStyle name="40% - Accent6 6 2 2 8 3" xfId="22577" xr:uid="{00000000-0005-0000-0000-0000B74F0000}"/>
    <cellStyle name="40% - Accent6 6 2 2 9" xfId="5136" xr:uid="{00000000-0005-0000-0000-0000B84F0000}"/>
    <cellStyle name="40% - Accent6 6 2 2 9 2" xfId="16400" xr:uid="{00000000-0005-0000-0000-0000B94F0000}"/>
    <cellStyle name="40% - Accent6 6 2 2 9 2 2" xfId="29807" xr:uid="{00000000-0005-0000-0000-0000BA4F0000}"/>
    <cellStyle name="40% - Accent6 6 2 2 9 3" xfId="24057" xr:uid="{00000000-0005-0000-0000-0000BB4F0000}"/>
    <cellStyle name="40% - Accent6 6 2 3" xfId="5137" xr:uid="{00000000-0005-0000-0000-0000BC4F0000}"/>
    <cellStyle name="40% - Accent6 6 2 3 2" xfId="5138" xr:uid="{00000000-0005-0000-0000-0000BD4F0000}"/>
    <cellStyle name="40% - Accent6 6 2 3 2 2" xfId="11279" xr:uid="{00000000-0005-0000-0000-0000BE4F0000}"/>
    <cellStyle name="40% - Accent6 6 2 3 2 2 2" xfId="25221" xr:uid="{00000000-0005-0000-0000-0000BF4F0000}"/>
    <cellStyle name="40% - Accent6 6 2 3 2 3" xfId="22576" xr:uid="{00000000-0005-0000-0000-0000C04F0000}"/>
    <cellStyle name="40% - Accent6 6 2 3 3" xfId="5139" xr:uid="{00000000-0005-0000-0000-0000C14F0000}"/>
    <cellStyle name="40% - Accent6 6 2 3 3 2" xfId="13070" xr:uid="{00000000-0005-0000-0000-0000C24F0000}"/>
    <cellStyle name="40% - Accent6 6 2 3 3 2 2" xfId="26782" xr:uid="{00000000-0005-0000-0000-0000C34F0000}"/>
    <cellStyle name="40% - Accent6 6 2 3 3 3" xfId="26796" xr:uid="{00000000-0005-0000-0000-0000C44F0000}"/>
    <cellStyle name="40% - Accent6 6 2 3 4" xfId="5140" xr:uid="{00000000-0005-0000-0000-0000C54F0000}"/>
    <cellStyle name="40% - Accent6 6 2 3 4 2" xfId="15552" xr:uid="{00000000-0005-0000-0000-0000C64F0000}"/>
    <cellStyle name="40% - Accent6 6 2 3 4 2 2" xfId="29101" xr:uid="{00000000-0005-0000-0000-0000C74F0000}"/>
    <cellStyle name="40% - Accent6 6 2 3 4 3" xfId="22575" xr:uid="{00000000-0005-0000-0000-0000C84F0000}"/>
    <cellStyle name="40% - Accent6 6 2 3 5" xfId="5141" xr:uid="{00000000-0005-0000-0000-0000C94F0000}"/>
    <cellStyle name="40% - Accent6 6 2 3 5 2" xfId="16692" xr:uid="{00000000-0005-0000-0000-0000CA4F0000}"/>
    <cellStyle name="40% - Accent6 6 2 3 5 2 2" xfId="30099" xr:uid="{00000000-0005-0000-0000-0000CB4F0000}"/>
    <cellStyle name="40% - Accent6 6 2 3 5 3" xfId="22574" xr:uid="{00000000-0005-0000-0000-0000CC4F0000}"/>
    <cellStyle name="40% - Accent6 6 2 3 6" xfId="9552" xr:uid="{00000000-0005-0000-0000-0000CD4F0000}"/>
    <cellStyle name="40% - Accent6 6 2 3 6 2" xfId="24027" xr:uid="{00000000-0005-0000-0000-0000CE4F0000}"/>
    <cellStyle name="40% - Accent6 6 2 3 7" xfId="26795" xr:uid="{00000000-0005-0000-0000-0000CF4F0000}"/>
    <cellStyle name="40% - Accent6 6 2 4" xfId="5142" xr:uid="{00000000-0005-0000-0000-0000D04F0000}"/>
    <cellStyle name="40% - Accent6 6 2 4 2" xfId="5143" xr:uid="{00000000-0005-0000-0000-0000D14F0000}"/>
    <cellStyle name="40% - Accent6 6 2 4 2 2" xfId="15553" xr:uid="{00000000-0005-0000-0000-0000D24F0000}"/>
    <cellStyle name="40% - Accent6 6 2 4 2 2 2" xfId="29102" xr:uid="{00000000-0005-0000-0000-0000D34F0000}"/>
    <cellStyle name="40% - Accent6 6 2 4 2 3" xfId="24056" xr:uid="{00000000-0005-0000-0000-0000D44F0000}"/>
    <cellStyle name="40% - Accent6 6 2 4 3" xfId="11276" xr:uid="{00000000-0005-0000-0000-0000D54F0000}"/>
    <cellStyle name="40% - Accent6 6 2 4 3 2" xfId="25218" xr:uid="{00000000-0005-0000-0000-0000D64F0000}"/>
    <cellStyle name="40% - Accent6 6 2 4 4" xfId="24055" xr:uid="{00000000-0005-0000-0000-0000D74F0000}"/>
    <cellStyle name="40% - Accent6 6 2 5" xfId="5144" xr:uid="{00000000-0005-0000-0000-0000D84F0000}"/>
    <cellStyle name="40% - Accent6 6 2 5 2" xfId="12069" xr:uid="{00000000-0005-0000-0000-0000D94F0000}"/>
    <cellStyle name="40% - Accent6 6 2 5 2 2" xfId="25784" xr:uid="{00000000-0005-0000-0000-0000DA4F0000}"/>
    <cellStyle name="40% - Accent6 6 2 5 3" xfId="22573" xr:uid="{00000000-0005-0000-0000-0000DB4F0000}"/>
    <cellStyle name="40% - Accent6 6 2 6" xfId="5145" xr:uid="{00000000-0005-0000-0000-0000DC4F0000}"/>
    <cellStyle name="40% - Accent6 6 2 6 2" xfId="13067" xr:uid="{00000000-0005-0000-0000-0000DD4F0000}"/>
    <cellStyle name="40% - Accent6 6 2 6 2 2" xfId="26779" xr:uid="{00000000-0005-0000-0000-0000DE4F0000}"/>
    <cellStyle name="40% - Accent6 6 2 6 3" xfId="22572" xr:uid="{00000000-0005-0000-0000-0000DF4F0000}"/>
    <cellStyle name="40% - Accent6 6 2 7" xfId="5146" xr:uid="{00000000-0005-0000-0000-0000E04F0000}"/>
    <cellStyle name="40% - Accent6 6 2 7 2" xfId="13644" xr:uid="{00000000-0005-0000-0000-0000E14F0000}"/>
    <cellStyle name="40% - Accent6 6 2 7 2 2" xfId="27193" xr:uid="{00000000-0005-0000-0000-0000E24F0000}"/>
    <cellStyle name="40% - Accent6 6 2 7 3" xfId="24054" xr:uid="{00000000-0005-0000-0000-0000E34F0000}"/>
    <cellStyle name="40% - Accent6 6 2 8" xfId="5147" xr:uid="{00000000-0005-0000-0000-0000E44F0000}"/>
    <cellStyle name="40% - Accent6 6 2 8 2" xfId="14225" xr:uid="{00000000-0005-0000-0000-0000E54F0000}"/>
    <cellStyle name="40% - Accent6 6 2 8 2 2" xfId="27774" xr:uid="{00000000-0005-0000-0000-0000E64F0000}"/>
    <cellStyle name="40% - Accent6 6 2 8 3" xfId="22571" xr:uid="{00000000-0005-0000-0000-0000E74F0000}"/>
    <cellStyle name="40% - Accent6 6 2 9" xfId="5148" xr:uid="{00000000-0005-0000-0000-0000E84F0000}"/>
    <cellStyle name="40% - Accent6 6 2 9 2" xfId="15548" xr:uid="{00000000-0005-0000-0000-0000E94F0000}"/>
    <cellStyle name="40% - Accent6 6 2 9 2 2" xfId="29097" xr:uid="{00000000-0005-0000-0000-0000EA4F0000}"/>
    <cellStyle name="40% - Accent6 6 2 9 3" xfId="24051" xr:uid="{00000000-0005-0000-0000-0000EB4F0000}"/>
    <cellStyle name="40% - Accent6 6 3" xfId="5149" xr:uid="{00000000-0005-0000-0000-0000EC4F0000}"/>
    <cellStyle name="40% - Accent6 6 3 10" xfId="9553" xr:uid="{00000000-0005-0000-0000-0000ED4F0000}"/>
    <cellStyle name="40% - Accent6 6 3 10 2" xfId="24028" xr:uid="{00000000-0005-0000-0000-0000EE4F0000}"/>
    <cellStyle name="40% - Accent6 6 3 11" xfId="22570" xr:uid="{00000000-0005-0000-0000-0000EF4F0000}"/>
    <cellStyle name="40% - Accent6 6 3 2" xfId="5150" xr:uid="{00000000-0005-0000-0000-0000F04F0000}"/>
    <cellStyle name="40% - Accent6 6 3 2 2" xfId="5151" xr:uid="{00000000-0005-0000-0000-0000F14F0000}"/>
    <cellStyle name="40% - Accent6 6 3 2 2 2" xfId="11281" xr:uid="{00000000-0005-0000-0000-0000F24F0000}"/>
    <cellStyle name="40% - Accent6 6 3 2 2 2 2" xfId="25223" xr:uid="{00000000-0005-0000-0000-0000F34F0000}"/>
    <cellStyle name="40% - Accent6 6 3 2 2 3" xfId="22569" xr:uid="{00000000-0005-0000-0000-0000F44F0000}"/>
    <cellStyle name="40% - Accent6 6 3 2 3" xfId="5152" xr:uid="{00000000-0005-0000-0000-0000F54F0000}"/>
    <cellStyle name="40% - Accent6 6 3 2 3 2" xfId="13072" xr:uid="{00000000-0005-0000-0000-0000F64F0000}"/>
    <cellStyle name="40% - Accent6 6 3 2 3 2 2" xfId="26784" xr:uid="{00000000-0005-0000-0000-0000F74F0000}"/>
    <cellStyle name="40% - Accent6 6 3 2 3 3" xfId="24423" xr:uid="{00000000-0005-0000-0000-0000F84F0000}"/>
    <cellStyle name="40% - Accent6 6 3 2 4" xfId="5153" xr:uid="{00000000-0005-0000-0000-0000F94F0000}"/>
    <cellStyle name="40% - Accent6 6 3 2 4 2" xfId="15555" xr:uid="{00000000-0005-0000-0000-0000FA4F0000}"/>
    <cellStyle name="40% - Accent6 6 3 2 4 2 2" xfId="29104" xr:uid="{00000000-0005-0000-0000-0000FB4F0000}"/>
    <cellStyle name="40% - Accent6 6 3 2 4 3" xfId="29119" xr:uid="{00000000-0005-0000-0000-0000FC4F0000}"/>
    <cellStyle name="40% - Accent6 6 3 2 5" xfId="5154" xr:uid="{00000000-0005-0000-0000-0000FD4F0000}"/>
    <cellStyle name="40% - Accent6 6 3 2 5 2" xfId="16838" xr:uid="{00000000-0005-0000-0000-0000FE4F0000}"/>
    <cellStyle name="40% - Accent6 6 3 2 5 2 2" xfId="30245" xr:uid="{00000000-0005-0000-0000-0000FF4F0000}"/>
    <cellStyle name="40% - Accent6 6 3 2 5 3" xfId="22568" xr:uid="{00000000-0005-0000-0000-000000500000}"/>
    <cellStyle name="40% - Accent6 6 3 2 6" xfId="9554" xr:uid="{00000000-0005-0000-0000-000001500000}"/>
    <cellStyle name="40% - Accent6 6 3 2 6 2" xfId="24029" xr:uid="{00000000-0005-0000-0000-000002500000}"/>
    <cellStyle name="40% - Accent6 6 3 2 7" xfId="25233" xr:uid="{00000000-0005-0000-0000-000003500000}"/>
    <cellStyle name="40% - Accent6 6 3 3" xfId="5155" xr:uid="{00000000-0005-0000-0000-000004500000}"/>
    <cellStyle name="40% - Accent6 6 3 3 2" xfId="5156" xr:uid="{00000000-0005-0000-0000-000005500000}"/>
    <cellStyle name="40% - Accent6 6 3 3 2 2" xfId="15556" xr:uid="{00000000-0005-0000-0000-000006500000}"/>
    <cellStyle name="40% - Accent6 6 3 3 2 2 2" xfId="29105" xr:uid="{00000000-0005-0000-0000-000007500000}"/>
    <cellStyle name="40% - Accent6 6 3 3 2 3" xfId="24053" xr:uid="{00000000-0005-0000-0000-000008500000}"/>
    <cellStyle name="40% - Accent6 6 3 3 3" xfId="11280" xr:uid="{00000000-0005-0000-0000-000009500000}"/>
    <cellStyle name="40% - Accent6 6 3 3 3 2" xfId="25222" xr:uid="{00000000-0005-0000-0000-00000A500000}"/>
    <cellStyle name="40% - Accent6 6 3 3 4" xfId="22567" xr:uid="{00000000-0005-0000-0000-00000B500000}"/>
    <cellStyle name="40% - Accent6 6 3 4" xfId="5157" xr:uid="{00000000-0005-0000-0000-00000C500000}"/>
    <cellStyle name="40% - Accent6 6 3 4 2" xfId="12226" xr:uid="{00000000-0005-0000-0000-00000D500000}"/>
    <cellStyle name="40% - Accent6 6 3 4 2 2" xfId="25938" xr:uid="{00000000-0005-0000-0000-00000E500000}"/>
    <cellStyle name="40% - Accent6 6 3 4 3" xfId="22566" xr:uid="{00000000-0005-0000-0000-00000F500000}"/>
    <cellStyle name="40% - Accent6 6 3 5" xfId="5158" xr:uid="{00000000-0005-0000-0000-000010500000}"/>
    <cellStyle name="40% - Accent6 6 3 5 2" xfId="13071" xr:uid="{00000000-0005-0000-0000-000011500000}"/>
    <cellStyle name="40% - Accent6 6 3 5 2 2" xfId="26783" xr:uid="{00000000-0005-0000-0000-000012500000}"/>
    <cellStyle name="40% - Accent6 6 3 5 3" xfId="24052" xr:uid="{00000000-0005-0000-0000-000013500000}"/>
    <cellStyle name="40% - Accent6 6 3 6" xfId="5159" xr:uid="{00000000-0005-0000-0000-000014500000}"/>
    <cellStyle name="40% - Accent6 6 3 6 2" xfId="13790" xr:uid="{00000000-0005-0000-0000-000015500000}"/>
    <cellStyle name="40% - Accent6 6 3 6 2 2" xfId="27339" xr:uid="{00000000-0005-0000-0000-000016500000}"/>
    <cellStyle name="40% - Accent6 6 3 6 3" xfId="22565" xr:uid="{00000000-0005-0000-0000-000017500000}"/>
    <cellStyle name="40% - Accent6 6 3 7" xfId="5160" xr:uid="{00000000-0005-0000-0000-000018500000}"/>
    <cellStyle name="40% - Accent6 6 3 7 2" xfId="14371" xr:uid="{00000000-0005-0000-0000-000019500000}"/>
    <cellStyle name="40% - Accent6 6 3 7 2 2" xfId="27920" xr:uid="{00000000-0005-0000-0000-00001A500000}"/>
    <cellStyle name="40% - Accent6 6 3 7 3" xfId="23240" xr:uid="{00000000-0005-0000-0000-00001B500000}"/>
    <cellStyle name="40% - Accent6 6 3 8" xfId="5161" xr:uid="{00000000-0005-0000-0000-00001C500000}"/>
    <cellStyle name="40% - Accent6 6 3 8 2" xfId="15554" xr:uid="{00000000-0005-0000-0000-00001D500000}"/>
    <cellStyle name="40% - Accent6 6 3 8 2 2" xfId="29103" xr:uid="{00000000-0005-0000-0000-00001E500000}"/>
    <cellStyle name="40% - Accent6 6 3 8 3" xfId="24050" xr:uid="{00000000-0005-0000-0000-00001F500000}"/>
    <cellStyle name="40% - Accent6 6 3 9" xfId="5162" xr:uid="{00000000-0005-0000-0000-000020500000}"/>
    <cellStyle name="40% - Accent6 6 3 9 2" xfId="16257" xr:uid="{00000000-0005-0000-0000-000021500000}"/>
    <cellStyle name="40% - Accent6 6 3 9 2 2" xfId="29664" xr:uid="{00000000-0005-0000-0000-000022500000}"/>
    <cellStyle name="40% - Accent6 6 3 9 3" xfId="22564" xr:uid="{00000000-0005-0000-0000-000023500000}"/>
    <cellStyle name="40% - Accent6 6 4" xfId="5163" xr:uid="{00000000-0005-0000-0000-000024500000}"/>
    <cellStyle name="40% - Accent6 6 4 2" xfId="5164" xr:uid="{00000000-0005-0000-0000-000025500000}"/>
    <cellStyle name="40% - Accent6 6 4 2 2" xfId="11282" xr:uid="{00000000-0005-0000-0000-000026500000}"/>
    <cellStyle name="40% - Accent6 6 4 2 2 2" xfId="25224" xr:uid="{00000000-0005-0000-0000-000027500000}"/>
    <cellStyle name="40% - Accent6 6 4 2 3" xfId="22563" xr:uid="{00000000-0005-0000-0000-000028500000}"/>
    <cellStyle name="40% - Accent6 6 4 3" xfId="5165" xr:uid="{00000000-0005-0000-0000-000029500000}"/>
    <cellStyle name="40% - Accent6 6 4 3 2" xfId="13073" xr:uid="{00000000-0005-0000-0000-00002A500000}"/>
    <cellStyle name="40% - Accent6 6 4 3 2 2" xfId="26785" xr:uid="{00000000-0005-0000-0000-00002B500000}"/>
    <cellStyle name="40% - Accent6 6 4 3 3" xfId="24048" xr:uid="{00000000-0005-0000-0000-00002C500000}"/>
    <cellStyle name="40% - Accent6 6 4 4" xfId="5166" xr:uid="{00000000-0005-0000-0000-00002D500000}"/>
    <cellStyle name="40% - Accent6 6 4 4 2" xfId="15557" xr:uid="{00000000-0005-0000-0000-00002E500000}"/>
    <cellStyle name="40% - Accent6 6 4 4 2 2" xfId="29106" xr:uid="{00000000-0005-0000-0000-00002F500000}"/>
    <cellStyle name="40% - Accent6 6 4 4 3" xfId="22562" xr:uid="{00000000-0005-0000-0000-000030500000}"/>
    <cellStyle name="40% - Accent6 6 4 5" xfId="5167" xr:uid="{00000000-0005-0000-0000-000031500000}"/>
    <cellStyle name="40% - Accent6 6 4 5 2" xfId="16549" xr:uid="{00000000-0005-0000-0000-000032500000}"/>
    <cellStyle name="40% - Accent6 6 4 5 2 2" xfId="29956" xr:uid="{00000000-0005-0000-0000-000033500000}"/>
    <cellStyle name="40% - Accent6 6 4 5 3" xfId="24047" xr:uid="{00000000-0005-0000-0000-000034500000}"/>
    <cellStyle name="40% - Accent6 6 4 6" xfId="9555" xr:uid="{00000000-0005-0000-0000-000035500000}"/>
    <cellStyle name="40% - Accent6 6 4 6 2" xfId="24030" xr:uid="{00000000-0005-0000-0000-000036500000}"/>
    <cellStyle name="40% - Accent6 6 4 7" xfId="24049" xr:uid="{00000000-0005-0000-0000-000037500000}"/>
    <cellStyle name="40% - Accent6 6 5" xfId="5168" xr:uid="{00000000-0005-0000-0000-000038500000}"/>
    <cellStyle name="40% - Accent6 6 5 2" xfId="5169" xr:uid="{00000000-0005-0000-0000-000039500000}"/>
    <cellStyle name="40% - Accent6 6 5 2 2" xfId="15558" xr:uid="{00000000-0005-0000-0000-00003A500000}"/>
    <cellStyle name="40% - Accent6 6 5 2 2 2" xfId="29107" xr:uid="{00000000-0005-0000-0000-00003B500000}"/>
    <cellStyle name="40% - Accent6 6 5 2 3" xfId="24045" xr:uid="{00000000-0005-0000-0000-00003C500000}"/>
    <cellStyle name="40% - Accent6 6 5 3" xfId="11275" xr:uid="{00000000-0005-0000-0000-00003D500000}"/>
    <cellStyle name="40% - Accent6 6 5 3 2" xfId="25217" xr:uid="{00000000-0005-0000-0000-00003E500000}"/>
    <cellStyle name="40% - Accent6 6 5 4" xfId="22561" xr:uid="{00000000-0005-0000-0000-00003F500000}"/>
    <cellStyle name="40% - Accent6 6 6" xfId="5170" xr:uid="{00000000-0005-0000-0000-000040500000}"/>
    <cellStyle name="40% - Accent6 6 6 2" xfId="11924" xr:uid="{00000000-0005-0000-0000-000041500000}"/>
    <cellStyle name="40% - Accent6 6 6 2 2" xfId="25639" xr:uid="{00000000-0005-0000-0000-000042500000}"/>
    <cellStyle name="40% - Accent6 6 6 3" xfId="24046" xr:uid="{00000000-0005-0000-0000-000043500000}"/>
    <cellStyle name="40% - Accent6 6 7" xfId="5171" xr:uid="{00000000-0005-0000-0000-000044500000}"/>
    <cellStyle name="40% - Accent6 6 7 2" xfId="13066" xr:uid="{00000000-0005-0000-0000-000045500000}"/>
    <cellStyle name="40% - Accent6 6 7 2 2" xfId="26778" xr:uid="{00000000-0005-0000-0000-000046500000}"/>
    <cellStyle name="40% - Accent6 6 7 3" xfId="22560" xr:uid="{00000000-0005-0000-0000-000047500000}"/>
    <cellStyle name="40% - Accent6 6 8" xfId="5172" xr:uid="{00000000-0005-0000-0000-000048500000}"/>
    <cellStyle name="40% - Accent6 6 8 2" xfId="13501" xr:uid="{00000000-0005-0000-0000-000049500000}"/>
    <cellStyle name="40% - Accent6 6 8 2 2" xfId="27050" xr:uid="{00000000-0005-0000-0000-00004A500000}"/>
    <cellStyle name="40% - Accent6 6 8 3" xfId="22559" xr:uid="{00000000-0005-0000-0000-00004B500000}"/>
    <cellStyle name="40% - Accent6 6 9" xfId="5173" xr:uid="{00000000-0005-0000-0000-00004C500000}"/>
    <cellStyle name="40% - Accent6 6 9 2" xfId="14082" xr:uid="{00000000-0005-0000-0000-00004D500000}"/>
    <cellStyle name="40% - Accent6 6 9 2 2" xfId="27631" xr:uid="{00000000-0005-0000-0000-00004E500000}"/>
    <cellStyle name="40% - Accent6 6 9 3" xfId="24044" xr:uid="{00000000-0005-0000-0000-00004F500000}"/>
    <cellStyle name="40% - Accent6 7" xfId="5174" xr:uid="{00000000-0005-0000-0000-000050500000}"/>
    <cellStyle name="40% - Accent6 7 10" xfId="5175" xr:uid="{00000000-0005-0000-0000-000051500000}"/>
    <cellStyle name="40% - Accent6 7 10 2" xfId="15988" xr:uid="{00000000-0005-0000-0000-000052500000}"/>
    <cellStyle name="40% - Accent6 7 10 2 2" xfId="29395" xr:uid="{00000000-0005-0000-0000-000053500000}"/>
    <cellStyle name="40% - Accent6 7 10 3" xfId="22558" xr:uid="{00000000-0005-0000-0000-000054500000}"/>
    <cellStyle name="40% - Accent6 7 11" xfId="9556" xr:uid="{00000000-0005-0000-0000-000055500000}"/>
    <cellStyle name="40% - Accent6 7 11 2" xfId="24031" xr:uid="{00000000-0005-0000-0000-000056500000}"/>
    <cellStyle name="40% - Accent6 7 12" xfId="26793" xr:uid="{00000000-0005-0000-0000-000057500000}"/>
    <cellStyle name="40% - Accent6 7 2" xfId="5176" xr:uid="{00000000-0005-0000-0000-000058500000}"/>
    <cellStyle name="40% - Accent6 7 2 10" xfId="9557" xr:uid="{00000000-0005-0000-0000-000059500000}"/>
    <cellStyle name="40% - Accent6 7 2 10 2" xfId="24032" xr:uid="{00000000-0005-0000-0000-00005A500000}"/>
    <cellStyle name="40% - Accent6 7 2 11" xfId="26794" xr:uid="{00000000-0005-0000-0000-00005B500000}"/>
    <cellStyle name="40% - Accent6 7 2 2" xfId="5177" xr:uid="{00000000-0005-0000-0000-00005C500000}"/>
    <cellStyle name="40% - Accent6 7 2 2 2" xfId="5178" xr:uid="{00000000-0005-0000-0000-00005D500000}"/>
    <cellStyle name="40% - Accent6 7 2 2 2 2" xfId="11285" xr:uid="{00000000-0005-0000-0000-00005E500000}"/>
    <cellStyle name="40% - Accent6 7 2 2 2 2 2" xfId="25227" xr:uid="{00000000-0005-0000-0000-00005F500000}"/>
    <cellStyle name="40% - Accent6 7 2 2 2 3" xfId="22556" xr:uid="{00000000-0005-0000-0000-000060500000}"/>
    <cellStyle name="40% - Accent6 7 2 2 3" xfId="5179" xr:uid="{00000000-0005-0000-0000-000061500000}"/>
    <cellStyle name="40% - Accent6 7 2 2 3 2" xfId="13076" xr:uid="{00000000-0005-0000-0000-000062500000}"/>
    <cellStyle name="40% - Accent6 7 2 2 3 2 2" xfId="26788" xr:uid="{00000000-0005-0000-0000-000063500000}"/>
    <cellStyle name="40% - Accent6 7 2 2 3 3" xfId="24042" xr:uid="{00000000-0005-0000-0000-000064500000}"/>
    <cellStyle name="40% - Accent6 7 2 2 4" xfId="5180" xr:uid="{00000000-0005-0000-0000-000065500000}"/>
    <cellStyle name="40% - Accent6 7 2 2 4 2" xfId="15561" xr:uid="{00000000-0005-0000-0000-000066500000}"/>
    <cellStyle name="40% - Accent6 7 2 2 4 2 2" xfId="29110" xr:uid="{00000000-0005-0000-0000-000067500000}"/>
    <cellStyle name="40% - Accent6 7 2 2 4 3" xfId="24043" xr:uid="{00000000-0005-0000-0000-000068500000}"/>
    <cellStyle name="40% - Accent6 7 2 2 5" xfId="5181" xr:uid="{00000000-0005-0000-0000-000069500000}"/>
    <cellStyle name="40% - Accent6 7 2 2 5 2" xfId="16858" xr:uid="{00000000-0005-0000-0000-00006A500000}"/>
    <cellStyle name="40% - Accent6 7 2 2 5 2 2" xfId="30265" xr:uid="{00000000-0005-0000-0000-00006B500000}"/>
    <cellStyle name="40% - Accent6 7 2 2 5 3" xfId="22555" xr:uid="{00000000-0005-0000-0000-00006C500000}"/>
    <cellStyle name="40% - Accent6 7 2 2 6" xfId="9558" xr:uid="{00000000-0005-0000-0000-00006D500000}"/>
    <cellStyle name="40% - Accent6 7 2 2 6 2" xfId="24033" xr:uid="{00000000-0005-0000-0000-00006E500000}"/>
    <cellStyle name="40% - Accent6 7 2 2 7" xfId="22557" xr:uid="{00000000-0005-0000-0000-00006F500000}"/>
    <cellStyle name="40% - Accent6 7 2 3" xfId="5182" xr:uid="{00000000-0005-0000-0000-000070500000}"/>
    <cellStyle name="40% - Accent6 7 2 3 2" xfId="5183" xr:uid="{00000000-0005-0000-0000-000071500000}"/>
    <cellStyle name="40% - Accent6 7 2 3 2 2" xfId="15562" xr:uid="{00000000-0005-0000-0000-000072500000}"/>
    <cellStyle name="40% - Accent6 7 2 3 2 2 2" xfId="29111" xr:uid="{00000000-0005-0000-0000-000073500000}"/>
    <cellStyle name="40% - Accent6 7 2 3 2 3" xfId="24041" xr:uid="{00000000-0005-0000-0000-000074500000}"/>
    <cellStyle name="40% - Accent6 7 2 3 3" xfId="11284" xr:uid="{00000000-0005-0000-0000-000075500000}"/>
    <cellStyle name="40% - Accent6 7 2 3 3 2" xfId="25226" xr:uid="{00000000-0005-0000-0000-000076500000}"/>
    <cellStyle name="40% - Accent6 7 2 3 4" xfId="22554" xr:uid="{00000000-0005-0000-0000-000077500000}"/>
    <cellStyle name="40% - Accent6 7 2 4" xfId="5184" xr:uid="{00000000-0005-0000-0000-000078500000}"/>
    <cellStyle name="40% - Accent6 7 2 4 2" xfId="12246" xr:uid="{00000000-0005-0000-0000-000079500000}"/>
    <cellStyle name="40% - Accent6 7 2 4 2 2" xfId="25958" xr:uid="{00000000-0005-0000-0000-00007A500000}"/>
    <cellStyle name="40% - Accent6 7 2 4 3" xfId="22553" xr:uid="{00000000-0005-0000-0000-00007B500000}"/>
    <cellStyle name="40% - Accent6 7 2 5" xfId="5185" xr:uid="{00000000-0005-0000-0000-00007C500000}"/>
    <cellStyle name="40% - Accent6 7 2 5 2" xfId="13075" xr:uid="{00000000-0005-0000-0000-00007D500000}"/>
    <cellStyle name="40% - Accent6 7 2 5 2 2" xfId="26787" xr:uid="{00000000-0005-0000-0000-00007E500000}"/>
    <cellStyle name="40% - Accent6 7 2 5 3" xfId="24038" xr:uid="{00000000-0005-0000-0000-00007F500000}"/>
    <cellStyle name="40% - Accent6 7 2 6" xfId="5186" xr:uid="{00000000-0005-0000-0000-000080500000}"/>
    <cellStyle name="40% - Accent6 7 2 6 2" xfId="13810" xr:uid="{00000000-0005-0000-0000-000081500000}"/>
    <cellStyle name="40% - Accent6 7 2 6 2 2" xfId="27359" xr:uid="{00000000-0005-0000-0000-000082500000}"/>
    <cellStyle name="40% - Accent6 7 2 6 3" xfId="22552" xr:uid="{00000000-0005-0000-0000-000083500000}"/>
    <cellStyle name="40% - Accent6 7 2 7" xfId="5187" xr:uid="{00000000-0005-0000-0000-000084500000}"/>
    <cellStyle name="40% - Accent6 7 2 7 2" xfId="14391" xr:uid="{00000000-0005-0000-0000-000085500000}"/>
    <cellStyle name="40% - Accent6 7 2 7 2 2" xfId="27940" xr:uid="{00000000-0005-0000-0000-000086500000}"/>
    <cellStyle name="40% - Accent6 7 2 7 3" xfId="25232" xr:uid="{00000000-0005-0000-0000-000087500000}"/>
    <cellStyle name="40% - Accent6 7 2 8" xfId="5188" xr:uid="{00000000-0005-0000-0000-000088500000}"/>
    <cellStyle name="40% - Accent6 7 2 8 2" xfId="15560" xr:uid="{00000000-0005-0000-0000-000089500000}"/>
    <cellStyle name="40% - Accent6 7 2 8 2 2" xfId="29109" xr:uid="{00000000-0005-0000-0000-00008A500000}"/>
    <cellStyle name="40% - Accent6 7 2 8 3" xfId="22551" xr:uid="{00000000-0005-0000-0000-00008B500000}"/>
    <cellStyle name="40% - Accent6 7 2 9" xfId="5189" xr:uid="{00000000-0005-0000-0000-00008C500000}"/>
    <cellStyle name="40% - Accent6 7 2 9 2" xfId="16277" xr:uid="{00000000-0005-0000-0000-00008D500000}"/>
    <cellStyle name="40% - Accent6 7 2 9 2 2" xfId="29684" xr:uid="{00000000-0005-0000-0000-00008E500000}"/>
    <cellStyle name="40% - Accent6 7 2 9 3" xfId="24422" xr:uid="{00000000-0005-0000-0000-00008F500000}"/>
    <cellStyle name="40% - Accent6 7 3" xfId="5190" xr:uid="{00000000-0005-0000-0000-000090500000}"/>
    <cellStyle name="40% - Accent6 7 3 2" xfId="5191" xr:uid="{00000000-0005-0000-0000-000091500000}"/>
    <cellStyle name="40% - Accent6 7 3 2 2" xfId="11286" xr:uid="{00000000-0005-0000-0000-000092500000}"/>
    <cellStyle name="40% - Accent6 7 3 2 2 2" xfId="25228" xr:uid="{00000000-0005-0000-0000-000093500000}"/>
    <cellStyle name="40% - Accent6 7 3 2 3" xfId="22550" xr:uid="{00000000-0005-0000-0000-000094500000}"/>
    <cellStyle name="40% - Accent6 7 3 3" xfId="5192" xr:uid="{00000000-0005-0000-0000-000095500000}"/>
    <cellStyle name="40% - Accent6 7 3 3 2" xfId="13077" xr:uid="{00000000-0005-0000-0000-000096500000}"/>
    <cellStyle name="40% - Accent6 7 3 3 2 2" xfId="26789" xr:uid="{00000000-0005-0000-0000-000097500000}"/>
    <cellStyle name="40% - Accent6 7 3 3 3" xfId="22549" xr:uid="{00000000-0005-0000-0000-000098500000}"/>
    <cellStyle name="40% - Accent6 7 3 4" xfId="5193" xr:uid="{00000000-0005-0000-0000-000099500000}"/>
    <cellStyle name="40% - Accent6 7 3 4 2" xfId="15563" xr:uid="{00000000-0005-0000-0000-00009A500000}"/>
    <cellStyle name="40% - Accent6 7 3 4 2 2" xfId="29112" xr:uid="{00000000-0005-0000-0000-00009B500000}"/>
    <cellStyle name="40% - Accent6 7 3 4 3" xfId="24040" xr:uid="{00000000-0005-0000-0000-00009C500000}"/>
    <cellStyle name="40% - Accent6 7 3 5" xfId="5194" xr:uid="{00000000-0005-0000-0000-00009D500000}"/>
    <cellStyle name="40% - Accent6 7 3 5 2" xfId="16569" xr:uid="{00000000-0005-0000-0000-00009E500000}"/>
    <cellStyle name="40% - Accent6 7 3 5 2 2" xfId="29976" xr:uid="{00000000-0005-0000-0000-00009F500000}"/>
    <cellStyle name="40% - Accent6 7 3 5 3" xfId="22548" xr:uid="{00000000-0005-0000-0000-0000A0500000}"/>
    <cellStyle name="40% - Accent6 7 3 6" xfId="9559" xr:uid="{00000000-0005-0000-0000-0000A1500000}"/>
    <cellStyle name="40% - Accent6 7 3 6 2" xfId="24034" xr:uid="{00000000-0005-0000-0000-0000A2500000}"/>
    <cellStyle name="40% - Accent6 7 3 7" xfId="29118" xr:uid="{00000000-0005-0000-0000-0000A3500000}"/>
    <cellStyle name="40% - Accent6 7 4" xfId="5195" xr:uid="{00000000-0005-0000-0000-0000A4500000}"/>
    <cellStyle name="40% - Accent6 7 4 2" xfId="5196" xr:uid="{00000000-0005-0000-0000-0000A5500000}"/>
    <cellStyle name="40% - Accent6 7 4 2 2" xfId="15564" xr:uid="{00000000-0005-0000-0000-0000A6500000}"/>
    <cellStyle name="40% - Accent6 7 4 2 2 2" xfId="29113" xr:uid="{00000000-0005-0000-0000-0000A7500000}"/>
    <cellStyle name="40% - Accent6 7 4 2 3" xfId="22547" xr:uid="{00000000-0005-0000-0000-0000A8500000}"/>
    <cellStyle name="40% - Accent6 7 4 3" xfId="11283" xr:uid="{00000000-0005-0000-0000-0000A9500000}"/>
    <cellStyle name="40% - Accent6 7 4 3 2" xfId="25225" xr:uid="{00000000-0005-0000-0000-0000AA500000}"/>
    <cellStyle name="40% - Accent6 7 4 4" xfId="24039" xr:uid="{00000000-0005-0000-0000-0000AB500000}"/>
    <cellStyle name="40% - Accent6 7 5" xfId="5197" xr:uid="{00000000-0005-0000-0000-0000AC500000}"/>
    <cellStyle name="40% - Accent6 7 5 2" xfId="11944" xr:uid="{00000000-0005-0000-0000-0000AD500000}"/>
    <cellStyle name="40% - Accent6 7 5 2 2" xfId="25659" xr:uid="{00000000-0005-0000-0000-0000AE500000}"/>
    <cellStyle name="40% - Accent6 7 5 3" xfId="23237" xr:uid="{00000000-0005-0000-0000-0000AF500000}"/>
    <cellStyle name="40% - Accent6 7 6" xfId="5198" xr:uid="{00000000-0005-0000-0000-0000B0500000}"/>
    <cellStyle name="40% - Accent6 7 6 2" xfId="13074" xr:uid="{00000000-0005-0000-0000-0000B1500000}"/>
    <cellStyle name="40% - Accent6 7 6 2 2" xfId="26786" xr:uid="{00000000-0005-0000-0000-0000B2500000}"/>
    <cellStyle name="40% - Accent6 7 6 3" xfId="22546" xr:uid="{00000000-0005-0000-0000-0000B3500000}"/>
    <cellStyle name="40% - Accent6 7 7" xfId="5199" xr:uid="{00000000-0005-0000-0000-0000B4500000}"/>
    <cellStyle name="40% - Accent6 7 7 2" xfId="13521" xr:uid="{00000000-0005-0000-0000-0000B5500000}"/>
    <cellStyle name="40% - Accent6 7 7 2 2" xfId="27070" xr:uid="{00000000-0005-0000-0000-0000B6500000}"/>
    <cellStyle name="40% - Accent6 7 7 3" xfId="22545" xr:uid="{00000000-0005-0000-0000-0000B7500000}"/>
    <cellStyle name="40% - Accent6 7 8" xfId="5200" xr:uid="{00000000-0005-0000-0000-0000B8500000}"/>
    <cellStyle name="40% - Accent6 7 8 2" xfId="14102" xr:uid="{00000000-0005-0000-0000-0000B9500000}"/>
    <cellStyle name="40% - Accent6 7 8 2 2" xfId="27651" xr:uid="{00000000-0005-0000-0000-0000BA500000}"/>
    <cellStyle name="40% - Accent6 7 8 3" xfId="22544" xr:uid="{00000000-0005-0000-0000-0000BB500000}"/>
    <cellStyle name="40% - Accent6 7 9" xfId="5201" xr:uid="{00000000-0005-0000-0000-0000BC500000}"/>
    <cellStyle name="40% - Accent6 7 9 2" xfId="15559" xr:uid="{00000000-0005-0000-0000-0000BD500000}"/>
    <cellStyle name="40% - Accent6 7 9 2 2" xfId="29108" xr:uid="{00000000-0005-0000-0000-0000BE500000}"/>
    <cellStyle name="40% - Accent6 7 9 3" xfId="22543" xr:uid="{00000000-0005-0000-0000-0000BF500000}"/>
    <cellStyle name="40% - Accent6 8" xfId="5202" xr:uid="{00000000-0005-0000-0000-0000C0500000}"/>
    <cellStyle name="40% - Accent6 8 10" xfId="9560" xr:uid="{00000000-0005-0000-0000-0000C1500000}"/>
    <cellStyle name="40% - Accent6 8 10 2" xfId="24035" xr:uid="{00000000-0005-0000-0000-0000C2500000}"/>
    <cellStyle name="40% - Accent6 8 11" xfId="22542" xr:uid="{00000000-0005-0000-0000-0000C3500000}"/>
    <cellStyle name="40% - Accent6 8 2" xfId="5203" xr:uid="{00000000-0005-0000-0000-0000C4500000}"/>
    <cellStyle name="40% - Accent6 8 2 2" xfId="5204" xr:uid="{00000000-0005-0000-0000-0000C5500000}"/>
    <cellStyle name="40% - Accent6 8 2 2 2" xfId="11288" xr:uid="{00000000-0005-0000-0000-0000C6500000}"/>
    <cellStyle name="40% - Accent6 8 2 2 2 2" xfId="25230" xr:uid="{00000000-0005-0000-0000-0000C7500000}"/>
    <cellStyle name="40% - Accent6 8 2 2 3" xfId="22540" xr:uid="{00000000-0005-0000-0000-0000C8500000}"/>
    <cellStyle name="40% - Accent6 8 2 3" xfId="5205" xr:uid="{00000000-0005-0000-0000-0000C9500000}"/>
    <cellStyle name="40% - Accent6 8 2 3 2" xfId="13079" xr:uid="{00000000-0005-0000-0000-0000CA500000}"/>
    <cellStyle name="40% - Accent6 8 2 3 2 2" xfId="26791" xr:uid="{00000000-0005-0000-0000-0000CB500000}"/>
    <cellStyle name="40% - Accent6 8 2 3 3" xfId="22539" xr:uid="{00000000-0005-0000-0000-0000CC500000}"/>
    <cellStyle name="40% - Accent6 8 2 4" xfId="5206" xr:uid="{00000000-0005-0000-0000-0000CD500000}"/>
    <cellStyle name="40% - Accent6 8 2 4 2" xfId="15566" xr:uid="{00000000-0005-0000-0000-0000CE500000}"/>
    <cellStyle name="40% - Accent6 8 2 4 2 2" xfId="29115" xr:uid="{00000000-0005-0000-0000-0000CF500000}"/>
    <cellStyle name="40% - Accent6 8 2 4 3" xfId="22538" xr:uid="{00000000-0005-0000-0000-0000D0500000}"/>
    <cellStyle name="40% - Accent6 8 2 5" xfId="5207" xr:uid="{00000000-0005-0000-0000-0000D1500000}"/>
    <cellStyle name="40% - Accent6 8 2 5 2" xfId="16712" xr:uid="{00000000-0005-0000-0000-0000D2500000}"/>
    <cellStyle name="40% - Accent6 8 2 5 2 2" xfId="30119" xr:uid="{00000000-0005-0000-0000-0000D3500000}"/>
    <cellStyle name="40% - Accent6 8 2 5 3" xfId="22537" xr:uid="{00000000-0005-0000-0000-0000D4500000}"/>
    <cellStyle name="40% - Accent6 8 2 6" xfId="9561" xr:uid="{00000000-0005-0000-0000-0000D5500000}"/>
    <cellStyle name="40% - Accent6 8 2 6 2" xfId="24036" xr:uid="{00000000-0005-0000-0000-0000D6500000}"/>
    <cellStyle name="40% - Accent6 8 2 7" xfId="22541" xr:uid="{00000000-0005-0000-0000-0000D7500000}"/>
    <cellStyle name="40% - Accent6 8 3" xfId="5208" xr:uid="{00000000-0005-0000-0000-0000D8500000}"/>
    <cellStyle name="40% - Accent6 8 3 2" xfId="5209" xr:uid="{00000000-0005-0000-0000-0000D9500000}"/>
    <cellStyle name="40% - Accent6 8 3 2 2" xfId="15567" xr:uid="{00000000-0005-0000-0000-0000DA500000}"/>
    <cellStyle name="40% - Accent6 8 3 2 2 2" xfId="29116" xr:uid="{00000000-0005-0000-0000-0000DB500000}"/>
    <cellStyle name="40% - Accent6 8 3 2 3" xfId="22535" xr:uid="{00000000-0005-0000-0000-0000DC500000}"/>
    <cellStyle name="40% - Accent6 8 3 3" xfId="11287" xr:uid="{00000000-0005-0000-0000-0000DD500000}"/>
    <cellStyle name="40% - Accent6 8 3 3 2" xfId="25229" xr:uid="{00000000-0005-0000-0000-0000DE500000}"/>
    <cellStyle name="40% - Accent6 8 3 4" xfId="22536" xr:uid="{00000000-0005-0000-0000-0000DF500000}"/>
    <cellStyle name="40% - Accent6 8 4" xfId="5210" xr:uid="{00000000-0005-0000-0000-0000E0500000}"/>
    <cellStyle name="40% - Accent6 8 4 2" xfId="12090" xr:uid="{00000000-0005-0000-0000-0000E1500000}"/>
    <cellStyle name="40% - Accent6 8 4 2 2" xfId="25804" xr:uid="{00000000-0005-0000-0000-0000E2500000}"/>
    <cellStyle name="40% - Accent6 8 4 3" xfId="22534" xr:uid="{00000000-0005-0000-0000-0000E3500000}"/>
    <cellStyle name="40% - Accent6 8 5" xfId="5211" xr:uid="{00000000-0005-0000-0000-0000E4500000}"/>
    <cellStyle name="40% - Accent6 8 5 2" xfId="13078" xr:uid="{00000000-0005-0000-0000-0000E5500000}"/>
    <cellStyle name="40% - Accent6 8 5 2 2" xfId="26790" xr:uid="{00000000-0005-0000-0000-0000E6500000}"/>
    <cellStyle name="40% - Accent6 8 5 3" xfId="22533" xr:uid="{00000000-0005-0000-0000-0000E7500000}"/>
    <cellStyle name="40% - Accent6 8 6" xfId="5212" xr:uid="{00000000-0005-0000-0000-0000E8500000}"/>
    <cellStyle name="40% - Accent6 8 6 2" xfId="13664" xr:uid="{00000000-0005-0000-0000-0000E9500000}"/>
    <cellStyle name="40% - Accent6 8 6 2 2" xfId="27213" xr:uid="{00000000-0005-0000-0000-0000EA500000}"/>
    <cellStyle name="40% - Accent6 8 6 3" xfId="22532" xr:uid="{00000000-0005-0000-0000-0000EB500000}"/>
    <cellStyle name="40% - Accent6 8 7" xfId="5213" xr:uid="{00000000-0005-0000-0000-0000EC500000}"/>
    <cellStyle name="40% - Accent6 8 7 2" xfId="14245" xr:uid="{00000000-0005-0000-0000-0000ED500000}"/>
    <cellStyle name="40% - Accent6 8 7 2 2" xfId="27794" xr:uid="{00000000-0005-0000-0000-0000EE500000}"/>
    <cellStyle name="40% - Accent6 8 7 3" xfId="22531" xr:uid="{00000000-0005-0000-0000-0000EF500000}"/>
    <cellStyle name="40% - Accent6 8 8" xfId="5214" xr:uid="{00000000-0005-0000-0000-0000F0500000}"/>
    <cellStyle name="40% - Accent6 8 8 2" xfId="15565" xr:uid="{00000000-0005-0000-0000-0000F1500000}"/>
    <cellStyle name="40% - Accent6 8 8 2 2" xfId="29114" xr:uid="{00000000-0005-0000-0000-0000F2500000}"/>
    <cellStyle name="40% - Accent6 8 8 3" xfId="22530" xr:uid="{00000000-0005-0000-0000-0000F3500000}"/>
    <cellStyle name="40% - Accent6 8 9" xfId="5215" xr:uid="{00000000-0005-0000-0000-0000F4500000}"/>
    <cellStyle name="40% - Accent6 8 9 2" xfId="16131" xr:uid="{00000000-0005-0000-0000-0000F5500000}"/>
    <cellStyle name="40% - Accent6 8 9 2 2" xfId="29538" xr:uid="{00000000-0005-0000-0000-0000F6500000}"/>
    <cellStyle name="40% - Accent6 8 9 3" xfId="22529" xr:uid="{00000000-0005-0000-0000-0000F7500000}"/>
    <cellStyle name="40% - Accent6 9" xfId="5216" xr:uid="{00000000-0005-0000-0000-0000F8500000}"/>
    <cellStyle name="40% - Accent6 9 2" xfId="5217" xr:uid="{00000000-0005-0000-0000-0000F9500000}"/>
    <cellStyle name="40% - Accent6 9 2 2" xfId="11289" xr:uid="{00000000-0005-0000-0000-0000FA500000}"/>
    <cellStyle name="40% - Accent6 9 2 2 2" xfId="25231" xr:uid="{00000000-0005-0000-0000-0000FB500000}"/>
    <cellStyle name="40% - Accent6 9 2 3" xfId="22527" xr:uid="{00000000-0005-0000-0000-0000FC500000}"/>
    <cellStyle name="40% - Accent6 9 3" xfId="5218" xr:uid="{00000000-0005-0000-0000-0000FD500000}"/>
    <cellStyle name="40% - Accent6 9 3 2" xfId="13080" xr:uid="{00000000-0005-0000-0000-0000FE500000}"/>
    <cellStyle name="40% - Accent6 9 3 2 2" xfId="26792" xr:uid="{00000000-0005-0000-0000-0000FF500000}"/>
    <cellStyle name="40% - Accent6 9 3 3" xfId="22526" xr:uid="{00000000-0005-0000-0000-000000510000}"/>
    <cellStyle name="40% - Accent6 9 4" xfId="5219" xr:uid="{00000000-0005-0000-0000-000001510000}"/>
    <cellStyle name="40% - Accent6 9 4 2" xfId="15568" xr:uid="{00000000-0005-0000-0000-000002510000}"/>
    <cellStyle name="40% - Accent6 9 4 2 2" xfId="29117" xr:uid="{00000000-0005-0000-0000-000003510000}"/>
    <cellStyle name="40% - Accent6 9 4 3" xfId="22525" xr:uid="{00000000-0005-0000-0000-000004510000}"/>
    <cellStyle name="40% - Accent6 9 5" xfId="5220" xr:uid="{00000000-0005-0000-0000-000005510000}"/>
    <cellStyle name="40% - Accent6 9 5 2" xfId="17096" xr:uid="{00000000-0005-0000-0000-000006510000}"/>
    <cellStyle name="40% - Accent6 9 5 2 2" xfId="30455" xr:uid="{00000000-0005-0000-0000-000007510000}"/>
    <cellStyle name="40% - Accent6 9 5 3" xfId="22524" xr:uid="{00000000-0005-0000-0000-000008510000}"/>
    <cellStyle name="40% - Accent6 9 6" xfId="9562" xr:uid="{00000000-0005-0000-0000-000009510000}"/>
    <cellStyle name="40% - Accent6 9 6 2" xfId="24037" xr:uid="{00000000-0005-0000-0000-00000A510000}"/>
    <cellStyle name="40% - Accent6 9 7" xfId="22528" xr:uid="{00000000-0005-0000-0000-00000B510000}"/>
    <cellStyle name="60% - Accent1" xfId="20" builtinId="32" customBuiltin="1"/>
    <cellStyle name="60% - Accent1 10" xfId="5221" xr:uid="{00000000-0005-0000-0000-00000D510000}"/>
    <cellStyle name="60% - Accent1 10 2" xfId="9564" xr:uid="{00000000-0005-0000-0000-00000E510000}"/>
    <cellStyle name="60% - Accent1 10 3" xfId="22523" xr:uid="{00000000-0005-0000-0000-00000F510000}"/>
    <cellStyle name="60% - Accent1 11" xfId="5222" xr:uid="{00000000-0005-0000-0000-000010510000}"/>
    <cellStyle name="60% - Accent1 11 2" xfId="9565" xr:uid="{00000000-0005-0000-0000-000011510000}"/>
    <cellStyle name="60% - Accent1 11 3" xfId="22522" xr:uid="{00000000-0005-0000-0000-000012510000}"/>
    <cellStyle name="60% - Accent1 12" xfId="5223" xr:uid="{00000000-0005-0000-0000-000013510000}"/>
    <cellStyle name="60% - Accent1 12 2" xfId="5224" xr:uid="{00000000-0005-0000-0000-000014510000}"/>
    <cellStyle name="60% - Accent1 12 2 2" xfId="15569" xr:uid="{00000000-0005-0000-0000-000015510000}"/>
    <cellStyle name="60% - Accent1 12 2 3" xfId="22520" xr:uid="{00000000-0005-0000-0000-000016510000}"/>
    <cellStyle name="60% - Accent1 12 3" xfId="10463" xr:uid="{00000000-0005-0000-0000-000017510000}"/>
    <cellStyle name="60% - Accent1 12 4" xfId="22521" xr:uid="{00000000-0005-0000-0000-000018510000}"/>
    <cellStyle name="60% - Accent1 13" xfId="5225" xr:uid="{00000000-0005-0000-0000-000019510000}"/>
    <cellStyle name="60% - Accent1 13 2" xfId="11290" xr:uid="{00000000-0005-0000-0000-00001A510000}"/>
    <cellStyle name="60% - Accent1 13 3" xfId="22519" xr:uid="{00000000-0005-0000-0000-00001B510000}"/>
    <cellStyle name="60% - Accent1 14" xfId="5226" xr:uid="{00000000-0005-0000-0000-00001C510000}"/>
    <cellStyle name="60% - Accent1 14 2" xfId="9563" xr:uid="{00000000-0005-0000-0000-00001D510000}"/>
    <cellStyle name="60% - Accent1 14 3" xfId="22518" xr:uid="{00000000-0005-0000-0000-00001E510000}"/>
    <cellStyle name="60% - Accent1 2" xfId="5227" xr:uid="{00000000-0005-0000-0000-00001F510000}"/>
    <cellStyle name="60% - Accent1 2 2" xfId="9566" xr:uid="{00000000-0005-0000-0000-000020510000}"/>
    <cellStyle name="60% - Accent1 2 3" xfId="22517" xr:uid="{00000000-0005-0000-0000-000021510000}"/>
    <cellStyle name="60% - Accent1 3" xfId="5228" xr:uid="{00000000-0005-0000-0000-000022510000}"/>
    <cellStyle name="60% - Accent1 3 2" xfId="5229" xr:uid="{00000000-0005-0000-0000-000023510000}"/>
    <cellStyle name="60% - Accent1 3 2 2" xfId="9568" xr:uid="{00000000-0005-0000-0000-000024510000}"/>
    <cellStyle name="60% - Accent1 3 2 3" xfId="22515" xr:uid="{00000000-0005-0000-0000-000025510000}"/>
    <cellStyle name="60% - Accent1 3 3" xfId="9567" xr:uid="{00000000-0005-0000-0000-000026510000}"/>
    <cellStyle name="60% - Accent1 3 4" xfId="22516" xr:uid="{00000000-0005-0000-0000-000027510000}"/>
    <cellStyle name="60% - Accent1 4" xfId="5230" xr:uid="{00000000-0005-0000-0000-000028510000}"/>
    <cellStyle name="60% - Accent1 4 2" xfId="5231" xr:uid="{00000000-0005-0000-0000-000029510000}"/>
    <cellStyle name="60% - Accent1 4 2 2" xfId="13082" xr:uid="{00000000-0005-0000-0000-00002A510000}"/>
    <cellStyle name="60% - Accent1 4 2 3" xfId="22513" xr:uid="{00000000-0005-0000-0000-00002B510000}"/>
    <cellStyle name="60% - Accent1 4 3" xfId="5232" xr:uid="{00000000-0005-0000-0000-00002C510000}"/>
    <cellStyle name="60% - Accent1 4 3 2" xfId="13081" xr:uid="{00000000-0005-0000-0000-00002D510000}"/>
    <cellStyle name="60% - Accent1 4 3 3" xfId="22512" xr:uid="{00000000-0005-0000-0000-00002E510000}"/>
    <cellStyle name="60% - Accent1 4 4" xfId="9569" xr:uid="{00000000-0005-0000-0000-00002F510000}"/>
    <cellStyle name="60% - Accent1 4 5" xfId="22514" xr:uid="{00000000-0005-0000-0000-000030510000}"/>
    <cellStyle name="60% - Accent1 5" xfId="5233" xr:uid="{00000000-0005-0000-0000-000031510000}"/>
    <cellStyle name="60% - Accent1 5 2" xfId="5234" xr:uid="{00000000-0005-0000-0000-000032510000}"/>
    <cellStyle name="60% - Accent1 5 2 2" xfId="9571" xr:uid="{00000000-0005-0000-0000-000033510000}"/>
    <cellStyle name="60% - Accent1 5 2 3" xfId="22510" xr:uid="{00000000-0005-0000-0000-000034510000}"/>
    <cellStyle name="60% - Accent1 5 3" xfId="9570" xr:uid="{00000000-0005-0000-0000-000035510000}"/>
    <cellStyle name="60% - Accent1 5 4" xfId="22511" xr:uid="{00000000-0005-0000-0000-000036510000}"/>
    <cellStyle name="60% - Accent1 6" xfId="5235" xr:uid="{00000000-0005-0000-0000-000037510000}"/>
    <cellStyle name="60% - Accent1 6 2" xfId="9572" xr:uid="{00000000-0005-0000-0000-000038510000}"/>
    <cellStyle name="60% - Accent1 6 3" xfId="22509" xr:uid="{00000000-0005-0000-0000-000039510000}"/>
    <cellStyle name="60% - Accent1 7" xfId="5236" xr:uid="{00000000-0005-0000-0000-00003A510000}"/>
    <cellStyle name="60% - Accent1 7 2" xfId="9573" xr:uid="{00000000-0005-0000-0000-00003B510000}"/>
    <cellStyle name="60% - Accent1 7 3" xfId="22508" xr:uid="{00000000-0005-0000-0000-00003C510000}"/>
    <cellStyle name="60% - Accent1 8" xfId="5237" xr:uid="{00000000-0005-0000-0000-00003D510000}"/>
    <cellStyle name="60% - Accent1 8 2" xfId="9574" xr:uid="{00000000-0005-0000-0000-00003E510000}"/>
    <cellStyle name="60% - Accent1 8 3" xfId="22507" xr:uid="{00000000-0005-0000-0000-00003F510000}"/>
    <cellStyle name="60% - Accent1 9" xfId="5238" xr:uid="{00000000-0005-0000-0000-000040510000}"/>
    <cellStyle name="60% - Accent1 9 2" xfId="9575" xr:uid="{00000000-0005-0000-0000-000041510000}"/>
    <cellStyle name="60% - Accent1 9 3" xfId="22506" xr:uid="{00000000-0005-0000-0000-000042510000}"/>
    <cellStyle name="60% - Accent2" xfId="24" builtinId="36" customBuiltin="1"/>
    <cellStyle name="60% - Accent2 10" xfId="5239" xr:uid="{00000000-0005-0000-0000-000044510000}"/>
    <cellStyle name="60% - Accent2 10 2" xfId="9577" xr:uid="{00000000-0005-0000-0000-000045510000}"/>
    <cellStyle name="60% - Accent2 10 3" xfId="22505" xr:uid="{00000000-0005-0000-0000-000046510000}"/>
    <cellStyle name="60% - Accent2 11" xfId="5240" xr:uid="{00000000-0005-0000-0000-000047510000}"/>
    <cellStyle name="60% - Accent2 11 2" xfId="9578" xr:uid="{00000000-0005-0000-0000-000048510000}"/>
    <cellStyle name="60% - Accent2 11 3" xfId="22504" xr:uid="{00000000-0005-0000-0000-000049510000}"/>
    <cellStyle name="60% - Accent2 12" xfId="5241" xr:uid="{00000000-0005-0000-0000-00004A510000}"/>
    <cellStyle name="60% - Accent2 12 2" xfId="5242" xr:uid="{00000000-0005-0000-0000-00004B510000}"/>
    <cellStyle name="60% - Accent2 12 2 2" xfId="15570" xr:uid="{00000000-0005-0000-0000-00004C510000}"/>
    <cellStyle name="60% - Accent2 12 2 3" xfId="22502" xr:uid="{00000000-0005-0000-0000-00004D510000}"/>
    <cellStyle name="60% - Accent2 12 3" xfId="10464" xr:uid="{00000000-0005-0000-0000-00004E510000}"/>
    <cellStyle name="60% - Accent2 12 4" xfId="22503" xr:uid="{00000000-0005-0000-0000-00004F510000}"/>
    <cellStyle name="60% - Accent2 13" xfId="5243" xr:uid="{00000000-0005-0000-0000-000050510000}"/>
    <cellStyle name="60% - Accent2 13 2" xfId="11291" xr:uid="{00000000-0005-0000-0000-000051510000}"/>
    <cellStyle name="60% - Accent2 13 3" xfId="22501" xr:uid="{00000000-0005-0000-0000-000052510000}"/>
    <cellStyle name="60% - Accent2 14" xfId="5244" xr:uid="{00000000-0005-0000-0000-000053510000}"/>
    <cellStyle name="60% - Accent2 14 2" xfId="9576" xr:uid="{00000000-0005-0000-0000-000054510000}"/>
    <cellStyle name="60% - Accent2 14 3" xfId="22500" xr:uid="{00000000-0005-0000-0000-000055510000}"/>
    <cellStyle name="60% - Accent2 2" xfId="5245" xr:uid="{00000000-0005-0000-0000-000056510000}"/>
    <cellStyle name="60% - Accent2 2 2" xfId="9579" xr:uid="{00000000-0005-0000-0000-000057510000}"/>
    <cellStyle name="60% - Accent2 2 3" xfId="22499" xr:uid="{00000000-0005-0000-0000-000058510000}"/>
    <cellStyle name="60% - Accent2 3" xfId="5246" xr:uid="{00000000-0005-0000-0000-000059510000}"/>
    <cellStyle name="60% - Accent2 3 2" xfId="5247" xr:uid="{00000000-0005-0000-0000-00005A510000}"/>
    <cellStyle name="60% - Accent2 3 2 2" xfId="9581" xr:uid="{00000000-0005-0000-0000-00005B510000}"/>
    <cellStyle name="60% - Accent2 3 2 3" xfId="22497" xr:uid="{00000000-0005-0000-0000-00005C510000}"/>
    <cellStyle name="60% - Accent2 3 3" xfId="9580" xr:uid="{00000000-0005-0000-0000-00005D510000}"/>
    <cellStyle name="60% - Accent2 3 4" xfId="22498" xr:uid="{00000000-0005-0000-0000-00005E510000}"/>
    <cellStyle name="60% - Accent2 4" xfId="5248" xr:uid="{00000000-0005-0000-0000-00005F510000}"/>
    <cellStyle name="60% - Accent2 4 2" xfId="5249" xr:uid="{00000000-0005-0000-0000-000060510000}"/>
    <cellStyle name="60% - Accent2 4 2 2" xfId="13084" xr:uid="{00000000-0005-0000-0000-000061510000}"/>
    <cellStyle name="60% - Accent2 4 2 3" xfId="22495" xr:uid="{00000000-0005-0000-0000-000062510000}"/>
    <cellStyle name="60% - Accent2 4 3" xfId="5250" xr:uid="{00000000-0005-0000-0000-000063510000}"/>
    <cellStyle name="60% - Accent2 4 3 2" xfId="13083" xr:uid="{00000000-0005-0000-0000-000064510000}"/>
    <cellStyle name="60% - Accent2 4 3 3" xfId="22494" xr:uid="{00000000-0005-0000-0000-000065510000}"/>
    <cellStyle name="60% - Accent2 4 4" xfId="9582" xr:uid="{00000000-0005-0000-0000-000066510000}"/>
    <cellStyle name="60% - Accent2 4 5" xfId="22496" xr:uid="{00000000-0005-0000-0000-000067510000}"/>
    <cellStyle name="60% - Accent2 5" xfId="5251" xr:uid="{00000000-0005-0000-0000-000068510000}"/>
    <cellStyle name="60% - Accent2 5 2" xfId="5252" xr:uid="{00000000-0005-0000-0000-000069510000}"/>
    <cellStyle name="60% - Accent2 5 2 2" xfId="9584" xr:uid="{00000000-0005-0000-0000-00006A510000}"/>
    <cellStyle name="60% - Accent2 5 2 3" xfId="22492" xr:uid="{00000000-0005-0000-0000-00006B510000}"/>
    <cellStyle name="60% - Accent2 5 3" xfId="9583" xr:uid="{00000000-0005-0000-0000-00006C510000}"/>
    <cellStyle name="60% - Accent2 5 4" xfId="22493" xr:uid="{00000000-0005-0000-0000-00006D510000}"/>
    <cellStyle name="60% - Accent2 6" xfId="5253" xr:uid="{00000000-0005-0000-0000-00006E510000}"/>
    <cellStyle name="60% - Accent2 6 2" xfId="9585" xr:uid="{00000000-0005-0000-0000-00006F510000}"/>
    <cellStyle name="60% - Accent2 6 3" xfId="22491" xr:uid="{00000000-0005-0000-0000-000070510000}"/>
    <cellStyle name="60% - Accent2 7" xfId="5254" xr:uid="{00000000-0005-0000-0000-000071510000}"/>
    <cellStyle name="60% - Accent2 7 2" xfId="9586" xr:uid="{00000000-0005-0000-0000-000072510000}"/>
    <cellStyle name="60% - Accent2 7 3" xfId="22490" xr:uid="{00000000-0005-0000-0000-000073510000}"/>
    <cellStyle name="60% - Accent2 8" xfId="5255" xr:uid="{00000000-0005-0000-0000-000074510000}"/>
    <cellStyle name="60% - Accent2 8 2" xfId="9587" xr:uid="{00000000-0005-0000-0000-000075510000}"/>
    <cellStyle name="60% - Accent2 8 3" xfId="22489" xr:uid="{00000000-0005-0000-0000-000076510000}"/>
    <cellStyle name="60% - Accent2 9" xfId="5256" xr:uid="{00000000-0005-0000-0000-000077510000}"/>
    <cellStyle name="60% - Accent2 9 2" xfId="9588" xr:uid="{00000000-0005-0000-0000-000078510000}"/>
    <cellStyle name="60% - Accent2 9 3" xfId="22488" xr:uid="{00000000-0005-0000-0000-000079510000}"/>
    <cellStyle name="60% - Accent3" xfId="28" builtinId="40" customBuiltin="1"/>
    <cellStyle name="60% - Accent3 10" xfId="5257" xr:uid="{00000000-0005-0000-0000-00007B510000}"/>
    <cellStyle name="60% - Accent3 10 2" xfId="9590" xr:uid="{00000000-0005-0000-0000-00007C510000}"/>
    <cellStyle name="60% - Accent3 10 3" xfId="22487" xr:uid="{00000000-0005-0000-0000-00007D510000}"/>
    <cellStyle name="60% - Accent3 11" xfId="5258" xr:uid="{00000000-0005-0000-0000-00007E510000}"/>
    <cellStyle name="60% - Accent3 11 2" xfId="9591" xr:uid="{00000000-0005-0000-0000-00007F510000}"/>
    <cellStyle name="60% - Accent3 11 3" xfId="22486" xr:uid="{00000000-0005-0000-0000-000080510000}"/>
    <cellStyle name="60% - Accent3 12" xfId="5259" xr:uid="{00000000-0005-0000-0000-000081510000}"/>
    <cellStyle name="60% - Accent3 12 2" xfId="5260" xr:uid="{00000000-0005-0000-0000-000082510000}"/>
    <cellStyle name="60% - Accent3 12 2 2" xfId="15571" xr:uid="{00000000-0005-0000-0000-000083510000}"/>
    <cellStyle name="60% - Accent3 12 2 3" xfId="22484" xr:uid="{00000000-0005-0000-0000-000084510000}"/>
    <cellStyle name="60% - Accent3 12 3" xfId="10465" xr:uid="{00000000-0005-0000-0000-000085510000}"/>
    <cellStyle name="60% - Accent3 12 4" xfId="22485" xr:uid="{00000000-0005-0000-0000-000086510000}"/>
    <cellStyle name="60% - Accent3 13" xfId="5261" xr:uid="{00000000-0005-0000-0000-000087510000}"/>
    <cellStyle name="60% - Accent3 13 2" xfId="11292" xr:uid="{00000000-0005-0000-0000-000088510000}"/>
    <cellStyle name="60% - Accent3 13 3" xfId="22483" xr:uid="{00000000-0005-0000-0000-000089510000}"/>
    <cellStyle name="60% - Accent3 14" xfId="5262" xr:uid="{00000000-0005-0000-0000-00008A510000}"/>
    <cellStyle name="60% - Accent3 14 2" xfId="9589" xr:uid="{00000000-0005-0000-0000-00008B510000}"/>
    <cellStyle name="60% - Accent3 14 3" xfId="22482" xr:uid="{00000000-0005-0000-0000-00008C510000}"/>
    <cellStyle name="60% - Accent3 2" xfId="5263" xr:uid="{00000000-0005-0000-0000-00008D510000}"/>
    <cellStyle name="60% - Accent3 2 2" xfId="9592" xr:uid="{00000000-0005-0000-0000-00008E510000}"/>
    <cellStyle name="60% - Accent3 2 3" xfId="22481" xr:uid="{00000000-0005-0000-0000-00008F510000}"/>
    <cellStyle name="60% - Accent3 3" xfId="5264" xr:uid="{00000000-0005-0000-0000-000090510000}"/>
    <cellStyle name="60% - Accent3 3 2" xfId="5265" xr:uid="{00000000-0005-0000-0000-000091510000}"/>
    <cellStyle name="60% - Accent3 3 2 2" xfId="9594" xr:uid="{00000000-0005-0000-0000-000092510000}"/>
    <cellStyle name="60% - Accent3 3 2 3" xfId="22479" xr:uid="{00000000-0005-0000-0000-000093510000}"/>
    <cellStyle name="60% - Accent3 3 3" xfId="9593" xr:uid="{00000000-0005-0000-0000-000094510000}"/>
    <cellStyle name="60% - Accent3 3 4" xfId="22480" xr:uid="{00000000-0005-0000-0000-000095510000}"/>
    <cellStyle name="60% - Accent3 4" xfId="5266" xr:uid="{00000000-0005-0000-0000-000096510000}"/>
    <cellStyle name="60% - Accent3 4 2" xfId="5267" xr:uid="{00000000-0005-0000-0000-000097510000}"/>
    <cellStyle name="60% - Accent3 4 2 2" xfId="13086" xr:uid="{00000000-0005-0000-0000-000098510000}"/>
    <cellStyle name="60% - Accent3 4 2 3" xfId="22477" xr:uid="{00000000-0005-0000-0000-000099510000}"/>
    <cellStyle name="60% - Accent3 4 3" xfId="5268" xr:uid="{00000000-0005-0000-0000-00009A510000}"/>
    <cellStyle name="60% - Accent3 4 3 2" xfId="13085" xr:uid="{00000000-0005-0000-0000-00009B510000}"/>
    <cellStyle name="60% - Accent3 4 3 3" xfId="22476" xr:uid="{00000000-0005-0000-0000-00009C510000}"/>
    <cellStyle name="60% - Accent3 4 4" xfId="9595" xr:uid="{00000000-0005-0000-0000-00009D510000}"/>
    <cellStyle name="60% - Accent3 4 5" xfId="22478" xr:uid="{00000000-0005-0000-0000-00009E510000}"/>
    <cellStyle name="60% - Accent3 5" xfId="5269" xr:uid="{00000000-0005-0000-0000-00009F510000}"/>
    <cellStyle name="60% - Accent3 5 2" xfId="5270" xr:uid="{00000000-0005-0000-0000-0000A0510000}"/>
    <cellStyle name="60% - Accent3 5 2 2" xfId="9597" xr:uid="{00000000-0005-0000-0000-0000A1510000}"/>
    <cellStyle name="60% - Accent3 5 2 3" xfId="22474" xr:uid="{00000000-0005-0000-0000-0000A2510000}"/>
    <cellStyle name="60% - Accent3 5 3" xfId="9596" xr:uid="{00000000-0005-0000-0000-0000A3510000}"/>
    <cellStyle name="60% - Accent3 5 4" xfId="22475" xr:uid="{00000000-0005-0000-0000-0000A4510000}"/>
    <cellStyle name="60% - Accent3 6" xfId="5271" xr:uid="{00000000-0005-0000-0000-0000A5510000}"/>
    <cellStyle name="60% - Accent3 6 2" xfId="9598" xr:uid="{00000000-0005-0000-0000-0000A6510000}"/>
    <cellStyle name="60% - Accent3 6 3" xfId="22473" xr:uid="{00000000-0005-0000-0000-0000A7510000}"/>
    <cellStyle name="60% - Accent3 7" xfId="5272" xr:uid="{00000000-0005-0000-0000-0000A8510000}"/>
    <cellStyle name="60% - Accent3 7 2" xfId="9599" xr:uid="{00000000-0005-0000-0000-0000A9510000}"/>
    <cellStyle name="60% - Accent3 7 3" xfId="22472" xr:uid="{00000000-0005-0000-0000-0000AA510000}"/>
    <cellStyle name="60% - Accent3 8" xfId="5273" xr:uid="{00000000-0005-0000-0000-0000AB510000}"/>
    <cellStyle name="60% - Accent3 8 2" xfId="9600" xr:uid="{00000000-0005-0000-0000-0000AC510000}"/>
    <cellStyle name="60% - Accent3 8 3" xfId="22471" xr:uid="{00000000-0005-0000-0000-0000AD510000}"/>
    <cellStyle name="60% - Accent3 9" xfId="5274" xr:uid="{00000000-0005-0000-0000-0000AE510000}"/>
    <cellStyle name="60% - Accent3 9 2" xfId="9601" xr:uid="{00000000-0005-0000-0000-0000AF510000}"/>
    <cellStyle name="60% - Accent3 9 3" xfId="22470" xr:uid="{00000000-0005-0000-0000-0000B0510000}"/>
    <cellStyle name="60% - Accent4" xfId="32" builtinId="44" customBuiltin="1"/>
    <cellStyle name="60% - Accent4 10" xfId="5275" xr:uid="{00000000-0005-0000-0000-0000B2510000}"/>
    <cellStyle name="60% - Accent4 10 2" xfId="9603" xr:uid="{00000000-0005-0000-0000-0000B3510000}"/>
    <cellStyle name="60% - Accent4 10 3" xfId="22469" xr:uid="{00000000-0005-0000-0000-0000B4510000}"/>
    <cellStyle name="60% - Accent4 11" xfId="5276" xr:uid="{00000000-0005-0000-0000-0000B5510000}"/>
    <cellStyle name="60% - Accent4 11 2" xfId="9604" xr:uid="{00000000-0005-0000-0000-0000B6510000}"/>
    <cellStyle name="60% - Accent4 11 3" xfId="22468" xr:uid="{00000000-0005-0000-0000-0000B7510000}"/>
    <cellStyle name="60% - Accent4 12" xfId="5277" xr:uid="{00000000-0005-0000-0000-0000B8510000}"/>
    <cellStyle name="60% - Accent4 12 2" xfId="5278" xr:uid="{00000000-0005-0000-0000-0000B9510000}"/>
    <cellStyle name="60% - Accent4 12 2 2" xfId="15572" xr:uid="{00000000-0005-0000-0000-0000BA510000}"/>
    <cellStyle name="60% - Accent4 12 2 3" xfId="22466" xr:uid="{00000000-0005-0000-0000-0000BB510000}"/>
    <cellStyle name="60% - Accent4 12 3" xfId="10466" xr:uid="{00000000-0005-0000-0000-0000BC510000}"/>
    <cellStyle name="60% - Accent4 12 4" xfId="22467" xr:uid="{00000000-0005-0000-0000-0000BD510000}"/>
    <cellStyle name="60% - Accent4 13" xfId="5279" xr:uid="{00000000-0005-0000-0000-0000BE510000}"/>
    <cellStyle name="60% - Accent4 13 2" xfId="11293" xr:uid="{00000000-0005-0000-0000-0000BF510000}"/>
    <cellStyle name="60% - Accent4 13 3" xfId="22465" xr:uid="{00000000-0005-0000-0000-0000C0510000}"/>
    <cellStyle name="60% - Accent4 14" xfId="5280" xr:uid="{00000000-0005-0000-0000-0000C1510000}"/>
    <cellStyle name="60% - Accent4 14 2" xfId="9602" xr:uid="{00000000-0005-0000-0000-0000C2510000}"/>
    <cellStyle name="60% - Accent4 14 3" xfId="22464" xr:uid="{00000000-0005-0000-0000-0000C3510000}"/>
    <cellStyle name="60% - Accent4 2" xfId="5281" xr:uid="{00000000-0005-0000-0000-0000C4510000}"/>
    <cellStyle name="60% - Accent4 2 2" xfId="9605" xr:uid="{00000000-0005-0000-0000-0000C5510000}"/>
    <cellStyle name="60% - Accent4 2 3" xfId="22463" xr:uid="{00000000-0005-0000-0000-0000C6510000}"/>
    <cellStyle name="60% - Accent4 3" xfId="5282" xr:uid="{00000000-0005-0000-0000-0000C7510000}"/>
    <cellStyle name="60% - Accent4 3 2" xfId="5283" xr:uid="{00000000-0005-0000-0000-0000C8510000}"/>
    <cellStyle name="60% - Accent4 3 2 2" xfId="9607" xr:uid="{00000000-0005-0000-0000-0000C9510000}"/>
    <cellStyle name="60% - Accent4 3 2 3" xfId="22461" xr:uid="{00000000-0005-0000-0000-0000CA510000}"/>
    <cellStyle name="60% - Accent4 3 3" xfId="9606" xr:uid="{00000000-0005-0000-0000-0000CB510000}"/>
    <cellStyle name="60% - Accent4 3 4" xfId="22462" xr:uid="{00000000-0005-0000-0000-0000CC510000}"/>
    <cellStyle name="60% - Accent4 4" xfId="5284" xr:uid="{00000000-0005-0000-0000-0000CD510000}"/>
    <cellStyle name="60% - Accent4 4 2" xfId="5285" xr:uid="{00000000-0005-0000-0000-0000CE510000}"/>
    <cellStyle name="60% - Accent4 4 2 2" xfId="13088" xr:uid="{00000000-0005-0000-0000-0000CF510000}"/>
    <cellStyle name="60% - Accent4 4 2 3" xfId="22459" xr:uid="{00000000-0005-0000-0000-0000D0510000}"/>
    <cellStyle name="60% - Accent4 4 3" xfId="5286" xr:uid="{00000000-0005-0000-0000-0000D1510000}"/>
    <cellStyle name="60% - Accent4 4 3 2" xfId="13087" xr:uid="{00000000-0005-0000-0000-0000D2510000}"/>
    <cellStyle name="60% - Accent4 4 3 3" xfId="22458" xr:uid="{00000000-0005-0000-0000-0000D3510000}"/>
    <cellStyle name="60% - Accent4 4 4" xfId="9608" xr:uid="{00000000-0005-0000-0000-0000D4510000}"/>
    <cellStyle name="60% - Accent4 4 5" xfId="22460" xr:uid="{00000000-0005-0000-0000-0000D5510000}"/>
    <cellStyle name="60% - Accent4 5" xfId="5287" xr:uid="{00000000-0005-0000-0000-0000D6510000}"/>
    <cellStyle name="60% - Accent4 5 2" xfId="5288" xr:uid="{00000000-0005-0000-0000-0000D7510000}"/>
    <cellStyle name="60% - Accent4 5 2 2" xfId="9610" xr:uid="{00000000-0005-0000-0000-0000D8510000}"/>
    <cellStyle name="60% - Accent4 5 2 3" xfId="22456" xr:uid="{00000000-0005-0000-0000-0000D9510000}"/>
    <cellStyle name="60% - Accent4 5 3" xfId="9609" xr:uid="{00000000-0005-0000-0000-0000DA510000}"/>
    <cellStyle name="60% - Accent4 5 4" xfId="22457" xr:uid="{00000000-0005-0000-0000-0000DB510000}"/>
    <cellStyle name="60% - Accent4 6" xfId="5289" xr:uid="{00000000-0005-0000-0000-0000DC510000}"/>
    <cellStyle name="60% - Accent4 6 2" xfId="9611" xr:uid="{00000000-0005-0000-0000-0000DD510000}"/>
    <cellStyle name="60% - Accent4 6 3" xfId="22455" xr:uid="{00000000-0005-0000-0000-0000DE510000}"/>
    <cellStyle name="60% - Accent4 7" xfId="5290" xr:uid="{00000000-0005-0000-0000-0000DF510000}"/>
    <cellStyle name="60% - Accent4 7 2" xfId="9612" xr:uid="{00000000-0005-0000-0000-0000E0510000}"/>
    <cellStyle name="60% - Accent4 7 3" xfId="22454" xr:uid="{00000000-0005-0000-0000-0000E1510000}"/>
    <cellStyle name="60% - Accent4 8" xfId="5291" xr:uid="{00000000-0005-0000-0000-0000E2510000}"/>
    <cellStyle name="60% - Accent4 8 2" xfId="9613" xr:uid="{00000000-0005-0000-0000-0000E3510000}"/>
    <cellStyle name="60% - Accent4 8 3" xfId="22453" xr:uid="{00000000-0005-0000-0000-0000E4510000}"/>
    <cellStyle name="60% - Accent4 9" xfId="5292" xr:uid="{00000000-0005-0000-0000-0000E5510000}"/>
    <cellStyle name="60% - Accent4 9 2" xfId="9614" xr:uid="{00000000-0005-0000-0000-0000E6510000}"/>
    <cellStyle name="60% - Accent4 9 3" xfId="22452" xr:uid="{00000000-0005-0000-0000-0000E7510000}"/>
    <cellStyle name="60% - Accent5" xfId="35" builtinId="48" customBuiltin="1"/>
    <cellStyle name="60% - Accent5 10" xfId="5293" xr:uid="{00000000-0005-0000-0000-0000E9510000}"/>
    <cellStyle name="60% - Accent5 10 2" xfId="9616" xr:uid="{00000000-0005-0000-0000-0000EA510000}"/>
    <cellStyle name="60% - Accent5 10 3" xfId="22451" xr:uid="{00000000-0005-0000-0000-0000EB510000}"/>
    <cellStyle name="60% - Accent5 11" xfId="5294" xr:uid="{00000000-0005-0000-0000-0000EC510000}"/>
    <cellStyle name="60% - Accent5 11 2" xfId="9617" xr:uid="{00000000-0005-0000-0000-0000ED510000}"/>
    <cellStyle name="60% - Accent5 11 3" xfId="22450" xr:uid="{00000000-0005-0000-0000-0000EE510000}"/>
    <cellStyle name="60% - Accent5 12" xfId="5295" xr:uid="{00000000-0005-0000-0000-0000EF510000}"/>
    <cellStyle name="60% - Accent5 12 2" xfId="5296" xr:uid="{00000000-0005-0000-0000-0000F0510000}"/>
    <cellStyle name="60% - Accent5 12 2 2" xfId="15573" xr:uid="{00000000-0005-0000-0000-0000F1510000}"/>
    <cellStyle name="60% - Accent5 12 2 3" xfId="22448" xr:uid="{00000000-0005-0000-0000-0000F2510000}"/>
    <cellStyle name="60% - Accent5 12 3" xfId="10467" xr:uid="{00000000-0005-0000-0000-0000F3510000}"/>
    <cellStyle name="60% - Accent5 12 4" xfId="22449" xr:uid="{00000000-0005-0000-0000-0000F4510000}"/>
    <cellStyle name="60% - Accent5 13" xfId="5297" xr:uid="{00000000-0005-0000-0000-0000F5510000}"/>
    <cellStyle name="60% - Accent5 13 2" xfId="11294" xr:uid="{00000000-0005-0000-0000-0000F6510000}"/>
    <cellStyle name="60% - Accent5 13 3" xfId="22447" xr:uid="{00000000-0005-0000-0000-0000F7510000}"/>
    <cellStyle name="60% - Accent5 14" xfId="5298" xr:uid="{00000000-0005-0000-0000-0000F8510000}"/>
    <cellStyle name="60% - Accent5 14 2" xfId="9615" xr:uid="{00000000-0005-0000-0000-0000F9510000}"/>
    <cellStyle name="60% - Accent5 14 3" xfId="22446" xr:uid="{00000000-0005-0000-0000-0000FA510000}"/>
    <cellStyle name="60% - Accent5 2" xfId="5299" xr:uid="{00000000-0005-0000-0000-0000FB510000}"/>
    <cellStyle name="60% - Accent5 2 2" xfId="9618" xr:uid="{00000000-0005-0000-0000-0000FC510000}"/>
    <cellStyle name="60% - Accent5 2 3" xfId="22445" xr:uid="{00000000-0005-0000-0000-0000FD510000}"/>
    <cellStyle name="60% - Accent5 3" xfId="5300" xr:uid="{00000000-0005-0000-0000-0000FE510000}"/>
    <cellStyle name="60% - Accent5 3 2" xfId="5301" xr:uid="{00000000-0005-0000-0000-0000FF510000}"/>
    <cellStyle name="60% - Accent5 3 2 2" xfId="9620" xr:uid="{00000000-0005-0000-0000-000000520000}"/>
    <cellStyle name="60% - Accent5 3 2 3" xfId="22443" xr:uid="{00000000-0005-0000-0000-000001520000}"/>
    <cellStyle name="60% - Accent5 3 3" xfId="9619" xr:uid="{00000000-0005-0000-0000-000002520000}"/>
    <cellStyle name="60% - Accent5 3 4" xfId="22444" xr:uid="{00000000-0005-0000-0000-000003520000}"/>
    <cellStyle name="60% - Accent5 4" xfId="5302" xr:uid="{00000000-0005-0000-0000-000004520000}"/>
    <cellStyle name="60% - Accent5 4 2" xfId="5303" xr:uid="{00000000-0005-0000-0000-000005520000}"/>
    <cellStyle name="60% - Accent5 4 2 2" xfId="13090" xr:uid="{00000000-0005-0000-0000-000006520000}"/>
    <cellStyle name="60% - Accent5 4 2 3" xfId="22441" xr:uid="{00000000-0005-0000-0000-000007520000}"/>
    <cellStyle name="60% - Accent5 4 3" xfId="5304" xr:uid="{00000000-0005-0000-0000-000008520000}"/>
    <cellStyle name="60% - Accent5 4 3 2" xfId="13089" xr:uid="{00000000-0005-0000-0000-000009520000}"/>
    <cellStyle name="60% - Accent5 4 3 3" xfId="22440" xr:uid="{00000000-0005-0000-0000-00000A520000}"/>
    <cellStyle name="60% - Accent5 4 4" xfId="9621" xr:uid="{00000000-0005-0000-0000-00000B520000}"/>
    <cellStyle name="60% - Accent5 4 5" xfId="22442" xr:uid="{00000000-0005-0000-0000-00000C520000}"/>
    <cellStyle name="60% - Accent5 5" xfId="5305" xr:uid="{00000000-0005-0000-0000-00000D520000}"/>
    <cellStyle name="60% - Accent5 5 2" xfId="5306" xr:uid="{00000000-0005-0000-0000-00000E520000}"/>
    <cellStyle name="60% - Accent5 5 2 2" xfId="9623" xr:uid="{00000000-0005-0000-0000-00000F520000}"/>
    <cellStyle name="60% - Accent5 5 2 3" xfId="22438" xr:uid="{00000000-0005-0000-0000-000010520000}"/>
    <cellStyle name="60% - Accent5 5 3" xfId="9622" xr:uid="{00000000-0005-0000-0000-000011520000}"/>
    <cellStyle name="60% - Accent5 5 4" xfId="22439" xr:uid="{00000000-0005-0000-0000-000012520000}"/>
    <cellStyle name="60% - Accent5 6" xfId="5307" xr:uid="{00000000-0005-0000-0000-000013520000}"/>
    <cellStyle name="60% - Accent5 6 2" xfId="9624" xr:uid="{00000000-0005-0000-0000-000014520000}"/>
    <cellStyle name="60% - Accent5 6 3" xfId="22437" xr:uid="{00000000-0005-0000-0000-000015520000}"/>
    <cellStyle name="60% - Accent5 7" xfId="5308" xr:uid="{00000000-0005-0000-0000-000016520000}"/>
    <cellStyle name="60% - Accent5 7 2" xfId="9625" xr:uid="{00000000-0005-0000-0000-000017520000}"/>
    <cellStyle name="60% - Accent5 7 3" xfId="22436" xr:uid="{00000000-0005-0000-0000-000018520000}"/>
    <cellStyle name="60% - Accent5 8" xfId="5309" xr:uid="{00000000-0005-0000-0000-000019520000}"/>
    <cellStyle name="60% - Accent5 8 2" xfId="9626" xr:uid="{00000000-0005-0000-0000-00001A520000}"/>
    <cellStyle name="60% - Accent5 8 3" xfId="22435" xr:uid="{00000000-0005-0000-0000-00001B520000}"/>
    <cellStyle name="60% - Accent5 9" xfId="5310" xr:uid="{00000000-0005-0000-0000-00001C520000}"/>
    <cellStyle name="60% - Accent5 9 2" xfId="9627" xr:uid="{00000000-0005-0000-0000-00001D520000}"/>
    <cellStyle name="60% - Accent5 9 3" xfId="22434" xr:uid="{00000000-0005-0000-0000-00001E520000}"/>
    <cellStyle name="60% - Accent6" xfId="39" builtinId="52" customBuiltin="1"/>
    <cellStyle name="60% - Accent6 10" xfId="5311" xr:uid="{00000000-0005-0000-0000-000020520000}"/>
    <cellStyle name="60% - Accent6 10 2" xfId="9629" xr:uid="{00000000-0005-0000-0000-000021520000}"/>
    <cellStyle name="60% - Accent6 10 3" xfId="22433" xr:uid="{00000000-0005-0000-0000-000022520000}"/>
    <cellStyle name="60% - Accent6 11" xfId="5312" xr:uid="{00000000-0005-0000-0000-000023520000}"/>
    <cellStyle name="60% - Accent6 11 2" xfId="9630" xr:uid="{00000000-0005-0000-0000-000024520000}"/>
    <cellStyle name="60% - Accent6 11 3" xfId="22432" xr:uid="{00000000-0005-0000-0000-000025520000}"/>
    <cellStyle name="60% - Accent6 12" xfId="5313" xr:uid="{00000000-0005-0000-0000-000026520000}"/>
    <cellStyle name="60% - Accent6 12 2" xfId="5314" xr:uid="{00000000-0005-0000-0000-000027520000}"/>
    <cellStyle name="60% - Accent6 12 2 2" xfId="15574" xr:uid="{00000000-0005-0000-0000-000028520000}"/>
    <cellStyle name="60% - Accent6 12 2 3" xfId="22430" xr:uid="{00000000-0005-0000-0000-000029520000}"/>
    <cellStyle name="60% - Accent6 12 3" xfId="10468" xr:uid="{00000000-0005-0000-0000-00002A520000}"/>
    <cellStyle name="60% - Accent6 12 4" xfId="22431" xr:uid="{00000000-0005-0000-0000-00002B520000}"/>
    <cellStyle name="60% - Accent6 13" xfId="5315" xr:uid="{00000000-0005-0000-0000-00002C520000}"/>
    <cellStyle name="60% - Accent6 13 2" xfId="11295" xr:uid="{00000000-0005-0000-0000-00002D520000}"/>
    <cellStyle name="60% - Accent6 13 3" xfId="22429" xr:uid="{00000000-0005-0000-0000-00002E520000}"/>
    <cellStyle name="60% - Accent6 14" xfId="5316" xr:uid="{00000000-0005-0000-0000-00002F520000}"/>
    <cellStyle name="60% - Accent6 14 2" xfId="9628" xr:uid="{00000000-0005-0000-0000-000030520000}"/>
    <cellStyle name="60% - Accent6 14 3" xfId="22428" xr:uid="{00000000-0005-0000-0000-000031520000}"/>
    <cellStyle name="60% - Accent6 2" xfId="5317" xr:uid="{00000000-0005-0000-0000-000032520000}"/>
    <cellStyle name="60% - Accent6 2 2" xfId="9631" xr:uid="{00000000-0005-0000-0000-000033520000}"/>
    <cellStyle name="60% - Accent6 2 3" xfId="22427" xr:uid="{00000000-0005-0000-0000-000034520000}"/>
    <cellStyle name="60% - Accent6 3" xfId="5318" xr:uid="{00000000-0005-0000-0000-000035520000}"/>
    <cellStyle name="60% - Accent6 3 2" xfId="5319" xr:uid="{00000000-0005-0000-0000-000036520000}"/>
    <cellStyle name="60% - Accent6 3 2 2" xfId="9633" xr:uid="{00000000-0005-0000-0000-000037520000}"/>
    <cellStyle name="60% - Accent6 3 2 3" xfId="22425" xr:uid="{00000000-0005-0000-0000-000038520000}"/>
    <cellStyle name="60% - Accent6 3 3" xfId="9632" xr:uid="{00000000-0005-0000-0000-000039520000}"/>
    <cellStyle name="60% - Accent6 3 4" xfId="22426" xr:uid="{00000000-0005-0000-0000-00003A520000}"/>
    <cellStyle name="60% - Accent6 4" xfId="5320" xr:uid="{00000000-0005-0000-0000-00003B520000}"/>
    <cellStyle name="60% - Accent6 4 2" xfId="5321" xr:uid="{00000000-0005-0000-0000-00003C520000}"/>
    <cellStyle name="60% - Accent6 4 2 2" xfId="13092" xr:uid="{00000000-0005-0000-0000-00003D520000}"/>
    <cellStyle name="60% - Accent6 4 2 3" xfId="22423" xr:uid="{00000000-0005-0000-0000-00003E520000}"/>
    <cellStyle name="60% - Accent6 4 3" xfId="5322" xr:uid="{00000000-0005-0000-0000-00003F520000}"/>
    <cellStyle name="60% - Accent6 4 3 2" xfId="13091" xr:uid="{00000000-0005-0000-0000-000040520000}"/>
    <cellStyle name="60% - Accent6 4 3 3" xfId="22422" xr:uid="{00000000-0005-0000-0000-000041520000}"/>
    <cellStyle name="60% - Accent6 4 4" xfId="9634" xr:uid="{00000000-0005-0000-0000-000042520000}"/>
    <cellStyle name="60% - Accent6 4 5" xfId="22424" xr:uid="{00000000-0005-0000-0000-000043520000}"/>
    <cellStyle name="60% - Accent6 5" xfId="5323" xr:uid="{00000000-0005-0000-0000-000044520000}"/>
    <cellStyle name="60% - Accent6 5 2" xfId="5324" xr:uid="{00000000-0005-0000-0000-000045520000}"/>
    <cellStyle name="60% - Accent6 5 2 2" xfId="9636" xr:uid="{00000000-0005-0000-0000-000046520000}"/>
    <cellStyle name="60% - Accent6 5 2 3" xfId="22420" xr:uid="{00000000-0005-0000-0000-000047520000}"/>
    <cellStyle name="60% - Accent6 5 3" xfId="9635" xr:uid="{00000000-0005-0000-0000-000048520000}"/>
    <cellStyle name="60% - Accent6 5 4" xfId="22421" xr:uid="{00000000-0005-0000-0000-000049520000}"/>
    <cellStyle name="60% - Accent6 6" xfId="5325" xr:uid="{00000000-0005-0000-0000-00004A520000}"/>
    <cellStyle name="60% - Accent6 6 2" xfId="9637" xr:uid="{00000000-0005-0000-0000-00004B520000}"/>
    <cellStyle name="60% - Accent6 6 3" xfId="22419" xr:uid="{00000000-0005-0000-0000-00004C520000}"/>
    <cellStyle name="60% - Accent6 7" xfId="5326" xr:uid="{00000000-0005-0000-0000-00004D520000}"/>
    <cellStyle name="60% - Accent6 7 2" xfId="9638" xr:uid="{00000000-0005-0000-0000-00004E520000}"/>
    <cellStyle name="60% - Accent6 7 3" xfId="22418" xr:uid="{00000000-0005-0000-0000-00004F520000}"/>
    <cellStyle name="60% - Accent6 8" xfId="5327" xr:uid="{00000000-0005-0000-0000-000050520000}"/>
    <cellStyle name="60% - Accent6 8 2" xfId="9639" xr:uid="{00000000-0005-0000-0000-000051520000}"/>
    <cellStyle name="60% - Accent6 8 3" xfId="22417" xr:uid="{00000000-0005-0000-0000-000052520000}"/>
    <cellStyle name="60% - Accent6 9" xfId="5328" xr:uid="{00000000-0005-0000-0000-000053520000}"/>
    <cellStyle name="60% - Accent6 9 2" xfId="9640" xr:uid="{00000000-0005-0000-0000-000054520000}"/>
    <cellStyle name="60% - Accent6 9 3" xfId="22416" xr:uid="{00000000-0005-0000-0000-000055520000}"/>
    <cellStyle name="Accent1" xfId="17" builtinId="29" customBuiltin="1"/>
    <cellStyle name="Accent1 10" xfId="5329" xr:uid="{00000000-0005-0000-0000-000057520000}"/>
    <cellStyle name="Accent1 10 2" xfId="9642" xr:uid="{00000000-0005-0000-0000-000058520000}"/>
    <cellStyle name="Accent1 10 3" xfId="22415" xr:uid="{00000000-0005-0000-0000-000059520000}"/>
    <cellStyle name="Accent1 11" xfId="5330" xr:uid="{00000000-0005-0000-0000-00005A520000}"/>
    <cellStyle name="Accent1 11 2" xfId="9643" xr:uid="{00000000-0005-0000-0000-00005B520000}"/>
    <cellStyle name="Accent1 11 3" xfId="22414" xr:uid="{00000000-0005-0000-0000-00005C520000}"/>
    <cellStyle name="Accent1 12" xfId="5331" xr:uid="{00000000-0005-0000-0000-00005D520000}"/>
    <cellStyle name="Accent1 12 2" xfId="5332" xr:uid="{00000000-0005-0000-0000-00005E520000}"/>
    <cellStyle name="Accent1 12 2 2" xfId="15575" xr:uid="{00000000-0005-0000-0000-00005F520000}"/>
    <cellStyle name="Accent1 12 2 3" xfId="22412" xr:uid="{00000000-0005-0000-0000-000060520000}"/>
    <cellStyle name="Accent1 12 3" xfId="10469" xr:uid="{00000000-0005-0000-0000-000061520000}"/>
    <cellStyle name="Accent1 12 4" xfId="22413" xr:uid="{00000000-0005-0000-0000-000062520000}"/>
    <cellStyle name="Accent1 13" xfId="5333" xr:uid="{00000000-0005-0000-0000-000063520000}"/>
    <cellStyle name="Accent1 13 2" xfId="11296" xr:uid="{00000000-0005-0000-0000-000064520000}"/>
    <cellStyle name="Accent1 13 3" xfId="22411" xr:uid="{00000000-0005-0000-0000-000065520000}"/>
    <cellStyle name="Accent1 14" xfId="5334" xr:uid="{00000000-0005-0000-0000-000066520000}"/>
    <cellStyle name="Accent1 14 2" xfId="9641" xr:uid="{00000000-0005-0000-0000-000067520000}"/>
    <cellStyle name="Accent1 14 3" xfId="22410" xr:uid="{00000000-0005-0000-0000-000068520000}"/>
    <cellStyle name="Accent1 2" xfId="5335" xr:uid="{00000000-0005-0000-0000-000069520000}"/>
    <cellStyle name="Accent1 2 2" xfId="9644" xr:uid="{00000000-0005-0000-0000-00006A520000}"/>
    <cellStyle name="Accent1 2 3" xfId="22409" xr:uid="{00000000-0005-0000-0000-00006B520000}"/>
    <cellStyle name="Accent1 3" xfId="5336" xr:uid="{00000000-0005-0000-0000-00006C520000}"/>
    <cellStyle name="Accent1 3 2" xfId="5337" xr:uid="{00000000-0005-0000-0000-00006D520000}"/>
    <cellStyle name="Accent1 3 2 2" xfId="9646" xr:uid="{00000000-0005-0000-0000-00006E520000}"/>
    <cellStyle name="Accent1 3 2 3" xfId="22407" xr:uid="{00000000-0005-0000-0000-00006F520000}"/>
    <cellStyle name="Accent1 3 3" xfId="9645" xr:uid="{00000000-0005-0000-0000-000070520000}"/>
    <cellStyle name="Accent1 3 4" xfId="22408" xr:uid="{00000000-0005-0000-0000-000071520000}"/>
    <cellStyle name="Accent1 4" xfId="5338" xr:uid="{00000000-0005-0000-0000-000072520000}"/>
    <cellStyle name="Accent1 4 2" xfId="5339" xr:uid="{00000000-0005-0000-0000-000073520000}"/>
    <cellStyle name="Accent1 4 2 2" xfId="13094" xr:uid="{00000000-0005-0000-0000-000074520000}"/>
    <cellStyle name="Accent1 4 2 3" xfId="22405" xr:uid="{00000000-0005-0000-0000-000075520000}"/>
    <cellStyle name="Accent1 4 3" xfId="5340" xr:uid="{00000000-0005-0000-0000-000076520000}"/>
    <cellStyle name="Accent1 4 3 2" xfId="13093" xr:uid="{00000000-0005-0000-0000-000077520000}"/>
    <cellStyle name="Accent1 4 3 3" xfId="22404" xr:uid="{00000000-0005-0000-0000-000078520000}"/>
    <cellStyle name="Accent1 4 4" xfId="9647" xr:uid="{00000000-0005-0000-0000-000079520000}"/>
    <cellStyle name="Accent1 4 5" xfId="22406" xr:uid="{00000000-0005-0000-0000-00007A520000}"/>
    <cellStyle name="Accent1 5" xfId="5341" xr:uid="{00000000-0005-0000-0000-00007B520000}"/>
    <cellStyle name="Accent1 5 2" xfId="5342" xr:uid="{00000000-0005-0000-0000-00007C520000}"/>
    <cellStyle name="Accent1 5 2 2" xfId="9649" xr:uid="{00000000-0005-0000-0000-00007D520000}"/>
    <cellStyle name="Accent1 5 2 3" xfId="22402" xr:uid="{00000000-0005-0000-0000-00007E520000}"/>
    <cellStyle name="Accent1 5 3" xfId="9648" xr:uid="{00000000-0005-0000-0000-00007F520000}"/>
    <cellStyle name="Accent1 5 4" xfId="22403" xr:uid="{00000000-0005-0000-0000-000080520000}"/>
    <cellStyle name="Accent1 6" xfId="5343" xr:uid="{00000000-0005-0000-0000-000081520000}"/>
    <cellStyle name="Accent1 6 2" xfId="9650" xr:uid="{00000000-0005-0000-0000-000082520000}"/>
    <cellStyle name="Accent1 6 3" xfId="22401" xr:uid="{00000000-0005-0000-0000-000083520000}"/>
    <cellStyle name="Accent1 7" xfId="5344" xr:uid="{00000000-0005-0000-0000-000084520000}"/>
    <cellStyle name="Accent1 7 2" xfId="9651" xr:uid="{00000000-0005-0000-0000-000085520000}"/>
    <cellStyle name="Accent1 7 3" xfId="22400" xr:uid="{00000000-0005-0000-0000-000086520000}"/>
    <cellStyle name="Accent1 8" xfId="5345" xr:uid="{00000000-0005-0000-0000-000087520000}"/>
    <cellStyle name="Accent1 8 2" xfId="9652" xr:uid="{00000000-0005-0000-0000-000088520000}"/>
    <cellStyle name="Accent1 8 3" xfId="22399" xr:uid="{00000000-0005-0000-0000-000089520000}"/>
    <cellStyle name="Accent1 9" xfId="5346" xr:uid="{00000000-0005-0000-0000-00008A520000}"/>
    <cellStyle name="Accent1 9 2" xfId="9653" xr:uid="{00000000-0005-0000-0000-00008B520000}"/>
    <cellStyle name="Accent1 9 3" xfId="22398" xr:uid="{00000000-0005-0000-0000-00008C520000}"/>
    <cellStyle name="Accent2" xfId="21" builtinId="33" customBuiltin="1"/>
    <cellStyle name="Accent2 10" xfId="5347" xr:uid="{00000000-0005-0000-0000-00008E520000}"/>
    <cellStyle name="Accent2 10 2" xfId="9655" xr:uid="{00000000-0005-0000-0000-00008F520000}"/>
    <cellStyle name="Accent2 10 3" xfId="22397" xr:uid="{00000000-0005-0000-0000-000090520000}"/>
    <cellStyle name="Accent2 11" xfId="5348" xr:uid="{00000000-0005-0000-0000-000091520000}"/>
    <cellStyle name="Accent2 11 2" xfId="9656" xr:uid="{00000000-0005-0000-0000-000092520000}"/>
    <cellStyle name="Accent2 11 3" xfId="22396" xr:uid="{00000000-0005-0000-0000-000093520000}"/>
    <cellStyle name="Accent2 12" xfId="5349" xr:uid="{00000000-0005-0000-0000-000094520000}"/>
    <cellStyle name="Accent2 12 2" xfId="5350" xr:uid="{00000000-0005-0000-0000-000095520000}"/>
    <cellStyle name="Accent2 12 2 2" xfId="15576" xr:uid="{00000000-0005-0000-0000-000096520000}"/>
    <cellStyle name="Accent2 12 2 3" xfId="22394" xr:uid="{00000000-0005-0000-0000-000097520000}"/>
    <cellStyle name="Accent2 12 3" xfId="10470" xr:uid="{00000000-0005-0000-0000-000098520000}"/>
    <cellStyle name="Accent2 12 4" xfId="22395" xr:uid="{00000000-0005-0000-0000-000099520000}"/>
    <cellStyle name="Accent2 13" xfId="5351" xr:uid="{00000000-0005-0000-0000-00009A520000}"/>
    <cellStyle name="Accent2 13 2" xfId="11297" xr:uid="{00000000-0005-0000-0000-00009B520000}"/>
    <cellStyle name="Accent2 13 3" xfId="22393" xr:uid="{00000000-0005-0000-0000-00009C520000}"/>
    <cellStyle name="Accent2 14" xfId="5352" xr:uid="{00000000-0005-0000-0000-00009D520000}"/>
    <cellStyle name="Accent2 14 2" xfId="9654" xr:uid="{00000000-0005-0000-0000-00009E520000}"/>
    <cellStyle name="Accent2 14 3" xfId="22392" xr:uid="{00000000-0005-0000-0000-00009F520000}"/>
    <cellStyle name="Accent2 2" xfId="5353" xr:uid="{00000000-0005-0000-0000-0000A0520000}"/>
    <cellStyle name="Accent2 2 2" xfId="9657" xr:uid="{00000000-0005-0000-0000-0000A1520000}"/>
    <cellStyle name="Accent2 2 3" xfId="22391" xr:uid="{00000000-0005-0000-0000-0000A2520000}"/>
    <cellStyle name="Accent2 3" xfId="5354" xr:uid="{00000000-0005-0000-0000-0000A3520000}"/>
    <cellStyle name="Accent2 3 2" xfId="5355" xr:uid="{00000000-0005-0000-0000-0000A4520000}"/>
    <cellStyle name="Accent2 3 2 2" xfId="9659" xr:uid="{00000000-0005-0000-0000-0000A5520000}"/>
    <cellStyle name="Accent2 3 2 3" xfId="22389" xr:uid="{00000000-0005-0000-0000-0000A6520000}"/>
    <cellStyle name="Accent2 3 3" xfId="9658" xr:uid="{00000000-0005-0000-0000-0000A7520000}"/>
    <cellStyle name="Accent2 3 4" xfId="22390" xr:uid="{00000000-0005-0000-0000-0000A8520000}"/>
    <cellStyle name="Accent2 4" xfId="5356" xr:uid="{00000000-0005-0000-0000-0000A9520000}"/>
    <cellStyle name="Accent2 4 2" xfId="5357" xr:uid="{00000000-0005-0000-0000-0000AA520000}"/>
    <cellStyle name="Accent2 4 2 2" xfId="13096" xr:uid="{00000000-0005-0000-0000-0000AB520000}"/>
    <cellStyle name="Accent2 4 2 3" xfId="22387" xr:uid="{00000000-0005-0000-0000-0000AC520000}"/>
    <cellStyle name="Accent2 4 3" xfId="5358" xr:uid="{00000000-0005-0000-0000-0000AD520000}"/>
    <cellStyle name="Accent2 4 3 2" xfId="13095" xr:uid="{00000000-0005-0000-0000-0000AE520000}"/>
    <cellStyle name="Accent2 4 3 3" xfId="22386" xr:uid="{00000000-0005-0000-0000-0000AF520000}"/>
    <cellStyle name="Accent2 4 4" xfId="9660" xr:uid="{00000000-0005-0000-0000-0000B0520000}"/>
    <cellStyle name="Accent2 4 5" xfId="22388" xr:uid="{00000000-0005-0000-0000-0000B1520000}"/>
    <cellStyle name="Accent2 5" xfId="5359" xr:uid="{00000000-0005-0000-0000-0000B2520000}"/>
    <cellStyle name="Accent2 5 2" xfId="5360" xr:uid="{00000000-0005-0000-0000-0000B3520000}"/>
    <cellStyle name="Accent2 5 2 2" xfId="9662" xr:uid="{00000000-0005-0000-0000-0000B4520000}"/>
    <cellStyle name="Accent2 5 2 3" xfId="22384" xr:uid="{00000000-0005-0000-0000-0000B5520000}"/>
    <cellStyle name="Accent2 5 3" xfId="9661" xr:uid="{00000000-0005-0000-0000-0000B6520000}"/>
    <cellStyle name="Accent2 5 4" xfId="22385" xr:uid="{00000000-0005-0000-0000-0000B7520000}"/>
    <cellStyle name="Accent2 6" xfId="5361" xr:uid="{00000000-0005-0000-0000-0000B8520000}"/>
    <cellStyle name="Accent2 6 2" xfId="9663" xr:uid="{00000000-0005-0000-0000-0000B9520000}"/>
    <cellStyle name="Accent2 6 3" xfId="22383" xr:uid="{00000000-0005-0000-0000-0000BA520000}"/>
    <cellStyle name="Accent2 7" xfId="5362" xr:uid="{00000000-0005-0000-0000-0000BB520000}"/>
    <cellStyle name="Accent2 7 2" xfId="9664" xr:uid="{00000000-0005-0000-0000-0000BC520000}"/>
    <cellStyle name="Accent2 7 3" xfId="22382" xr:uid="{00000000-0005-0000-0000-0000BD520000}"/>
    <cellStyle name="Accent2 8" xfId="5363" xr:uid="{00000000-0005-0000-0000-0000BE520000}"/>
    <cellStyle name="Accent2 8 2" xfId="9665" xr:uid="{00000000-0005-0000-0000-0000BF520000}"/>
    <cellStyle name="Accent2 8 3" xfId="22381" xr:uid="{00000000-0005-0000-0000-0000C0520000}"/>
    <cellStyle name="Accent2 9" xfId="5364" xr:uid="{00000000-0005-0000-0000-0000C1520000}"/>
    <cellStyle name="Accent2 9 2" xfId="9666" xr:uid="{00000000-0005-0000-0000-0000C2520000}"/>
    <cellStyle name="Accent2 9 3" xfId="22380" xr:uid="{00000000-0005-0000-0000-0000C3520000}"/>
    <cellStyle name="Accent3" xfId="25" builtinId="37" customBuiltin="1"/>
    <cellStyle name="Accent3 10" xfId="5365" xr:uid="{00000000-0005-0000-0000-0000C5520000}"/>
    <cellStyle name="Accent3 10 2" xfId="9668" xr:uid="{00000000-0005-0000-0000-0000C6520000}"/>
    <cellStyle name="Accent3 10 3" xfId="22379" xr:uid="{00000000-0005-0000-0000-0000C7520000}"/>
    <cellStyle name="Accent3 11" xfId="5366" xr:uid="{00000000-0005-0000-0000-0000C8520000}"/>
    <cellStyle name="Accent3 11 2" xfId="9669" xr:uid="{00000000-0005-0000-0000-0000C9520000}"/>
    <cellStyle name="Accent3 11 3" xfId="22378" xr:uid="{00000000-0005-0000-0000-0000CA520000}"/>
    <cellStyle name="Accent3 12" xfId="5367" xr:uid="{00000000-0005-0000-0000-0000CB520000}"/>
    <cellStyle name="Accent3 12 2" xfId="5368" xr:uid="{00000000-0005-0000-0000-0000CC520000}"/>
    <cellStyle name="Accent3 12 2 2" xfId="15577" xr:uid="{00000000-0005-0000-0000-0000CD520000}"/>
    <cellStyle name="Accent3 12 2 3" xfId="22376" xr:uid="{00000000-0005-0000-0000-0000CE520000}"/>
    <cellStyle name="Accent3 12 3" xfId="10471" xr:uid="{00000000-0005-0000-0000-0000CF520000}"/>
    <cellStyle name="Accent3 12 4" xfId="22377" xr:uid="{00000000-0005-0000-0000-0000D0520000}"/>
    <cellStyle name="Accent3 13" xfId="5369" xr:uid="{00000000-0005-0000-0000-0000D1520000}"/>
    <cellStyle name="Accent3 13 2" xfId="11298" xr:uid="{00000000-0005-0000-0000-0000D2520000}"/>
    <cellStyle name="Accent3 13 3" xfId="22375" xr:uid="{00000000-0005-0000-0000-0000D3520000}"/>
    <cellStyle name="Accent3 14" xfId="5370" xr:uid="{00000000-0005-0000-0000-0000D4520000}"/>
    <cellStyle name="Accent3 14 2" xfId="9667" xr:uid="{00000000-0005-0000-0000-0000D5520000}"/>
    <cellStyle name="Accent3 14 3" xfId="22374" xr:uid="{00000000-0005-0000-0000-0000D6520000}"/>
    <cellStyle name="Accent3 2" xfId="5371" xr:uid="{00000000-0005-0000-0000-0000D7520000}"/>
    <cellStyle name="Accent3 2 2" xfId="9670" xr:uid="{00000000-0005-0000-0000-0000D8520000}"/>
    <cellStyle name="Accent3 2 3" xfId="22373" xr:uid="{00000000-0005-0000-0000-0000D9520000}"/>
    <cellStyle name="Accent3 3" xfId="5372" xr:uid="{00000000-0005-0000-0000-0000DA520000}"/>
    <cellStyle name="Accent3 3 2" xfId="5373" xr:uid="{00000000-0005-0000-0000-0000DB520000}"/>
    <cellStyle name="Accent3 3 2 2" xfId="9672" xr:uid="{00000000-0005-0000-0000-0000DC520000}"/>
    <cellStyle name="Accent3 3 2 3" xfId="22371" xr:uid="{00000000-0005-0000-0000-0000DD520000}"/>
    <cellStyle name="Accent3 3 3" xfId="9671" xr:uid="{00000000-0005-0000-0000-0000DE520000}"/>
    <cellStyle name="Accent3 3 4" xfId="22372" xr:uid="{00000000-0005-0000-0000-0000DF520000}"/>
    <cellStyle name="Accent3 4" xfId="5374" xr:uid="{00000000-0005-0000-0000-0000E0520000}"/>
    <cellStyle name="Accent3 4 2" xfId="5375" xr:uid="{00000000-0005-0000-0000-0000E1520000}"/>
    <cellStyle name="Accent3 4 2 2" xfId="13098" xr:uid="{00000000-0005-0000-0000-0000E2520000}"/>
    <cellStyle name="Accent3 4 2 3" xfId="22369" xr:uid="{00000000-0005-0000-0000-0000E3520000}"/>
    <cellStyle name="Accent3 4 3" xfId="5376" xr:uid="{00000000-0005-0000-0000-0000E4520000}"/>
    <cellStyle name="Accent3 4 3 2" xfId="13097" xr:uid="{00000000-0005-0000-0000-0000E5520000}"/>
    <cellStyle name="Accent3 4 3 3" xfId="22368" xr:uid="{00000000-0005-0000-0000-0000E6520000}"/>
    <cellStyle name="Accent3 4 4" xfId="9673" xr:uid="{00000000-0005-0000-0000-0000E7520000}"/>
    <cellStyle name="Accent3 4 5" xfId="22370" xr:uid="{00000000-0005-0000-0000-0000E8520000}"/>
    <cellStyle name="Accent3 5" xfId="5377" xr:uid="{00000000-0005-0000-0000-0000E9520000}"/>
    <cellStyle name="Accent3 5 2" xfId="5378" xr:uid="{00000000-0005-0000-0000-0000EA520000}"/>
    <cellStyle name="Accent3 5 2 2" xfId="9675" xr:uid="{00000000-0005-0000-0000-0000EB520000}"/>
    <cellStyle name="Accent3 5 2 3" xfId="22366" xr:uid="{00000000-0005-0000-0000-0000EC520000}"/>
    <cellStyle name="Accent3 5 3" xfId="9674" xr:uid="{00000000-0005-0000-0000-0000ED520000}"/>
    <cellStyle name="Accent3 5 4" xfId="22367" xr:uid="{00000000-0005-0000-0000-0000EE520000}"/>
    <cellStyle name="Accent3 6" xfId="5379" xr:uid="{00000000-0005-0000-0000-0000EF520000}"/>
    <cellStyle name="Accent3 6 2" xfId="9676" xr:uid="{00000000-0005-0000-0000-0000F0520000}"/>
    <cellStyle name="Accent3 6 3" xfId="22365" xr:uid="{00000000-0005-0000-0000-0000F1520000}"/>
    <cellStyle name="Accent3 7" xfId="5380" xr:uid="{00000000-0005-0000-0000-0000F2520000}"/>
    <cellStyle name="Accent3 7 2" xfId="9677" xr:uid="{00000000-0005-0000-0000-0000F3520000}"/>
    <cellStyle name="Accent3 7 3" xfId="22364" xr:uid="{00000000-0005-0000-0000-0000F4520000}"/>
    <cellStyle name="Accent3 8" xfId="5381" xr:uid="{00000000-0005-0000-0000-0000F5520000}"/>
    <cellStyle name="Accent3 8 2" xfId="9678" xr:uid="{00000000-0005-0000-0000-0000F6520000}"/>
    <cellStyle name="Accent3 8 3" xfId="22363" xr:uid="{00000000-0005-0000-0000-0000F7520000}"/>
    <cellStyle name="Accent3 9" xfId="5382" xr:uid="{00000000-0005-0000-0000-0000F8520000}"/>
    <cellStyle name="Accent3 9 2" xfId="9679" xr:uid="{00000000-0005-0000-0000-0000F9520000}"/>
    <cellStyle name="Accent3 9 3" xfId="22362" xr:uid="{00000000-0005-0000-0000-0000FA520000}"/>
    <cellStyle name="Accent4" xfId="29" builtinId="41" customBuiltin="1"/>
    <cellStyle name="Accent4 10" xfId="5383" xr:uid="{00000000-0005-0000-0000-0000FC520000}"/>
    <cellStyle name="Accent4 10 2" xfId="9681" xr:uid="{00000000-0005-0000-0000-0000FD520000}"/>
    <cellStyle name="Accent4 10 3" xfId="22361" xr:uid="{00000000-0005-0000-0000-0000FE520000}"/>
    <cellStyle name="Accent4 11" xfId="5384" xr:uid="{00000000-0005-0000-0000-0000FF520000}"/>
    <cellStyle name="Accent4 11 2" xfId="9682" xr:uid="{00000000-0005-0000-0000-000000530000}"/>
    <cellStyle name="Accent4 11 3" xfId="22360" xr:uid="{00000000-0005-0000-0000-000001530000}"/>
    <cellStyle name="Accent4 12" xfId="5385" xr:uid="{00000000-0005-0000-0000-000002530000}"/>
    <cellStyle name="Accent4 12 2" xfId="5386" xr:uid="{00000000-0005-0000-0000-000003530000}"/>
    <cellStyle name="Accent4 12 2 2" xfId="15578" xr:uid="{00000000-0005-0000-0000-000004530000}"/>
    <cellStyle name="Accent4 12 2 3" xfId="22358" xr:uid="{00000000-0005-0000-0000-000005530000}"/>
    <cellStyle name="Accent4 12 3" xfId="10472" xr:uid="{00000000-0005-0000-0000-000006530000}"/>
    <cellStyle name="Accent4 12 4" xfId="22359" xr:uid="{00000000-0005-0000-0000-000007530000}"/>
    <cellStyle name="Accent4 13" xfId="5387" xr:uid="{00000000-0005-0000-0000-000008530000}"/>
    <cellStyle name="Accent4 13 2" xfId="11299" xr:uid="{00000000-0005-0000-0000-000009530000}"/>
    <cellStyle name="Accent4 13 3" xfId="22357" xr:uid="{00000000-0005-0000-0000-00000A530000}"/>
    <cellStyle name="Accent4 14" xfId="5388" xr:uid="{00000000-0005-0000-0000-00000B530000}"/>
    <cellStyle name="Accent4 14 2" xfId="9680" xr:uid="{00000000-0005-0000-0000-00000C530000}"/>
    <cellStyle name="Accent4 14 3" xfId="22356" xr:uid="{00000000-0005-0000-0000-00000D530000}"/>
    <cellStyle name="Accent4 2" xfId="5389" xr:uid="{00000000-0005-0000-0000-00000E530000}"/>
    <cellStyle name="Accent4 2 2" xfId="9683" xr:uid="{00000000-0005-0000-0000-00000F530000}"/>
    <cellStyle name="Accent4 2 3" xfId="22355" xr:uid="{00000000-0005-0000-0000-000010530000}"/>
    <cellStyle name="Accent4 3" xfId="5390" xr:uid="{00000000-0005-0000-0000-000011530000}"/>
    <cellStyle name="Accent4 3 2" xfId="5391" xr:uid="{00000000-0005-0000-0000-000012530000}"/>
    <cellStyle name="Accent4 3 2 2" xfId="9685" xr:uid="{00000000-0005-0000-0000-000013530000}"/>
    <cellStyle name="Accent4 3 2 3" xfId="22353" xr:uid="{00000000-0005-0000-0000-000014530000}"/>
    <cellStyle name="Accent4 3 3" xfId="9684" xr:uid="{00000000-0005-0000-0000-000015530000}"/>
    <cellStyle name="Accent4 3 4" xfId="22354" xr:uid="{00000000-0005-0000-0000-000016530000}"/>
    <cellStyle name="Accent4 4" xfId="5392" xr:uid="{00000000-0005-0000-0000-000017530000}"/>
    <cellStyle name="Accent4 4 2" xfId="5393" xr:uid="{00000000-0005-0000-0000-000018530000}"/>
    <cellStyle name="Accent4 4 2 2" xfId="13100" xr:uid="{00000000-0005-0000-0000-000019530000}"/>
    <cellStyle name="Accent4 4 2 3" xfId="22351" xr:uid="{00000000-0005-0000-0000-00001A530000}"/>
    <cellStyle name="Accent4 4 3" xfId="5394" xr:uid="{00000000-0005-0000-0000-00001B530000}"/>
    <cellStyle name="Accent4 4 3 2" xfId="13099" xr:uid="{00000000-0005-0000-0000-00001C530000}"/>
    <cellStyle name="Accent4 4 3 3" xfId="22350" xr:uid="{00000000-0005-0000-0000-00001D530000}"/>
    <cellStyle name="Accent4 4 4" xfId="9686" xr:uid="{00000000-0005-0000-0000-00001E530000}"/>
    <cellStyle name="Accent4 4 5" xfId="22352" xr:uid="{00000000-0005-0000-0000-00001F530000}"/>
    <cellStyle name="Accent4 5" xfId="5395" xr:uid="{00000000-0005-0000-0000-000020530000}"/>
    <cellStyle name="Accent4 5 2" xfId="5396" xr:uid="{00000000-0005-0000-0000-000021530000}"/>
    <cellStyle name="Accent4 5 2 2" xfId="9688" xr:uid="{00000000-0005-0000-0000-000022530000}"/>
    <cellStyle name="Accent4 5 2 3" xfId="22348" xr:uid="{00000000-0005-0000-0000-000023530000}"/>
    <cellStyle name="Accent4 5 3" xfId="9687" xr:uid="{00000000-0005-0000-0000-000024530000}"/>
    <cellStyle name="Accent4 5 4" xfId="22349" xr:uid="{00000000-0005-0000-0000-000025530000}"/>
    <cellStyle name="Accent4 6" xfId="5397" xr:uid="{00000000-0005-0000-0000-000026530000}"/>
    <cellStyle name="Accent4 6 2" xfId="9689" xr:uid="{00000000-0005-0000-0000-000027530000}"/>
    <cellStyle name="Accent4 6 3" xfId="22347" xr:uid="{00000000-0005-0000-0000-000028530000}"/>
    <cellStyle name="Accent4 7" xfId="5398" xr:uid="{00000000-0005-0000-0000-000029530000}"/>
    <cellStyle name="Accent4 7 2" xfId="9690" xr:uid="{00000000-0005-0000-0000-00002A530000}"/>
    <cellStyle name="Accent4 7 3" xfId="22346" xr:uid="{00000000-0005-0000-0000-00002B530000}"/>
    <cellStyle name="Accent4 8" xfId="5399" xr:uid="{00000000-0005-0000-0000-00002C530000}"/>
    <cellStyle name="Accent4 8 2" xfId="9691" xr:uid="{00000000-0005-0000-0000-00002D530000}"/>
    <cellStyle name="Accent4 8 3" xfId="22345" xr:uid="{00000000-0005-0000-0000-00002E530000}"/>
    <cellStyle name="Accent4 9" xfId="5400" xr:uid="{00000000-0005-0000-0000-00002F530000}"/>
    <cellStyle name="Accent4 9 2" xfId="9692" xr:uid="{00000000-0005-0000-0000-000030530000}"/>
    <cellStyle name="Accent4 9 3" xfId="22344" xr:uid="{00000000-0005-0000-0000-000031530000}"/>
    <cellStyle name="Accent5" xfId="33026" builtinId="45" customBuiltin="1"/>
    <cellStyle name="Accent5 2" xfId="8806" xr:uid="{00000000-0005-0000-0000-000033530000}"/>
    <cellStyle name="Accent5 3" xfId="22343" xr:uid="{00000000-0005-0000-0000-000034530000}"/>
    <cellStyle name="Accent5 4" xfId="5401" xr:uid="{00000000-0005-0000-0000-000035530000}"/>
    <cellStyle name="Accent6" xfId="36" builtinId="49" customBuiltin="1"/>
    <cellStyle name="Accent6 10" xfId="5402" xr:uid="{00000000-0005-0000-0000-000037530000}"/>
    <cellStyle name="Accent6 10 2" xfId="9694" xr:uid="{00000000-0005-0000-0000-000038530000}"/>
    <cellStyle name="Accent6 10 3" xfId="22342" xr:uid="{00000000-0005-0000-0000-000039530000}"/>
    <cellStyle name="Accent6 11" xfId="5403" xr:uid="{00000000-0005-0000-0000-00003A530000}"/>
    <cellStyle name="Accent6 11 2" xfId="9695" xr:uid="{00000000-0005-0000-0000-00003B530000}"/>
    <cellStyle name="Accent6 11 3" xfId="22341" xr:uid="{00000000-0005-0000-0000-00003C530000}"/>
    <cellStyle name="Accent6 12" xfId="5404" xr:uid="{00000000-0005-0000-0000-00003D530000}"/>
    <cellStyle name="Accent6 12 2" xfId="5405" xr:uid="{00000000-0005-0000-0000-00003E530000}"/>
    <cellStyle name="Accent6 12 2 2" xfId="15579" xr:uid="{00000000-0005-0000-0000-00003F530000}"/>
    <cellStyle name="Accent6 12 2 3" xfId="22339" xr:uid="{00000000-0005-0000-0000-000040530000}"/>
    <cellStyle name="Accent6 12 3" xfId="10473" xr:uid="{00000000-0005-0000-0000-000041530000}"/>
    <cellStyle name="Accent6 12 4" xfId="22340" xr:uid="{00000000-0005-0000-0000-000042530000}"/>
    <cellStyle name="Accent6 13" xfId="5406" xr:uid="{00000000-0005-0000-0000-000043530000}"/>
    <cellStyle name="Accent6 13 2" xfId="11300" xr:uid="{00000000-0005-0000-0000-000044530000}"/>
    <cellStyle name="Accent6 13 3" xfId="22338" xr:uid="{00000000-0005-0000-0000-000045530000}"/>
    <cellStyle name="Accent6 14" xfId="5407" xr:uid="{00000000-0005-0000-0000-000046530000}"/>
    <cellStyle name="Accent6 14 2" xfId="9693" xr:uid="{00000000-0005-0000-0000-000047530000}"/>
    <cellStyle name="Accent6 14 3" xfId="22337" xr:uid="{00000000-0005-0000-0000-000048530000}"/>
    <cellStyle name="Accent6 2" xfId="5408" xr:uid="{00000000-0005-0000-0000-000049530000}"/>
    <cellStyle name="Accent6 2 2" xfId="9696" xr:uid="{00000000-0005-0000-0000-00004A530000}"/>
    <cellStyle name="Accent6 2 3" xfId="22336" xr:uid="{00000000-0005-0000-0000-00004B530000}"/>
    <cellStyle name="Accent6 3" xfId="5409" xr:uid="{00000000-0005-0000-0000-00004C530000}"/>
    <cellStyle name="Accent6 3 2" xfId="5410" xr:uid="{00000000-0005-0000-0000-00004D530000}"/>
    <cellStyle name="Accent6 3 2 2" xfId="9698" xr:uid="{00000000-0005-0000-0000-00004E530000}"/>
    <cellStyle name="Accent6 3 2 3" xfId="22334" xr:uid="{00000000-0005-0000-0000-00004F530000}"/>
    <cellStyle name="Accent6 3 3" xfId="9697" xr:uid="{00000000-0005-0000-0000-000050530000}"/>
    <cellStyle name="Accent6 3 4" xfId="22335" xr:uid="{00000000-0005-0000-0000-000051530000}"/>
    <cellStyle name="Accent6 4" xfId="5411" xr:uid="{00000000-0005-0000-0000-000052530000}"/>
    <cellStyle name="Accent6 4 2" xfId="5412" xr:uid="{00000000-0005-0000-0000-000053530000}"/>
    <cellStyle name="Accent6 4 2 2" xfId="13102" xr:uid="{00000000-0005-0000-0000-000054530000}"/>
    <cellStyle name="Accent6 4 2 3" xfId="22332" xr:uid="{00000000-0005-0000-0000-000055530000}"/>
    <cellStyle name="Accent6 4 3" xfId="5413" xr:uid="{00000000-0005-0000-0000-000056530000}"/>
    <cellStyle name="Accent6 4 3 2" xfId="13101" xr:uid="{00000000-0005-0000-0000-000057530000}"/>
    <cellStyle name="Accent6 4 3 3" xfId="22331" xr:uid="{00000000-0005-0000-0000-000058530000}"/>
    <cellStyle name="Accent6 4 4" xfId="9699" xr:uid="{00000000-0005-0000-0000-000059530000}"/>
    <cellStyle name="Accent6 4 5" xfId="22333" xr:uid="{00000000-0005-0000-0000-00005A530000}"/>
    <cellStyle name="Accent6 5" xfId="5414" xr:uid="{00000000-0005-0000-0000-00005B530000}"/>
    <cellStyle name="Accent6 5 2" xfId="5415" xr:uid="{00000000-0005-0000-0000-00005C530000}"/>
    <cellStyle name="Accent6 5 2 2" xfId="9701" xr:uid="{00000000-0005-0000-0000-00005D530000}"/>
    <cellStyle name="Accent6 5 2 3" xfId="22329" xr:uid="{00000000-0005-0000-0000-00005E530000}"/>
    <cellStyle name="Accent6 5 3" xfId="9700" xr:uid="{00000000-0005-0000-0000-00005F530000}"/>
    <cellStyle name="Accent6 5 4" xfId="22330" xr:uid="{00000000-0005-0000-0000-000060530000}"/>
    <cellStyle name="Accent6 6" xfId="5416" xr:uid="{00000000-0005-0000-0000-000061530000}"/>
    <cellStyle name="Accent6 6 2" xfId="9702" xr:uid="{00000000-0005-0000-0000-000062530000}"/>
    <cellStyle name="Accent6 6 3" xfId="22328" xr:uid="{00000000-0005-0000-0000-000063530000}"/>
    <cellStyle name="Accent6 7" xfId="5417" xr:uid="{00000000-0005-0000-0000-000064530000}"/>
    <cellStyle name="Accent6 7 2" xfId="9703" xr:uid="{00000000-0005-0000-0000-000065530000}"/>
    <cellStyle name="Accent6 7 3" xfId="22327" xr:uid="{00000000-0005-0000-0000-000066530000}"/>
    <cellStyle name="Accent6 8" xfId="5418" xr:uid="{00000000-0005-0000-0000-000067530000}"/>
    <cellStyle name="Accent6 8 2" xfId="9704" xr:uid="{00000000-0005-0000-0000-000068530000}"/>
    <cellStyle name="Accent6 8 3" xfId="22326" xr:uid="{00000000-0005-0000-0000-000069530000}"/>
    <cellStyle name="Accent6 9" xfId="5419" xr:uid="{00000000-0005-0000-0000-00006A530000}"/>
    <cellStyle name="Accent6 9 2" xfId="9705" xr:uid="{00000000-0005-0000-0000-00006B530000}"/>
    <cellStyle name="Accent6 9 3" xfId="22325" xr:uid="{00000000-0005-0000-0000-00006C530000}"/>
    <cellStyle name="Bad" xfId="10" builtinId="27" customBuiltin="1"/>
    <cellStyle name="Bad 10" xfId="5420" xr:uid="{00000000-0005-0000-0000-00006E530000}"/>
    <cellStyle name="Bad 10 2" xfId="9707" xr:uid="{00000000-0005-0000-0000-00006F530000}"/>
    <cellStyle name="Bad 10 3" xfId="22324" xr:uid="{00000000-0005-0000-0000-000070530000}"/>
    <cellStyle name="Bad 11" xfId="5421" xr:uid="{00000000-0005-0000-0000-000071530000}"/>
    <cellStyle name="Bad 11 2" xfId="9708" xr:uid="{00000000-0005-0000-0000-000072530000}"/>
    <cellStyle name="Bad 11 3" xfId="22323" xr:uid="{00000000-0005-0000-0000-000073530000}"/>
    <cellStyle name="Bad 12" xfId="5422" xr:uid="{00000000-0005-0000-0000-000074530000}"/>
    <cellStyle name="Bad 12 2" xfId="5423" xr:uid="{00000000-0005-0000-0000-000075530000}"/>
    <cellStyle name="Bad 12 2 2" xfId="15580" xr:uid="{00000000-0005-0000-0000-000076530000}"/>
    <cellStyle name="Bad 12 2 3" xfId="22321" xr:uid="{00000000-0005-0000-0000-000077530000}"/>
    <cellStyle name="Bad 12 3" xfId="10474" xr:uid="{00000000-0005-0000-0000-000078530000}"/>
    <cellStyle name="Bad 12 4" xfId="22322" xr:uid="{00000000-0005-0000-0000-000079530000}"/>
    <cellStyle name="Bad 13" xfId="5424" xr:uid="{00000000-0005-0000-0000-00007A530000}"/>
    <cellStyle name="Bad 13 2" xfId="11301" xr:uid="{00000000-0005-0000-0000-00007B530000}"/>
    <cellStyle name="Bad 13 3" xfId="22320" xr:uid="{00000000-0005-0000-0000-00007C530000}"/>
    <cellStyle name="Bad 14" xfId="5425" xr:uid="{00000000-0005-0000-0000-00007D530000}"/>
    <cellStyle name="Bad 14 2" xfId="9706" xr:uid="{00000000-0005-0000-0000-00007E530000}"/>
    <cellStyle name="Bad 14 3" xfId="22319" xr:uid="{00000000-0005-0000-0000-00007F530000}"/>
    <cellStyle name="Bad 2" xfId="5426" xr:uid="{00000000-0005-0000-0000-000080530000}"/>
    <cellStyle name="Bad 2 2" xfId="9709" xr:uid="{00000000-0005-0000-0000-000081530000}"/>
    <cellStyle name="Bad 2 3" xfId="22318" xr:uid="{00000000-0005-0000-0000-000082530000}"/>
    <cellStyle name="Bad 3" xfId="5427" xr:uid="{00000000-0005-0000-0000-000083530000}"/>
    <cellStyle name="Bad 3 2" xfId="5428" xr:uid="{00000000-0005-0000-0000-000084530000}"/>
    <cellStyle name="Bad 3 2 2" xfId="9711" xr:uid="{00000000-0005-0000-0000-000085530000}"/>
    <cellStyle name="Bad 3 2 3" xfId="22316" xr:uid="{00000000-0005-0000-0000-000086530000}"/>
    <cellStyle name="Bad 3 3" xfId="9710" xr:uid="{00000000-0005-0000-0000-000087530000}"/>
    <cellStyle name="Bad 3 4" xfId="22317" xr:uid="{00000000-0005-0000-0000-000088530000}"/>
    <cellStyle name="Bad 4" xfId="5429" xr:uid="{00000000-0005-0000-0000-000089530000}"/>
    <cellStyle name="Bad 4 2" xfId="5430" xr:uid="{00000000-0005-0000-0000-00008A530000}"/>
    <cellStyle name="Bad 4 2 2" xfId="13104" xr:uid="{00000000-0005-0000-0000-00008B530000}"/>
    <cellStyle name="Bad 4 2 3" xfId="22314" xr:uid="{00000000-0005-0000-0000-00008C530000}"/>
    <cellStyle name="Bad 4 3" xfId="5431" xr:uid="{00000000-0005-0000-0000-00008D530000}"/>
    <cellStyle name="Bad 4 3 2" xfId="13103" xr:uid="{00000000-0005-0000-0000-00008E530000}"/>
    <cellStyle name="Bad 4 3 3" xfId="22313" xr:uid="{00000000-0005-0000-0000-00008F530000}"/>
    <cellStyle name="Bad 4 4" xfId="9712" xr:uid="{00000000-0005-0000-0000-000090530000}"/>
    <cellStyle name="Bad 4 5" xfId="22315" xr:uid="{00000000-0005-0000-0000-000091530000}"/>
    <cellStyle name="Bad 5" xfId="5432" xr:uid="{00000000-0005-0000-0000-000092530000}"/>
    <cellStyle name="Bad 5 2" xfId="5433" xr:uid="{00000000-0005-0000-0000-000093530000}"/>
    <cellStyle name="Bad 5 2 2" xfId="9714" xr:uid="{00000000-0005-0000-0000-000094530000}"/>
    <cellStyle name="Bad 5 2 3" xfId="22311" xr:uid="{00000000-0005-0000-0000-000095530000}"/>
    <cellStyle name="Bad 5 3" xfId="9713" xr:uid="{00000000-0005-0000-0000-000096530000}"/>
    <cellStyle name="Bad 5 4" xfId="22312" xr:uid="{00000000-0005-0000-0000-000097530000}"/>
    <cellStyle name="Bad 6" xfId="5434" xr:uid="{00000000-0005-0000-0000-000098530000}"/>
    <cellStyle name="Bad 6 2" xfId="9715" xr:uid="{00000000-0005-0000-0000-000099530000}"/>
    <cellStyle name="Bad 6 3" xfId="22310" xr:uid="{00000000-0005-0000-0000-00009A530000}"/>
    <cellStyle name="Bad 7" xfId="5435" xr:uid="{00000000-0005-0000-0000-00009B530000}"/>
    <cellStyle name="Bad 7 2" xfId="9716" xr:uid="{00000000-0005-0000-0000-00009C530000}"/>
    <cellStyle name="Bad 7 3" xfId="22309" xr:uid="{00000000-0005-0000-0000-00009D530000}"/>
    <cellStyle name="Bad 8" xfId="5436" xr:uid="{00000000-0005-0000-0000-00009E530000}"/>
    <cellStyle name="Bad 8 2" xfId="9717" xr:uid="{00000000-0005-0000-0000-00009F530000}"/>
    <cellStyle name="Bad 8 3" xfId="22308" xr:uid="{00000000-0005-0000-0000-0000A0530000}"/>
    <cellStyle name="Bad 9" xfId="5437" xr:uid="{00000000-0005-0000-0000-0000A1530000}"/>
    <cellStyle name="Bad 9 2" xfId="9718" xr:uid="{00000000-0005-0000-0000-0000A2530000}"/>
    <cellStyle name="Bad 9 3" xfId="22307" xr:uid="{00000000-0005-0000-0000-0000A3530000}"/>
    <cellStyle name="Calculation" xfId="14" builtinId="22" customBuiltin="1"/>
    <cellStyle name="Calculation 10" xfId="5438" xr:uid="{00000000-0005-0000-0000-0000A5530000}"/>
    <cellStyle name="Calculation 10 2" xfId="9720" xr:uid="{00000000-0005-0000-0000-0000A6530000}"/>
    <cellStyle name="Calculation 10 3" xfId="22306" xr:uid="{00000000-0005-0000-0000-0000A7530000}"/>
    <cellStyle name="Calculation 11" xfId="5439" xr:uid="{00000000-0005-0000-0000-0000A8530000}"/>
    <cellStyle name="Calculation 11 2" xfId="9721" xr:uid="{00000000-0005-0000-0000-0000A9530000}"/>
    <cellStyle name="Calculation 11 3" xfId="22305" xr:uid="{00000000-0005-0000-0000-0000AA530000}"/>
    <cellStyle name="Calculation 12" xfId="5440" xr:uid="{00000000-0005-0000-0000-0000AB530000}"/>
    <cellStyle name="Calculation 12 2" xfId="5441" xr:uid="{00000000-0005-0000-0000-0000AC530000}"/>
    <cellStyle name="Calculation 12 2 2" xfId="15581" xr:uid="{00000000-0005-0000-0000-0000AD530000}"/>
    <cellStyle name="Calculation 12 2 3" xfId="22303" xr:uid="{00000000-0005-0000-0000-0000AE530000}"/>
    <cellStyle name="Calculation 12 3" xfId="10475" xr:uid="{00000000-0005-0000-0000-0000AF530000}"/>
    <cellStyle name="Calculation 12 4" xfId="22304" xr:uid="{00000000-0005-0000-0000-0000B0530000}"/>
    <cellStyle name="Calculation 13" xfId="5442" xr:uid="{00000000-0005-0000-0000-0000B1530000}"/>
    <cellStyle name="Calculation 13 2" xfId="11302" xr:uid="{00000000-0005-0000-0000-0000B2530000}"/>
    <cellStyle name="Calculation 13 3" xfId="22302" xr:uid="{00000000-0005-0000-0000-0000B3530000}"/>
    <cellStyle name="Calculation 14" xfId="5443" xr:uid="{00000000-0005-0000-0000-0000B4530000}"/>
    <cellStyle name="Calculation 14 2" xfId="9719" xr:uid="{00000000-0005-0000-0000-0000B5530000}"/>
    <cellStyle name="Calculation 14 3" xfId="22301" xr:uid="{00000000-0005-0000-0000-0000B6530000}"/>
    <cellStyle name="Calculation 2" xfId="5444" xr:uid="{00000000-0005-0000-0000-0000B7530000}"/>
    <cellStyle name="Calculation 2 2" xfId="9722" xr:uid="{00000000-0005-0000-0000-0000B8530000}"/>
    <cellStyle name="Calculation 2 3" xfId="22300" xr:uid="{00000000-0005-0000-0000-0000B9530000}"/>
    <cellStyle name="Calculation 3" xfId="5445" xr:uid="{00000000-0005-0000-0000-0000BA530000}"/>
    <cellStyle name="Calculation 3 2" xfId="5446" xr:uid="{00000000-0005-0000-0000-0000BB530000}"/>
    <cellStyle name="Calculation 3 2 2" xfId="9724" xr:uid="{00000000-0005-0000-0000-0000BC530000}"/>
    <cellStyle name="Calculation 3 2 3" xfId="22298" xr:uid="{00000000-0005-0000-0000-0000BD530000}"/>
    <cellStyle name="Calculation 3 3" xfId="9723" xr:uid="{00000000-0005-0000-0000-0000BE530000}"/>
    <cellStyle name="Calculation 3 4" xfId="22299" xr:uid="{00000000-0005-0000-0000-0000BF530000}"/>
    <cellStyle name="Calculation 4" xfId="5447" xr:uid="{00000000-0005-0000-0000-0000C0530000}"/>
    <cellStyle name="Calculation 4 2" xfId="5448" xr:uid="{00000000-0005-0000-0000-0000C1530000}"/>
    <cellStyle name="Calculation 4 2 2" xfId="13106" xr:uid="{00000000-0005-0000-0000-0000C2530000}"/>
    <cellStyle name="Calculation 4 2 3" xfId="22296" xr:uid="{00000000-0005-0000-0000-0000C3530000}"/>
    <cellStyle name="Calculation 4 3" xfId="5449" xr:uid="{00000000-0005-0000-0000-0000C4530000}"/>
    <cellStyle name="Calculation 4 3 2" xfId="13105" xr:uid="{00000000-0005-0000-0000-0000C5530000}"/>
    <cellStyle name="Calculation 4 3 3" xfId="22295" xr:uid="{00000000-0005-0000-0000-0000C6530000}"/>
    <cellStyle name="Calculation 4 4" xfId="9725" xr:uid="{00000000-0005-0000-0000-0000C7530000}"/>
    <cellStyle name="Calculation 4 5" xfId="22297" xr:uid="{00000000-0005-0000-0000-0000C8530000}"/>
    <cellStyle name="Calculation 5" xfId="5450" xr:uid="{00000000-0005-0000-0000-0000C9530000}"/>
    <cellStyle name="Calculation 5 2" xfId="5451" xr:uid="{00000000-0005-0000-0000-0000CA530000}"/>
    <cellStyle name="Calculation 5 2 2" xfId="9727" xr:uid="{00000000-0005-0000-0000-0000CB530000}"/>
    <cellStyle name="Calculation 5 2 3" xfId="22293" xr:uid="{00000000-0005-0000-0000-0000CC530000}"/>
    <cellStyle name="Calculation 5 3" xfId="9726" xr:uid="{00000000-0005-0000-0000-0000CD530000}"/>
    <cellStyle name="Calculation 5 4" xfId="22294" xr:uid="{00000000-0005-0000-0000-0000CE530000}"/>
    <cellStyle name="Calculation 6" xfId="5452" xr:uid="{00000000-0005-0000-0000-0000CF530000}"/>
    <cellStyle name="Calculation 6 2" xfId="9728" xr:uid="{00000000-0005-0000-0000-0000D0530000}"/>
    <cellStyle name="Calculation 6 3" xfId="22292" xr:uid="{00000000-0005-0000-0000-0000D1530000}"/>
    <cellStyle name="Calculation 7" xfId="5453" xr:uid="{00000000-0005-0000-0000-0000D2530000}"/>
    <cellStyle name="Calculation 7 2" xfId="9729" xr:uid="{00000000-0005-0000-0000-0000D3530000}"/>
    <cellStyle name="Calculation 7 3" xfId="22291" xr:uid="{00000000-0005-0000-0000-0000D4530000}"/>
    <cellStyle name="Calculation 8" xfId="5454" xr:uid="{00000000-0005-0000-0000-0000D5530000}"/>
    <cellStyle name="Calculation 8 2" xfId="9730" xr:uid="{00000000-0005-0000-0000-0000D6530000}"/>
    <cellStyle name="Calculation 8 3" xfId="22290" xr:uid="{00000000-0005-0000-0000-0000D7530000}"/>
    <cellStyle name="Calculation 9" xfId="5455" xr:uid="{00000000-0005-0000-0000-0000D8530000}"/>
    <cellStyle name="Calculation 9 2" xfId="9731" xr:uid="{00000000-0005-0000-0000-0000D9530000}"/>
    <cellStyle name="Calculation 9 3" xfId="22289" xr:uid="{00000000-0005-0000-0000-0000DA530000}"/>
    <cellStyle name="Check Cell" xfId="33022" builtinId="23" customBuiltin="1"/>
    <cellStyle name="Check Cell 2" xfId="8802" xr:uid="{00000000-0005-0000-0000-0000DC530000}"/>
    <cellStyle name="Check Cell 3" xfId="22288" xr:uid="{00000000-0005-0000-0000-0000DD530000}"/>
    <cellStyle name="Check Cell 4" xfId="5456" xr:uid="{00000000-0005-0000-0000-0000DE530000}"/>
    <cellStyle name="Comma" xfId="1" builtinId="3"/>
    <cellStyle name="Comma 10" xfId="5457" xr:uid="{00000000-0005-0000-0000-0000E0530000}"/>
    <cellStyle name="Comma 10 2" xfId="5458" xr:uid="{00000000-0005-0000-0000-0000E1530000}"/>
    <cellStyle name="Comma 10 2 2" xfId="13107" xr:uid="{00000000-0005-0000-0000-0000E2530000}"/>
    <cellStyle name="Comma 10 2 3" xfId="22286" xr:uid="{00000000-0005-0000-0000-0000E3530000}"/>
    <cellStyle name="Comma 10 3" xfId="10504" xr:uid="{00000000-0005-0000-0000-0000E4530000}"/>
    <cellStyle name="Comma 10 4" xfId="22287" xr:uid="{00000000-0005-0000-0000-0000E5530000}"/>
    <cellStyle name="Comma 103" xfId="33034" xr:uid="{DC79D54D-46C5-41EE-8EC6-A6A984C3D1BA}"/>
    <cellStyle name="Comma 11" xfId="8775" xr:uid="{00000000-0005-0000-0000-0000E6530000}"/>
    <cellStyle name="Comma 2" xfId="5459" xr:uid="{00000000-0005-0000-0000-0000E7530000}"/>
    <cellStyle name="Comma 2 2" xfId="5460" xr:uid="{00000000-0005-0000-0000-0000E8530000}"/>
    <cellStyle name="Comma 2 2 2" xfId="5461" xr:uid="{00000000-0005-0000-0000-0000E9530000}"/>
    <cellStyle name="Comma 2 2 2 2" xfId="9732" xr:uid="{00000000-0005-0000-0000-0000EA530000}"/>
    <cellStyle name="Comma 2 2 2 3" xfId="22283" xr:uid="{00000000-0005-0000-0000-0000EB530000}"/>
    <cellStyle name="Comma 2 2 3" xfId="5462" xr:uid="{00000000-0005-0000-0000-0000EC530000}"/>
    <cellStyle name="Comma 2 2 3 2" xfId="9733" xr:uid="{00000000-0005-0000-0000-0000ED530000}"/>
    <cellStyle name="Comma 2 2 3 3" xfId="22282" xr:uid="{00000000-0005-0000-0000-0000EE530000}"/>
    <cellStyle name="Comma 2 2 4" xfId="8700" xr:uid="{00000000-0005-0000-0000-0000EF530000}"/>
    <cellStyle name="Comma 2 2 5" xfId="22284" xr:uid="{00000000-0005-0000-0000-0000F0530000}"/>
    <cellStyle name="Comma 2 3" xfId="5463" xr:uid="{00000000-0005-0000-0000-0000F1530000}"/>
    <cellStyle name="Comma 2 3 2" xfId="5464" xr:uid="{00000000-0005-0000-0000-0000F2530000}"/>
    <cellStyle name="Comma 2 3 2 2" xfId="9734" xr:uid="{00000000-0005-0000-0000-0000F3530000}"/>
    <cellStyle name="Comma 2 3 2 3" xfId="22280" xr:uid="{00000000-0005-0000-0000-0000F4530000}"/>
    <cellStyle name="Comma 2 3 3" xfId="5465" xr:uid="{00000000-0005-0000-0000-0000F5530000}"/>
    <cellStyle name="Comma 2 3 3 2" xfId="13108" xr:uid="{00000000-0005-0000-0000-0000F6530000}"/>
    <cellStyle name="Comma 2 3 3 3" xfId="22279" xr:uid="{00000000-0005-0000-0000-0000F7530000}"/>
    <cellStyle name="Comma 2 3 4" xfId="8666" xr:uid="{00000000-0005-0000-0000-0000F8530000}"/>
    <cellStyle name="Comma 2 3 5" xfId="22281" xr:uid="{00000000-0005-0000-0000-0000F9530000}"/>
    <cellStyle name="Comma 2 4" xfId="5466" xr:uid="{00000000-0005-0000-0000-0000FA530000}"/>
    <cellStyle name="Comma 2 4 2" xfId="5467" xr:uid="{00000000-0005-0000-0000-0000FB530000}"/>
    <cellStyle name="Comma 2 4 2 2" xfId="13109" xr:uid="{00000000-0005-0000-0000-0000FC530000}"/>
    <cellStyle name="Comma 2 4 2 3" xfId="22277" xr:uid="{00000000-0005-0000-0000-0000FD530000}"/>
    <cellStyle name="Comma 2 4 3" xfId="5468" xr:uid="{00000000-0005-0000-0000-0000FE530000}"/>
    <cellStyle name="Comma 2 4 3 2" xfId="17358" xr:uid="{00000000-0005-0000-0000-0000FF530000}"/>
    <cellStyle name="Comma 2 4 3 3" xfId="22276" xr:uid="{00000000-0005-0000-0000-000000540000}"/>
    <cellStyle name="Comma 2 4 4" xfId="8715" xr:uid="{00000000-0005-0000-0000-000001540000}"/>
    <cellStyle name="Comma 2 4 5" xfId="22278" xr:uid="{00000000-0005-0000-0000-000002540000}"/>
    <cellStyle name="Comma 2 5" xfId="8647" xr:uid="{00000000-0005-0000-0000-000003540000}"/>
    <cellStyle name="Comma 2 6" xfId="22285" xr:uid="{00000000-0005-0000-0000-000004540000}"/>
    <cellStyle name="Comma 2 7" xfId="33020" xr:uid="{00000000-0005-0000-0000-000005540000}"/>
    <cellStyle name="Comma 3" xfId="5469" xr:uid="{00000000-0005-0000-0000-000006540000}"/>
    <cellStyle name="Comma 3 10" xfId="5470" xr:uid="{00000000-0005-0000-0000-000007540000}"/>
    <cellStyle name="Comma 3 10 2" xfId="9736" xr:uid="{00000000-0005-0000-0000-000008540000}"/>
    <cellStyle name="Comma 3 10 3" xfId="22274" xr:uid="{00000000-0005-0000-0000-000009540000}"/>
    <cellStyle name="Comma 3 11" xfId="5471" xr:uid="{00000000-0005-0000-0000-00000A540000}"/>
    <cellStyle name="Comma 3 11 2" xfId="5472" xr:uid="{00000000-0005-0000-0000-00000B540000}"/>
    <cellStyle name="Comma 3 11 2 2" xfId="13110" xr:uid="{00000000-0005-0000-0000-00000C540000}"/>
    <cellStyle name="Comma 3 11 2 3" xfId="22272" xr:uid="{00000000-0005-0000-0000-00000D540000}"/>
    <cellStyle name="Comma 3 11 3" xfId="5473" xr:uid="{00000000-0005-0000-0000-00000E540000}"/>
    <cellStyle name="Comma 3 11 3 2" xfId="17008" xr:uid="{00000000-0005-0000-0000-00000F540000}"/>
    <cellStyle name="Comma 3 11 3 2 2" xfId="30415" xr:uid="{00000000-0005-0000-0000-000010540000}"/>
    <cellStyle name="Comma 3 11 3 3" xfId="22271" xr:uid="{00000000-0005-0000-0000-000011540000}"/>
    <cellStyle name="Comma 3 11 4" xfId="9737" xr:uid="{00000000-0005-0000-0000-000012540000}"/>
    <cellStyle name="Comma 3 11 5" xfId="22273" xr:uid="{00000000-0005-0000-0000-000013540000}"/>
    <cellStyle name="Comma 3 12" xfId="5474" xr:uid="{00000000-0005-0000-0000-000014540000}"/>
    <cellStyle name="Comma 3 12 2" xfId="5475" xr:uid="{00000000-0005-0000-0000-000015540000}"/>
    <cellStyle name="Comma 3 12 2 2" xfId="13112" xr:uid="{00000000-0005-0000-0000-000016540000}"/>
    <cellStyle name="Comma 3 12 2 3" xfId="22269" xr:uid="{00000000-0005-0000-0000-000017540000}"/>
    <cellStyle name="Comma 3 12 3" xfId="5476" xr:uid="{00000000-0005-0000-0000-000018540000}"/>
    <cellStyle name="Comma 3 12 3 2" xfId="13111" xr:uid="{00000000-0005-0000-0000-000019540000}"/>
    <cellStyle name="Comma 3 12 3 2 2" xfId="26823" xr:uid="{00000000-0005-0000-0000-00001A540000}"/>
    <cellStyle name="Comma 3 12 3 3" xfId="22268" xr:uid="{00000000-0005-0000-0000-00001B540000}"/>
    <cellStyle name="Comma 3 12 4" xfId="5477" xr:uid="{00000000-0005-0000-0000-00001C540000}"/>
    <cellStyle name="Comma 3 12 4 2" xfId="17097" xr:uid="{00000000-0005-0000-0000-00001D540000}"/>
    <cellStyle name="Comma 3 12 4 2 2" xfId="30456" xr:uid="{00000000-0005-0000-0000-00001E540000}"/>
    <cellStyle name="Comma 3 12 4 3" xfId="22267" xr:uid="{00000000-0005-0000-0000-00001F540000}"/>
    <cellStyle name="Comma 3 12 5" xfId="9738" xr:uid="{00000000-0005-0000-0000-000020540000}"/>
    <cellStyle name="Comma 3 12 6" xfId="22270" xr:uid="{00000000-0005-0000-0000-000021540000}"/>
    <cellStyle name="Comma 3 13" xfId="5478" xr:uid="{00000000-0005-0000-0000-000022540000}"/>
    <cellStyle name="Comma 3 13 2" xfId="5479" xr:uid="{00000000-0005-0000-0000-000023540000}"/>
    <cellStyle name="Comma 3 13 2 2" xfId="17186" xr:uid="{00000000-0005-0000-0000-000024540000}"/>
    <cellStyle name="Comma 3 13 2 2 2" xfId="30545" xr:uid="{00000000-0005-0000-0000-000025540000}"/>
    <cellStyle name="Comma 3 13 2 3" xfId="22265" xr:uid="{00000000-0005-0000-0000-000026540000}"/>
    <cellStyle name="Comma 3 13 3" xfId="9739" xr:uid="{00000000-0005-0000-0000-000027540000}"/>
    <cellStyle name="Comma 3 13 4" xfId="22266" xr:uid="{00000000-0005-0000-0000-000028540000}"/>
    <cellStyle name="Comma 3 14" xfId="5480" xr:uid="{00000000-0005-0000-0000-000029540000}"/>
    <cellStyle name="Comma 3 14 2" xfId="5481" xr:uid="{00000000-0005-0000-0000-00002A540000}"/>
    <cellStyle name="Comma 3 14 2 2" xfId="5482" xr:uid="{00000000-0005-0000-0000-00002B540000}"/>
    <cellStyle name="Comma 3 14 2 2 2" xfId="11305" xr:uid="{00000000-0005-0000-0000-00002C540000}"/>
    <cellStyle name="Comma 3 14 2 2 3" xfId="22262" xr:uid="{00000000-0005-0000-0000-00002D540000}"/>
    <cellStyle name="Comma 3 14 2 3" xfId="9741" xr:uid="{00000000-0005-0000-0000-00002E540000}"/>
    <cellStyle name="Comma 3 14 2 4" xfId="22263" xr:uid="{00000000-0005-0000-0000-00002F540000}"/>
    <cellStyle name="Comma 3 14 3" xfId="5483" xr:uid="{00000000-0005-0000-0000-000030540000}"/>
    <cellStyle name="Comma 3 14 3 2" xfId="11304" xr:uid="{00000000-0005-0000-0000-000031540000}"/>
    <cellStyle name="Comma 3 14 3 3" xfId="22261" xr:uid="{00000000-0005-0000-0000-000032540000}"/>
    <cellStyle name="Comma 3 14 4" xfId="5484" xr:uid="{00000000-0005-0000-0000-000033540000}"/>
    <cellStyle name="Comma 3 14 4 2" xfId="17275" xr:uid="{00000000-0005-0000-0000-000034540000}"/>
    <cellStyle name="Comma 3 14 4 2 2" xfId="30634" xr:uid="{00000000-0005-0000-0000-000035540000}"/>
    <cellStyle name="Comma 3 14 4 3" xfId="22260" xr:uid="{00000000-0005-0000-0000-000036540000}"/>
    <cellStyle name="Comma 3 14 5" xfId="9740" xr:uid="{00000000-0005-0000-0000-000037540000}"/>
    <cellStyle name="Comma 3 14 6" xfId="22264" xr:uid="{00000000-0005-0000-0000-000038540000}"/>
    <cellStyle name="Comma 3 15" xfId="5485" xr:uid="{00000000-0005-0000-0000-000039540000}"/>
    <cellStyle name="Comma 3 15 2" xfId="5486" xr:uid="{00000000-0005-0000-0000-00003A540000}"/>
    <cellStyle name="Comma 3 15 2 2" xfId="11306" xr:uid="{00000000-0005-0000-0000-00003B540000}"/>
    <cellStyle name="Comma 3 15 2 3" xfId="22258" xr:uid="{00000000-0005-0000-0000-00003C540000}"/>
    <cellStyle name="Comma 3 15 3" xfId="5487" xr:uid="{00000000-0005-0000-0000-00003D540000}"/>
    <cellStyle name="Comma 3 15 3 2" xfId="16427" xr:uid="{00000000-0005-0000-0000-00003E540000}"/>
    <cellStyle name="Comma 3 15 3 2 2" xfId="29834" xr:uid="{00000000-0005-0000-0000-00003F540000}"/>
    <cellStyle name="Comma 3 15 3 3" xfId="22257" xr:uid="{00000000-0005-0000-0000-000040540000}"/>
    <cellStyle name="Comma 3 15 4" xfId="9742" xr:uid="{00000000-0005-0000-0000-000041540000}"/>
    <cellStyle name="Comma 3 15 5" xfId="22259" xr:uid="{00000000-0005-0000-0000-000042540000}"/>
    <cellStyle name="Comma 3 16" xfId="5488" xr:uid="{00000000-0005-0000-0000-000043540000}"/>
    <cellStyle name="Comma 3 16 2" xfId="5489" xr:uid="{00000000-0005-0000-0000-000044540000}"/>
    <cellStyle name="Comma 3 16 2 2" xfId="11307" xr:uid="{00000000-0005-0000-0000-000045540000}"/>
    <cellStyle name="Comma 3 16 2 3" xfId="22255" xr:uid="{00000000-0005-0000-0000-000046540000}"/>
    <cellStyle name="Comma 3 16 3" xfId="9743" xr:uid="{00000000-0005-0000-0000-000047540000}"/>
    <cellStyle name="Comma 3 16 4" xfId="22256" xr:uid="{00000000-0005-0000-0000-000048540000}"/>
    <cellStyle name="Comma 3 17" xfId="5490" xr:uid="{00000000-0005-0000-0000-000049540000}"/>
    <cellStyle name="Comma 3 17 2" xfId="5491" xr:uid="{00000000-0005-0000-0000-00004A540000}"/>
    <cellStyle name="Comma 3 17 2 2" xfId="11308" xr:uid="{00000000-0005-0000-0000-00004B540000}"/>
    <cellStyle name="Comma 3 17 2 3" xfId="22253" xr:uid="{00000000-0005-0000-0000-00004C540000}"/>
    <cellStyle name="Comma 3 17 3" xfId="9744" xr:uid="{00000000-0005-0000-0000-00004D540000}"/>
    <cellStyle name="Comma 3 17 4" xfId="22254" xr:uid="{00000000-0005-0000-0000-00004E540000}"/>
    <cellStyle name="Comma 3 18" xfId="5492" xr:uid="{00000000-0005-0000-0000-00004F540000}"/>
    <cellStyle name="Comma 3 18 2" xfId="5493" xr:uid="{00000000-0005-0000-0000-000050540000}"/>
    <cellStyle name="Comma 3 18 2 2" xfId="11309" xr:uid="{00000000-0005-0000-0000-000051540000}"/>
    <cellStyle name="Comma 3 18 2 3" xfId="22251" xr:uid="{00000000-0005-0000-0000-000052540000}"/>
    <cellStyle name="Comma 3 18 3" xfId="9745" xr:uid="{00000000-0005-0000-0000-000053540000}"/>
    <cellStyle name="Comma 3 18 4" xfId="22252" xr:uid="{00000000-0005-0000-0000-000054540000}"/>
    <cellStyle name="Comma 3 19" xfId="5494" xr:uid="{00000000-0005-0000-0000-000055540000}"/>
    <cellStyle name="Comma 3 19 2" xfId="5495" xr:uid="{00000000-0005-0000-0000-000056540000}"/>
    <cellStyle name="Comma 3 19 2 2" xfId="11310" xr:uid="{00000000-0005-0000-0000-000057540000}"/>
    <cellStyle name="Comma 3 19 2 3" xfId="22249" xr:uid="{00000000-0005-0000-0000-000058540000}"/>
    <cellStyle name="Comma 3 19 3" xfId="9746" xr:uid="{00000000-0005-0000-0000-000059540000}"/>
    <cellStyle name="Comma 3 19 4" xfId="22250" xr:uid="{00000000-0005-0000-0000-00005A540000}"/>
    <cellStyle name="Comma 3 2" xfId="5496" xr:uid="{00000000-0005-0000-0000-00005B540000}"/>
    <cellStyle name="Comma 3 2 10" xfId="5497" xr:uid="{00000000-0005-0000-0000-00005C540000}"/>
    <cellStyle name="Comma 3 2 10 2" xfId="11311" xr:uid="{00000000-0005-0000-0000-00005D540000}"/>
    <cellStyle name="Comma 3 2 10 3" xfId="22247" xr:uid="{00000000-0005-0000-0000-00005E540000}"/>
    <cellStyle name="Comma 3 2 11" xfId="5498" xr:uid="{00000000-0005-0000-0000-00005F540000}"/>
    <cellStyle name="Comma 3 2 11 2" xfId="5499" xr:uid="{00000000-0005-0000-0000-000060540000}"/>
    <cellStyle name="Comma 3 2 11 2 2" xfId="13113" xr:uid="{00000000-0005-0000-0000-000061540000}"/>
    <cellStyle name="Comma 3 2 11 2 2 2" xfId="26825" xr:uid="{00000000-0005-0000-0000-000062540000}"/>
    <cellStyle name="Comma 3 2 11 2 3" xfId="22245" xr:uid="{00000000-0005-0000-0000-000063540000}"/>
    <cellStyle name="Comma 3 2 11 3" xfId="5500" xr:uid="{00000000-0005-0000-0000-000064540000}"/>
    <cellStyle name="Comma 3 2 11 3 2" xfId="15582" xr:uid="{00000000-0005-0000-0000-000065540000}"/>
    <cellStyle name="Comma 3 2 11 3 3" xfId="22244" xr:uid="{00000000-0005-0000-0000-000066540000}"/>
    <cellStyle name="Comma 3 2 11 4" xfId="11724" xr:uid="{00000000-0005-0000-0000-000067540000}"/>
    <cellStyle name="Comma 3 2 11 5" xfId="22246" xr:uid="{00000000-0005-0000-0000-000068540000}"/>
    <cellStyle name="Comma 3 2 12" xfId="5501" xr:uid="{00000000-0005-0000-0000-000069540000}"/>
    <cellStyle name="Comma 3 2 12 2" xfId="11842" xr:uid="{00000000-0005-0000-0000-00006A540000}"/>
    <cellStyle name="Comma 3 2 12 2 2" xfId="25557" xr:uid="{00000000-0005-0000-0000-00006B540000}"/>
    <cellStyle name="Comma 3 2 12 3" xfId="22243" xr:uid="{00000000-0005-0000-0000-00006C540000}"/>
    <cellStyle name="Comma 3 2 13" xfId="5502" xr:uid="{00000000-0005-0000-0000-00006D540000}"/>
    <cellStyle name="Comma 3 2 13 2" xfId="13436" xr:uid="{00000000-0005-0000-0000-00006E540000}"/>
    <cellStyle name="Comma 3 2 13 2 2" xfId="26985" xr:uid="{00000000-0005-0000-0000-00006F540000}"/>
    <cellStyle name="Comma 3 2 13 3" xfId="22242" xr:uid="{00000000-0005-0000-0000-000070540000}"/>
    <cellStyle name="Comma 3 2 14" xfId="5503" xr:uid="{00000000-0005-0000-0000-000071540000}"/>
    <cellStyle name="Comma 3 2 14 2" xfId="14017" xr:uid="{00000000-0005-0000-0000-000072540000}"/>
    <cellStyle name="Comma 3 2 14 2 2" xfId="27566" xr:uid="{00000000-0005-0000-0000-000073540000}"/>
    <cellStyle name="Comma 3 2 14 3" xfId="22241" xr:uid="{00000000-0005-0000-0000-000074540000}"/>
    <cellStyle name="Comma 3 2 15" xfId="5504" xr:uid="{00000000-0005-0000-0000-000075540000}"/>
    <cellStyle name="Comma 3 2 15 2" xfId="15903" xr:uid="{00000000-0005-0000-0000-000076540000}"/>
    <cellStyle name="Comma 3 2 15 2 2" xfId="29310" xr:uid="{00000000-0005-0000-0000-000077540000}"/>
    <cellStyle name="Comma 3 2 15 3" xfId="22240" xr:uid="{00000000-0005-0000-0000-000078540000}"/>
    <cellStyle name="Comma 3 2 16" xfId="5505" xr:uid="{00000000-0005-0000-0000-000079540000}"/>
    <cellStyle name="Comma 3 2 16 2" xfId="9747" xr:uid="{00000000-0005-0000-0000-00007A540000}"/>
    <cellStyle name="Comma 3 2 16 3" xfId="22239" xr:uid="{00000000-0005-0000-0000-00007B540000}"/>
    <cellStyle name="Comma 3 2 17" xfId="8701" xr:uid="{00000000-0005-0000-0000-00007C540000}"/>
    <cellStyle name="Comma 3 2 18" xfId="22248" xr:uid="{00000000-0005-0000-0000-00007D540000}"/>
    <cellStyle name="Comma 3 2 2" xfId="5506" xr:uid="{00000000-0005-0000-0000-00007E540000}"/>
    <cellStyle name="Comma 3 2 2 10" xfId="9748" xr:uid="{00000000-0005-0000-0000-00007F540000}"/>
    <cellStyle name="Comma 3 2 2 11" xfId="22238" xr:uid="{00000000-0005-0000-0000-000080540000}"/>
    <cellStyle name="Comma 3 2 2 12" xfId="32927" xr:uid="{00000000-0005-0000-0000-000081540000}"/>
    <cellStyle name="Comma 3 2 2 2" xfId="5507" xr:uid="{00000000-0005-0000-0000-000082540000}"/>
    <cellStyle name="Comma 3 2 2 2 2" xfId="5508" xr:uid="{00000000-0005-0000-0000-000083540000}"/>
    <cellStyle name="Comma 3 2 2 2 2 2" xfId="5509" xr:uid="{00000000-0005-0000-0000-000084540000}"/>
    <cellStyle name="Comma 3 2 2 2 2 2 2" xfId="5510" xr:uid="{00000000-0005-0000-0000-000085540000}"/>
    <cellStyle name="Comma 3 2 2 2 2 2 2 2" xfId="11312" xr:uid="{00000000-0005-0000-0000-000086540000}"/>
    <cellStyle name="Comma 3 2 2 2 2 2 2 3" xfId="22234" xr:uid="{00000000-0005-0000-0000-000087540000}"/>
    <cellStyle name="Comma 3 2 2 2 2 2 3" xfId="5511" xr:uid="{00000000-0005-0000-0000-000088540000}"/>
    <cellStyle name="Comma 3 2 2 2 2 2 3 2" xfId="16962" xr:uid="{00000000-0005-0000-0000-000089540000}"/>
    <cellStyle name="Comma 3 2 2 2 2 2 3 2 2" xfId="30369" xr:uid="{00000000-0005-0000-0000-00008A540000}"/>
    <cellStyle name="Comma 3 2 2 2 2 2 3 3" xfId="22233" xr:uid="{00000000-0005-0000-0000-00008B540000}"/>
    <cellStyle name="Comma 3 2 2 2 2 2 4" xfId="9751" xr:uid="{00000000-0005-0000-0000-00008C540000}"/>
    <cellStyle name="Comma 3 2 2 2 2 2 5" xfId="22235" xr:uid="{00000000-0005-0000-0000-00008D540000}"/>
    <cellStyle name="Comma 3 2 2 2 2 3" xfId="5512" xr:uid="{00000000-0005-0000-0000-00008E540000}"/>
    <cellStyle name="Comma 3 2 2 2 2 3 2" xfId="5513" xr:uid="{00000000-0005-0000-0000-00008F540000}"/>
    <cellStyle name="Comma 3 2 2 2 2 3 2 2" xfId="13114" xr:uid="{00000000-0005-0000-0000-000090540000}"/>
    <cellStyle name="Comma 3 2 2 2 2 3 2 3" xfId="22231" xr:uid="{00000000-0005-0000-0000-000091540000}"/>
    <cellStyle name="Comma 3 2 2 2 2 3 3" xfId="12350" xr:uid="{00000000-0005-0000-0000-000092540000}"/>
    <cellStyle name="Comma 3 2 2 2 2 3 3 2" xfId="26062" xr:uid="{00000000-0005-0000-0000-000093540000}"/>
    <cellStyle name="Comma 3 2 2 2 2 3 4" xfId="22232" xr:uid="{00000000-0005-0000-0000-000094540000}"/>
    <cellStyle name="Comma 3 2 2 2 2 4" xfId="5514" xr:uid="{00000000-0005-0000-0000-000095540000}"/>
    <cellStyle name="Comma 3 2 2 2 2 4 2" xfId="5515" xr:uid="{00000000-0005-0000-0000-000096540000}"/>
    <cellStyle name="Comma 3 2 2 2 2 4 2 2" xfId="15583" xr:uid="{00000000-0005-0000-0000-000097540000}"/>
    <cellStyle name="Comma 3 2 2 2 2 4 2 3" xfId="22229" xr:uid="{00000000-0005-0000-0000-000098540000}"/>
    <cellStyle name="Comma 3 2 2 2 2 4 3" xfId="13914" xr:uid="{00000000-0005-0000-0000-000099540000}"/>
    <cellStyle name="Comma 3 2 2 2 2 4 3 2" xfId="27463" xr:uid="{00000000-0005-0000-0000-00009A540000}"/>
    <cellStyle name="Comma 3 2 2 2 2 4 4" xfId="22230" xr:uid="{00000000-0005-0000-0000-00009B540000}"/>
    <cellStyle name="Comma 3 2 2 2 2 5" xfId="5516" xr:uid="{00000000-0005-0000-0000-00009C540000}"/>
    <cellStyle name="Comma 3 2 2 2 2 5 2" xfId="14495" xr:uid="{00000000-0005-0000-0000-00009D540000}"/>
    <cellStyle name="Comma 3 2 2 2 2 5 2 2" xfId="28044" xr:uid="{00000000-0005-0000-0000-00009E540000}"/>
    <cellStyle name="Comma 3 2 2 2 2 5 3" xfId="22228" xr:uid="{00000000-0005-0000-0000-00009F540000}"/>
    <cellStyle name="Comma 3 2 2 2 2 6" xfId="5517" xr:uid="{00000000-0005-0000-0000-0000A0540000}"/>
    <cellStyle name="Comma 3 2 2 2 2 6 2" xfId="16381" xr:uid="{00000000-0005-0000-0000-0000A1540000}"/>
    <cellStyle name="Comma 3 2 2 2 2 6 2 2" xfId="29788" xr:uid="{00000000-0005-0000-0000-0000A2540000}"/>
    <cellStyle name="Comma 3 2 2 2 2 6 3" xfId="22227" xr:uid="{00000000-0005-0000-0000-0000A3540000}"/>
    <cellStyle name="Comma 3 2 2 2 2 7" xfId="9750" xr:uid="{00000000-0005-0000-0000-0000A4540000}"/>
    <cellStyle name="Comma 3 2 2 2 2 8" xfId="22236" xr:uid="{00000000-0005-0000-0000-0000A5540000}"/>
    <cellStyle name="Comma 3 2 2 2 3" xfId="5518" xr:uid="{00000000-0005-0000-0000-0000A6540000}"/>
    <cellStyle name="Comma 3 2 2 2 3 2" xfId="5519" xr:uid="{00000000-0005-0000-0000-0000A7540000}"/>
    <cellStyle name="Comma 3 2 2 2 3 2 2" xfId="11313" xr:uid="{00000000-0005-0000-0000-0000A8540000}"/>
    <cellStyle name="Comma 3 2 2 2 3 2 3" xfId="22225" xr:uid="{00000000-0005-0000-0000-0000A9540000}"/>
    <cellStyle name="Comma 3 2 2 2 3 3" xfId="5520" xr:uid="{00000000-0005-0000-0000-0000AA540000}"/>
    <cellStyle name="Comma 3 2 2 2 3 3 2" xfId="16673" xr:uid="{00000000-0005-0000-0000-0000AB540000}"/>
    <cellStyle name="Comma 3 2 2 2 3 3 2 2" xfId="30080" xr:uid="{00000000-0005-0000-0000-0000AC540000}"/>
    <cellStyle name="Comma 3 2 2 2 3 3 3" xfId="22224" xr:uid="{00000000-0005-0000-0000-0000AD540000}"/>
    <cellStyle name="Comma 3 2 2 2 3 4" xfId="9752" xr:uid="{00000000-0005-0000-0000-0000AE540000}"/>
    <cellStyle name="Comma 3 2 2 2 3 5" xfId="22226" xr:uid="{00000000-0005-0000-0000-0000AF540000}"/>
    <cellStyle name="Comma 3 2 2 2 4" xfId="5521" xr:uid="{00000000-0005-0000-0000-0000B0540000}"/>
    <cellStyle name="Comma 3 2 2 2 4 2" xfId="5522" xr:uid="{00000000-0005-0000-0000-0000B1540000}"/>
    <cellStyle name="Comma 3 2 2 2 4 2 2" xfId="13115" xr:uid="{00000000-0005-0000-0000-0000B2540000}"/>
    <cellStyle name="Comma 3 2 2 2 4 2 3" xfId="22222" xr:uid="{00000000-0005-0000-0000-0000B3540000}"/>
    <cellStyle name="Comma 3 2 2 2 4 3" xfId="12050" xr:uid="{00000000-0005-0000-0000-0000B4540000}"/>
    <cellStyle name="Comma 3 2 2 2 4 3 2" xfId="25765" xr:uid="{00000000-0005-0000-0000-0000B5540000}"/>
    <cellStyle name="Comma 3 2 2 2 4 4" xfId="22223" xr:uid="{00000000-0005-0000-0000-0000B6540000}"/>
    <cellStyle name="Comma 3 2 2 2 5" xfId="5523" xr:uid="{00000000-0005-0000-0000-0000B7540000}"/>
    <cellStyle name="Comma 3 2 2 2 5 2" xfId="5524" xr:uid="{00000000-0005-0000-0000-0000B8540000}"/>
    <cellStyle name="Comma 3 2 2 2 5 2 2" xfId="15584" xr:uid="{00000000-0005-0000-0000-0000B9540000}"/>
    <cellStyle name="Comma 3 2 2 2 5 2 3" xfId="22220" xr:uid="{00000000-0005-0000-0000-0000BA540000}"/>
    <cellStyle name="Comma 3 2 2 2 5 3" xfId="13625" xr:uid="{00000000-0005-0000-0000-0000BB540000}"/>
    <cellStyle name="Comma 3 2 2 2 5 3 2" xfId="27174" xr:uid="{00000000-0005-0000-0000-0000BC540000}"/>
    <cellStyle name="Comma 3 2 2 2 5 4" xfId="22221" xr:uid="{00000000-0005-0000-0000-0000BD540000}"/>
    <cellStyle name="Comma 3 2 2 2 6" xfId="5525" xr:uid="{00000000-0005-0000-0000-0000BE540000}"/>
    <cellStyle name="Comma 3 2 2 2 6 2" xfId="14206" xr:uid="{00000000-0005-0000-0000-0000BF540000}"/>
    <cellStyle name="Comma 3 2 2 2 6 2 2" xfId="27755" xr:uid="{00000000-0005-0000-0000-0000C0540000}"/>
    <cellStyle name="Comma 3 2 2 2 6 3" xfId="22219" xr:uid="{00000000-0005-0000-0000-0000C1540000}"/>
    <cellStyle name="Comma 3 2 2 2 7" xfId="5526" xr:uid="{00000000-0005-0000-0000-0000C2540000}"/>
    <cellStyle name="Comma 3 2 2 2 7 2" xfId="16092" xr:uid="{00000000-0005-0000-0000-0000C3540000}"/>
    <cellStyle name="Comma 3 2 2 2 7 2 2" xfId="29499" xr:uid="{00000000-0005-0000-0000-0000C4540000}"/>
    <cellStyle name="Comma 3 2 2 2 7 3" xfId="22218" xr:uid="{00000000-0005-0000-0000-0000C5540000}"/>
    <cellStyle name="Comma 3 2 2 2 8" xfId="9749" xr:uid="{00000000-0005-0000-0000-0000C6540000}"/>
    <cellStyle name="Comma 3 2 2 2 9" xfId="22237" xr:uid="{00000000-0005-0000-0000-0000C7540000}"/>
    <cellStyle name="Comma 3 2 2 3" xfId="5527" xr:uid="{00000000-0005-0000-0000-0000C8540000}"/>
    <cellStyle name="Comma 3 2 2 3 2" xfId="5528" xr:uid="{00000000-0005-0000-0000-0000C9540000}"/>
    <cellStyle name="Comma 3 2 2 3 2 2" xfId="5529" xr:uid="{00000000-0005-0000-0000-0000CA540000}"/>
    <cellStyle name="Comma 3 2 2 3 2 2 2" xfId="11314" xr:uid="{00000000-0005-0000-0000-0000CB540000}"/>
    <cellStyle name="Comma 3 2 2 3 2 2 3" xfId="22215" xr:uid="{00000000-0005-0000-0000-0000CC540000}"/>
    <cellStyle name="Comma 3 2 2 3 2 3" xfId="5530" xr:uid="{00000000-0005-0000-0000-0000CD540000}"/>
    <cellStyle name="Comma 3 2 2 3 2 3 2" xfId="16819" xr:uid="{00000000-0005-0000-0000-0000CE540000}"/>
    <cellStyle name="Comma 3 2 2 3 2 3 2 2" xfId="30226" xr:uid="{00000000-0005-0000-0000-0000CF540000}"/>
    <cellStyle name="Comma 3 2 2 3 2 3 3" xfId="22214" xr:uid="{00000000-0005-0000-0000-0000D0540000}"/>
    <cellStyle name="Comma 3 2 2 3 2 4" xfId="9754" xr:uid="{00000000-0005-0000-0000-0000D1540000}"/>
    <cellStyle name="Comma 3 2 2 3 2 5" xfId="22216" xr:uid="{00000000-0005-0000-0000-0000D2540000}"/>
    <cellStyle name="Comma 3 2 2 3 3" xfId="5531" xr:uid="{00000000-0005-0000-0000-0000D3540000}"/>
    <cellStyle name="Comma 3 2 2 3 3 2" xfId="5532" xr:uid="{00000000-0005-0000-0000-0000D4540000}"/>
    <cellStyle name="Comma 3 2 2 3 3 2 2" xfId="13116" xr:uid="{00000000-0005-0000-0000-0000D5540000}"/>
    <cellStyle name="Comma 3 2 2 3 3 2 3" xfId="22212" xr:uid="{00000000-0005-0000-0000-0000D6540000}"/>
    <cellStyle name="Comma 3 2 2 3 3 3" xfId="12207" xr:uid="{00000000-0005-0000-0000-0000D7540000}"/>
    <cellStyle name="Comma 3 2 2 3 3 3 2" xfId="25919" xr:uid="{00000000-0005-0000-0000-0000D8540000}"/>
    <cellStyle name="Comma 3 2 2 3 3 4" xfId="22213" xr:uid="{00000000-0005-0000-0000-0000D9540000}"/>
    <cellStyle name="Comma 3 2 2 3 4" xfId="5533" xr:uid="{00000000-0005-0000-0000-0000DA540000}"/>
    <cellStyle name="Comma 3 2 2 3 4 2" xfId="5534" xr:uid="{00000000-0005-0000-0000-0000DB540000}"/>
    <cellStyle name="Comma 3 2 2 3 4 2 2" xfId="15585" xr:uid="{00000000-0005-0000-0000-0000DC540000}"/>
    <cellStyle name="Comma 3 2 2 3 4 2 3" xfId="22210" xr:uid="{00000000-0005-0000-0000-0000DD540000}"/>
    <cellStyle name="Comma 3 2 2 3 4 3" xfId="13771" xr:uid="{00000000-0005-0000-0000-0000DE540000}"/>
    <cellStyle name="Comma 3 2 2 3 4 3 2" xfId="27320" xr:uid="{00000000-0005-0000-0000-0000DF540000}"/>
    <cellStyle name="Comma 3 2 2 3 4 4" xfId="22211" xr:uid="{00000000-0005-0000-0000-0000E0540000}"/>
    <cellStyle name="Comma 3 2 2 3 5" xfId="5535" xr:uid="{00000000-0005-0000-0000-0000E1540000}"/>
    <cellStyle name="Comma 3 2 2 3 5 2" xfId="14352" xr:uid="{00000000-0005-0000-0000-0000E2540000}"/>
    <cellStyle name="Comma 3 2 2 3 5 2 2" xfId="27901" xr:uid="{00000000-0005-0000-0000-0000E3540000}"/>
    <cellStyle name="Comma 3 2 2 3 5 3" xfId="22209" xr:uid="{00000000-0005-0000-0000-0000E4540000}"/>
    <cellStyle name="Comma 3 2 2 3 6" xfId="5536" xr:uid="{00000000-0005-0000-0000-0000E5540000}"/>
    <cellStyle name="Comma 3 2 2 3 6 2" xfId="16238" xr:uid="{00000000-0005-0000-0000-0000E6540000}"/>
    <cellStyle name="Comma 3 2 2 3 6 2 2" xfId="29645" xr:uid="{00000000-0005-0000-0000-0000E7540000}"/>
    <cellStyle name="Comma 3 2 2 3 6 3" xfId="22208" xr:uid="{00000000-0005-0000-0000-0000E8540000}"/>
    <cellStyle name="Comma 3 2 2 3 7" xfId="9753" xr:uid="{00000000-0005-0000-0000-0000E9540000}"/>
    <cellStyle name="Comma 3 2 2 3 8" xfId="22217" xr:uid="{00000000-0005-0000-0000-0000EA540000}"/>
    <cellStyle name="Comma 3 2 2 4" xfId="5537" xr:uid="{00000000-0005-0000-0000-0000EB540000}"/>
    <cellStyle name="Comma 3 2 2 4 2" xfId="5538" xr:uid="{00000000-0005-0000-0000-0000EC540000}"/>
    <cellStyle name="Comma 3 2 2 4 2 2" xfId="17166" xr:uid="{00000000-0005-0000-0000-0000ED540000}"/>
    <cellStyle name="Comma 3 2 2 4 2 2 2" xfId="30525" xr:uid="{00000000-0005-0000-0000-0000EE540000}"/>
    <cellStyle name="Comma 3 2 2 4 2 3" xfId="22206" xr:uid="{00000000-0005-0000-0000-0000EF540000}"/>
    <cellStyle name="Comma 3 2 2 4 3" xfId="9755" xr:uid="{00000000-0005-0000-0000-0000F0540000}"/>
    <cellStyle name="Comma 3 2 2 4 4" xfId="22207" xr:uid="{00000000-0005-0000-0000-0000F1540000}"/>
    <cellStyle name="Comma 3 2 2 5" xfId="5539" xr:uid="{00000000-0005-0000-0000-0000F2540000}"/>
    <cellStyle name="Comma 3 2 2 5 2" xfId="5540" xr:uid="{00000000-0005-0000-0000-0000F3540000}"/>
    <cellStyle name="Comma 3 2 2 5 2 2" xfId="11315" xr:uid="{00000000-0005-0000-0000-0000F4540000}"/>
    <cellStyle name="Comma 3 2 2 5 2 3" xfId="22204" xr:uid="{00000000-0005-0000-0000-0000F5540000}"/>
    <cellStyle name="Comma 3 2 2 5 3" xfId="5541" xr:uid="{00000000-0005-0000-0000-0000F6540000}"/>
    <cellStyle name="Comma 3 2 2 5 3 2" xfId="17255" xr:uid="{00000000-0005-0000-0000-0000F7540000}"/>
    <cellStyle name="Comma 3 2 2 5 3 2 2" xfId="30614" xr:uid="{00000000-0005-0000-0000-0000F8540000}"/>
    <cellStyle name="Comma 3 2 2 5 3 3" xfId="22203" xr:uid="{00000000-0005-0000-0000-0000F9540000}"/>
    <cellStyle name="Comma 3 2 2 5 4" xfId="9756" xr:uid="{00000000-0005-0000-0000-0000FA540000}"/>
    <cellStyle name="Comma 3 2 2 5 5" xfId="22205" xr:uid="{00000000-0005-0000-0000-0000FB540000}"/>
    <cellStyle name="Comma 3 2 2 6" xfId="5542" xr:uid="{00000000-0005-0000-0000-0000FC540000}"/>
    <cellStyle name="Comma 3 2 2 6 2" xfId="5543" xr:uid="{00000000-0005-0000-0000-0000FD540000}"/>
    <cellStyle name="Comma 3 2 2 6 2 2" xfId="13117" xr:uid="{00000000-0005-0000-0000-0000FE540000}"/>
    <cellStyle name="Comma 3 2 2 6 2 3" xfId="22201" xr:uid="{00000000-0005-0000-0000-0000FF540000}"/>
    <cellStyle name="Comma 3 2 2 6 3" xfId="5544" xr:uid="{00000000-0005-0000-0000-000000550000}"/>
    <cellStyle name="Comma 3 2 2 6 3 2" xfId="16530" xr:uid="{00000000-0005-0000-0000-000001550000}"/>
    <cellStyle name="Comma 3 2 2 6 3 2 2" xfId="29937" xr:uid="{00000000-0005-0000-0000-000002550000}"/>
    <cellStyle name="Comma 3 2 2 6 3 3" xfId="22200" xr:uid="{00000000-0005-0000-0000-000003550000}"/>
    <cellStyle name="Comma 3 2 2 6 4" xfId="11905" xr:uid="{00000000-0005-0000-0000-000004550000}"/>
    <cellStyle name="Comma 3 2 2 6 4 2" xfId="25620" xr:uid="{00000000-0005-0000-0000-000005550000}"/>
    <cellStyle name="Comma 3 2 2 6 5" xfId="22202" xr:uid="{00000000-0005-0000-0000-000006550000}"/>
    <cellStyle name="Comma 3 2 2 7" xfId="5545" xr:uid="{00000000-0005-0000-0000-000007550000}"/>
    <cellStyle name="Comma 3 2 2 7 2" xfId="5546" xr:uid="{00000000-0005-0000-0000-000008550000}"/>
    <cellStyle name="Comma 3 2 2 7 2 2" xfId="15586" xr:uid="{00000000-0005-0000-0000-000009550000}"/>
    <cellStyle name="Comma 3 2 2 7 2 3" xfId="22198" xr:uid="{00000000-0005-0000-0000-00000A550000}"/>
    <cellStyle name="Comma 3 2 2 7 3" xfId="13482" xr:uid="{00000000-0005-0000-0000-00000B550000}"/>
    <cellStyle name="Comma 3 2 2 7 3 2" xfId="27031" xr:uid="{00000000-0005-0000-0000-00000C550000}"/>
    <cellStyle name="Comma 3 2 2 7 4" xfId="22199" xr:uid="{00000000-0005-0000-0000-00000D550000}"/>
    <cellStyle name="Comma 3 2 2 8" xfId="5547" xr:uid="{00000000-0005-0000-0000-00000E550000}"/>
    <cellStyle name="Comma 3 2 2 8 2" xfId="14063" xr:uid="{00000000-0005-0000-0000-00000F550000}"/>
    <cellStyle name="Comma 3 2 2 8 2 2" xfId="27612" xr:uid="{00000000-0005-0000-0000-000010550000}"/>
    <cellStyle name="Comma 3 2 2 8 3" xfId="22197" xr:uid="{00000000-0005-0000-0000-000011550000}"/>
    <cellStyle name="Comma 3 2 2 9" xfId="5548" xr:uid="{00000000-0005-0000-0000-000012550000}"/>
    <cellStyle name="Comma 3 2 2 9 2" xfId="15949" xr:uid="{00000000-0005-0000-0000-000013550000}"/>
    <cellStyle name="Comma 3 2 2 9 2 2" xfId="29356" xr:uid="{00000000-0005-0000-0000-000014550000}"/>
    <cellStyle name="Comma 3 2 2 9 3" xfId="22196" xr:uid="{00000000-0005-0000-0000-000015550000}"/>
    <cellStyle name="Comma 3 2 3" xfId="5549" xr:uid="{00000000-0005-0000-0000-000016550000}"/>
    <cellStyle name="Comma 3 2 3 2" xfId="5550" xr:uid="{00000000-0005-0000-0000-000017550000}"/>
    <cellStyle name="Comma 3 2 3 2 2" xfId="5551" xr:uid="{00000000-0005-0000-0000-000018550000}"/>
    <cellStyle name="Comma 3 2 3 2 2 2" xfId="5552" xr:uid="{00000000-0005-0000-0000-000019550000}"/>
    <cellStyle name="Comma 3 2 3 2 2 2 2" xfId="11316" xr:uid="{00000000-0005-0000-0000-00001A550000}"/>
    <cellStyle name="Comma 3 2 3 2 2 2 3" xfId="22192" xr:uid="{00000000-0005-0000-0000-00001B550000}"/>
    <cellStyle name="Comma 3 2 3 2 2 3" xfId="5553" xr:uid="{00000000-0005-0000-0000-00001C550000}"/>
    <cellStyle name="Comma 3 2 3 2 2 3 2" xfId="16916" xr:uid="{00000000-0005-0000-0000-00001D550000}"/>
    <cellStyle name="Comma 3 2 3 2 2 3 2 2" xfId="30323" xr:uid="{00000000-0005-0000-0000-00001E550000}"/>
    <cellStyle name="Comma 3 2 3 2 2 3 3" xfId="22191" xr:uid="{00000000-0005-0000-0000-00001F550000}"/>
    <cellStyle name="Comma 3 2 3 2 2 4" xfId="9759" xr:uid="{00000000-0005-0000-0000-000020550000}"/>
    <cellStyle name="Comma 3 2 3 2 2 5" xfId="22193" xr:uid="{00000000-0005-0000-0000-000021550000}"/>
    <cellStyle name="Comma 3 2 3 2 3" xfId="5554" xr:uid="{00000000-0005-0000-0000-000022550000}"/>
    <cellStyle name="Comma 3 2 3 2 3 2" xfId="5555" xr:uid="{00000000-0005-0000-0000-000023550000}"/>
    <cellStyle name="Comma 3 2 3 2 3 2 2" xfId="13118" xr:uid="{00000000-0005-0000-0000-000024550000}"/>
    <cellStyle name="Comma 3 2 3 2 3 2 3" xfId="22189" xr:uid="{00000000-0005-0000-0000-000025550000}"/>
    <cellStyle name="Comma 3 2 3 2 3 3" xfId="12304" xr:uid="{00000000-0005-0000-0000-000026550000}"/>
    <cellStyle name="Comma 3 2 3 2 3 3 2" xfId="26016" xr:uid="{00000000-0005-0000-0000-000027550000}"/>
    <cellStyle name="Comma 3 2 3 2 3 4" xfId="22190" xr:uid="{00000000-0005-0000-0000-000028550000}"/>
    <cellStyle name="Comma 3 2 3 2 4" xfId="5556" xr:uid="{00000000-0005-0000-0000-000029550000}"/>
    <cellStyle name="Comma 3 2 3 2 4 2" xfId="5557" xr:uid="{00000000-0005-0000-0000-00002A550000}"/>
    <cellStyle name="Comma 3 2 3 2 4 2 2" xfId="15587" xr:uid="{00000000-0005-0000-0000-00002B550000}"/>
    <cellStyle name="Comma 3 2 3 2 4 2 3" xfId="22187" xr:uid="{00000000-0005-0000-0000-00002C550000}"/>
    <cellStyle name="Comma 3 2 3 2 4 3" xfId="13868" xr:uid="{00000000-0005-0000-0000-00002D550000}"/>
    <cellStyle name="Comma 3 2 3 2 4 3 2" xfId="27417" xr:uid="{00000000-0005-0000-0000-00002E550000}"/>
    <cellStyle name="Comma 3 2 3 2 4 4" xfId="22188" xr:uid="{00000000-0005-0000-0000-00002F550000}"/>
    <cellStyle name="Comma 3 2 3 2 5" xfId="5558" xr:uid="{00000000-0005-0000-0000-000030550000}"/>
    <cellStyle name="Comma 3 2 3 2 5 2" xfId="14449" xr:uid="{00000000-0005-0000-0000-000031550000}"/>
    <cellStyle name="Comma 3 2 3 2 5 2 2" xfId="27998" xr:uid="{00000000-0005-0000-0000-000032550000}"/>
    <cellStyle name="Comma 3 2 3 2 5 3" xfId="22186" xr:uid="{00000000-0005-0000-0000-000033550000}"/>
    <cellStyle name="Comma 3 2 3 2 6" xfId="5559" xr:uid="{00000000-0005-0000-0000-000034550000}"/>
    <cellStyle name="Comma 3 2 3 2 6 2" xfId="16335" xr:uid="{00000000-0005-0000-0000-000035550000}"/>
    <cellStyle name="Comma 3 2 3 2 6 2 2" xfId="29742" xr:uid="{00000000-0005-0000-0000-000036550000}"/>
    <cellStyle name="Comma 3 2 3 2 6 3" xfId="22185" xr:uid="{00000000-0005-0000-0000-000037550000}"/>
    <cellStyle name="Comma 3 2 3 2 7" xfId="9758" xr:uid="{00000000-0005-0000-0000-000038550000}"/>
    <cellStyle name="Comma 3 2 3 2 8" xfId="22194" xr:uid="{00000000-0005-0000-0000-000039550000}"/>
    <cellStyle name="Comma 3 2 3 3" xfId="5560" xr:uid="{00000000-0005-0000-0000-00003A550000}"/>
    <cellStyle name="Comma 3 2 3 3 2" xfId="5561" xr:uid="{00000000-0005-0000-0000-00003B550000}"/>
    <cellStyle name="Comma 3 2 3 3 2 2" xfId="11317" xr:uid="{00000000-0005-0000-0000-00003C550000}"/>
    <cellStyle name="Comma 3 2 3 3 2 3" xfId="22183" xr:uid="{00000000-0005-0000-0000-00003D550000}"/>
    <cellStyle name="Comma 3 2 3 3 3" xfId="5562" xr:uid="{00000000-0005-0000-0000-00003E550000}"/>
    <cellStyle name="Comma 3 2 3 3 3 2" xfId="16627" xr:uid="{00000000-0005-0000-0000-00003F550000}"/>
    <cellStyle name="Comma 3 2 3 3 3 2 2" xfId="30034" xr:uid="{00000000-0005-0000-0000-000040550000}"/>
    <cellStyle name="Comma 3 2 3 3 3 3" xfId="22182" xr:uid="{00000000-0005-0000-0000-000041550000}"/>
    <cellStyle name="Comma 3 2 3 3 4" xfId="9760" xr:uid="{00000000-0005-0000-0000-000042550000}"/>
    <cellStyle name="Comma 3 2 3 3 5" xfId="22184" xr:uid="{00000000-0005-0000-0000-000043550000}"/>
    <cellStyle name="Comma 3 2 3 4" xfId="5563" xr:uid="{00000000-0005-0000-0000-000044550000}"/>
    <cellStyle name="Comma 3 2 3 4 2" xfId="5564" xr:uid="{00000000-0005-0000-0000-000045550000}"/>
    <cellStyle name="Comma 3 2 3 4 2 2" xfId="13119" xr:uid="{00000000-0005-0000-0000-000046550000}"/>
    <cellStyle name="Comma 3 2 3 4 2 3" xfId="22180" xr:uid="{00000000-0005-0000-0000-000047550000}"/>
    <cellStyle name="Comma 3 2 3 4 3" xfId="12004" xr:uid="{00000000-0005-0000-0000-000048550000}"/>
    <cellStyle name="Comma 3 2 3 4 3 2" xfId="25719" xr:uid="{00000000-0005-0000-0000-000049550000}"/>
    <cellStyle name="Comma 3 2 3 4 4" xfId="22181" xr:uid="{00000000-0005-0000-0000-00004A550000}"/>
    <cellStyle name="Comma 3 2 3 5" xfId="5565" xr:uid="{00000000-0005-0000-0000-00004B550000}"/>
    <cellStyle name="Comma 3 2 3 5 2" xfId="5566" xr:uid="{00000000-0005-0000-0000-00004C550000}"/>
    <cellStyle name="Comma 3 2 3 5 2 2" xfId="15588" xr:uid="{00000000-0005-0000-0000-00004D550000}"/>
    <cellStyle name="Comma 3 2 3 5 2 3" xfId="22178" xr:uid="{00000000-0005-0000-0000-00004E550000}"/>
    <cellStyle name="Comma 3 2 3 5 3" xfId="13579" xr:uid="{00000000-0005-0000-0000-00004F550000}"/>
    <cellStyle name="Comma 3 2 3 5 3 2" xfId="27128" xr:uid="{00000000-0005-0000-0000-000050550000}"/>
    <cellStyle name="Comma 3 2 3 5 4" xfId="22179" xr:uid="{00000000-0005-0000-0000-000051550000}"/>
    <cellStyle name="Comma 3 2 3 6" xfId="5567" xr:uid="{00000000-0005-0000-0000-000052550000}"/>
    <cellStyle name="Comma 3 2 3 6 2" xfId="14160" xr:uid="{00000000-0005-0000-0000-000053550000}"/>
    <cellStyle name="Comma 3 2 3 6 2 2" xfId="27709" xr:uid="{00000000-0005-0000-0000-000054550000}"/>
    <cellStyle name="Comma 3 2 3 6 3" xfId="22177" xr:uid="{00000000-0005-0000-0000-000055550000}"/>
    <cellStyle name="Comma 3 2 3 7" xfId="5568" xr:uid="{00000000-0005-0000-0000-000056550000}"/>
    <cellStyle name="Comma 3 2 3 7 2" xfId="16046" xr:uid="{00000000-0005-0000-0000-000057550000}"/>
    <cellStyle name="Comma 3 2 3 7 2 2" xfId="29453" xr:uid="{00000000-0005-0000-0000-000058550000}"/>
    <cellStyle name="Comma 3 2 3 7 3" xfId="22176" xr:uid="{00000000-0005-0000-0000-000059550000}"/>
    <cellStyle name="Comma 3 2 3 8" xfId="9757" xr:uid="{00000000-0005-0000-0000-00005A550000}"/>
    <cellStyle name="Comma 3 2 3 9" xfId="22195" xr:uid="{00000000-0005-0000-0000-00005B550000}"/>
    <cellStyle name="Comma 3 2 4" xfId="5569" xr:uid="{00000000-0005-0000-0000-00005C550000}"/>
    <cellStyle name="Comma 3 2 4 2" xfId="5570" xr:uid="{00000000-0005-0000-0000-00005D550000}"/>
    <cellStyle name="Comma 3 2 4 2 2" xfId="5571" xr:uid="{00000000-0005-0000-0000-00005E550000}"/>
    <cellStyle name="Comma 3 2 4 2 2 2" xfId="11318" xr:uid="{00000000-0005-0000-0000-00005F550000}"/>
    <cellStyle name="Comma 3 2 4 2 2 3" xfId="22173" xr:uid="{00000000-0005-0000-0000-000060550000}"/>
    <cellStyle name="Comma 3 2 4 2 3" xfId="5572" xr:uid="{00000000-0005-0000-0000-000061550000}"/>
    <cellStyle name="Comma 3 2 4 2 3 2" xfId="16773" xr:uid="{00000000-0005-0000-0000-000062550000}"/>
    <cellStyle name="Comma 3 2 4 2 3 2 2" xfId="30180" xr:uid="{00000000-0005-0000-0000-000063550000}"/>
    <cellStyle name="Comma 3 2 4 2 3 3" xfId="22172" xr:uid="{00000000-0005-0000-0000-000064550000}"/>
    <cellStyle name="Comma 3 2 4 2 4" xfId="9762" xr:uid="{00000000-0005-0000-0000-000065550000}"/>
    <cellStyle name="Comma 3 2 4 2 5" xfId="22174" xr:uid="{00000000-0005-0000-0000-000066550000}"/>
    <cellStyle name="Comma 3 2 4 3" xfId="5573" xr:uid="{00000000-0005-0000-0000-000067550000}"/>
    <cellStyle name="Comma 3 2 4 3 2" xfId="5574" xr:uid="{00000000-0005-0000-0000-000068550000}"/>
    <cellStyle name="Comma 3 2 4 3 2 2" xfId="13120" xr:uid="{00000000-0005-0000-0000-000069550000}"/>
    <cellStyle name="Comma 3 2 4 3 2 3" xfId="22170" xr:uid="{00000000-0005-0000-0000-00006A550000}"/>
    <cellStyle name="Comma 3 2 4 3 3" xfId="12161" xr:uid="{00000000-0005-0000-0000-00006B550000}"/>
    <cellStyle name="Comma 3 2 4 3 3 2" xfId="25873" xr:uid="{00000000-0005-0000-0000-00006C550000}"/>
    <cellStyle name="Comma 3 2 4 3 4" xfId="22171" xr:uid="{00000000-0005-0000-0000-00006D550000}"/>
    <cellStyle name="Comma 3 2 4 4" xfId="5575" xr:uid="{00000000-0005-0000-0000-00006E550000}"/>
    <cellStyle name="Comma 3 2 4 4 2" xfId="5576" xr:uid="{00000000-0005-0000-0000-00006F550000}"/>
    <cellStyle name="Comma 3 2 4 4 2 2" xfId="15589" xr:uid="{00000000-0005-0000-0000-000070550000}"/>
    <cellStyle name="Comma 3 2 4 4 2 3" xfId="22168" xr:uid="{00000000-0005-0000-0000-000071550000}"/>
    <cellStyle name="Comma 3 2 4 4 3" xfId="13725" xr:uid="{00000000-0005-0000-0000-000072550000}"/>
    <cellStyle name="Comma 3 2 4 4 3 2" xfId="27274" xr:uid="{00000000-0005-0000-0000-000073550000}"/>
    <cellStyle name="Comma 3 2 4 4 4" xfId="22169" xr:uid="{00000000-0005-0000-0000-000074550000}"/>
    <cellStyle name="Comma 3 2 4 5" xfId="5577" xr:uid="{00000000-0005-0000-0000-000075550000}"/>
    <cellStyle name="Comma 3 2 4 5 2" xfId="14306" xr:uid="{00000000-0005-0000-0000-000076550000}"/>
    <cellStyle name="Comma 3 2 4 5 2 2" xfId="27855" xr:uid="{00000000-0005-0000-0000-000077550000}"/>
    <cellStyle name="Comma 3 2 4 5 3" xfId="22167" xr:uid="{00000000-0005-0000-0000-000078550000}"/>
    <cellStyle name="Comma 3 2 4 6" xfId="5578" xr:uid="{00000000-0005-0000-0000-000079550000}"/>
    <cellStyle name="Comma 3 2 4 6 2" xfId="16192" xr:uid="{00000000-0005-0000-0000-00007A550000}"/>
    <cellStyle name="Comma 3 2 4 6 2 2" xfId="29599" xr:uid="{00000000-0005-0000-0000-00007B550000}"/>
    <cellStyle name="Comma 3 2 4 6 3" xfId="22166" xr:uid="{00000000-0005-0000-0000-00007C550000}"/>
    <cellStyle name="Comma 3 2 4 7" xfId="9761" xr:uid="{00000000-0005-0000-0000-00007D550000}"/>
    <cellStyle name="Comma 3 2 4 8" xfId="22175" xr:uid="{00000000-0005-0000-0000-00007E550000}"/>
    <cellStyle name="Comma 3 2 5" xfId="5579" xr:uid="{00000000-0005-0000-0000-00007F550000}"/>
    <cellStyle name="Comma 3 2 5 2" xfId="5580" xr:uid="{00000000-0005-0000-0000-000080550000}"/>
    <cellStyle name="Comma 3 2 5 2 2" xfId="5581" xr:uid="{00000000-0005-0000-0000-000081550000}"/>
    <cellStyle name="Comma 3 2 5 2 2 2" xfId="11320" xr:uid="{00000000-0005-0000-0000-000082550000}"/>
    <cellStyle name="Comma 3 2 5 2 2 3" xfId="22163" xr:uid="{00000000-0005-0000-0000-000083550000}"/>
    <cellStyle name="Comma 3 2 5 2 3" xfId="9764" xr:uid="{00000000-0005-0000-0000-000084550000}"/>
    <cellStyle name="Comma 3 2 5 2 4" xfId="22164" xr:uid="{00000000-0005-0000-0000-000085550000}"/>
    <cellStyle name="Comma 3 2 5 3" xfId="5582" xr:uid="{00000000-0005-0000-0000-000086550000}"/>
    <cellStyle name="Comma 3 2 5 3 2" xfId="11319" xr:uid="{00000000-0005-0000-0000-000087550000}"/>
    <cellStyle name="Comma 3 2 5 3 3" xfId="22162" xr:uid="{00000000-0005-0000-0000-000088550000}"/>
    <cellStyle name="Comma 3 2 5 4" xfId="5583" xr:uid="{00000000-0005-0000-0000-000089550000}"/>
    <cellStyle name="Comma 3 2 5 4 2" xfId="17009" xr:uid="{00000000-0005-0000-0000-00008A550000}"/>
    <cellStyle name="Comma 3 2 5 4 2 2" xfId="30416" xr:uid="{00000000-0005-0000-0000-00008B550000}"/>
    <cellStyle name="Comma 3 2 5 4 3" xfId="22161" xr:uid="{00000000-0005-0000-0000-00008C550000}"/>
    <cellStyle name="Comma 3 2 5 5" xfId="9763" xr:uid="{00000000-0005-0000-0000-00008D550000}"/>
    <cellStyle name="Comma 3 2 5 6" xfId="22165" xr:uid="{00000000-0005-0000-0000-00008E550000}"/>
    <cellStyle name="Comma 3 2 6" xfId="5584" xr:uid="{00000000-0005-0000-0000-00008F550000}"/>
    <cellStyle name="Comma 3 2 6 2" xfId="5585" xr:uid="{00000000-0005-0000-0000-000090550000}"/>
    <cellStyle name="Comma 3 2 6 2 2" xfId="17120" xr:uid="{00000000-0005-0000-0000-000091550000}"/>
    <cellStyle name="Comma 3 2 6 2 2 2" xfId="30479" xr:uid="{00000000-0005-0000-0000-000092550000}"/>
    <cellStyle name="Comma 3 2 6 2 3" xfId="22159" xr:uid="{00000000-0005-0000-0000-000093550000}"/>
    <cellStyle name="Comma 3 2 6 3" xfId="9765" xr:uid="{00000000-0005-0000-0000-000094550000}"/>
    <cellStyle name="Comma 3 2 6 4" xfId="22160" xr:uid="{00000000-0005-0000-0000-000095550000}"/>
    <cellStyle name="Comma 3 2 7" xfId="5586" xr:uid="{00000000-0005-0000-0000-000096550000}"/>
    <cellStyle name="Comma 3 2 7 2" xfId="5587" xr:uid="{00000000-0005-0000-0000-000097550000}"/>
    <cellStyle name="Comma 3 2 7 2 2" xfId="11321" xr:uid="{00000000-0005-0000-0000-000098550000}"/>
    <cellStyle name="Comma 3 2 7 2 3" xfId="22157" xr:uid="{00000000-0005-0000-0000-000099550000}"/>
    <cellStyle name="Comma 3 2 7 3" xfId="5588" xr:uid="{00000000-0005-0000-0000-00009A550000}"/>
    <cellStyle name="Comma 3 2 7 3 2" xfId="17209" xr:uid="{00000000-0005-0000-0000-00009B550000}"/>
    <cellStyle name="Comma 3 2 7 3 2 2" xfId="30568" xr:uid="{00000000-0005-0000-0000-00009C550000}"/>
    <cellStyle name="Comma 3 2 7 3 3" xfId="22156" xr:uid="{00000000-0005-0000-0000-00009D550000}"/>
    <cellStyle name="Comma 3 2 7 4" xfId="9766" xr:uid="{00000000-0005-0000-0000-00009E550000}"/>
    <cellStyle name="Comma 3 2 7 5" xfId="22158" xr:uid="{00000000-0005-0000-0000-00009F550000}"/>
    <cellStyle name="Comma 3 2 8" xfId="5589" xr:uid="{00000000-0005-0000-0000-0000A0550000}"/>
    <cellStyle name="Comma 3 2 8 2" xfId="5590" xr:uid="{00000000-0005-0000-0000-0000A1550000}"/>
    <cellStyle name="Comma 3 2 8 2 2" xfId="11322" xr:uid="{00000000-0005-0000-0000-0000A2550000}"/>
    <cellStyle name="Comma 3 2 8 2 3" xfId="22154" xr:uid="{00000000-0005-0000-0000-0000A3550000}"/>
    <cellStyle name="Comma 3 2 8 3" xfId="5591" xr:uid="{00000000-0005-0000-0000-0000A4550000}"/>
    <cellStyle name="Comma 3 2 8 3 2" xfId="16484" xr:uid="{00000000-0005-0000-0000-0000A5550000}"/>
    <cellStyle name="Comma 3 2 8 3 2 2" xfId="29891" xr:uid="{00000000-0005-0000-0000-0000A6550000}"/>
    <cellStyle name="Comma 3 2 8 3 3" xfId="22153" xr:uid="{00000000-0005-0000-0000-0000A7550000}"/>
    <cellStyle name="Comma 3 2 8 4" xfId="9767" xr:uid="{00000000-0005-0000-0000-0000A8550000}"/>
    <cellStyle name="Comma 3 2 8 5" xfId="22155" xr:uid="{00000000-0005-0000-0000-0000A9550000}"/>
    <cellStyle name="Comma 3 2 9" xfId="5592" xr:uid="{00000000-0005-0000-0000-0000AA550000}"/>
    <cellStyle name="Comma 3 2 9 2" xfId="5593" xr:uid="{00000000-0005-0000-0000-0000AB550000}"/>
    <cellStyle name="Comma 3 2 9 2 2" xfId="13121" xr:uid="{00000000-0005-0000-0000-0000AC550000}"/>
    <cellStyle name="Comma 3 2 9 2 2 2" xfId="26833" xr:uid="{00000000-0005-0000-0000-0000AD550000}"/>
    <cellStyle name="Comma 3 2 9 2 3" xfId="22151" xr:uid="{00000000-0005-0000-0000-0000AE550000}"/>
    <cellStyle name="Comma 3 2 9 3" xfId="5594" xr:uid="{00000000-0005-0000-0000-0000AF550000}"/>
    <cellStyle name="Comma 3 2 9 3 2" xfId="15590" xr:uid="{00000000-0005-0000-0000-0000B0550000}"/>
    <cellStyle name="Comma 3 2 9 3 3" xfId="22150" xr:uid="{00000000-0005-0000-0000-0000B1550000}"/>
    <cellStyle name="Comma 3 2 9 4" xfId="10529" xr:uid="{00000000-0005-0000-0000-0000B2550000}"/>
    <cellStyle name="Comma 3 2 9 4 2" xfId="24471" xr:uid="{00000000-0005-0000-0000-0000B3550000}"/>
    <cellStyle name="Comma 3 2 9 5" xfId="22152" xr:uid="{00000000-0005-0000-0000-0000B4550000}"/>
    <cellStyle name="Comma 3 20" xfId="5595" xr:uid="{00000000-0005-0000-0000-0000B5550000}"/>
    <cellStyle name="Comma 3 20 2" xfId="5596" xr:uid="{00000000-0005-0000-0000-0000B6550000}"/>
    <cellStyle name="Comma 3 20 2 2" xfId="11323" xr:uid="{00000000-0005-0000-0000-0000B7550000}"/>
    <cellStyle name="Comma 3 20 2 3" xfId="22148" xr:uid="{00000000-0005-0000-0000-0000B8550000}"/>
    <cellStyle name="Comma 3 20 3" xfId="9768" xr:uid="{00000000-0005-0000-0000-0000B9550000}"/>
    <cellStyle name="Comma 3 20 4" xfId="22149" xr:uid="{00000000-0005-0000-0000-0000BA550000}"/>
    <cellStyle name="Comma 3 21" xfId="5597" xr:uid="{00000000-0005-0000-0000-0000BB550000}"/>
    <cellStyle name="Comma 3 21 2" xfId="5598" xr:uid="{00000000-0005-0000-0000-0000BC550000}"/>
    <cellStyle name="Comma 3 21 2 2" xfId="11711" xr:uid="{00000000-0005-0000-0000-0000BD550000}"/>
    <cellStyle name="Comma 3 21 2 2 2" xfId="25431" xr:uid="{00000000-0005-0000-0000-0000BE550000}"/>
    <cellStyle name="Comma 3 21 2 3" xfId="22146" xr:uid="{00000000-0005-0000-0000-0000BF550000}"/>
    <cellStyle name="Comma 3 21 3" xfId="5599" xr:uid="{00000000-0005-0000-0000-0000C0550000}"/>
    <cellStyle name="Comma 3 21 3 2" xfId="13122" xr:uid="{00000000-0005-0000-0000-0000C1550000}"/>
    <cellStyle name="Comma 3 21 3 2 2" xfId="26834" xr:uid="{00000000-0005-0000-0000-0000C2550000}"/>
    <cellStyle name="Comma 3 21 3 3" xfId="22145" xr:uid="{00000000-0005-0000-0000-0000C3550000}"/>
    <cellStyle name="Comma 3 21 4" xfId="5600" xr:uid="{00000000-0005-0000-0000-0000C4550000}"/>
    <cellStyle name="Comma 3 21 4 2" xfId="15591" xr:uid="{00000000-0005-0000-0000-0000C5550000}"/>
    <cellStyle name="Comma 3 21 4 3" xfId="22144" xr:uid="{00000000-0005-0000-0000-0000C6550000}"/>
    <cellStyle name="Comma 3 21 5" xfId="10476" xr:uid="{00000000-0005-0000-0000-0000C7550000}"/>
    <cellStyle name="Comma 3 21 5 2" xfId="24435" xr:uid="{00000000-0005-0000-0000-0000C8550000}"/>
    <cellStyle name="Comma 3 21 6" xfId="22147" xr:uid="{00000000-0005-0000-0000-0000C9550000}"/>
    <cellStyle name="Comma 3 22" xfId="5601" xr:uid="{00000000-0005-0000-0000-0000CA550000}"/>
    <cellStyle name="Comma 3 22 2" xfId="5602" xr:uid="{00000000-0005-0000-0000-0000CB550000}"/>
    <cellStyle name="Comma 3 22 2 2" xfId="13123" xr:uid="{00000000-0005-0000-0000-0000CC550000}"/>
    <cellStyle name="Comma 3 22 2 2 2" xfId="26835" xr:uid="{00000000-0005-0000-0000-0000CD550000}"/>
    <cellStyle name="Comma 3 22 2 3" xfId="22142" xr:uid="{00000000-0005-0000-0000-0000CE550000}"/>
    <cellStyle name="Comma 3 22 3" xfId="5603" xr:uid="{00000000-0005-0000-0000-0000CF550000}"/>
    <cellStyle name="Comma 3 22 3 2" xfId="15592" xr:uid="{00000000-0005-0000-0000-0000D0550000}"/>
    <cellStyle name="Comma 3 22 3 3" xfId="22141" xr:uid="{00000000-0005-0000-0000-0000D1550000}"/>
    <cellStyle name="Comma 3 22 4" xfId="10506" xr:uid="{00000000-0005-0000-0000-0000D2550000}"/>
    <cellStyle name="Comma 3 22 4 2" xfId="24454" xr:uid="{00000000-0005-0000-0000-0000D3550000}"/>
    <cellStyle name="Comma 3 22 5" xfId="22143" xr:uid="{00000000-0005-0000-0000-0000D4550000}"/>
    <cellStyle name="Comma 3 23" xfId="5604" xr:uid="{00000000-0005-0000-0000-0000D5550000}"/>
    <cellStyle name="Comma 3 23 2" xfId="11303" xr:uid="{00000000-0005-0000-0000-0000D6550000}"/>
    <cellStyle name="Comma 3 23 3" xfId="22140" xr:uid="{00000000-0005-0000-0000-0000D7550000}"/>
    <cellStyle name="Comma 3 24" xfId="5605" xr:uid="{00000000-0005-0000-0000-0000D8550000}"/>
    <cellStyle name="Comma 3 24 2" xfId="11749" xr:uid="{00000000-0005-0000-0000-0000D9550000}"/>
    <cellStyle name="Comma 3 24 2 2" xfId="25464" xr:uid="{00000000-0005-0000-0000-0000DA550000}"/>
    <cellStyle name="Comma 3 24 3" xfId="22139" xr:uid="{00000000-0005-0000-0000-0000DB550000}"/>
    <cellStyle name="Comma 3 25" xfId="5606" xr:uid="{00000000-0005-0000-0000-0000DC550000}"/>
    <cellStyle name="Comma 3 25 2" xfId="13379" xr:uid="{00000000-0005-0000-0000-0000DD550000}"/>
    <cellStyle name="Comma 3 25 2 2" xfId="26928" xr:uid="{00000000-0005-0000-0000-0000DE550000}"/>
    <cellStyle name="Comma 3 25 3" xfId="22138" xr:uid="{00000000-0005-0000-0000-0000DF550000}"/>
    <cellStyle name="Comma 3 26" xfId="5607" xr:uid="{00000000-0005-0000-0000-0000E0550000}"/>
    <cellStyle name="Comma 3 26 2" xfId="13960" xr:uid="{00000000-0005-0000-0000-0000E1550000}"/>
    <cellStyle name="Comma 3 26 2 2" xfId="27509" xr:uid="{00000000-0005-0000-0000-0000E2550000}"/>
    <cellStyle name="Comma 3 26 3" xfId="22137" xr:uid="{00000000-0005-0000-0000-0000E3550000}"/>
    <cellStyle name="Comma 3 27" xfId="5608" xr:uid="{00000000-0005-0000-0000-0000E4550000}"/>
    <cellStyle name="Comma 3 27 2" xfId="15818" xr:uid="{00000000-0005-0000-0000-0000E5550000}"/>
    <cellStyle name="Comma 3 27 2 2" xfId="29225" xr:uid="{00000000-0005-0000-0000-0000E6550000}"/>
    <cellStyle name="Comma 3 27 3" xfId="22136" xr:uid="{00000000-0005-0000-0000-0000E7550000}"/>
    <cellStyle name="Comma 3 28" xfId="5609" xr:uid="{00000000-0005-0000-0000-0000E8550000}"/>
    <cellStyle name="Comma 3 28 2" xfId="15846" xr:uid="{00000000-0005-0000-0000-0000E9550000}"/>
    <cellStyle name="Comma 3 28 2 2" xfId="29253" xr:uid="{00000000-0005-0000-0000-0000EA550000}"/>
    <cellStyle name="Comma 3 28 3" xfId="22135" xr:uid="{00000000-0005-0000-0000-0000EB550000}"/>
    <cellStyle name="Comma 3 29" xfId="8648" xr:uid="{00000000-0005-0000-0000-0000EC550000}"/>
    <cellStyle name="Comma 3 29 2" xfId="9735" xr:uid="{00000000-0005-0000-0000-0000ED550000}"/>
    <cellStyle name="Comma 3 3" xfId="5610" xr:uid="{00000000-0005-0000-0000-0000EE550000}"/>
    <cellStyle name="Comma 3 3 10" xfId="5611" xr:uid="{00000000-0005-0000-0000-0000EF550000}"/>
    <cellStyle name="Comma 3 3 10 2" xfId="17320" xr:uid="{00000000-0005-0000-0000-0000F0550000}"/>
    <cellStyle name="Comma 3 3 10 3" xfId="22133" xr:uid="{00000000-0005-0000-0000-0000F1550000}"/>
    <cellStyle name="Comma 3 3 11" xfId="8728" xr:uid="{00000000-0005-0000-0000-0000F2550000}"/>
    <cellStyle name="Comma 3 3 12" xfId="9769" xr:uid="{00000000-0005-0000-0000-0000F3550000}"/>
    <cellStyle name="Comma 3 3 13" xfId="22134" xr:uid="{00000000-0005-0000-0000-0000F4550000}"/>
    <cellStyle name="Comma 3 3 2" xfId="5612" xr:uid="{00000000-0005-0000-0000-0000F5550000}"/>
    <cellStyle name="Comma 3 3 2 2" xfId="5613" xr:uid="{00000000-0005-0000-0000-0000F6550000}"/>
    <cellStyle name="Comma 3 3 2 2 2" xfId="5614" xr:uid="{00000000-0005-0000-0000-0000F7550000}"/>
    <cellStyle name="Comma 3 3 2 2 2 2" xfId="5615" xr:uid="{00000000-0005-0000-0000-0000F8550000}"/>
    <cellStyle name="Comma 3 3 2 2 2 2 2" xfId="11324" xr:uid="{00000000-0005-0000-0000-0000F9550000}"/>
    <cellStyle name="Comma 3 3 2 2 2 2 3" xfId="22129" xr:uid="{00000000-0005-0000-0000-0000FA550000}"/>
    <cellStyle name="Comma 3 3 2 2 2 3" xfId="5616" xr:uid="{00000000-0005-0000-0000-0000FB550000}"/>
    <cellStyle name="Comma 3 3 2 2 2 3 2" xfId="16939" xr:uid="{00000000-0005-0000-0000-0000FC550000}"/>
    <cellStyle name="Comma 3 3 2 2 2 3 2 2" xfId="30346" xr:uid="{00000000-0005-0000-0000-0000FD550000}"/>
    <cellStyle name="Comma 3 3 2 2 2 3 3" xfId="22128" xr:uid="{00000000-0005-0000-0000-0000FE550000}"/>
    <cellStyle name="Comma 3 3 2 2 2 4" xfId="9772" xr:uid="{00000000-0005-0000-0000-0000FF550000}"/>
    <cellStyle name="Comma 3 3 2 2 2 5" xfId="22130" xr:uid="{00000000-0005-0000-0000-000000560000}"/>
    <cellStyle name="Comma 3 3 2 2 3" xfId="5617" xr:uid="{00000000-0005-0000-0000-000001560000}"/>
    <cellStyle name="Comma 3 3 2 2 3 2" xfId="5618" xr:uid="{00000000-0005-0000-0000-000002560000}"/>
    <cellStyle name="Comma 3 3 2 2 3 2 2" xfId="13124" xr:uid="{00000000-0005-0000-0000-000003560000}"/>
    <cellStyle name="Comma 3 3 2 2 3 2 3" xfId="22126" xr:uid="{00000000-0005-0000-0000-000004560000}"/>
    <cellStyle name="Comma 3 3 2 2 3 3" xfId="12327" xr:uid="{00000000-0005-0000-0000-000005560000}"/>
    <cellStyle name="Comma 3 3 2 2 3 3 2" xfId="26039" xr:uid="{00000000-0005-0000-0000-000006560000}"/>
    <cellStyle name="Comma 3 3 2 2 3 4" xfId="22127" xr:uid="{00000000-0005-0000-0000-000007560000}"/>
    <cellStyle name="Comma 3 3 2 2 4" xfId="5619" xr:uid="{00000000-0005-0000-0000-000008560000}"/>
    <cellStyle name="Comma 3 3 2 2 4 2" xfId="5620" xr:uid="{00000000-0005-0000-0000-000009560000}"/>
    <cellStyle name="Comma 3 3 2 2 4 2 2" xfId="15593" xr:uid="{00000000-0005-0000-0000-00000A560000}"/>
    <cellStyle name="Comma 3 3 2 2 4 2 3" xfId="22124" xr:uid="{00000000-0005-0000-0000-00000B560000}"/>
    <cellStyle name="Comma 3 3 2 2 4 3" xfId="13891" xr:uid="{00000000-0005-0000-0000-00000C560000}"/>
    <cellStyle name="Comma 3 3 2 2 4 3 2" xfId="27440" xr:uid="{00000000-0005-0000-0000-00000D560000}"/>
    <cellStyle name="Comma 3 3 2 2 4 4" xfId="22125" xr:uid="{00000000-0005-0000-0000-00000E560000}"/>
    <cellStyle name="Comma 3 3 2 2 5" xfId="5621" xr:uid="{00000000-0005-0000-0000-00000F560000}"/>
    <cellStyle name="Comma 3 3 2 2 5 2" xfId="14472" xr:uid="{00000000-0005-0000-0000-000010560000}"/>
    <cellStyle name="Comma 3 3 2 2 5 2 2" xfId="28021" xr:uid="{00000000-0005-0000-0000-000011560000}"/>
    <cellStyle name="Comma 3 3 2 2 5 3" xfId="22123" xr:uid="{00000000-0005-0000-0000-000012560000}"/>
    <cellStyle name="Comma 3 3 2 2 6" xfId="5622" xr:uid="{00000000-0005-0000-0000-000013560000}"/>
    <cellStyle name="Comma 3 3 2 2 6 2" xfId="16358" xr:uid="{00000000-0005-0000-0000-000014560000}"/>
    <cellStyle name="Comma 3 3 2 2 6 2 2" xfId="29765" xr:uid="{00000000-0005-0000-0000-000015560000}"/>
    <cellStyle name="Comma 3 3 2 2 6 3" xfId="22122" xr:uid="{00000000-0005-0000-0000-000016560000}"/>
    <cellStyle name="Comma 3 3 2 2 7" xfId="9771" xr:uid="{00000000-0005-0000-0000-000017560000}"/>
    <cellStyle name="Comma 3 3 2 2 8" xfId="22131" xr:uid="{00000000-0005-0000-0000-000018560000}"/>
    <cellStyle name="Comma 3 3 2 3" xfId="5623" xr:uid="{00000000-0005-0000-0000-000019560000}"/>
    <cellStyle name="Comma 3 3 2 3 2" xfId="5624" xr:uid="{00000000-0005-0000-0000-00001A560000}"/>
    <cellStyle name="Comma 3 3 2 3 2 2" xfId="11325" xr:uid="{00000000-0005-0000-0000-00001B560000}"/>
    <cellStyle name="Comma 3 3 2 3 2 3" xfId="22120" xr:uid="{00000000-0005-0000-0000-00001C560000}"/>
    <cellStyle name="Comma 3 3 2 3 3" xfId="5625" xr:uid="{00000000-0005-0000-0000-00001D560000}"/>
    <cellStyle name="Comma 3 3 2 3 3 2" xfId="16650" xr:uid="{00000000-0005-0000-0000-00001E560000}"/>
    <cellStyle name="Comma 3 3 2 3 3 2 2" xfId="30057" xr:uid="{00000000-0005-0000-0000-00001F560000}"/>
    <cellStyle name="Comma 3 3 2 3 3 3" xfId="22119" xr:uid="{00000000-0005-0000-0000-000020560000}"/>
    <cellStyle name="Comma 3 3 2 3 4" xfId="9773" xr:uid="{00000000-0005-0000-0000-000021560000}"/>
    <cellStyle name="Comma 3 3 2 3 5" xfId="22121" xr:uid="{00000000-0005-0000-0000-000022560000}"/>
    <cellStyle name="Comma 3 3 2 4" xfId="5626" xr:uid="{00000000-0005-0000-0000-000023560000}"/>
    <cellStyle name="Comma 3 3 2 4 2" xfId="5627" xr:uid="{00000000-0005-0000-0000-000024560000}"/>
    <cellStyle name="Comma 3 3 2 4 2 2" xfId="13125" xr:uid="{00000000-0005-0000-0000-000025560000}"/>
    <cellStyle name="Comma 3 3 2 4 2 3" xfId="22117" xr:uid="{00000000-0005-0000-0000-000026560000}"/>
    <cellStyle name="Comma 3 3 2 4 3" xfId="12027" xr:uid="{00000000-0005-0000-0000-000027560000}"/>
    <cellStyle name="Comma 3 3 2 4 3 2" xfId="25742" xr:uid="{00000000-0005-0000-0000-000028560000}"/>
    <cellStyle name="Comma 3 3 2 4 4" xfId="22118" xr:uid="{00000000-0005-0000-0000-000029560000}"/>
    <cellStyle name="Comma 3 3 2 5" xfId="5628" xr:uid="{00000000-0005-0000-0000-00002A560000}"/>
    <cellStyle name="Comma 3 3 2 5 2" xfId="5629" xr:uid="{00000000-0005-0000-0000-00002B560000}"/>
    <cellStyle name="Comma 3 3 2 5 2 2" xfId="15594" xr:uid="{00000000-0005-0000-0000-00002C560000}"/>
    <cellStyle name="Comma 3 3 2 5 2 3" xfId="22115" xr:uid="{00000000-0005-0000-0000-00002D560000}"/>
    <cellStyle name="Comma 3 3 2 5 3" xfId="13602" xr:uid="{00000000-0005-0000-0000-00002E560000}"/>
    <cellStyle name="Comma 3 3 2 5 3 2" xfId="27151" xr:uid="{00000000-0005-0000-0000-00002F560000}"/>
    <cellStyle name="Comma 3 3 2 5 4" xfId="22116" xr:uid="{00000000-0005-0000-0000-000030560000}"/>
    <cellStyle name="Comma 3 3 2 6" xfId="5630" xr:uid="{00000000-0005-0000-0000-000031560000}"/>
    <cellStyle name="Comma 3 3 2 6 2" xfId="14183" xr:uid="{00000000-0005-0000-0000-000032560000}"/>
    <cellStyle name="Comma 3 3 2 6 2 2" xfId="27732" xr:uid="{00000000-0005-0000-0000-000033560000}"/>
    <cellStyle name="Comma 3 3 2 6 3" xfId="22114" xr:uid="{00000000-0005-0000-0000-000034560000}"/>
    <cellStyle name="Comma 3 3 2 7" xfId="5631" xr:uid="{00000000-0005-0000-0000-000035560000}"/>
    <cellStyle name="Comma 3 3 2 7 2" xfId="16069" xr:uid="{00000000-0005-0000-0000-000036560000}"/>
    <cellStyle name="Comma 3 3 2 7 2 2" xfId="29476" xr:uid="{00000000-0005-0000-0000-000037560000}"/>
    <cellStyle name="Comma 3 3 2 7 3" xfId="22113" xr:uid="{00000000-0005-0000-0000-000038560000}"/>
    <cellStyle name="Comma 3 3 2 8" xfId="9770" xr:uid="{00000000-0005-0000-0000-000039560000}"/>
    <cellStyle name="Comma 3 3 2 9" xfId="22132" xr:uid="{00000000-0005-0000-0000-00003A560000}"/>
    <cellStyle name="Comma 3 3 3" xfId="5632" xr:uid="{00000000-0005-0000-0000-00003B560000}"/>
    <cellStyle name="Comma 3 3 3 2" xfId="5633" xr:uid="{00000000-0005-0000-0000-00003C560000}"/>
    <cellStyle name="Comma 3 3 3 2 2" xfId="5634" xr:uid="{00000000-0005-0000-0000-00003D560000}"/>
    <cellStyle name="Comma 3 3 3 2 2 2" xfId="11326" xr:uid="{00000000-0005-0000-0000-00003E560000}"/>
    <cellStyle name="Comma 3 3 3 2 2 3" xfId="22110" xr:uid="{00000000-0005-0000-0000-00003F560000}"/>
    <cellStyle name="Comma 3 3 3 2 3" xfId="5635" xr:uid="{00000000-0005-0000-0000-000040560000}"/>
    <cellStyle name="Comma 3 3 3 2 3 2" xfId="16796" xr:uid="{00000000-0005-0000-0000-000041560000}"/>
    <cellStyle name="Comma 3 3 3 2 3 2 2" xfId="30203" xr:uid="{00000000-0005-0000-0000-000042560000}"/>
    <cellStyle name="Comma 3 3 3 2 3 3" xfId="22109" xr:uid="{00000000-0005-0000-0000-000043560000}"/>
    <cellStyle name="Comma 3 3 3 2 4" xfId="9775" xr:uid="{00000000-0005-0000-0000-000044560000}"/>
    <cellStyle name="Comma 3 3 3 2 5" xfId="22111" xr:uid="{00000000-0005-0000-0000-000045560000}"/>
    <cellStyle name="Comma 3 3 3 3" xfId="5636" xr:uid="{00000000-0005-0000-0000-000046560000}"/>
    <cellStyle name="Comma 3 3 3 3 2" xfId="5637" xr:uid="{00000000-0005-0000-0000-000047560000}"/>
    <cellStyle name="Comma 3 3 3 3 2 2" xfId="13126" xr:uid="{00000000-0005-0000-0000-000048560000}"/>
    <cellStyle name="Comma 3 3 3 3 2 3" xfId="22107" xr:uid="{00000000-0005-0000-0000-000049560000}"/>
    <cellStyle name="Comma 3 3 3 3 3" xfId="12184" xr:uid="{00000000-0005-0000-0000-00004A560000}"/>
    <cellStyle name="Comma 3 3 3 3 3 2" xfId="25896" xr:uid="{00000000-0005-0000-0000-00004B560000}"/>
    <cellStyle name="Comma 3 3 3 3 4" xfId="22108" xr:uid="{00000000-0005-0000-0000-00004C560000}"/>
    <cellStyle name="Comma 3 3 3 4" xfId="5638" xr:uid="{00000000-0005-0000-0000-00004D560000}"/>
    <cellStyle name="Comma 3 3 3 4 2" xfId="5639" xr:uid="{00000000-0005-0000-0000-00004E560000}"/>
    <cellStyle name="Comma 3 3 3 4 2 2" xfId="15595" xr:uid="{00000000-0005-0000-0000-00004F560000}"/>
    <cellStyle name="Comma 3 3 3 4 2 3" xfId="22105" xr:uid="{00000000-0005-0000-0000-000050560000}"/>
    <cellStyle name="Comma 3 3 3 4 3" xfId="13748" xr:uid="{00000000-0005-0000-0000-000051560000}"/>
    <cellStyle name="Comma 3 3 3 4 3 2" xfId="27297" xr:uid="{00000000-0005-0000-0000-000052560000}"/>
    <cellStyle name="Comma 3 3 3 4 4" xfId="22106" xr:uid="{00000000-0005-0000-0000-000053560000}"/>
    <cellStyle name="Comma 3 3 3 5" xfId="5640" xr:uid="{00000000-0005-0000-0000-000054560000}"/>
    <cellStyle name="Comma 3 3 3 5 2" xfId="14329" xr:uid="{00000000-0005-0000-0000-000055560000}"/>
    <cellStyle name="Comma 3 3 3 5 2 2" xfId="27878" xr:uid="{00000000-0005-0000-0000-000056560000}"/>
    <cellStyle name="Comma 3 3 3 5 3" xfId="22104" xr:uid="{00000000-0005-0000-0000-000057560000}"/>
    <cellStyle name="Comma 3 3 3 6" xfId="5641" xr:uid="{00000000-0005-0000-0000-000058560000}"/>
    <cellStyle name="Comma 3 3 3 6 2" xfId="16215" xr:uid="{00000000-0005-0000-0000-000059560000}"/>
    <cellStyle name="Comma 3 3 3 6 2 2" xfId="29622" xr:uid="{00000000-0005-0000-0000-00005A560000}"/>
    <cellStyle name="Comma 3 3 3 6 3" xfId="22103" xr:uid="{00000000-0005-0000-0000-00005B560000}"/>
    <cellStyle name="Comma 3 3 3 7" xfId="9774" xr:uid="{00000000-0005-0000-0000-00005C560000}"/>
    <cellStyle name="Comma 3 3 3 8" xfId="22112" xr:uid="{00000000-0005-0000-0000-00005D560000}"/>
    <cellStyle name="Comma 3 3 4" xfId="5642" xr:uid="{00000000-0005-0000-0000-00005E560000}"/>
    <cellStyle name="Comma 3 3 4 2" xfId="5643" xr:uid="{00000000-0005-0000-0000-00005F560000}"/>
    <cellStyle name="Comma 3 3 4 2 2" xfId="13127" xr:uid="{00000000-0005-0000-0000-000060560000}"/>
    <cellStyle name="Comma 3 3 4 2 3" xfId="22101" xr:uid="{00000000-0005-0000-0000-000061560000}"/>
    <cellStyle name="Comma 3 3 4 3" xfId="5644" xr:uid="{00000000-0005-0000-0000-000062560000}"/>
    <cellStyle name="Comma 3 3 4 3 2" xfId="17143" xr:uid="{00000000-0005-0000-0000-000063560000}"/>
    <cellStyle name="Comma 3 3 4 3 2 2" xfId="30502" xr:uid="{00000000-0005-0000-0000-000064560000}"/>
    <cellStyle name="Comma 3 3 4 3 3" xfId="22100" xr:uid="{00000000-0005-0000-0000-000065560000}"/>
    <cellStyle name="Comma 3 3 4 4" xfId="9776" xr:uid="{00000000-0005-0000-0000-000066560000}"/>
    <cellStyle name="Comma 3 3 4 5" xfId="22102" xr:uid="{00000000-0005-0000-0000-000067560000}"/>
    <cellStyle name="Comma 3 3 45" xfId="33037" xr:uid="{5AEA8EA1-5EBF-49CD-A398-A5D294266DE2}"/>
    <cellStyle name="Comma 3 3 5" xfId="5645" xr:uid="{00000000-0005-0000-0000-000068560000}"/>
    <cellStyle name="Comma 3 3 5 2" xfId="5646" xr:uid="{00000000-0005-0000-0000-000069560000}"/>
    <cellStyle name="Comma 3 3 5 2 2" xfId="11327" xr:uid="{00000000-0005-0000-0000-00006A560000}"/>
    <cellStyle name="Comma 3 3 5 2 3" xfId="22098" xr:uid="{00000000-0005-0000-0000-00006B560000}"/>
    <cellStyle name="Comma 3 3 5 3" xfId="5647" xr:uid="{00000000-0005-0000-0000-00006C560000}"/>
    <cellStyle name="Comma 3 3 5 3 2" xfId="17232" xr:uid="{00000000-0005-0000-0000-00006D560000}"/>
    <cellStyle name="Comma 3 3 5 3 2 2" xfId="30591" xr:uid="{00000000-0005-0000-0000-00006E560000}"/>
    <cellStyle name="Comma 3 3 5 3 3" xfId="22097" xr:uid="{00000000-0005-0000-0000-00006F560000}"/>
    <cellStyle name="Comma 3 3 5 4" xfId="9777" xr:uid="{00000000-0005-0000-0000-000070560000}"/>
    <cellStyle name="Comma 3 3 5 5" xfId="22099" xr:uid="{00000000-0005-0000-0000-000071560000}"/>
    <cellStyle name="Comma 3 3 6" xfId="5648" xr:uid="{00000000-0005-0000-0000-000072560000}"/>
    <cellStyle name="Comma 3 3 6 2" xfId="5649" xr:uid="{00000000-0005-0000-0000-000073560000}"/>
    <cellStyle name="Comma 3 3 6 2 2" xfId="15596" xr:uid="{00000000-0005-0000-0000-000074560000}"/>
    <cellStyle name="Comma 3 3 6 2 3" xfId="22095" xr:uid="{00000000-0005-0000-0000-000075560000}"/>
    <cellStyle name="Comma 3 3 6 3" xfId="5650" xr:uid="{00000000-0005-0000-0000-000076560000}"/>
    <cellStyle name="Comma 3 3 6 3 2" xfId="16507" xr:uid="{00000000-0005-0000-0000-000077560000}"/>
    <cellStyle name="Comma 3 3 6 3 2 2" xfId="29914" xr:uid="{00000000-0005-0000-0000-000078560000}"/>
    <cellStyle name="Comma 3 3 6 3 3" xfId="22094" xr:uid="{00000000-0005-0000-0000-000079560000}"/>
    <cellStyle name="Comma 3 3 6 4" xfId="11880" xr:uid="{00000000-0005-0000-0000-00007A560000}"/>
    <cellStyle name="Comma 3 3 6 4 2" xfId="25595" xr:uid="{00000000-0005-0000-0000-00007B560000}"/>
    <cellStyle name="Comma 3 3 6 5" xfId="22096" xr:uid="{00000000-0005-0000-0000-00007C560000}"/>
    <cellStyle name="Comma 3 3 7" xfId="5651" xr:uid="{00000000-0005-0000-0000-00007D560000}"/>
    <cellStyle name="Comma 3 3 7 2" xfId="13459" xr:uid="{00000000-0005-0000-0000-00007E560000}"/>
    <cellStyle name="Comma 3 3 7 2 2" xfId="27008" xr:uid="{00000000-0005-0000-0000-00007F560000}"/>
    <cellStyle name="Comma 3 3 7 3" xfId="22093" xr:uid="{00000000-0005-0000-0000-000080560000}"/>
    <cellStyle name="Comma 3 3 8" xfId="5652" xr:uid="{00000000-0005-0000-0000-000081560000}"/>
    <cellStyle name="Comma 3 3 8 2" xfId="14040" xr:uid="{00000000-0005-0000-0000-000082560000}"/>
    <cellStyle name="Comma 3 3 8 2 2" xfId="27589" xr:uid="{00000000-0005-0000-0000-000083560000}"/>
    <cellStyle name="Comma 3 3 8 3" xfId="22092" xr:uid="{00000000-0005-0000-0000-000084560000}"/>
    <cellStyle name="Comma 3 3 9" xfId="5653" xr:uid="{00000000-0005-0000-0000-000085560000}"/>
    <cellStyle name="Comma 3 3 9 2" xfId="15926" xr:uid="{00000000-0005-0000-0000-000086560000}"/>
    <cellStyle name="Comma 3 3 9 2 2" xfId="29333" xr:uid="{00000000-0005-0000-0000-000087560000}"/>
    <cellStyle name="Comma 3 3 9 3" xfId="22091" xr:uid="{00000000-0005-0000-0000-000088560000}"/>
    <cellStyle name="Comma 3 30" xfId="17291" xr:uid="{00000000-0005-0000-0000-000089560000}"/>
    <cellStyle name="Comma 3 31" xfId="22275" xr:uid="{00000000-0005-0000-0000-00008A560000}"/>
    <cellStyle name="Comma 3 4" xfId="5654" xr:uid="{00000000-0005-0000-0000-00008B560000}"/>
    <cellStyle name="Comma 3 4 10" xfId="9778" xr:uid="{00000000-0005-0000-0000-00008C560000}"/>
    <cellStyle name="Comma 3 4 11" xfId="22090" xr:uid="{00000000-0005-0000-0000-00008D560000}"/>
    <cellStyle name="Comma 3 4 2" xfId="5655" xr:uid="{00000000-0005-0000-0000-00008E560000}"/>
    <cellStyle name="Comma 3 4 2 2" xfId="5656" xr:uid="{00000000-0005-0000-0000-00008F560000}"/>
    <cellStyle name="Comma 3 4 2 2 2" xfId="5657" xr:uid="{00000000-0005-0000-0000-000090560000}"/>
    <cellStyle name="Comma 3 4 2 2 2 2" xfId="5658" xr:uid="{00000000-0005-0000-0000-000091560000}"/>
    <cellStyle name="Comma 3 4 2 2 2 2 2" xfId="11328" xr:uid="{00000000-0005-0000-0000-000092560000}"/>
    <cellStyle name="Comma 3 4 2 2 2 2 3" xfId="22086" xr:uid="{00000000-0005-0000-0000-000093560000}"/>
    <cellStyle name="Comma 3 4 2 2 2 3" xfId="5659" xr:uid="{00000000-0005-0000-0000-000094560000}"/>
    <cellStyle name="Comma 3 4 2 2 2 3 2" xfId="16893" xr:uid="{00000000-0005-0000-0000-000095560000}"/>
    <cellStyle name="Comma 3 4 2 2 2 3 2 2" xfId="30300" xr:uid="{00000000-0005-0000-0000-000096560000}"/>
    <cellStyle name="Comma 3 4 2 2 2 3 3" xfId="22085" xr:uid="{00000000-0005-0000-0000-000097560000}"/>
    <cellStyle name="Comma 3 4 2 2 2 4" xfId="9781" xr:uid="{00000000-0005-0000-0000-000098560000}"/>
    <cellStyle name="Comma 3 4 2 2 2 5" xfId="22087" xr:uid="{00000000-0005-0000-0000-000099560000}"/>
    <cellStyle name="Comma 3 4 2 2 3" xfId="5660" xr:uid="{00000000-0005-0000-0000-00009A560000}"/>
    <cellStyle name="Comma 3 4 2 2 3 2" xfId="5661" xr:uid="{00000000-0005-0000-0000-00009B560000}"/>
    <cellStyle name="Comma 3 4 2 2 3 2 2" xfId="13128" xr:uid="{00000000-0005-0000-0000-00009C560000}"/>
    <cellStyle name="Comma 3 4 2 2 3 2 3" xfId="22083" xr:uid="{00000000-0005-0000-0000-00009D560000}"/>
    <cellStyle name="Comma 3 4 2 2 3 3" xfId="12281" xr:uid="{00000000-0005-0000-0000-00009E560000}"/>
    <cellStyle name="Comma 3 4 2 2 3 3 2" xfId="25993" xr:uid="{00000000-0005-0000-0000-00009F560000}"/>
    <cellStyle name="Comma 3 4 2 2 3 4" xfId="22084" xr:uid="{00000000-0005-0000-0000-0000A0560000}"/>
    <cellStyle name="Comma 3 4 2 2 4" xfId="5662" xr:uid="{00000000-0005-0000-0000-0000A1560000}"/>
    <cellStyle name="Comma 3 4 2 2 4 2" xfId="5663" xr:uid="{00000000-0005-0000-0000-0000A2560000}"/>
    <cellStyle name="Comma 3 4 2 2 4 2 2" xfId="15597" xr:uid="{00000000-0005-0000-0000-0000A3560000}"/>
    <cellStyle name="Comma 3 4 2 2 4 2 3" xfId="22081" xr:uid="{00000000-0005-0000-0000-0000A4560000}"/>
    <cellStyle name="Comma 3 4 2 2 4 3" xfId="13845" xr:uid="{00000000-0005-0000-0000-0000A5560000}"/>
    <cellStyle name="Comma 3 4 2 2 4 3 2" xfId="27394" xr:uid="{00000000-0005-0000-0000-0000A6560000}"/>
    <cellStyle name="Comma 3 4 2 2 4 4" xfId="22082" xr:uid="{00000000-0005-0000-0000-0000A7560000}"/>
    <cellStyle name="Comma 3 4 2 2 5" xfId="5664" xr:uid="{00000000-0005-0000-0000-0000A8560000}"/>
    <cellStyle name="Comma 3 4 2 2 5 2" xfId="14426" xr:uid="{00000000-0005-0000-0000-0000A9560000}"/>
    <cellStyle name="Comma 3 4 2 2 5 2 2" xfId="27975" xr:uid="{00000000-0005-0000-0000-0000AA560000}"/>
    <cellStyle name="Comma 3 4 2 2 5 3" xfId="22080" xr:uid="{00000000-0005-0000-0000-0000AB560000}"/>
    <cellStyle name="Comma 3 4 2 2 6" xfId="5665" xr:uid="{00000000-0005-0000-0000-0000AC560000}"/>
    <cellStyle name="Comma 3 4 2 2 6 2" xfId="16312" xr:uid="{00000000-0005-0000-0000-0000AD560000}"/>
    <cellStyle name="Comma 3 4 2 2 6 2 2" xfId="29719" xr:uid="{00000000-0005-0000-0000-0000AE560000}"/>
    <cellStyle name="Comma 3 4 2 2 6 3" xfId="22079" xr:uid="{00000000-0005-0000-0000-0000AF560000}"/>
    <cellStyle name="Comma 3 4 2 2 7" xfId="9780" xr:uid="{00000000-0005-0000-0000-0000B0560000}"/>
    <cellStyle name="Comma 3 4 2 2 8" xfId="22088" xr:uid="{00000000-0005-0000-0000-0000B1560000}"/>
    <cellStyle name="Comma 3 4 2 3" xfId="5666" xr:uid="{00000000-0005-0000-0000-0000B2560000}"/>
    <cellStyle name="Comma 3 4 2 3 2" xfId="5667" xr:uid="{00000000-0005-0000-0000-0000B3560000}"/>
    <cellStyle name="Comma 3 4 2 3 2 2" xfId="11329" xr:uid="{00000000-0005-0000-0000-0000B4560000}"/>
    <cellStyle name="Comma 3 4 2 3 2 3" xfId="22077" xr:uid="{00000000-0005-0000-0000-0000B5560000}"/>
    <cellStyle name="Comma 3 4 2 3 3" xfId="5668" xr:uid="{00000000-0005-0000-0000-0000B6560000}"/>
    <cellStyle name="Comma 3 4 2 3 3 2" xfId="16604" xr:uid="{00000000-0005-0000-0000-0000B7560000}"/>
    <cellStyle name="Comma 3 4 2 3 3 2 2" xfId="30011" xr:uid="{00000000-0005-0000-0000-0000B8560000}"/>
    <cellStyle name="Comma 3 4 2 3 3 3" xfId="22076" xr:uid="{00000000-0005-0000-0000-0000B9560000}"/>
    <cellStyle name="Comma 3 4 2 3 4" xfId="9782" xr:uid="{00000000-0005-0000-0000-0000BA560000}"/>
    <cellStyle name="Comma 3 4 2 3 5" xfId="22078" xr:uid="{00000000-0005-0000-0000-0000BB560000}"/>
    <cellStyle name="Comma 3 4 2 4" xfId="5669" xr:uid="{00000000-0005-0000-0000-0000BC560000}"/>
    <cellStyle name="Comma 3 4 2 4 2" xfId="5670" xr:uid="{00000000-0005-0000-0000-0000BD560000}"/>
    <cellStyle name="Comma 3 4 2 4 2 2" xfId="13129" xr:uid="{00000000-0005-0000-0000-0000BE560000}"/>
    <cellStyle name="Comma 3 4 2 4 2 3" xfId="22074" xr:uid="{00000000-0005-0000-0000-0000BF560000}"/>
    <cellStyle name="Comma 3 4 2 4 3" xfId="11981" xr:uid="{00000000-0005-0000-0000-0000C0560000}"/>
    <cellStyle name="Comma 3 4 2 4 3 2" xfId="25696" xr:uid="{00000000-0005-0000-0000-0000C1560000}"/>
    <cellStyle name="Comma 3 4 2 4 4" xfId="22075" xr:uid="{00000000-0005-0000-0000-0000C2560000}"/>
    <cellStyle name="Comma 3 4 2 5" xfId="5671" xr:uid="{00000000-0005-0000-0000-0000C3560000}"/>
    <cellStyle name="Comma 3 4 2 5 2" xfId="5672" xr:uid="{00000000-0005-0000-0000-0000C4560000}"/>
    <cellStyle name="Comma 3 4 2 5 2 2" xfId="15598" xr:uid="{00000000-0005-0000-0000-0000C5560000}"/>
    <cellStyle name="Comma 3 4 2 5 2 3" xfId="22072" xr:uid="{00000000-0005-0000-0000-0000C6560000}"/>
    <cellStyle name="Comma 3 4 2 5 3" xfId="13556" xr:uid="{00000000-0005-0000-0000-0000C7560000}"/>
    <cellStyle name="Comma 3 4 2 5 3 2" xfId="27105" xr:uid="{00000000-0005-0000-0000-0000C8560000}"/>
    <cellStyle name="Comma 3 4 2 5 4" xfId="22073" xr:uid="{00000000-0005-0000-0000-0000C9560000}"/>
    <cellStyle name="Comma 3 4 2 6" xfId="5673" xr:uid="{00000000-0005-0000-0000-0000CA560000}"/>
    <cellStyle name="Comma 3 4 2 6 2" xfId="14137" xr:uid="{00000000-0005-0000-0000-0000CB560000}"/>
    <cellStyle name="Comma 3 4 2 6 2 2" xfId="27686" xr:uid="{00000000-0005-0000-0000-0000CC560000}"/>
    <cellStyle name="Comma 3 4 2 6 3" xfId="22071" xr:uid="{00000000-0005-0000-0000-0000CD560000}"/>
    <cellStyle name="Comma 3 4 2 7" xfId="5674" xr:uid="{00000000-0005-0000-0000-0000CE560000}"/>
    <cellStyle name="Comma 3 4 2 7 2" xfId="16023" xr:uid="{00000000-0005-0000-0000-0000CF560000}"/>
    <cellStyle name="Comma 3 4 2 7 2 2" xfId="29430" xr:uid="{00000000-0005-0000-0000-0000D0560000}"/>
    <cellStyle name="Comma 3 4 2 7 3" xfId="22070" xr:uid="{00000000-0005-0000-0000-0000D1560000}"/>
    <cellStyle name="Comma 3 4 2 8" xfId="9779" xr:uid="{00000000-0005-0000-0000-0000D2560000}"/>
    <cellStyle name="Comma 3 4 2 9" xfId="22089" xr:uid="{00000000-0005-0000-0000-0000D3560000}"/>
    <cellStyle name="Comma 3 4 3" xfId="5675" xr:uid="{00000000-0005-0000-0000-0000D4560000}"/>
    <cellStyle name="Comma 3 4 3 2" xfId="5676" xr:uid="{00000000-0005-0000-0000-0000D5560000}"/>
    <cellStyle name="Comma 3 4 3 2 2" xfId="5677" xr:uid="{00000000-0005-0000-0000-0000D6560000}"/>
    <cellStyle name="Comma 3 4 3 2 2 2" xfId="11330" xr:uid="{00000000-0005-0000-0000-0000D7560000}"/>
    <cellStyle name="Comma 3 4 3 2 2 3" xfId="22067" xr:uid="{00000000-0005-0000-0000-0000D8560000}"/>
    <cellStyle name="Comma 3 4 3 2 3" xfId="5678" xr:uid="{00000000-0005-0000-0000-0000D9560000}"/>
    <cellStyle name="Comma 3 4 3 2 3 2" xfId="16753" xr:uid="{00000000-0005-0000-0000-0000DA560000}"/>
    <cellStyle name="Comma 3 4 3 2 3 2 2" xfId="30160" xr:uid="{00000000-0005-0000-0000-0000DB560000}"/>
    <cellStyle name="Comma 3 4 3 2 3 3" xfId="22066" xr:uid="{00000000-0005-0000-0000-0000DC560000}"/>
    <cellStyle name="Comma 3 4 3 2 4" xfId="9784" xr:uid="{00000000-0005-0000-0000-0000DD560000}"/>
    <cellStyle name="Comma 3 4 3 2 5" xfId="22068" xr:uid="{00000000-0005-0000-0000-0000DE560000}"/>
    <cellStyle name="Comma 3 4 3 3" xfId="5679" xr:uid="{00000000-0005-0000-0000-0000DF560000}"/>
    <cellStyle name="Comma 3 4 3 3 2" xfId="5680" xr:uid="{00000000-0005-0000-0000-0000E0560000}"/>
    <cellStyle name="Comma 3 4 3 3 2 2" xfId="13130" xr:uid="{00000000-0005-0000-0000-0000E1560000}"/>
    <cellStyle name="Comma 3 4 3 3 2 3" xfId="22064" xr:uid="{00000000-0005-0000-0000-0000E2560000}"/>
    <cellStyle name="Comma 3 4 3 3 3" xfId="12141" xr:uid="{00000000-0005-0000-0000-0000E3560000}"/>
    <cellStyle name="Comma 3 4 3 3 3 2" xfId="25853" xr:uid="{00000000-0005-0000-0000-0000E4560000}"/>
    <cellStyle name="Comma 3 4 3 3 4" xfId="22065" xr:uid="{00000000-0005-0000-0000-0000E5560000}"/>
    <cellStyle name="Comma 3 4 3 4" xfId="5681" xr:uid="{00000000-0005-0000-0000-0000E6560000}"/>
    <cellStyle name="Comma 3 4 3 4 2" xfId="5682" xr:uid="{00000000-0005-0000-0000-0000E7560000}"/>
    <cellStyle name="Comma 3 4 3 4 2 2" xfId="15599" xr:uid="{00000000-0005-0000-0000-0000E8560000}"/>
    <cellStyle name="Comma 3 4 3 4 2 3" xfId="22062" xr:uid="{00000000-0005-0000-0000-0000E9560000}"/>
    <cellStyle name="Comma 3 4 3 4 3" xfId="13705" xr:uid="{00000000-0005-0000-0000-0000EA560000}"/>
    <cellStyle name="Comma 3 4 3 4 3 2" xfId="27254" xr:uid="{00000000-0005-0000-0000-0000EB560000}"/>
    <cellStyle name="Comma 3 4 3 4 4" xfId="22063" xr:uid="{00000000-0005-0000-0000-0000EC560000}"/>
    <cellStyle name="Comma 3 4 3 5" xfId="5683" xr:uid="{00000000-0005-0000-0000-0000ED560000}"/>
    <cellStyle name="Comma 3 4 3 5 2" xfId="14286" xr:uid="{00000000-0005-0000-0000-0000EE560000}"/>
    <cellStyle name="Comma 3 4 3 5 2 2" xfId="27835" xr:uid="{00000000-0005-0000-0000-0000EF560000}"/>
    <cellStyle name="Comma 3 4 3 5 3" xfId="22061" xr:uid="{00000000-0005-0000-0000-0000F0560000}"/>
    <cellStyle name="Comma 3 4 3 6" xfId="5684" xr:uid="{00000000-0005-0000-0000-0000F1560000}"/>
    <cellStyle name="Comma 3 4 3 6 2" xfId="16172" xr:uid="{00000000-0005-0000-0000-0000F2560000}"/>
    <cellStyle name="Comma 3 4 3 6 2 2" xfId="29579" xr:uid="{00000000-0005-0000-0000-0000F3560000}"/>
    <cellStyle name="Comma 3 4 3 6 3" xfId="22060" xr:uid="{00000000-0005-0000-0000-0000F4560000}"/>
    <cellStyle name="Comma 3 4 3 7" xfId="9783" xr:uid="{00000000-0005-0000-0000-0000F5560000}"/>
    <cellStyle name="Comma 3 4 3 8" xfId="22069" xr:uid="{00000000-0005-0000-0000-0000F6560000}"/>
    <cellStyle name="Comma 3 4 4" xfId="5685" xr:uid="{00000000-0005-0000-0000-0000F7560000}"/>
    <cellStyle name="Comma 3 4 4 2" xfId="5686" xr:uid="{00000000-0005-0000-0000-0000F8560000}"/>
    <cellStyle name="Comma 3 4 4 2 2" xfId="16461" xr:uid="{00000000-0005-0000-0000-0000F9560000}"/>
    <cellStyle name="Comma 3 4 4 2 2 2" xfId="29868" xr:uid="{00000000-0005-0000-0000-0000FA560000}"/>
    <cellStyle name="Comma 3 4 4 2 3" xfId="22058" xr:uid="{00000000-0005-0000-0000-0000FB560000}"/>
    <cellStyle name="Comma 3 4 4 3" xfId="9785" xr:uid="{00000000-0005-0000-0000-0000FC560000}"/>
    <cellStyle name="Comma 3 4 4 4" xfId="22059" xr:uid="{00000000-0005-0000-0000-0000FD560000}"/>
    <cellStyle name="Comma 3 4 5" xfId="5687" xr:uid="{00000000-0005-0000-0000-0000FE560000}"/>
    <cellStyle name="Comma 3 4 5 2" xfId="5688" xr:uid="{00000000-0005-0000-0000-0000FF560000}"/>
    <cellStyle name="Comma 3 4 5 2 2" xfId="11331" xr:uid="{00000000-0005-0000-0000-000000570000}"/>
    <cellStyle name="Comma 3 4 5 2 3" xfId="22056" xr:uid="{00000000-0005-0000-0000-000001570000}"/>
    <cellStyle name="Comma 3 4 5 3" xfId="9786" xr:uid="{00000000-0005-0000-0000-000002570000}"/>
    <cellStyle name="Comma 3 4 5 4" xfId="22057" xr:uid="{00000000-0005-0000-0000-000003570000}"/>
    <cellStyle name="Comma 3 4 6" xfId="5689" xr:uid="{00000000-0005-0000-0000-000004570000}"/>
    <cellStyle name="Comma 3 4 6 2" xfId="5690" xr:uid="{00000000-0005-0000-0000-000005570000}"/>
    <cellStyle name="Comma 3 4 6 2 2" xfId="13131" xr:uid="{00000000-0005-0000-0000-000006570000}"/>
    <cellStyle name="Comma 3 4 6 2 3" xfId="22054" xr:uid="{00000000-0005-0000-0000-000007570000}"/>
    <cellStyle name="Comma 3 4 6 3" xfId="11812" xr:uid="{00000000-0005-0000-0000-000008570000}"/>
    <cellStyle name="Comma 3 4 6 3 2" xfId="25527" xr:uid="{00000000-0005-0000-0000-000009570000}"/>
    <cellStyle name="Comma 3 4 6 4" xfId="22055" xr:uid="{00000000-0005-0000-0000-00000A570000}"/>
    <cellStyle name="Comma 3 4 7" xfId="5691" xr:uid="{00000000-0005-0000-0000-00000B570000}"/>
    <cellStyle name="Comma 3 4 7 2" xfId="5692" xr:uid="{00000000-0005-0000-0000-00000C570000}"/>
    <cellStyle name="Comma 3 4 7 2 2" xfId="15600" xr:uid="{00000000-0005-0000-0000-00000D570000}"/>
    <cellStyle name="Comma 3 4 7 2 3" xfId="22052" xr:uid="{00000000-0005-0000-0000-00000E570000}"/>
    <cellStyle name="Comma 3 4 7 3" xfId="13413" xr:uid="{00000000-0005-0000-0000-00000F570000}"/>
    <cellStyle name="Comma 3 4 7 3 2" xfId="26962" xr:uid="{00000000-0005-0000-0000-000010570000}"/>
    <cellStyle name="Comma 3 4 7 4" xfId="22053" xr:uid="{00000000-0005-0000-0000-000011570000}"/>
    <cellStyle name="Comma 3 4 8" xfId="5693" xr:uid="{00000000-0005-0000-0000-000012570000}"/>
    <cellStyle name="Comma 3 4 8 2" xfId="13994" xr:uid="{00000000-0005-0000-0000-000013570000}"/>
    <cellStyle name="Comma 3 4 8 2 2" xfId="27543" xr:uid="{00000000-0005-0000-0000-000014570000}"/>
    <cellStyle name="Comma 3 4 8 3" xfId="22051" xr:uid="{00000000-0005-0000-0000-000015570000}"/>
    <cellStyle name="Comma 3 4 9" xfId="5694" xr:uid="{00000000-0005-0000-0000-000016570000}"/>
    <cellStyle name="Comma 3 4 9 2" xfId="15880" xr:uid="{00000000-0005-0000-0000-000017570000}"/>
    <cellStyle name="Comma 3 4 9 2 2" xfId="29287" xr:uid="{00000000-0005-0000-0000-000018570000}"/>
    <cellStyle name="Comma 3 4 9 3" xfId="22050" xr:uid="{00000000-0005-0000-0000-000019570000}"/>
    <cellStyle name="Comma 3 5" xfId="5695" xr:uid="{00000000-0005-0000-0000-00001A570000}"/>
    <cellStyle name="Comma 3 5 10" xfId="9787" xr:uid="{00000000-0005-0000-0000-00001B570000}"/>
    <cellStyle name="Comma 3 5 11" xfId="22049" xr:uid="{00000000-0005-0000-0000-00001C570000}"/>
    <cellStyle name="Comma 3 5 2" xfId="5696" xr:uid="{00000000-0005-0000-0000-00001D570000}"/>
    <cellStyle name="Comma 3 5 2 2" xfId="5697" xr:uid="{00000000-0005-0000-0000-00001E570000}"/>
    <cellStyle name="Comma 3 5 2 2 2" xfId="5698" xr:uid="{00000000-0005-0000-0000-00001F570000}"/>
    <cellStyle name="Comma 3 5 2 2 2 2" xfId="5699" xr:uid="{00000000-0005-0000-0000-000020570000}"/>
    <cellStyle name="Comma 3 5 2 2 2 2 2" xfId="11332" xr:uid="{00000000-0005-0000-0000-000021570000}"/>
    <cellStyle name="Comma 3 5 2 2 2 2 3" xfId="22045" xr:uid="{00000000-0005-0000-0000-000022570000}"/>
    <cellStyle name="Comma 3 5 2 2 2 3" xfId="5700" xr:uid="{00000000-0005-0000-0000-000023570000}"/>
    <cellStyle name="Comma 3 5 2 2 2 3 2" xfId="16876" xr:uid="{00000000-0005-0000-0000-000024570000}"/>
    <cellStyle name="Comma 3 5 2 2 2 3 2 2" xfId="30283" xr:uid="{00000000-0005-0000-0000-000025570000}"/>
    <cellStyle name="Comma 3 5 2 2 2 3 3" xfId="22044" xr:uid="{00000000-0005-0000-0000-000026570000}"/>
    <cellStyle name="Comma 3 5 2 2 2 4" xfId="9790" xr:uid="{00000000-0005-0000-0000-000027570000}"/>
    <cellStyle name="Comma 3 5 2 2 2 5" xfId="22046" xr:uid="{00000000-0005-0000-0000-000028570000}"/>
    <cellStyle name="Comma 3 5 2 2 3" xfId="5701" xr:uid="{00000000-0005-0000-0000-000029570000}"/>
    <cellStyle name="Comma 3 5 2 2 3 2" xfId="5702" xr:uid="{00000000-0005-0000-0000-00002A570000}"/>
    <cellStyle name="Comma 3 5 2 2 3 2 2" xfId="13132" xr:uid="{00000000-0005-0000-0000-00002B570000}"/>
    <cellStyle name="Comma 3 5 2 2 3 2 3" xfId="22042" xr:uid="{00000000-0005-0000-0000-00002C570000}"/>
    <cellStyle name="Comma 3 5 2 2 3 3" xfId="12264" xr:uid="{00000000-0005-0000-0000-00002D570000}"/>
    <cellStyle name="Comma 3 5 2 2 3 3 2" xfId="25976" xr:uid="{00000000-0005-0000-0000-00002E570000}"/>
    <cellStyle name="Comma 3 5 2 2 3 4" xfId="22043" xr:uid="{00000000-0005-0000-0000-00002F570000}"/>
    <cellStyle name="Comma 3 5 2 2 4" xfId="5703" xr:uid="{00000000-0005-0000-0000-000030570000}"/>
    <cellStyle name="Comma 3 5 2 2 4 2" xfId="5704" xr:uid="{00000000-0005-0000-0000-000031570000}"/>
    <cellStyle name="Comma 3 5 2 2 4 2 2" xfId="15601" xr:uid="{00000000-0005-0000-0000-000032570000}"/>
    <cellStyle name="Comma 3 5 2 2 4 2 3" xfId="22040" xr:uid="{00000000-0005-0000-0000-000033570000}"/>
    <cellStyle name="Comma 3 5 2 2 4 3" xfId="13828" xr:uid="{00000000-0005-0000-0000-000034570000}"/>
    <cellStyle name="Comma 3 5 2 2 4 3 2" xfId="27377" xr:uid="{00000000-0005-0000-0000-000035570000}"/>
    <cellStyle name="Comma 3 5 2 2 4 4" xfId="22041" xr:uid="{00000000-0005-0000-0000-000036570000}"/>
    <cellStyle name="Comma 3 5 2 2 5" xfId="5705" xr:uid="{00000000-0005-0000-0000-000037570000}"/>
    <cellStyle name="Comma 3 5 2 2 5 2" xfId="14409" xr:uid="{00000000-0005-0000-0000-000038570000}"/>
    <cellStyle name="Comma 3 5 2 2 5 2 2" xfId="27958" xr:uid="{00000000-0005-0000-0000-000039570000}"/>
    <cellStyle name="Comma 3 5 2 2 5 3" xfId="22039" xr:uid="{00000000-0005-0000-0000-00003A570000}"/>
    <cellStyle name="Comma 3 5 2 2 6" xfId="5706" xr:uid="{00000000-0005-0000-0000-00003B570000}"/>
    <cellStyle name="Comma 3 5 2 2 6 2" xfId="16295" xr:uid="{00000000-0005-0000-0000-00003C570000}"/>
    <cellStyle name="Comma 3 5 2 2 6 2 2" xfId="29702" xr:uid="{00000000-0005-0000-0000-00003D570000}"/>
    <cellStyle name="Comma 3 5 2 2 6 3" xfId="22038" xr:uid="{00000000-0005-0000-0000-00003E570000}"/>
    <cellStyle name="Comma 3 5 2 2 7" xfId="9789" xr:uid="{00000000-0005-0000-0000-00003F570000}"/>
    <cellStyle name="Comma 3 5 2 2 8" xfId="22047" xr:uid="{00000000-0005-0000-0000-000040570000}"/>
    <cellStyle name="Comma 3 5 2 3" xfId="5707" xr:uid="{00000000-0005-0000-0000-000041570000}"/>
    <cellStyle name="Comma 3 5 2 3 2" xfId="5708" xr:uid="{00000000-0005-0000-0000-000042570000}"/>
    <cellStyle name="Comma 3 5 2 3 2 2" xfId="11333" xr:uid="{00000000-0005-0000-0000-000043570000}"/>
    <cellStyle name="Comma 3 5 2 3 2 3" xfId="22036" xr:uid="{00000000-0005-0000-0000-000044570000}"/>
    <cellStyle name="Comma 3 5 2 3 3" xfId="5709" xr:uid="{00000000-0005-0000-0000-000045570000}"/>
    <cellStyle name="Comma 3 5 2 3 3 2" xfId="16587" xr:uid="{00000000-0005-0000-0000-000046570000}"/>
    <cellStyle name="Comma 3 5 2 3 3 2 2" xfId="29994" xr:uid="{00000000-0005-0000-0000-000047570000}"/>
    <cellStyle name="Comma 3 5 2 3 3 3" xfId="22035" xr:uid="{00000000-0005-0000-0000-000048570000}"/>
    <cellStyle name="Comma 3 5 2 3 4" xfId="9791" xr:uid="{00000000-0005-0000-0000-000049570000}"/>
    <cellStyle name="Comma 3 5 2 3 5" xfId="22037" xr:uid="{00000000-0005-0000-0000-00004A570000}"/>
    <cellStyle name="Comma 3 5 2 4" xfId="5710" xr:uid="{00000000-0005-0000-0000-00004B570000}"/>
    <cellStyle name="Comma 3 5 2 4 2" xfId="5711" xr:uid="{00000000-0005-0000-0000-00004C570000}"/>
    <cellStyle name="Comma 3 5 2 4 2 2" xfId="13133" xr:uid="{00000000-0005-0000-0000-00004D570000}"/>
    <cellStyle name="Comma 3 5 2 4 2 3" xfId="22033" xr:uid="{00000000-0005-0000-0000-00004E570000}"/>
    <cellStyle name="Comma 3 5 2 4 3" xfId="11964" xr:uid="{00000000-0005-0000-0000-00004F570000}"/>
    <cellStyle name="Comma 3 5 2 4 3 2" xfId="25679" xr:uid="{00000000-0005-0000-0000-000050570000}"/>
    <cellStyle name="Comma 3 5 2 4 4" xfId="22034" xr:uid="{00000000-0005-0000-0000-000051570000}"/>
    <cellStyle name="Comma 3 5 2 5" xfId="5712" xr:uid="{00000000-0005-0000-0000-000052570000}"/>
    <cellStyle name="Comma 3 5 2 5 2" xfId="5713" xr:uid="{00000000-0005-0000-0000-000053570000}"/>
    <cellStyle name="Comma 3 5 2 5 2 2" xfId="15602" xr:uid="{00000000-0005-0000-0000-000054570000}"/>
    <cellStyle name="Comma 3 5 2 5 2 3" xfId="22031" xr:uid="{00000000-0005-0000-0000-000055570000}"/>
    <cellStyle name="Comma 3 5 2 5 3" xfId="13539" xr:uid="{00000000-0005-0000-0000-000056570000}"/>
    <cellStyle name="Comma 3 5 2 5 3 2" xfId="27088" xr:uid="{00000000-0005-0000-0000-000057570000}"/>
    <cellStyle name="Comma 3 5 2 5 4" xfId="22032" xr:uid="{00000000-0005-0000-0000-000058570000}"/>
    <cellStyle name="Comma 3 5 2 6" xfId="5714" xr:uid="{00000000-0005-0000-0000-000059570000}"/>
    <cellStyle name="Comma 3 5 2 6 2" xfId="14120" xr:uid="{00000000-0005-0000-0000-00005A570000}"/>
    <cellStyle name="Comma 3 5 2 6 2 2" xfId="27669" xr:uid="{00000000-0005-0000-0000-00005B570000}"/>
    <cellStyle name="Comma 3 5 2 6 3" xfId="22030" xr:uid="{00000000-0005-0000-0000-00005C570000}"/>
    <cellStyle name="Comma 3 5 2 7" xfId="5715" xr:uid="{00000000-0005-0000-0000-00005D570000}"/>
    <cellStyle name="Comma 3 5 2 7 2" xfId="16006" xr:uid="{00000000-0005-0000-0000-00005E570000}"/>
    <cellStyle name="Comma 3 5 2 7 2 2" xfId="29413" xr:uid="{00000000-0005-0000-0000-00005F570000}"/>
    <cellStyle name="Comma 3 5 2 7 3" xfId="22029" xr:uid="{00000000-0005-0000-0000-000060570000}"/>
    <cellStyle name="Comma 3 5 2 8" xfId="9788" xr:uid="{00000000-0005-0000-0000-000061570000}"/>
    <cellStyle name="Comma 3 5 2 9" xfId="22048" xr:uid="{00000000-0005-0000-0000-000062570000}"/>
    <cellStyle name="Comma 3 5 3" xfId="5716" xr:uid="{00000000-0005-0000-0000-000063570000}"/>
    <cellStyle name="Comma 3 5 3 2" xfId="5717" xr:uid="{00000000-0005-0000-0000-000064570000}"/>
    <cellStyle name="Comma 3 5 3 2 2" xfId="5718" xr:uid="{00000000-0005-0000-0000-000065570000}"/>
    <cellStyle name="Comma 3 5 3 2 2 2" xfId="11334" xr:uid="{00000000-0005-0000-0000-000066570000}"/>
    <cellStyle name="Comma 3 5 3 2 2 3" xfId="22026" xr:uid="{00000000-0005-0000-0000-000067570000}"/>
    <cellStyle name="Comma 3 5 3 2 3" xfId="5719" xr:uid="{00000000-0005-0000-0000-000068570000}"/>
    <cellStyle name="Comma 3 5 3 2 3 2" xfId="16736" xr:uid="{00000000-0005-0000-0000-000069570000}"/>
    <cellStyle name="Comma 3 5 3 2 3 2 2" xfId="30143" xr:uid="{00000000-0005-0000-0000-00006A570000}"/>
    <cellStyle name="Comma 3 5 3 2 3 3" xfId="22025" xr:uid="{00000000-0005-0000-0000-00006B570000}"/>
    <cellStyle name="Comma 3 5 3 2 4" xfId="9793" xr:uid="{00000000-0005-0000-0000-00006C570000}"/>
    <cellStyle name="Comma 3 5 3 2 5" xfId="22027" xr:uid="{00000000-0005-0000-0000-00006D570000}"/>
    <cellStyle name="Comma 3 5 3 3" xfId="5720" xr:uid="{00000000-0005-0000-0000-00006E570000}"/>
    <cellStyle name="Comma 3 5 3 3 2" xfId="5721" xr:uid="{00000000-0005-0000-0000-00006F570000}"/>
    <cellStyle name="Comma 3 5 3 3 2 2" xfId="13134" xr:uid="{00000000-0005-0000-0000-000070570000}"/>
    <cellStyle name="Comma 3 5 3 3 2 3" xfId="22023" xr:uid="{00000000-0005-0000-0000-000071570000}"/>
    <cellStyle name="Comma 3 5 3 3 3" xfId="12124" xr:uid="{00000000-0005-0000-0000-000072570000}"/>
    <cellStyle name="Comma 3 5 3 3 3 2" xfId="25836" xr:uid="{00000000-0005-0000-0000-000073570000}"/>
    <cellStyle name="Comma 3 5 3 3 4" xfId="22024" xr:uid="{00000000-0005-0000-0000-000074570000}"/>
    <cellStyle name="Comma 3 5 3 4" xfId="5722" xr:uid="{00000000-0005-0000-0000-000075570000}"/>
    <cellStyle name="Comma 3 5 3 4 2" xfId="5723" xr:uid="{00000000-0005-0000-0000-000076570000}"/>
    <cellStyle name="Comma 3 5 3 4 2 2" xfId="15603" xr:uid="{00000000-0005-0000-0000-000077570000}"/>
    <cellStyle name="Comma 3 5 3 4 2 3" xfId="22021" xr:uid="{00000000-0005-0000-0000-000078570000}"/>
    <cellStyle name="Comma 3 5 3 4 3" xfId="13688" xr:uid="{00000000-0005-0000-0000-000079570000}"/>
    <cellStyle name="Comma 3 5 3 4 3 2" xfId="27237" xr:uid="{00000000-0005-0000-0000-00007A570000}"/>
    <cellStyle name="Comma 3 5 3 4 4" xfId="22022" xr:uid="{00000000-0005-0000-0000-00007B570000}"/>
    <cellStyle name="Comma 3 5 3 5" xfId="5724" xr:uid="{00000000-0005-0000-0000-00007C570000}"/>
    <cellStyle name="Comma 3 5 3 5 2" xfId="14269" xr:uid="{00000000-0005-0000-0000-00007D570000}"/>
    <cellStyle name="Comma 3 5 3 5 2 2" xfId="27818" xr:uid="{00000000-0005-0000-0000-00007E570000}"/>
    <cellStyle name="Comma 3 5 3 5 3" xfId="22020" xr:uid="{00000000-0005-0000-0000-00007F570000}"/>
    <cellStyle name="Comma 3 5 3 6" xfId="5725" xr:uid="{00000000-0005-0000-0000-000080570000}"/>
    <cellStyle name="Comma 3 5 3 6 2" xfId="16155" xr:uid="{00000000-0005-0000-0000-000081570000}"/>
    <cellStyle name="Comma 3 5 3 6 2 2" xfId="29562" xr:uid="{00000000-0005-0000-0000-000082570000}"/>
    <cellStyle name="Comma 3 5 3 6 3" xfId="22019" xr:uid="{00000000-0005-0000-0000-000083570000}"/>
    <cellStyle name="Comma 3 5 3 7" xfId="9792" xr:uid="{00000000-0005-0000-0000-000084570000}"/>
    <cellStyle name="Comma 3 5 3 8" xfId="22028" xr:uid="{00000000-0005-0000-0000-000085570000}"/>
    <cellStyle name="Comma 3 5 4" xfId="5726" xr:uid="{00000000-0005-0000-0000-000086570000}"/>
    <cellStyle name="Comma 3 5 4 2" xfId="5727" xr:uid="{00000000-0005-0000-0000-000087570000}"/>
    <cellStyle name="Comma 3 5 4 2 2" xfId="16444" xr:uid="{00000000-0005-0000-0000-000088570000}"/>
    <cellStyle name="Comma 3 5 4 2 2 2" xfId="29851" xr:uid="{00000000-0005-0000-0000-000089570000}"/>
    <cellStyle name="Comma 3 5 4 2 3" xfId="22017" xr:uid="{00000000-0005-0000-0000-00008A570000}"/>
    <cellStyle name="Comma 3 5 4 3" xfId="9794" xr:uid="{00000000-0005-0000-0000-00008B570000}"/>
    <cellStyle name="Comma 3 5 4 4" xfId="22018" xr:uid="{00000000-0005-0000-0000-00008C570000}"/>
    <cellStyle name="Comma 3 5 5" xfId="5728" xr:uid="{00000000-0005-0000-0000-00008D570000}"/>
    <cellStyle name="Comma 3 5 5 2" xfId="5729" xr:uid="{00000000-0005-0000-0000-00008E570000}"/>
    <cellStyle name="Comma 3 5 5 2 2" xfId="11335" xr:uid="{00000000-0005-0000-0000-00008F570000}"/>
    <cellStyle name="Comma 3 5 5 2 3" xfId="22015" xr:uid="{00000000-0005-0000-0000-000090570000}"/>
    <cellStyle name="Comma 3 5 5 3" xfId="9795" xr:uid="{00000000-0005-0000-0000-000091570000}"/>
    <cellStyle name="Comma 3 5 5 4" xfId="22016" xr:uid="{00000000-0005-0000-0000-000092570000}"/>
    <cellStyle name="Comma 3 5 6" xfId="5730" xr:uid="{00000000-0005-0000-0000-000093570000}"/>
    <cellStyle name="Comma 3 5 6 2" xfId="5731" xr:uid="{00000000-0005-0000-0000-000094570000}"/>
    <cellStyle name="Comma 3 5 6 2 2" xfId="13135" xr:uid="{00000000-0005-0000-0000-000095570000}"/>
    <cellStyle name="Comma 3 5 6 2 3" xfId="22013" xr:uid="{00000000-0005-0000-0000-000096570000}"/>
    <cellStyle name="Comma 3 5 6 3" xfId="11795" xr:uid="{00000000-0005-0000-0000-000097570000}"/>
    <cellStyle name="Comma 3 5 6 3 2" xfId="25510" xr:uid="{00000000-0005-0000-0000-000098570000}"/>
    <cellStyle name="Comma 3 5 6 4" xfId="22014" xr:uid="{00000000-0005-0000-0000-000099570000}"/>
    <cellStyle name="Comma 3 5 7" xfId="5732" xr:uid="{00000000-0005-0000-0000-00009A570000}"/>
    <cellStyle name="Comma 3 5 7 2" xfId="5733" xr:uid="{00000000-0005-0000-0000-00009B570000}"/>
    <cellStyle name="Comma 3 5 7 2 2" xfId="15604" xr:uid="{00000000-0005-0000-0000-00009C570000}"/>
    <cellStyle name="Comma 3 5 7 2 3" xfId="22011" xr:uid="{00000000-0005-0000-0000-00009D570000}"/>
    <cellStyle name="Comma 3 5 7 3" xfId="13396" xr:uid="{00000000-0005-0000-0000-00009E570000}"/>
    <cellStyle name="Comma 3 5 7 3 2" xfId="26945" xr:uid="{00000000-0005-0000-0000-00009F570000}"/>
    <cellStyle name="Comma 3 5 7 4" xfId="22012" xr:uid="{00000000-0005-0000-0000-0000A0570000}"/>
    <cellStyle name="Comma 3 5 8" xfId="5734" xr:uid="{00000000-0005-0000-0000-0000A1570000}"/>
    <cellStyle name="Comma 3 5 8 2" xfId="13977" xr:uid="{00000000-0005-0000-0000-0000A2570000}"/>
    <cellStyle name="Comma 3 5 8 2 2" xfId="27526" xr:uid="{00000000-0005-0000-0000-0000A3570000}"/>
    <cellStyle name="Comma 3 5 8 3" xfId="22010" xr:uid="{00000000-0005-0000-0000-0000A4570000}"/>
    <cellStyle name="Comma 3 5 9" xfId="5735" xr:uid="{00000000-0005-0000-0000-0000A5570000}"/>
    <cellStyle name="Comma 3 5 9 2" xfId="15863" xr:uid="{00000000-0005-0000-0000-0000A6570000}"/>
    <cellStyle name="Comma 3 5 9 2 2" xfId="29270" xr:uid="{00000000-0005-0000-0000-0000A7570000}"/>
    <cellStyle name="Comma 3 5 9 3" xfId="22009" xr:uid="{00000000-0005-0000-0000-0000A8570000}"/>
    <cellStyle name="Comma 3 6" xfId="5736" xr:uid="{00000000-0005-0000-0000-0000A9570000}"/>
    <cellStyle name="Comma 3 6 10" xfId="9796" xr:uid="{00000000-0005-0000-0000-0000AA570000}"/>
    <cellStyle name="Comma 3 6 11" xfId="22008" xr:uid="{00000000-0005-0000-0000-0000AB570000}"/>
    <cellStyle name="Comma 3 6 2" xfId="5737" xr:uid="{00000000-0005-0000-0000-0000AC570000}"/>
    <cellStyle name="Comma 3 6 2 2" xfId="5738" xr:uid="{00000000-0005-0000-0000-0000AD570000}"/>
    <cellStyle name="Comma 3 6 2 2 2" xfId="5739" xr:uid="{00000000-0005-0000-0000-0000AE570000}"/>
    <cellStyle name="Comma 3 6 2 2 2 2" xfId="5740" xr:uid="{00000000-0005-0000-0000-0000AF570000}"/>
    <cellStyle name="Comma 3 6 2 2 2 2 2" xfId="11336" xr:uid="{00000000-0005-0000-0000-0000B0570000}"/>
    <cellStyle name="Comma 3 6 2 2 2 2 3" xfId="22004" xr:uid="{00000000-0005-0000-0000-0000B1570000}"/>
    <cellStyle name="Comma 3 6 2 2 2 3" xfId="5741" xr:uid="{00000000-0005-0000-0000-0000B2570000}"/>
    <cellStyle name="Comma 3 6 2 2 2 3 2" xfId="16982" xr:uid="{00000000-0005-0000-0000-0000B3570000}"/>
    <cellStyle name="Comma 3 6 2 2 2 3 2 2" xfId="30389" xr:uid="{00000000-0005-0000-0000-0000B4570000}"/>
    <cellStyle name="Comma 3 6 2 2 2 3 3" xfId="22003" xr:uid="{00000000-0005-0000-0000-0000B5570000}"/>
    <cellStyle name="Comma 3 6 2 2 2 4" xfId="9799" xr:uid="{00000000-0005-0000-0000-0000B6570000}"/>
    <cellStyle name="Comma 3 6 2 2 2 5" xfId="22005" xr:uid="{00000000-0005-0000-0000-0000B7570000}"/>
    <cellStyle name="Comma 3 6 2 2 3" xfId="5742" xr:uid="{00000000-0005-0000-0000-0000B8570000}"/>
    <cellStyle name="Comma 3 6 2 2 3 2" xfId="5743" xr:uid="{00000000-0005-0000-0000-0000B9570000}"/>
    <cellStyle name="Comma 3 6 2 2 3 2 2" xfId="13136" xr:uid="{00000000-0005-0000-0000-0000BA570000}"/>
    <cellStyle name="Comma 3 6 2 2 3 2 3" xfId="22001" xr:uid="{00000000-0005-0000-0000-0000BB570000}"/>
    <cellStyle name="Comma 3 6 2 2 3 3" xfId="12370" xr:uid="{00000000-0005-0000-0000-0000BC570000}"/>
    <cellStyle name="Comma 3 6 2 2 3 3 2" xfId="26082" xr:uid="{00000000-0005-0000-0000-0000BD570000}"/>
    <cellStyle name="Comma 3 6 2 2 3 4" xfId="22002" xr:uid="{00000000-0005-0000-0000-0000BE570000}"/>
    <cellStyle name="Comma 3 6 2 2 4" xfId="5744" xr:uid="{00000000-0005-0000-0000-0000BF570000}"/>
    <cellStyle name="Comma 3 6 2 2 4 2" xfId="5745" xr:uid="{00000000-0005-0000-0000-0000C0570000}"/>
    <cellStyle name="Comma 3 6 2 2 4 2 2" xfId="15605" xr:uid="{00000000-0005-0000-0000-0000C1570000}"/>
    <cellStyle name="Comma 3 6 2 2 4 2 3" xfId="21999" xr:uid="{00000000-0005-0000-0000-0000C2570000}"/>
    <cellStyle name="Comma 3 6 2 2 4 3" xfId="13934" xr:uid="{00000000-0005-0000-0000-0000C3570000}"/>
    <cellStyle name="Comma 3 6 2 2 4 3 2" xfId="27483" xr:uid="{00000000-0005-0000-0000-0000C4570000}"/>
    <cellStyle name="Comma 3 6 2 2 4 4" xfId="22000" xr:uid="{00000000-0005-0000-0000-0000C5570000}"/>
    <cellStyle name="Comma 3 6 2 2 5" xfId="5746" xr:uid="{00000000-0005-0000-0000-0000C6570000}"/>
    <cellStyle name="Comma 3 6 2 2 5 2" xfId="14515" xr:uid="{00000000-0005-0000-0000-0000C7570000}"/>
    <cellStyle name="Comma 3 6 2 2 5 2 2" xfId="28064" xr:uid="{00000000-0005-0000-0000-0000C8570000}"/>
    <cellStyle name="Comma 3 6 2 2 5 3" xfId="21998" xr:uid="{00000000-0005-0000-0000-0000C9570000}"/>
    <cellStyle name="Comma 3 6 2 2 6" xfId="5747" xr:uid="{00000000-0005-0000-0000-0000CA570000}"/>
    <cellStyle name="Comma 3 6 2 2 6 2" xfId="16401" xr:uid="{00000000-0005-0000-0000-0000CB570000}"/>
    <cellStyle name="Comma 3 6 2 2 6 2 2" xfId="29808" xr:uid="{00000000-0005-0000-0000-0000CC570000}"/>
    <cellStyle name="Comma 3 6 2 2 6 3" xfId="21997" xr:uid="{00000000-0005-0000-0000-0000CD570000}"/>
    <cellStyle name="Comma 3 6 2 2 7" xfId="9798" xr:uid="{00000000-0005-0000-0000-0000CE570000}"/>
    <cellStyle name="Comma 3 6 2 2 8" xfId="22006" xr:uid="{00000000-0005-0000-0000-0000CF570000}"/>
    <cellStyle name="Comma 3 6 2 3" xfId="5748" xr:uid="{00000000-0005-0000-0000-0000D0570000}"/>
    <cellStyle name="Comma 3 6 2 3 2" xfId="5749" xr:uid="{00000000-0005-0000-0000-0000D1570000}"/>
    <cellStyle name="Comma 3 6 2 3 2 2" xfId="11337" xr:uid="{00000000-0005-0000-0000-0000D2570000}"/>
    <cellStyle name="Comma 3 6 2 3 2 3" xfId="21995" xr:uid="{00000000-0005-0000-0000-0000D3570000}"/>
    <cellStyle name="Comma 3 6 2 3 3" xfId="5750" xr:uid="{00000000-0005-0000-0000-0000D4570000}"/>
    <cellStyle name="Comma 3 6 2 3 3 2" xfId="16693" xr:uid="{00000000-0005-0000-0000-0000D5570000}"/>
    <cellStyle name="Comma 3 6 2 3 3 2 2" xfId="30100" xr:uid="{00000000-0005-0000-0000-0000D6570000}"/>
    <cellStyle name="Comma 3 6 2 3 3 3" xfId="21994" xr:uid="{00000000-0005-0000-0000-0000D7570000}"/>
    <cellStyle name="Comma 3 6 2 3 4" xfId="9800" xr:uid="{00000000-0005-0000-0000-0000D8570000}"/>
    <cellStyle name="Comma 3 6 2 3 5" xfId="21996" xr:uid="{00000000-0005-0000-0000-0000D9570000}"/>
    <cellStyle name="Comma 3 6 2 4" xfId="5751" xr:uid="{00000000-0005-0000-0000-0000DA570000}"/>
    <cellStyle name="Comma 3 6 2 4 2" xfId="5752" xr:uid="{00000000-0005-0000-0000-0000DB570000}"/>
    <cellStyle name="Comma 3 6 2 4 2 2" xfId="13137" xr:uid="{00000000-0005-0000-0000-0000DC570000}"/>
    <cellStyle name="Comma 3 6 2 4 2 3" xfId="21992" xr:uid="{00000000-0005-0000-0000-0000DD570000}"/>
    <cellStyle name="Comma 3 6 2 4 3" xfId="12070" xr:uid="{00000000-0005-0000-0000-0000DE570000}"/>
    <cellStyle name="Comma 3 6 2 4 3 2" xfId="25785" xr:uid="{00000000-0005-0000-0000-0000DF570000}"/>
    <cellStyle name="Comma 3 6 2 4 4" xfId="21993" xr:uid="{00000000-0005-0000-0000-0000E0570000}"/>
    <cellStyle name="Comma 3 6 2 5" xfId="5753" xr:uid="{00000000-0005-0000-0000-0000E1570000}"/>
    <cellStyle name="Comma 3 6 2 5 2" xfId="5754" xr:uid="{00000000-0005-0000-0000-0000E2570000}"/>
    <cellStyle name="Comma 3 6 2 5 2 2" xfId="15606" xr:uid="{00000000-0005-0000-0000-0000E3570000}"/>
    <cellStyle name="Comma 3 6 2 5 2 3" xfId="21990" xr:uid="{00000000-0005-0000-0000-0000E4570000}"/>
    <cellStyle name="Comma 3 6 2 5 3" xfId="13645" xr:uid="{00000000-0005-0000-0000-0000E5570000}"/>
    <cellStyle name="Comma 3 6 2 5 3 2" xfId="27194" xr:uid="{00000000-0005-0000-0000-0000E6570000}"/>
    <cellStyle name="Comma 3 6 2 5 4" xfId="21991" xr:uid="{00000000-0005-0000-0000-0000E7570000}"/>
    <cellStyle name="Comma 3 6 2 6" xfId="5755" xr:uid="{00000000-0005-0000-0000-0000E8570000}"/>
    <cellStyle name="Comma 3 6 2 6 2" xfId="14226" xr:uid="{00000000-0005-0000-0000-0000E9570000}"/>
    <cellStyle name="Comma 3 6 2 6 2 2" xfId="27775" xr:uid="{00000000-0005-0000-0000-0000EA570000}"/>
    <cellStyle name="Comma 3 6 2 6 3" xfId="21989" xr:uid="{00000000-0005-0000-0000-0000EB570000}"/>
    <cellStyle name="Comma 3 6 2 7" xfId="5756" xr:uid="{00000000-0005-0000-0000-0000EC570000}"/>
    <cellStyle name="Comma 3 6 2 7 2" xfId="16112" xr:uid="{00000000-0005-0000-0000-0000ED570000}"/>
    <cellStyle name="Comma 3 6 2 7 2 2" xfId="29519" xr:uid="{00000000-0005-0000-0000-0000EE570000}"/>
    <cellStyle name="Comma 3 6 2 7 3" xfId="21988" xr:uid="{00000000-0005-0000-0000-0000EF570000}"/>
    <cellStyle name="Comma 3 6 2 8" xfId="9797" xr:uid="{00000000-0005-0000-0000-0000F0570000}"/>
    <cellStyle name="Comma 3 6 2 9" xfId="22007" xr:uid="{00000000-0005-0000-0000-0000F1570000}"/>
    <cellStyle name="Comma 3 6 3" xfId="5757" xr:uid="{00000000-0005-0000-0000-0000F2570000}"/>
    <cellStyle name="Comma 3 6 3 2" xfId="5758" xr:uid="{00000000-0005-0000-0000-0000F3570000}"/>
    <cellStyle name="Comma 3 6 3 2 2" xfId="5759" xr:uid="{00000000-0005-0000-0000-0000F4570000}"/>
    <cellStyle name="Comma 3 6 3 2 2 2" xfId="11338" xr:uid="{00000000-0005-0000-0000-0000F5570000}"/>
    <cellStyle name="Comma 3 6 3 2 2 3" xfId="21985" xr:uid="{00000000-0005-0000-0000-0000F6570000}"/>
    <cellStyle name="Comma 3 6 3 2 3" xfId="5760" xr:uid="{00000000-0005-0000-0000-0000F7570000}"/>
    <cellStyle name="Comma 3 6 3 2 3 2" xfId="16839" xr:uid="{00000000-0005-0000-0000-0000F8570000}"/>
    <cellStyle name="Comma 3 6 3 2 3 2 2" xfId="30246" xr:uid="{00000000-0005-0000-0000-0000F9570000}"/>
    <cellStyle name="Comma 3 6 3 2 3 3" xfId="21984" xr:uid="{00000000-0005-0000-0000-0000FA570000}"/>
    <cellStyle name="Comma 3 6 3 2 4" xfId="9802" xr:uid="{00000000-0005-0000-0000-0000FB570000}"/>
    <cellStyle name="Comma 3 6 3 2 5" xfId="21986" xr:uid="{00000000-0005-0000-0000-0000FC570000}"/>
    <cellStyle name="Comma 3 6 3 3" xfId="5761" xr:uid="{00000000-0005-0000-0000-0000FD570000}"/>
    <cellStyle name="Comma 3 6 3 3 2" xfId="5762" xr:uid="{00000000-0005-0000-0000-0000FE570000}"/>
    <cellStyle name="Comma 3 6 3 3 2 2" xfId="13138" xr:uid="{00000000-0005-0000-0000-0000FF570000}"/>
    <cellStyle name="Comma 3 6 3 3 2 3" xfId="21982" xr:uid="{00000000-0005-0000-0000-000000580000}"/>
    <cellStyle name="Comma 3 6 3 3 3" xfId="12227" xr:uid="{00000000-0005-0000-0000-000001580000}"/>
    <cellStyle name="Comma 3 6 3 3 3 2" xfId="25939" xr:uid="{00000000-0005-0000-0000-000002580000}"/>
    <cellStyle name="Comma 3 6 3 3 4" xfId="21983" xr:uid="{00000000-0005-0000-0000-000003580000}"/>
    <cellStyle name="Comma 3 6 3 4" xfId="5763" xr:uid="{00000000-0005-0000-0000-000004580000}"/>
    <cellStyle name="Comma 3 6 3 4 2" xfId="5764" xr:uid="{00000000-0005-0000-0000-000005580000}"/>
    <cellStyle name="Comma 3 6 3 4 2 2" xfId="15607" xr:uid="{00000000-0005-0000-0000-000006580000}"/>
    <cellStyle name="Comma 3 6 3 4 2 3" xfId="21980" xr:uid="{00000000-0005-0000-0000-000007580000}"/>
    <cellStyle name="Comma 3 6 3 4 3" xfId="13791" xr:uid="{00000000-0005-0000-0000-000008580000}"/>
    <cellStyle name="Comma 3 6 3 4 3 2" xfId="27340" xr:uid="{00000000-0005-0000-0000-000009580000}"/>
    <cellStyle name="Comma 3 6 3 4 4" xfId="21981" xr:uid="{00000000-0005-0000-0000-00000A580000}"/>
    <cellStyle name="Comma 3 6 3 5" xfId="5765" xr:uid="{00000000-0005-0000-0000-00000B580000}"/>
    <cellStyle name="Comma 3 6 3 5 2" xfId="14372" xr:uid="{00000000-0005-0000-0000-00000C580000}"/>
    <cellStyle name="Comma 3 6 3 5 2 2" xfId="27921" xr:uid="{00000000-0005-0000-0000-00000D580000}"/>
    <cellStyle name="Comma 3 6 3 5 3" xfId="21979" xr:uid="{00000000-0005-0000-0000-00000E580000}"/>
    <cellStyle name="Comma 3 6 3 6" xfId="5766" xr:uid="{00000000-0005-0000-0000-00000F580000}"/>
    <cellStyle name="Comma 3 6 3 6 2" xfId="16258" xr:uid="{00000000-0005-0000-0000-000010580000}"/>
    <cellStyle name="Comma 3 6 3 6 2 2" xfId="29665" xr:uid="{00000000-0005-0000-0000-000011580000}"/>
    <cellStyle name="Comma 3 6 3 6 3" xfId="21978" xr:uid="{00000000-0005-0000-0000-000012580000}"/>
    <cellStyle name="Comma 3 6 3 7" xfId="9801" xr:uid="{00000000-0005-0000-0000-000013580000}"/>
    <cellStyle name="Comma 3 6 3 8" xfId="21987" xr:uid="{00000000-0005-0000-0000-000014580000}"/>
    <cellStyle name="Comma 3 6 4" xfId="5767" xr:uid="{00000000-0005-0000-0000-000015580000}"/>
    <cellStyle name="Comma 3 6 4 2" xfId="5768" xr:uid="{00000000-0005-0000-0000-000016580000}"/>
    <cellStyle name="Comma 3 6 4 2 2" xfId="16550" xr:uid="{00000000-0005-0000-0000-000017580000}"/>
    <cellStyle name="Comma 3 6 4 2 2 2" xfId="29957" xr:uid="{00000000-0005-0000-0000-000018580000}"/>
    <cellStyle name="Comma 3 6 4 2 3" xfId="21976" xr:uid="{00000000-0005-0000-0000-000019580000}"/>
    <cellStyle name="Comma 3 6 4 3" xfId="9803" xr:uid="{00000000-0005-0000-0000-00001A580000}"/>
    <cellStyle name="Comma 3 6 4 4" xfId="21977" xr:uid="{00000000-0005-0000-0000-00001B580000}"/>
    <cellStyle name="Comma 3 6 5" xfId="5769" xr:uid="{00000000-0005-0000-0000-00001C580000}"/>
    <cellStyle name="Comma 3 6 5 2" xfId="5770" xr:uid="{00000000-0005-0000-0000-00001D580000}"/>
    <cellStyle name="Comma 3 6 5 2 2" xfId="11339" xr:uid="{00000000-0005-0000-0000-00001E580000}"/>
    <cellStyle name="Comma 3 6 5 2 3" xfId="21974" xr:uid="{00000000-0005-0000-0000-00001F580000}"/>
    <cellStyle name="Comma 3 6 5 3" xfId="9804" xr:uid="{00000000-0005-0000-0000-000020580000}"/>
    <cellStyle name="Comma 3 6 5 4" xfId="21975" xr:uid="{00000000-0005-0000-0000-000021580000}"/>
    <cellStyle name="Comma 3 6 6" xfId="5771" xr:uid="{00000000-0005-0000-0000-000022580000}"/>
    <cellStyle name="Comma 3 6 6 2" xfId="5772" xr:uid="{00000000-0005-0000-0000-000023580000}"/>
    <cellStyle name="Comma 3 6 6 2 2" xfId="13139" xr:uid="{00000000-0005-0000-0000-000024580000}"/>
    <cellStyle name="Comma 3 6 6 2 3" xfId="21972" xr:uid="{00000000-0005-0000-0000-000025580000}"/>
    <cellStyle name="Comma 3 6 6 3" xfId="11925" xr:uid="{00000000-0005-0000-0000-000026580000}"/>
    <cellStyle name="Comma 3 6 6 3 2" xfId="25640" xr:uid="{00000000-0005-0000-0000-000027580000}"/>
    <cellStyle name="Comma 3 6 6 4" xfId="21973" xr:uid="{00000000-0005-0000-0000-000028580000}"/>
    <cellStyle name="Comma 3 6 7" xfId="5773" xr:uid="{00000000-0005-0000-0000-000029580000}"/>
    <cellStyle name="Comma 3 6 7 2" xfId="5774" xr:uid="{00000000-0005-0000-0000-00002A580000}"/>
    <cellStyle name="Comma 3 6 7 2 2" xfId="15608" xr:uid="{00000000-0005-0000-0000-00002B580000}"/>
    <cellStyle name="Comma 3 6 7 2 3" xfId="21970" xr:uid="{00000000-0005-0000-0000-00002C580000}"/>
    <cellStyle name="Comma 3 6 7 3" xfId="13502" xr:uid="{00000000-0005-0000-0000-00002D580000}"/>
    <cellStyle name="Comma 3 6 7 3 2" xfId="27051" xr:uid="{00000000-0005-0000-0000-00002E580000}"/>
    <cellStyle name="Comma 3 6 7 4" xfId="21971" xr:uid="{00000000-0005-0000-0000-00002F580000}"/>
    <cellStyle name="Comma 3 6 8" xfId="5775" xr:uid="{00000000-0005-0000-0000-000030580000}"/>
    <cellStyle name="Comma 3 6 8 2" xfId="14083" xr:uid="{00000000-0005-0000-0000-000031580000}"/>
    <cellStyle name="Comma 3 6 8 2 2" xfId="27632" xr:uid="{00000000-0005-0000-0000-000032580000}"/>
    <cellStyle name="Comma 3 6 8 3" xfId="21969" xr:uid="{00000000-0005-0000-0000-000033580000}"/>
    <cellStyle name="Comma 3 6 9" xfId="5776" xr:uid="{00000000-0005-0000-0000-000034580000}"/>
    <cellStyle name="Comma 3 6 9 2" xfId="15969" xr:uid="{00000000-0005-0000-0000-000035580000}"/>
    <cellStyle name="Comma 3 6 9 2 2" xfId="29376" xr:uid="{00000000-0005-0000-0000-000036580000}"/>
    <cellStyle name="Comma 3 6 9 3" xfId="21968" xr:uid="{00000000-0005-0000-0000-000037580000}"/>
    <cellStyle name="Comma 3 7" xfId="5777" xr:uid="{00000000-0005-0000-0000-000038580000}"/>
    <cellStyle name="Comma 3 7 2" xfId="5778" xr:uid="{00000000-0005-0000-0000-000039580000}"/>
    <cellStyle name="Comma 3 7 2 2" xfId="5779" xr:uid="{00000000-0005-0000-0000-00003A580000}"/>
    <cellStyle name="Comma 3 7 2 2 2" xfId="5780" xr:uid="{00000000-0005-0000-0000-00003B580000}"/>
    <cellStyle name="Comma 3 7 2 2 2 2" xfId="11340" xr:uid="{00000000-0005-0000-0000-00003C580000}"/>
    <cellStyle name="Comma 3 7 2 2 2 3" xfId="21964" xr:uid="{00000000-0005-0000-0000-00003D580000}"/>
    <cellStyle name="Comma 3 7 2 2 3" xfId="5781" xr:uid="{00000000-0005-0000-0000-00003E580000}"/>
    <cellStyle name="Comma 3 7 2 2 3 2" xfId="16859" xr:uid="{00000000-0005-0000-0000-00003F580000}"/>
    <cellStyle name="Comma 3 7 2 2 3 2 2" xfId="30266" xr:uid="{00000000-0005-0000-0000-000040580000}"/>
    <cellStyle name="Comma 3 7 2 2 3 3" xfId="21963" xr:uid="{00000000-0005-0000-0000-000041580000}"/>
    <cellStyle name="Comma 3 7 2 2 4" xfId="9807" xr:uid="{00000000-0005-0000-0000-000042580000}"/>
    <cellStyle name="Comma 3 7 2 2 5" xfId="21965" xr:uid="{00000000-0005-0000-0000-000043580000}"/>
    <cellStyle name="Comma 3 7 2 3" xfId="5782" xr:uid="{00000000-0005-0000-0000-000044580000}"/>
    <cellStyle name="Comma 3 7 2 3 2" xfId="5783" xr:uid="{00000000-0005-0000-0000-000045580000}"/>
    <cellStyle name="Comma 3 7 2 3 2 2" xfId="13140" xr:uid="{00000000-0005-0000-0000-000046580000}"/>
    <cellStyle name="Comma 3 7 2 3 2 3" xfId="21961" xr:uid="{00000000-0005-0000-0000-000047580000}"/>
    <cellStyle name="Comma 3 7 2 3 3" xfId="12247" xr:uid="{00000000-0005-0000-0000-000048580000}"/>
    <cellStyle name="Comma 3 7 2 3 3 2" xfId="25959" xr:uid="{00000000-0005-0000-0000-000049580000}"/>
    <cellStyle name="Comma 3 7 2 3 4" xfId="21962" xr:uid="{00000000-0005-0000-0000-00004A580000}"/>
    <cellStyle name="Comma 3 7 2 4" xfId="5784" xr:uid="{00000000-0005-0000-0000-00004B580000}"/>
    <cellStyle name="Comma 3 7 2 4 2" xfId="5785" xr:uid="{00000000-0005-0000-0000-00004C580000}"/>
    <cellStyle name="Comma 3 7 2 4 2 2" xfId="15609" xr:uid="{00000000-0005-0000-0000-00004D580000}"/>
    <cellStyle name="Comma 3 7 2 4 2 3" xfId="21959" xr:uid="{00000000-0005-0000-0000-00004E580000}"/>
    <cellStyle name="Comma 3 7 2 4 3" xfId="13811" xr:uid="{00000000-0005-0000-0000-00004F580000}"/>
    <cellStyle name="Comma 3 7 2 4 3 2" xfId="27360" xr:uid="{00000000-0005-0000-0000-000050580000}"/>
    <cellStyle name="Comma 3 7 2 4 4" xfId="21960" xr:uid="{00000000-0005-0000-0000-000051580000}"/>
    <cellStyle name="Comma 3 7 2 5" xfId="5786" xr:uid="{00000000-0005-0000-0000-000052580000}"/>
    <cellStyle name="Comma 3 7 2 5 2" xfId="14392" xr:uid="{00000000-0005-0000-0000-000053580000}"/>
    <cellStyle name="Comma 3 7 2 5 2 2" xfId="27941" xr:uid="{00000000-0005-0000-0000-000054580000}"/>
    <cellStyle name="Comma 3 7 2 5 3" xfId="21958" xr:uid="{00000000-0005-0000-0000-000055580000}"/>
    <cellStyle name="Comma 3 7 2 6" xfId="5787" xr:uid="{00000000-0005-0000-0000-000056580000}"/>
    <cellStyle name="Comma 3 7 2 6 2" xfId="16278" xr:uid="{00000000-0005-0000-0000-000057580000}"/>
    <cellStyle name="Comma 3 7 2 6 2 2" xfId="29685" xr:uid="{00000000-0005-0000-0000-000058580000}"/>
    <cellStyle name="Comma 3 7 2 6 3" xfId="21957" xr:uid="{00000000-0005-0000-0000-000059580000}"/>
    <cellStyle name="Comma 3 7 2 7" xfId="9806" xr:uid="{00000000-0005-0000-0000-00005A580000}"/>
    <cellStyle name="Comma 3 7 2 8" xfId="21966" xr:uid="{00000000-0005-0000-0000-00005B580000}"/>
    <cellStyle name="Comma 3 7 3" xfId="5788" xr:uid="{00000000-0005-0000-0000-00005C580000}"/>
    <cellStyle name="Comma 3 7 3 2" xfId="5789" xr:uid="{00000000-0005-0000-0000-00005D580000}"/>
    <cellStyle name="Comma 3 7 3 2 2" xfId="11341" xr:uid="{00000000-0005-0000-0000-00005E580000}"/>
    <cellStyle name="Comma 3 7 3 2 3" xfId="21955" xr:uid="{00000000-0005-0000-0000-00005F580000}"/>
    <cellStyle name="Comma 3 7 3 3" xfId="5790" xr:uid="{00000000-0005-0000-0000-000060580000}"/>
    <cellStyle name="Comma 3 7 3 3 2" xfId="16570" xr:uid="{00000000-0005-0000-0000-000061580000}"/>
    <cellStyle name="Comma 3 7 3 3 2 2" xfId="29977" xr:uid="{00000000-0005-0000-0000-000062580000}"/>
    <cellStyle name="Comma 3 7 3 3 3" xfId="21954" xr:uid="{00000000-0005-0000-0000-000063580000}"/>
    <cellStyle name="Comma 3 7 3 4" xfId="9808" xr:uid="{00000000-0005-0000-0000-000064580000}"/>
    <cellStyle name="Comma 3 7 3 5" xfId="21956" xr:uid="{00000000-0005-0000-0000-000065580000}"/>
    <cellStyle name="Comma 3 7 4" xfId="5791" xr:uid="{00000000-0005-0000-0000-000066580000}"/>
    <cellStyle name="Comma 3 7 4 2" xfId="5792" xr:uid="{00000000-0005-0000-0000-000067580000}"/>
    <cellStyle name="Comma 3 7 4 2 2" xfId="13141" xr:uid="{00000000-0005-0000-0000-000068580000}"/>
    <cellStyle name="Comma 3 7 4 2 3" xfId="21952" xr:uid="{00000000-0005-0000-0000-000069580000}"/>
    <cellStyle name="Comma 3 7 4 3" xfId="11945" xr:uid="{00000000-0005-0000-0000-00006A580000}"/>
    <cellStyle name="Comma 3 7 4 3 2" xfId="25660" xr:uid="{00000000-0005-0000-0000-00006B580000}"/>
    <cellStyle name="Comma 3 7 4 4" xfId="21953" xr:uid="{00000000-0005-0000-0000-00006C580000}"/>
    <cellStyle name="Comma 3 7 5" xfId="5793" xr:uid="{00000000-0005-0000-0000-00006D580000}"/>
    <cellStyle name="Comma 3 7 5 2" xfId="5794" xr:uid="{00000000-0005-0000-0000-00006E580000}"/>
    <cellStyle name="Comma 3 7 5 2 2" xfId="15610" xr:uid="{00000000-0005-0000-0000-00006F580000}"/>
    <cellStyle name="Comma 3 7 5 2 3" xfId="21950" xr:uid="{00000000-0005-0000-0000-000070580000}"/>
    <cellStyle name="Comma 3 7 5 3" xfId="13522" xr:uid="{00000000-0005-0000-0000-000071580000}"/>
    <cellStyle name="Comma 3 7 5 3 2" xfId="27071" xr:uid="{00000000-0005-0000-0000-000072580000}"/>
    <cellStyle name="Comma 3 7 5 4" xfId="21951" xr:uid="{00000000-0005-0000-0000-000073580000}"/>
    <cellStyle name="Comma 3 7 6" xfId="5795" xr:uid="{00000000-0005-0000-0000-000074580000}"/>
    <cellStyle name="Comma 3 7 6 2" xfId="14103" xr:uid="{00000000-0005-0000-0000-000075580000}"/>
    <cellStyle name="Comma 3 7 6 2 2" xfId="27652" xr:uid="{00000000-0005-0000-0000-000076580000}"/>
    <cellStyle name="Comma 3 7 6 3" xfId="21949" xr:uid="{00000000-0005-0000-0000-000077580000}"/>
    <cellStyle name="Comma 3 7 7" xfId="5796" xr:uid="{00000000-0005-0000-0000-000078580000}"/>
    <cellStyle name="Comma 3 7 7 2" xfId="15989" xr:uid="{00000000-0005-0000-0000-000079580000}"/>
    <cellStyle name="Comma 3 7 7 2 2" xfId="29396" xr:uid="{00000000-0005-0000-0000-00007A580000}"/>
    <cellStyle name="Comma 3 7 7 3" xfId="21948" xr:uid="{00000000-0005-0000-0000-00007B580000}"/>
    <cellStyle name="Comma 3 7 8" xfId="9805" xr:uid="{00000000-0005-0000-0000-00007C580000}"/>
    <cellStyle name="Comma 3 7 9" xfId="21967" xr:uid="{00000000-0005-0000-0000-00007D580000}"/>
    <cellStyle name="Comma 3 8" xfId="5797" xr:uid="{00000000-0005-0000-0000-00007E580000}"/>
    <cellStyle name="Comma 3 8 2" xfId="5798" xr:uid="{00000000-0005-0000-0000-00007F580000}"/>
    <cellStyle name="Comma 3 8 2 2" xfId="5799" xr:uid="{00000000-0005-0000-0000-000080580000}"/>
    <cellStyle name="Comma 3 8 2 2 2" xfId="11342" xr:uid="{00000000-0005-0000-0000-000081580000}"/>
    <cellStyle name="Comma 3 8 2 2 3" xfId="21945" xr:uid="{00000000-0005-0000-0000-000082580000}"/>
    <cellStyle name="Comma 3 8 2 3" xfId="5800" xr:uid="{00000000-0005-0000-0000-000083580000}"/>
    <cellStyle name="Comma 3 8 2 3 2" xfId="16715" xr:uid="{00000000-0005-0000-0000-000084580000}"/>
    <cellStyle name="Comma 3 8 2 3 2 2" xfId="30122" xr:uid="{00000000-0005-0000-0000-000085580000}"/>
    <cellStyle name="Comma 3 8 2 3 3" xfId="21944" xr:uid="{00000000-0005-0000-0000-000086580000}"/>
    <cellStyle name="Comma 3 8 2 4" xfId="9810" xr:uid="{00000000-0005-0000-0000-000087580000}"/>
    <cellStyle name="Comma 3 8 2 5" xfId="21946" xr:uid="{00000000-0005-0000-0000-000088580000}"/>
    <cellStyle name="Comma 3 8 3" xfId="5801" xr:uid="{00000000-0005-0000-0000-000089580000}"/>
    <cellStyle name="Comma 3 8 3 2" xfId="5802" xr:uid="{00000000-0005-0000-0000-00008A580000}"/>
    <cellStyle name="Comma 3 8 3 2 2" xfId="13142" xr:uid="{00000000-0005-0000-0000-00008B580000}"/>
    <cellStyle name="Comma 3 8 3 2 3" xfId="21942" xr:uid="{00000000-0005-0000-0000-00008C580000}"/>
    <cellStyle name="Comma 3 8 3 3" xfId="12097" xr:uid="{00000000-0005-0000-0000-00008D580000}"/>
    <cellStyle name="Comma 3 8 3 3 2" xfId="25809" xr:uid="{00000000-0005-0000-0000-00008E580000}"/>
    <cellStyle name="Comma 3 8 3 4" xfId="21943" xr:uid="{00000000-0005-0000-0000-00008F580000}"/>
    <cellStyle name="Comma 3 8 4" xfId="5803" xr:uid="{00000000-0005-0000-0000-000090580000}"/>
    <cellStyle name="Comma 3 8 4 2" xfId="5804" xr:uid="{00000000-0005-0000-0000-000091580000}"/>
    <cellStyle name="Comma 3 8 4 2 2" xfId="15611" xr:uid="{00000000-0005-0000-0000-000092580000}"/>
    <cellStyle name="Comma 3 8 4 2 3" xfId="21940" xr:uid="{00000000-0005-0000-0000-000093580000}"/>
    <cellStyle name="Comma 3 8 4 3" xfId="13667" xr:uid="{00000000-0005-0000-0000-000094580000}"/>
    <cellStyle name="Comma 3 8 4 3 2" xfId="27216" xr:uid="{00000000-0005-0000-0000-000095580000}"/>
    <cellStyle name="Comma 3 8 4 4" xfId="21941" xr:uid="{00000000-0005-0000-0000-000096580000}"/>
    <cellStyle name="Comma 3 8 5" xfId="5805" xr:uid="{00000000-0005-0000-0000-000097580000}"/>
    <cellStyle name="Comma 3 8 5 2" xfId="14248" xr:uid="{00000000-0005-0000-0000-000098580000}"/>
    <cellStyle name="Comma 3 8 5 2 2" xfId="27797" xr:uid="{00000000-0005-0000-0000-000099580000}"/>
    <cellStyle name="Comma 3 8 5 3" xfId="21939" xr:uid="{00000000-0005-0000-0000-00009A580000}"/>
    <cellStyle name="Comma 3 8 6" xfId="5806" xr:uid="{00000000-0005-0000-0000-00009B580000}"/>
    <cellStyle name="Comma 3 8 6 2" xfId="16134" xr:uid="{00000000-0005-0000-0000-00009C580000}"/>
    <cellStyle name="Comma 3 8 6 2 2" xfId="29541" xr:uid="{00000000-0005-0000-0000-00009D580000}"/>
    <cellStyle name="Comma 3 8 6 3" xfId="21938" xr:uid="{00000000-0005-0000-0000-00009E580000}"/>
    <cellStyle name="Comma 3 8 7" xfId="9809" xr:uid="{00000000-0005-0000-0000-00009F580000}"/>
    <cellStyle name="Comma 3 8 8" xfId="21947" xr:uid="{00000000-0005-0000-0000-0000A0580000}"/>
    <cellStyle name="Comma 3 9" xfId="5807" xr:uid="{00000000-0005-0000-0000-0000A1580000}"/>
    <cellStyle name="Comma 3 9 2" xfId="5808" xr:uid="{00000000-0005-0000-0000-0000A2580000}"/>
    <cellStyle name="Comma 3 9 2 2" xfId="5809" xr:uid="{00000000-0005-0000-0000-0000A3580000}"/>
    <cellStyle name="Comma 3 9 2 2 2" xfId="11343" xr:uid="{00000000-0005-0000-0000-0000A4580000}"/>
    <cellStyle name="Comma 3 9 2 2 3" xfId="21935" xr:uid="{00000000-0005-0000-0000-0000A5580000}"/>
    <cellStyle name="Comma 3 9 2 3" xfId="5810" xr:uid="{00000000-0005-0000-0000-0000A6580000}"/>
    <cellStyle name="Comma 3 9 2 3 2" xfId="16713" xr:uid="{00000000-0005-0000-0000-0000A7580000}"/>
    <cellStyle name="Comma 3 9 2 3 2 2" xfId="30120" xr:uid="{00000000-0005-0000-0000-0000A8580000}"/>
    <cellStyle name="Comma 3 9 2 3 3" xfId="21934" xr:uid="{00000000-0005-0000-0000-0000A9580000}"/>
    <cellStyle name="Comma 3 9 2 4" xfId="9812" xr:uid="{00000000-0005-0000-0000-0000AA580000}"/>
    <cellStyle name="Comma 3 9 2 5" xfId="21936" xr:uid="{00000000-0005-0000-0000-0000AB580000}"/>
    <cellStyle name="Comma 3 9 3" xfId="5811" xr:uid="{00000000-0005-0000-0000-0000AC580000}"/>
    <cellStyle name="Comma 3 9 3 2" xfId="5812" xr:uid="{00000000-0005-0000-0000-0000AD580000}"/>
    <cellStyle name="Comma 3 9 3 2 2" xfId="13143" xr:uid="{00000000-0005-0000-0000-0000AE580000}"/>
    <cellStyle name="Comma 3 9 3 2 3" xfId="21932" xr:uid="{00000000-0005-0000-0000-0000AF580000}"/>
    <cellStyle name="Comma 3 9 3 3" xfId="12093" xr:uid="{00000000-0005-0000-0000-0000B0580000}"/>
    <cellStyle name="Comma 3 9 3 3 2" xfId="25805" xr:uid="{00000000-0005-0000-0000-0000B1580000}"/>
    <cellStyle name="Comma 3 9 3 4" xfId="21933" xr:uid="{00000000-0005-0000-0000-0000B2580000}"/>
    <cellStyle name="Comma 3 9 4" xfId="5813" xr:uid="{00000000-0005-0000-0000-0000B3580000}"/>
    <cellStyle name="Comma 3 9 4 2" xfId="5814" xr:uid="{00000000-0005-0000-0000-0000B4580000}"/>
    <cellStyle name="Comma 3 9 4 2 2" xfId="15612" xr:uid="{00000000-0005-0000-0000-0000B5580000}"/>
    <cellStyle name="Comma 3 9 4 2 3" xfId="21930" xr:uid="{00000000-0005-0000-0000-0000B6580000}"/>
    <cellStyle name="Comma 3 9 4 3" xfId="13665" xr:uid="{00000000-0005-0000-0000-0000B7580000}"/>
    <cellStyle name="Comma 3 9 4 3 2" xfId="27214" xr:uid="{00000000-0005-0000-0000-0000B8580000}"/>
    <cellStyle name="Comma 3 9 4 4" xfId="21931" xr:uid="{00000000-0005-0000-0000-0000B9580000}"/>
    <cellStyle name="Comma 3 9 5" xfId="5815" xr:uid="{00000000-0005-0000-0000-0000BA580000}"/>
    <cellStyle name="Comma 3 9 5 2" xfId="14246" xr:uid="{00000000-0005-0000-0000-0000BB580000}"/>
    <cellStyle name="Comma 3 9 5 2 2" xfId="27795" xr:uid="{00000000-0005-0000-0000-0000BC580000}"/>
    <cellStyle name="Comma 3 9 5 3" xfId="21929" xr:uid="{00000000-0005-0000-0000-0000BD580000}"/>
    <cellStyle name="Comma 3 9 6" xfId="5816" xr:uid="{00000000-0005-0000-0000-0000BE580000}"/>
    <cellStyle name="Comma 3 9 6 2" xfId="16132" xr:uid="{00000000-0005-0000-0000-0000BF580000}"/>
    <cellStyle name="Comma 3 9 6 2 2" xfId="29539" xr:uid="{00000000-0005-0000-0000-0000C0580000}"/>
    <cellStyle name="Comma 3 9 6 3" xfId="21928" xr:uid="{00000000-0005-0000-0000-0000C1580000}"/>
    <cellStyle name="Comma 3 9 7" xfId="9811" xr:uid="{00000000-0005-0000-0000-0000C2580000}"/>
    <cellStyle name="Comma 3 9 8" xfId="21937" xr:uid="{00000000-0005-0000-0000-0000C3580000}"/>
    <cellStyle name="Comma 4" xfId="5817" xr:uid="{00000000-0005-0000-0000-0000C4580000}"/>
    <cellStyle name="Comma 4 2" xfId="5818" xr:uid="{00000000-0005-0000-0000-0000C5580000}"/>
    <cellStyle name="Comma 4 2 2" xfId="9814" xr:uid="{00000000-0005-0000-0000-0000C6580000}"/>
    <cellStyle name="Comma 4 2 3" xfId="21926" xr:uid="{00000000-0005-0000-0000-0000C7580000}"/>
    <cellStyle name="Comma 4 3" xfId="5819" xr:uid="{00000000-0005-0000-0000-0000C8580000}"/>
    <cellStyle name="Comma 4 3 2" xfId="13144" xr:uid="{00000000-0005-0000-0000-0000C9580000}"/>
    <cellStyle name="Comma 4 3 3" xfId="21925" xr:uid="{00000000-0005-0000-0000-0000CA580000}"/>
    <cellStyle name="Comma 4 4" xfId="5820" xr:uid="{00000000-0005-0000-0000-0000CB580000}"/>
    <cellStyle name="Comma 4 4 2" xfId="9813" xr:uid="{00000000-0005-0000-0000-0000CC580000}"/>
    <cellStyle name="Comma 4 4 3" xfId="21924" xr:uid="{00000000-0005-0000-0000-0000CD580000}"/>
    <cellStyle name="Comma 4 5" xfId="8656" xr:uid="{00000000-0005-0000-0000-0000CE580000}"/>
    <cellStyle name="Comma 4 6" xfId="21927" xr:uid="{00000000-0005-0000-0000-0000CF580000}"/>
    <cellStyle name="Comma 4 7" xfId="32900" xr:uid="{00000000-0005-0000-0000-0000D0580000}"/>
    <cellStyle name="Comma 5" xfId="5821" xr:uid="{00000000-0005-0000-0000-0000D1580000}"/>
    <cellStyle name="Comma 5 2" xfId="5822" xr:uid="{00000000-0005-0000-0000-0000D2580000}"/>
    <cellStyle name="Comma 5 2 2" xfId="17010" xr:uid="{00000000-0005-0000-0000-0000D3580000}"/>
    <cellStyle name="Comma 5 2 2 2" xfId="30417" xr:uid="{00000000-0005-0000-0000-0000D4580000}"/>
    <cellStyle name="Comma 5 2 3" xfId="21922" xr:uid="{00000000-0005-0000-0000-0000D5580000}"/>
    <cellStyle name="Comma 5 3" xfId="5823" xr:uid="{00000000-0005-0000-0000-0000D6580000}"/>
    <cellStyle name="Comma 5 3 2" xfId="17321" xr:uid="{00000000-0005-0000-0000-0000D7580000}"/>
    <cellStyle name="Comma 5 3 3" xfId="21921" xr:uid="{00000000-0005-0000-0000-0000D8580000}"/>
    <cellStyle name="Comma 5 4" xfId="8717" xr:uid="{00000000-0005-0000-0000-0000D9580000}"/>
    <cellStyle name="Comma 5 5" xfId="21923" xr:uid="{00000000-0005-0000-0000-0000DA580000}"/>
    <cellStyle name="Comma 6" xfId="5824" xr:uid="{00000000-0005-0000-0000-0000DB580000}"/>
    <cellStyle name="Comma 6 2" xfId="5825" xr:uid="{00000000-0005-0000-0000-0000DC580000}"/>
    <cellStyle name="Comma 6 2 2" xfId="17011" xr:uid="{00000000-0005-0000-0000-0000DD580000}"/>
    <cellStyle name="Comma 6 2 2 2" xfId="30418" xr:uid="{00000000-0005-0000-0000-0000DE580000}"/>
    <cellStyle name="Comma 6 2 3" xfId="21919" xr:uid="{00000000-0005-0000-0000-0000DF580000}"/>
    <cellStyle name="Comma 6 3" xfId="9815" xr:uid="{00000000-0005-0000-0000-0000E0580000}"/>
    <cellStyle name="Comma 6 4" xfId="21920" xr:uid="{00000000-0005-0000-0000-0000E1580000}"/>
    <cellStyle name="Comma 7" xfId="5826" xr:uid="{00000000-0005-0000-0000-0000E2580000}"/>
    <cellStyle name="Comma 7 2" xfId="5827" xr:uid="{00000000-0005-0000-0000-0000E3580000}"/>
    <cellStyle name="Comma 7 2 2" xfId="17012" xr:uid="{00000000-0005-0000-0000-0000E4580000}"/>
    <cellStyle name="Comma 7 2 2 2" xfId="30419" xr:uid="{00000000-0005-0000-0000-0000E5580000}"/>
    <cellStyle name="Comma 7 2 3" xfId="21917" xr:uid="{00000000-0005-0000-0000-0000E6580000}"/>
    <cellStyle name="Comma 7 3" xfId="9816" xr:uid="{00000000-0005-0000-0000-0000E7580000}"/>
    <cellStyle name="Comma 7 4" xfId="21918" xr:uid="{00000000-0005-0000-0000-0000E8580000}"/>
    <cellStyle name="Comma 8" xfId="5828" xr:uid="{00000000-0005-0000-0000-0000E9580000}"/>
    <cellStyle name="Comma 8 2" xfId="5829" xr:uid="{00000000-0005-0000-0000-0000EA580000}"/>
    <cellStyle name="Comma 8 2 2" xfId="9818" xr:uid="{00000000-0005-0000-0000-0000EB580000}"/>
    <cellStyle name="Comma 8 2 3" xfId="21915" xr:uid="{00000000-0005-0000-0000-0000EC580000}"/>
    <cellStyle name="Comma 8 3" xfId="5830" xr:uid="{00000000-0005-0000-0000-0000ED580000}"/>
    <cellStyle name="Comma 8 3 2" xfId="13145" xr:uid="{00000000-0005-0000-0000-0000EE580000}"/>
    <cellStyle name="Comma 8 3 3" xfId="21914" xr:uid="{00000000-0005-0000-0000-0000EF580000}"/>
    <cellStyle name="Comma 8 4" xfId="9817" xr:uid="{00000000-0005-0000-0000-0000F0580000}"/>
    <cellStyle name="Comma 8 5" xfId="21916" xr:uid="{00000000-0005-0000-0000-0000F1580000}"/>
    <cellStyle name="Comma 9" xfId="5831" xr:uid="{00000000-0005-0000-0000-0000F2580000}"/>
    <cellStyle name="Comma 9 2" xfId="5832" xr:uid="{00000000-0005-0000-0000-0000F3580000}"/>
    <cellStyle name="Comma 9 2 2" xfId="5833" xr:uid="{00000000-0005-0000-0000-0000F4580000}"/>
    <cellStyle name="Comma 9 2 2 2" xfId="11345" xr:uid="{00000000-0005-0000-0000-0000F5580000}"/>
    <cellStyle name="Comma 9 2 2 3" xfId="21911" xr:uid="{00000000-0005-0000-0000-0000F6580000}"/>
    <cellStyle name="Comma 9 2 3" xfId="9820" xr:uid="{00000000-0005-0000-0000-0000F7580000}"/>
    <cellStyle name="Comma 9 2 4" xfId="21912" xr:uid="{00000000-0005-0000-0000-0000F8580000}"/>
    <cellStyle name="Comma 9 3" xfId="5834" xr:uid="{00000000-0005-0000-0000-0000F9580000}"/>
    <cellStyle name="Comma 9 3 2" xfId="11344" xr:uid="{00000000-0005-0000-0000-0000FA580000}"/>
    <cellStyle name="Comma 9 3 3" xfId="21910" xr:uid="{00000000-0005-0000-0000-0000FB580000}"/>
    <cellStyle name="Comma 9 4" xfId="5835" xr:uid="{00000000-0005-0000-0000-0000FC580000}"/>
    <cellStyle name="Comma 9 4 2" xfId="13146" xr:uid="{00000000-0005-0000-0000-0000FD580000}"/>
    <cellStyle name="Comma 9 4 3" xfId="21909" xr:uid="{00000000-0005-0000-0000-0000FE580000}"/>
    <cellStyle name="Comma 9 5" xfId="9819" xr:uid="{00000000-0005-0000-0000-0000FF580000}"/>
    <cellStyle name="Comma 9 6" xfId="21913" xr:uid="{00000000-0005-0000-0000-000000590000}"/>
    <cellStyle name="Comma0" xfId="5836" xr:uid="{00000000-0005-0000-0000-000001590000}"/>
    <cellStyle name="Comma0 2" xfId="5837" xr:uid="{00000000-0005-0000-0000-000002590000}"/>
    <cellStyle name="Comma0 2 2" xfId="5838" xr:uid="{00000000-0005-0000-0000-000003590000}"/>
    <cellStyle name="Comma0 2 2 2" xfId="17013" xr:uid="{00000000-0005-0000-0000-000004590000}"/>
    <cellStyle name="Comma0 2 2 3" xfId="21906" xr:uid="{00000000-0005-0000-0000-000005590000}"/>
    <cellStyle name="Comma0 2 3" xfId="8657" xr:uid="{00000000-0005-0000-0000-000006590000}"/>
    <cellStyle name="Comma0 2 4" xfId="21907" xr:uid="{00000000-0005-0000-0000-000007590000}"/>
    <cellStyle name="Comma0 3" xfId="5839" xr:uid="{00000000-0005-0000-0000-000008590000}"/>
    <cellStyle name="Comma0 3 2" xfId="8721" xr:uid="{00000000-0005-0000-0000-000009590000}"/>
    <cellStyle name="Comma0 3 2 2" xfId="17322" xr:uid="{00000000-0005-0000-0000-00000A590000}"/>
    <cellStyle name="Comma0 3 3" xfId="17284" xr:uid="{00000000-0005-0000-0000-00000B590000}"/>
    <cellStyle name="Comma0 3 4" xfId="9821" xr:uid="{00000000-0005-0000-0000-00000C590000}"/>
    <cellStyle name="Comma0 3 5" xfId="21905" xr:uid="{00000000-0005-0000-0000-00000D590000}"/>
    <cellStyle name="Comma0 4" xfId="8649" xr:uid="{00000000-0005-0000-0000-00000E590000}"/>
    <cellStyle name="Comma0 5" xfId="21908" xr:uid="{00000000-0005-0000-0000-00000F590000}"/>
    <cellStyle name="Currency" xfId="2" builtinId="4"/>
    <cellStyle name="Currency 10" xfId="5840" xr:uid="{00000000-0005-0000-0000-000011590000}"/>
    <cellStyle name="Currency 10 2" xfId="9822" xr:uid="{00000000-0005-0000-0000-000012590000}"/>
    <cellStyle name="Currency 10 3" xfId="21904" xr:uid="{00000000-0005-0000-0000-000013590000}"/>
    <cellStyle name="Currency 11" xfId="5841" xr:uid="{00000000-0005-0000-0000-000014590000}"/>
    <cellStyle name="Currency 11 2" xfId="5842" xr:uid="{00000000-0005-0000-0000-000015590000}"/>
    <cellStyle name="Currency 11 2 2" xfId="9824" xr:uid="{00000000-0005-0000-0000-000016590000}"/>
    <cellStyle name="Currency 11 2 3" xfId="21902" xr:uid="{00000000-0005-0000-0000-000017590000}"/>
    <cellStyle name="Currency 11 3" xfId="5843" xr:uid="{00000000-0005-0000-0000-000018590000}"/>
    <cellStyle name="Currency 11 3 2" xfId="13147" xr:uid="{00000000-0005-0000-0000-000019590000}"/>
    <cellStyle name="Currency 11 3 3" xfId="21901" xr:uid="{00000000-0005-0000-0000-00001A590000}"/>
    <cellStyle name="Currency 11 4" xfId="9823" xr:uid="{00000000-0005-0000-0000-00001B590000}"/>
    <cellStyle name="Currency 11 5" xfId="21903" xr:uid="{00000000-0005-0000-0000-00001C590000}"/>
    <cellStyle name="Currency 12" xfId="5844" xr:uid="{00000000-0005-0000-0000-00001D590000}"/>
    <cellStyle name="Currency 12 2" xfId="13148" xr:uid="{00000000-0005-0000-0000-00001E590000}"/>
    <cellStyle name="Currency 12 3" xfId="21900" xr:uid="{00000000-0005-0000-0000-00001F590000}"/>
    <cellStyle name="Currency 13" xfId="33029" xr:uid="{8C7DF305-3C2A-4BBB-8A2E-5F4EA80655AA}"/>
    <cellStyle name="Currency 14" xfId="33042" xr:uid="{52858B3A-5152-4F78-A55A-FFE87AB946AF}"/>
    <cellStyle name="Currency 192" xfId="33035" xr:uid="{2B32A0F8-3FC7-4C23-BBA5-0DBDC245745A}"/>
    <cellStyle name="Currency 2" xfId="5845" xr:uid="{00000000-0005-0000-0000-000020590000}"/>
    <cellStyle name="Currency 2 2" xfId="5846" xr:uid="{00000000-0005-0000-0000-000021590000}"/>
    <cellStyle name="Currency 2 2 2" xfId="5847" xr:uid="{00000000-0005-0000-0000-000022590000}"/>
    <cellStyle name="Currency 2 2 2 2" xfId="9826" xr:uid="{00000000-0005-0000-0000-000023590000}"/>
    <cellStyle name="Currency 2 2 2 3" xfId="21897" xr:uid="{00000000-0005-0000-0000-000024590000}"/>
    <cellStyle name="Currency 2 2 3" xfId="5848" xr:uid="{00000000-0005-0000-0000-000025590000}"/>
    <cellStyle name="Currency 2 2 3 2" xfId="13149" xr:uid="{00000000-0005-0000-0000-000026590000}"/>
    <cellStyle name="Currency 2 2 3 3" xfId="21896" xr:uid="{00000000-0005-0000-0000-000027590000}"/>
    <cellStyle name="Currency 2 2 4" xfId="5849" xr:uid="{00000000-0005-0000-0000-000028590000}"/>
    <cellStyle name="Currency 2 2 4 2" xfId="17014" xr:uid="{00000000-0005-0000-0000-000029590000}"/>
    <cellStyle name="Currency 2 2 4 2 2" xfId="30421" xr:uid="{00000000-0005-0000-0000-00002A590000}"/>
    <cellStyle name="Currency 2 2 4 3" xfId="21895" xr:uid="{00000000-0005-0000-0000-00002B590000}"/>
    <cellStyle name="Currency 2 2 5" xfId="8668" xr:uid="{00000000-0005-0000-0000-00002C590000}"/>
    <cellStyle name="Currency 2 2 6" xfId="21898" xr:uid="{00000000-0005-0000-0000-00002D590000}"/>
    <cellStyle name="Currency 2 3" xfId="5850" xr:uid="{00000000-0005-0000-0000-00002E590000}"/>
    <cellStyle name="Currency 2 3 2" xfId="5851" xr:uid="{00000000-0005-0000-0000-00002F590000}"/>
    <cellStyle name="Currency 2 3 2 2" xfId="13150" xr:uid="{00000000-0005-0000-0000-000030590000}"/>
    <cellStyle name="Currency 2 3 2 3" xfId="21893" xr:uid="{00000000-0005-0000-0000-000031590000}"/>
    <cellStyle name="Currency 2 3 3" xfId="5852" xr:uid="{00000000-0005-0000-0000-000032590000}"/>
    <cellStyle name="Currency 2 3 3 2" xfId="17015" xr:uid="{00000000-0005-0000-0000-000033590000}"/>
    <cellStyle name="Currency 2 3 3 2 2" xfId="30422" xr:uid="{00000000-0005-0000-0000-000034590000}"/>
    <cellStyle name="Currency 2 3 3 3" xfId="21892" xr:uid="{00000000-0005-0000-0000-000035590000}"/>
    <cellStyle name="Currency 2 3 4" xfId="5853" xr:uid="{00000000-0005-0000-0000-000036590000}"/>
    <cellStyle name="Currency 2 3 4 2" xfId="17357" xr:uid="{00000000-0005-0000-0000-000037590000}"/>
    <cellStyle name="Currency 2 3 4 3" xfId="21891" xr:uid="{00000000-0005-0000-0000-000038590000}"/>
    <cellStyle name="Currency 2 3 5" xfId="8727" xr:uid="{00000000-0005-0000-0000-000039590000}"/>
    <cellStyle name="Currency 2 3 6" xfId="10505" xr:uid="{00000000-0005-0000-0000-00003A590000}"/>
    <cellStyle name="Currency 2 3 7" xfId="21894" xr:uid="{00000000-0005-0000-0000-00003B590000}"/>
    <cellStyle name="Currency 2 4" xfId="8642" xr:uid="{00000000-0005-0000-0000-00003C590000}"/>
    <cellStyle name="Currency 2 4 2" xfId="9825" xr:uid="{00000000-0005-0000-0000-00003D590000}"/>
    <cellStyle name="Currency 2 5" xfId="17290" xr:uid="{00000000-0005-0000-0000-00003E590000}"/>
    <cellStyle name="Currency 2 6" xfId="21899" xr:uid="{00000000-0005-0000-0000-00003F590000}"/>
    <cellStyle name="Currency 2 7" xfId="32963" xr:uid="{00000000-0005-0000-0000-000040590000}"/>
    <cellStyle name="Currency 3" xfId="5854" xr:uid="{00000000-0005-0000-0000-000041590000}"/>
    <cellStyle name="Currency 3 10" xfId="5855" xr:uid="{00000000-0005-0000-0000-000042590000}"/>
    <cellStyle name="Currency 3 10 2" xfId="9828" xr:uid="{00000000-0005-0000-0000-000043590000}"/>
    <cellStyle name="Currency 3 10 3" xfId="21889" xr:uid="{00000000-0005-0000-0000-000044590000}"/>
    <cellStyle name="Currency 3 11" xfId="5856" xr:uid="{00000000-0005-0000-0000-000045590000}"/>
    <cellStyle name="Currency 3 11 2" xfId="5857" xr:uid="{00000000-0005-0000-0000-000046590000}"/>
    <cellStyle name="Currency 3 11 2 2" xfId="13151" xr:uid="{00000000-0005-0000-0000-000047590000}"/>
    <cellStyle name="Currency 3 11 2 3" xfId="21887" xr:uid="{00000000-0005-0000-0000-000048590000}"/>
    <cellStyle name="Currency 3 11 3" xfId="5858" xr:uid="{00000000-0005-0000-0000-000049590000}"/>
    <cellStyle name="Currency 3 11 3 2" xfId="17016" xr:uid="{00000000-0005-0000-0000-00004A590000}"/>
    <cellStyle name="Currency 3 11 3 2 2" xfId="30423" xr:uid="{00000000-0005-0000-0000-00004B590000}"/>
    <cellStyle name="Currency 3 11 3 3" xfId="21886" xr:uid="{00000000-0005-0000-0000-00004C590000}"/>
    <cellStyle name="Currency 3 11 4" xfId="9829" xr:uid="{00000000-0005-0000-0000-00004D590000}"/>
    <cellStyle name="Currency 3 11 5" xfId="21888" xr:uid="{00000000-0005-0000-0000-00004E590000}"/>
    <cellStyle name="Currency 3 12" xfId="5859" xr:uid="{00000000-0005-0000-0000-00004F590000}"/>
    <cellStyle name="Currency 3 12 2" xfId="5860" xr:uid="{00000000-0005-0000-0000-000050590000}"/>
    <cellStyle name="Currency 3 12 2 2" xfId="13153" xr:uid="{00000000-0005-0000-0000-000051590000}"/>
    <cellStyle name="Currency 3 12 2 3" xfId="21884" xr:uid="{00000000-0005-0000-0000-000052590000}"/>
    <cellStyle name="Currency 3 12 3" xfId="5861" xr:uid="{00000000-0005-0000-0000-000053590000}"/>
    <cellStyle name="Currency 3 12 3 2" xfId="13152" xr:uid="{00000000-0005-0000-0000-000054590000}"/>
    <cellStyle name="Currency 3 12 3 2 2" xfId="26864" xr:uid="{00000000-0005-0000-0000-000055590000}"/>
    <cellStyle name="Currency 3 12 3 3" xfId="21883" xr:uid="{00000000-0005-0000-0000-000056590000}"/>
    <cellStyle name="Currency 3 12 4" xfId="5862" xr:uid="{00000000-0005-0000-0000-000057590000}"/>
    <cellStyle name="Currency 3 12 4 2" xfId="17098" xr:uid="{00000000-0005-0000-0000-000058590000}"/>
    <cellStyle name="Currency 3 12 4 2 2" xfId="30457" xr:uid="{00000000-0005-0000-0000-000059590000}"/>
    <cellStyle name="Currency 3 12 4 3" xfId="21882" xr:uid="{00000000-0005-0000-0000-00005A590000}"/>
    <cellStyle name="Currency 3 12 5" xfId="9830" xr:uid="{00000000-0005-0000-0000-00005B590000}"/>
    <cellStyle name="Currency 3 12 6" xfId="21885" xr:uid="{00000000-0005-0000-0000-00005C590000}"/>
    <cellStyle name="Currency 3 13" xfId="5863" xr:uid="{00000000-0005-0000-0000-00005D590000}"/>
    <cellStyle name="Currency 3 13 2" xfId="5864" xr:uid="{00000000-0005-0000-0000-00005E590000}"/>
    <cellStyle name="Currency 3 13 2 2" xfId="17187" xr:uid="{00000000-0005-0000-0000-00005F590000}"/>
    <cellStyle name="Currency 3 13 2 2 2" xfId="30546" xr:uid="{00000000-0005-0000-0000-000060590000}"/>
    <cellStyle name="Currency 3 13 2 3" xfId="21880" xr:uid="{00000000-0005-0000-0000-000061590000}"/>
    <cellStyle name="Currency 3 13 3" xfId="9831" xr:uid="{00000000-0005-0000-0000-000062590000}"/>
    <cellStyle name="Currency 3 13 4" xfId="21881" xr:uid="{00000000-0005-0000-0000-000063590000}"/>
    <cellStyle name="Currency 3 14" xfId="5865" xr:uid="{00000000-0005-0000-0000-000064590000}"/>
    <cellStyle name="Currency 3 14 2" xfId="5866" xr:uid="{00000000-0005-0000-0000-000065590000}"/>
    <cellStyle name="Currency 3 14 2 2" xfId="5867" xr:uid="{00000000-0005-0000-0000-000066590000}"/>
    <cellStyle name="Currency 3 14 2 2 2" xfId="11348" xr:uid="{00000000-0005-0000-0000-000067590000}"/>
    <cellStyle name="Currency 3 14 2 2 3" xfId="21877" xr:uid="{00000000-0005-0000-0000-000068590000}"/>
    <cellStyle name="Currency 3 14 2 3" xfId="9833" xr:uid="{00000000-0005-0000-0000-000069590000}"/>
    <cellStyle name="Currency 3 14 2 4" xfId="21878" xr:uid="{00000000-0005-0000-0000-00006A590000}"/>
    <cellStyle name="Currency 3 14 3" xfId="5868" xr:uid="{00000000-0005-0000-0000-00006B590000}"/>
    <cellStyle name="Currency 3 14 3 2" xfId="11347" xr:uid="{00000000-0005-0000-0000-00006C590000}"/>
    <cellStyle name="Currency 3 14 3 3" xfId="21876" xr:uid="{00000000-0005-0000-0000-00006D590000}"/>
    <cellStyle name="Currency 3 14 4" xfId="5869" xr:uid="{00000000-0005-0000-0000-00006E590000}"/>
    <cellStyle name="Currency 3 14 4 2" xfId="17276" xr:uid="{00000000-0005-0000-0000-00006F590000}"/>
    <cellStyle name="Currency 3 14 4 2 2" xfId="30635" xr:uid="{00000000-0005-0000-0000-000070590000}"/>
    <cellStyle name="Currency 3 14 4 3" xfId="21875" xr:uid="{00000000-0005-0000-0000-000071590000}"/>
    <cellStyle name="Currency 3 14 5" xfId="9832" xr:uid="{00000000-0005-0000-0000-000072590000}"/>
    <cellStyle name="Currency 3 14 6" xfId="21879" xr:uid="{00000000-0005-0000-0000-000073590000}"/>
    <cellStyle name="Currency 3 15" xfId="5870" xr:uid="{00000000-0005-0000-0000-000074590000}"/>
    <cellStyle name="Currency 3 15 2" xfId="5871" xr:uid="{00000000-0005-0000-0000-000075590000}"/>
    <cellStyle name="Currency 3 15 2 2" xfId="11349" xr:uid="{00000000-0005-0000-0000-000076590000}"/>
    <cellStyle name="Currency 3 15 2 3" xfId="21873" xr:uid="{00000000-0005-0000-0000-000077590000}"/>
    <cellStyle name="Currency 3 15 3" xfId="5872" xr:uid="{00000000-0005-0000-0000-000078590000}"/>
    <cellStyle name="Currency 3 15 3 2" xfId="16428" xr:uid="{00000000-0005-0000-0000-000079590000}"/>
    <cellStyle name="Currency 3 15 3 2 2" xfId="29835" xr:uid="{00000000-0005-0000-0000-00007A590000}"/>
    <cellStyle name="Currency 3 15 3 3" xfId="21872" xr:uid="{00000000-0005-0000-0000-00007B590000}"/>
    <cellStyle name="Currency 3 15 4" xfId="9834" xr:uid="{00000000-0005-0000-0000-00007C590000}"/>
    <cellStyle name="Currency 3 15 5" xfId="21874" xr:uid="{00000000-0005-0000-0000-00007D590000}"/>
    <cellStyle name="Currency 3 16" xfId="5873" xr:uid="{00000000-0005-0000-0000-00007E590000}"/>
    <cellStyle name="Currency 3 16 2" xfId="5874" xr:uid="{00000000-0005-0000-0000-00007F590000}"/>
    <cellStyle name="Currency 3 16 2 2" xfId="11350" xr:uid="{00000000-0005-0000-0000-000080590000}"/>
    <cellStyle name="Currency 3 16 2 3" xfId="21870" xr:uid="{00000000-0005-0000-0000-000081590000}"/>
    <cellStyle name="Currency 3 16 3" xfId="9835" xr:uid="{00000000-0005-0000-0000-000082590000}"/>
    <cellStyle name="Currency 3 16 4" xfId="21871" xr:uid="{00000000-0005-0000-0000-000083590000}"/>
    <cellStyle name="Currency 3 17" xfId="5875" xr:uid="{00000000-0005-0000-0000-000084590000}"/>
    <cellStyle name="Currency 3 17 2" xfId="5876" xr:uid="{00000000-0005-0000-0000-000085590000}"/>
    <cellStyle name="Currency 3 17 2 2" xfId="11351" xr:uid="{00000000-0005-0000-0000-000086590000}"/>
    <cellStyle name="Currency 3 17 2 3" xfId="21868" xr:uid="{00000000-0005-0000-0000-000087590000}"/>
    <cellStyle name="Currency 3 17 3" xfId="9836" xr:uid="{00000000-0005-0000-0000-000088590000}"/>
    <cellStyle name="Currency 3 17 4" xfId="21869" xr:uid="{00000000-0005-0000-0000-000089590000}"/>
    <cellStyle name="Currency 3 18" xfId="5877" xr:uid="{00000000-0005-0000-0000-00008A590000}"/>
    <cellStyle name="Currency 3 18 2" xfId="5878" xr:uid="{00000000-0005-0000-0000-00008B590000}"/>
    <cellStyle name="Currency 3 18 2 2" xfId="11352" xr:uid="{00000000-0005-0000-0000-00008C590000}"/>
    <cellStyle name="Currency 3 18 2 3" xfId="21866" xr:uid="{00000000-0005-0000-0000-00008D590000}"/>
    <cellStyle name="Currency 3 18 3" xfId="9837" xr:uid="{00000000-0005-0000-0000-00008E590000}"/>
    <cellStyle name="Currency 3 18 4" xfId="21867" xr:uid="{00000000-0005-0000-0000-00008F590000}"/>
    <cellStyle name="Currency 3 19" xfId="5879" xr:uid="{00000000-0005-0000-0000-000090590000}"/>
    <cellStyle name="Currency 3 19 2" xfId="5880" xr:uid="{00000000-0005-0000-0000-000091590000}"/>
    <cellStyle name="Currency 3 19 2 2" xfId="11353" xr:uid="{00000000-0005-0000-0000-000092590000}"/>
    <cellStyle name="Currency 3 19 2 3" xfId="21864" xr:uid="{00000000-0005-0000-0000-000093590000}"/>
    <cellStyle name="Currency 3 19 3" xfId="9838" xr:uid="{00000000-0005-0000-0000-000094590000}"/>
    <cellStyle name="Currency 3 19 4" xfId="21865" xr:uid="{00000000-0005-0000-0000-000095590000}"/>
    <cellStyle name="Currency 3 2" xfId="5881" xr:uid="{00000000-0005-0000-0000-000096590000}"/>
    <cellStyle name="Currency 3 2 10" xfId="5882" xr:uid="{00000000-0005-0000-0000-000097590000}"/>
    <cellStyle name="Currency 3 2 10 2" xfId="11354" xr:uid="{00000000-0005-0000-0000-000098590000}"/>
    <cellStyle name="Currency 3 2 10 3" xfId="21862" xr:uid="{00000000-0005-0000-0000-000099590000}"/>
    <cellStyle name="Currency 3 2 11" xfId="5883" xr:uid="{00000000-0005-0000-0000-00009A590000}"/>
    <cellStyle name="Currency 3 2 11 2" xfId="5884" xr:uid="{00000000-0005-0000-0000-00009B590000}"/>
    <cellStyle name="Currency 3 2 11 2 2" xfId="13154" xr:uid="{00000000-0005-0000-0000-00009C590000}"/>
    <cellStyle name="Currency 3 2 11 2 2 2" xfId="26866" xr:uid="{00000000-0005-0000-0000-00009D590000}"/>
    <cellStyle name="Currency 3 2 11 2 3" xfId="21860" xr:uid="{00000000-0005-0000-0000-00009E590000}"/>
    <cellStyle name="Currency 3 2 11 3" xfId="5885" xr:uid="{00000000-0005-0000-0000-00009F590000}"/>
    <cellStyle name="Currency 3 2 11 3 2" xfId="15613" xr:uid="{00000000-0005-0000-0000-0000A0590000}"/>
    <cellStyle name="Currency 3 2 11 3 3" xfId="21859" xr:uid="{00000000-0005-0000-0000-0000A1590000}"/>
    <cellStyle name="Currency 3 2 11 4" xfId="11688" xr:uid="{00000000-0005-0000-0000-0000A2590000}"/>
    <cellStyle name="Currency 3 2 11 5" xfId="21861" xr:uid="{00000000-0005-0000-0000-0000A3590000}"/>
    <cellStyle name="Currency 3 2 12" xfId="5886" xr:uid="{00000000-0005-0000-0000-0000A4590000}"/>
    <cellStyle name="Currency 3 2 12 2" xfId="11844" xr:uid="{00000000-0005-0000-0000-0000A5590000}"/>
    <cellStyle name="Currency 3 2 12 2 2" xfId="25559" xr:uid="{00000000-0005-0000-0000-0000A6590000}"/>
    <cellStyle name="Currency 3 2 12 3" xfId="21858" xr:uid="{00000000-0005-0000-0000-0000A7590000}"/>
    <cellStyle name="Currency 3 2 13" xfId="5887" xr:uid="{00000000-0005-0000-0000-0000A8590000}"/>
    <cellStyle name="Currency 3 2 13 2" xfId="13437" xr:uid="{00000000-0005-0000-0000-0000A9590000}"/>
    <cellStyle name="Currency 3 2 13 2 2" xfId="26986" xr:uid="{00000000-0005-0000-0000-0000AA590000}"/>
    <cellStyle name="Currency 3 2 13 3" xfId="21857" xr:uid="{00000000-0005-0000-0000-0000AB590000}"/>
    <cellStyle name="Currency 3 2 14" xfId="5888" xr:uid="{00000000-0005-0000-0000-0000AC590000}"/>
    <cellStyle name="Currency 3 2 14 2" xfId="14018" xr:uid="{00000000-0005-0000-0000-0000AD590000}"/>
    <cellStyle name="Currency 3 2 14 2 2" xfId="27567" xr:uid="{00000000-0005-0000-0000-0000AE590000}"/>
    <cellStyle name="Currency 3 2 14 3" xfId="21856" xr:uid="{00000000-0005-0000-0000-0000AF590000}"/>
    <cellStyle name="Currency 3 2 15" xfId="5889" xr:uid="{00000000-0005-0000-0000-0000B0590000}"/>
    <cellStyle name="Currency 3 2 15 2" xfId="15904" xr:uid="{00000000-0005-0000-0000-0000B1590000}"/>
    <cellStyle name="Currency 3 2 15 2 2" xfId="29311" xr:uid="{00000000-0005-0000-0000-0000B2590000}"/>
    <cellStyle name="Currency 3 2 15 3" xfId="21855" xr:uid="{00000000-0005-0000-0000-0000B3590000}"/>
    <cellStyle name="Currency 3 2 16" xfId="5890" xr:uid="{00000000-0005-0000-0000-0000B4590000}"/>
    <cellStyle name="Currency 3 2 16 2" xfId="9839" xr:uid="{00000000-0005-0000-0000-0000B5590000}"/>
    <cellStyle name="Currency 3 2 16 3" xfId="21854" xr:uid="{00000000-0005-0000-0000-0000B6590000}"/>
    <cellStyle name="Currency 3 2 17" xfId="8704" xr:uid="{00000000-0005-0000-0000-0000B7590000}"/>
    <cellStyle name="Currency 3 2 18" xfId="21863" xr:uid="{00000000-0005-0000-0000-0000B8590000}"/>
    <cellStyle name="Currency 3 2 2" xfId="5891" xr:uid="{00000000-0005-0000-0000-0000B9590000}"/>
    <cellStyle name="Currency 3 2 2 10" xfId="9840" xr:uid="{00000000-0005-0000-0000-0000BA590000}"/>
    <cellStyle name="Currency 3 2 2 11" xfId="21853" xr:uid="{00000000-0005-0000-0000-0000BB590000}"/>
    <cellStyle name="Currency 3 2 2 2" xfId="5892" xr:uid="{00000000-0005-0000-0000-0000BC590000}"/>
    <cellStyle name="Currency 3 2 2 2 2" xfId="5893" xr:uid="{00000000-0005-0000-0000-0000BD590000}"/>
    <cellStyle name="Currency 3 2 2 2 2 2" xfId="5894" xr:uid="{00000000-0005-0000-0000-0000BE590000}"/>
    <cellStyle name="Currency 3 2 2 2 2 2 2" xfId="5895" xr:uid="{00000000-0005-0000-0000-0000BF590000}"/>
    <cellStyle name="Currency 3 2 2 2 2 2 2 2" xfId="11355" xr:uid="{00000000-0005-0000-0000-0000C0590000}"/>
    <cellStyle name="Currency 3 2 2 2 2 2 2 3" xfId="21849" xr:uid="{00000000-0005-0000-0000-0000C1590000}"/>
    <cellStyle name="Currency 3 2 2 2 2 2 3" xfId="5896" xr:uid="{00000000-0005-0000-0000-0000C2590000}"/>
    <cellStyle name="Currency 3 2 2 2 2 2 3 2" xfId="16963" xr:uid="{00000000-0005-0000-0000-0000C3590000}"/>
    <cellStyle name="Currency 3 2 2 2 2 2 3 2 2" xfId="30370" xr:uid="{00000000-0005-0000-0000-0000C4590000}"/>
    <cellStyle name="Currency 3 2 2 2 2 2 3 3" xfId="21848" xr:uid="{00000000-0005-0000-0000-0000C5590000}"/>
    <cellStyle name="Currency 3 2 2 2 2 2 4" xfId="9843" xr:uid="{00000000-0005-0000-0000-0000C6590000}"/>
    <cellStyle name="Currency 3 2 2 2 2 2 5" xfId="21850" xr:uid="{00000000-0005-0000-0000-0000C7590000}"/>
    <cellStyle name="Currency 3 2 2 2 2 3" xfId="5897" xr:uid="{00000000-0005-0000-0000-0000C8590000}"/>
    <cellStyle name="Currency 3 2 2 2 2 3 2" xfId="5898" xr:uid="{00000000-0005-0000-0000-0000C9590000}"/>
    <cellStyle name="Currency 3 2 2 2 2 3 2 2" xfId="13155" xr:uid="{00000000-0005-0000-0000-0000CA590000}"/>
    <cellStyle name="Currency 3 2 2 2 2 3 2 3" xfId="21846" xr:uid="{00000000-0005-0000-0000-0000CB590000}"/>
    <cellStyle name="Currency 3 2 2 2 2 3 3" xfId="12351" xr:uid="{00000000-0005-0000-0000-0000CC590000}"/>
    <cellStyle name="Currency 3 2 2 2 2 3 3 2" xfId="26063" xr:uid="{00000000-0005-0000-0000-0000CD590000}"/>
    <cellStyle name="Currency 3 2 2 2 2 3 4" xfId="21847" xr:uid="{00000000-0005-0000-0000-0000CE590000}"/>
    <cellStyle name="Currency 3 2 2 2 2 4" xfId="5899" xr:uid="{00000000-0005-0000-0000-0000CF590000}"/>
    <cellStyle name="Currency 3 2 2 2 2 4 2" xfId="5900" xr:uid="{00000000-0005-0000-0000-0000D0590000}"/>
    <cellStyle name="Currency 3 2 2 2 2 4 2 2" xfId="15614" xr:uid="{00000000-0005-0000-0000-0000D1590000}"/>
    <cellStyle name="Currency 3 2 2 2 2 4 2 3" xfId="21844" xr:uid="{00000000-0005-0000-0000-0000D2590000}"/>
    <cellStyle name="Currency 3 2 2 2 2 4 3" xfId="13915" xr:uid="{00000000-0005-0000-0000-0000D3590000}"/>
    <cellStyle name="Currency 3 2 2 2 2 4 3 2" xfId="27464" xr:uid="{00000000-0005-0000-0000-0000D4590000}"/>
    <cellStyle name="Currency 3 2 2 2 2 4 4" xfId="21845" xr:uid="{00000000-0005-0000-0000-0000D5590000}"/>
    <cellStyle name="Currency 3 2 2 2 2 5" xfId="5901" xr:uid="{00000000-0005-0000-0000-0000D6590000}"/>
    <cellStyle name="Currency 3 2 2 2 2 5 2" xfId="14496" xr:uid="{00000000-0005-0000-0000-0000D7590000}"/>
    <cellStyle name="Currency 3 2 2 2 2 5 2 2" xfId="28045" xr:uid="{00000000-0005-0000-0000-0000D8590000}"/>
    <cellStyle name="Currency 3 2 2 2 2 5 3" xfId="21843" xr:uid="{00000000-0005-0000-0000-0000D9590000}"/>
    <cellStyle name="Currency 3 2 2 2 2 6" xfId="5902" xr:uid="{00000000-0005-0000-0000-0000DA590000}"/>
    <cellStyle name="Currency 3 2 2 2 2 6 2" xfId="16382" xr:uid="{00000000-0005-0000-0000-0000DB590000}"/>
    <cellStyle name="Currency 3 2 2 2 2 6 2 2" xfId="29789" xr:uid="{00000000-0005-0000-0000-0000DC590000}"/>
    <cellStyle name="Currency 3 2 2 2 2 6 3" xfId="21842" xr:uid="{00000000-0005-0000-0000-0000DD590000}"/>
    <cellStyle name="Currency 3 2 2 2 2 7" xfId="9842" xr:uid="{00000000-0005-0000-0000-0000DE590000}"/>
    <cellStyle name="Currency 3 2 2 2 2 8" xfId="21851" xr:uid="{00000000-0005-0000-0000-0000DF590000}"/>
    <cellStyle name="Currency 3 2 2 2 3" xfId="5903" xr:uid="{00000000-0005-0000-0000-0000E0590000}"/>
    <cellStyle name="Currency 3 2 2 2 3 2" xfId="5904" xr:uid="{00000000-0005-0000-0000-0000E1590000}"/>
    <cellStyle name="Currency 3 2 2 2 3 2 2" xfId="11356" xr:uid="{00000000-0005-0000-0000-0000E2590000}"/>
    <cellStyle name="Currency 3 2 2 2 3 2 3" xfId="21840" xr:uid="{00000000-0005-0000-0000-0000E3590000}"/>
    <cellStyle name="Currency 3 2 2 2 3 3" xfId="5905" xr:uid="{00000000-0005-0000-0000-0000E4590000}"/>
    <cellStyle name="Currency 3 2 2 2 3 3 2" xfId="16674" xr:uid="{00000000-0005-0000-0000-0000E5590000}"/>
    <cellStyle name="Currency 3 2 2 2 3 3 2 2" xfId="30081" xr:uid="{00000000-0005-0000-0000-0000E6590000}"/>
    <cellStyle name="Currency 3 2 2 2 3 3 3" xfId="21839" xr:uid="{00000000-0005-0000-0000-0000E7590000}"/>
    <cellStyle name="Currency 3 2 2 2 3 4" xfId="9844" xr:uid="{00000000-0005-0000-0000-0000E8590000}"/>
    <cellStyle name="Currency 3 2 2 2 3 5" xfId="21841" xr:uid="{00000000-0005-0000-0000-0000E9590000}"/>
    <cellStyle name="Currency 3 2 2 2 4" xfId="5906" xr:uid="{00000000-0005-0000-0000-0000EA590000}"/>
    <cellStyle name="Currency 3 2 2 2 4 2" xfId="5907" xr:uid="{00000000-0005-0000-0000-0000EB590000}"/>
    <cellStyle name="Currency 3 2 2 2 4 2 2" xfId="13156" xr:uid="{00000000-0005-0000-0000-0000EC590000}"/>
    <cellStyle name="Currency 3 2 2 2 4 2 3" xfId="21837" xr:uid="{00000000-0005-0000-0000-0000ED590000}"/>
    <cellStyle name="Currency 3 2 2 2 4 3" xfId="12051" xr:uid="{00000000-0005-0000-0000-0000EE590000}"/>
    <cellStyle name="Currency 3 2 2 2 4 3 2" xfId="25766" xr:uid="{00000000-0005-0000-0000-0000EF590000}"/>
    <cellStyle name="Currency 3 2 2 2 4 4" xfId="21838" xr:uid="{00000000-0005-0000-0000-0000F0590000}"/>
    <cellStyle name="Currency 3 2 2 2 5" xfId="5908" xr:uid="{00000000-0005-0000-0000-0000F1590000}"/>
    <cellStyle name="Currency 3 2 2 2 5 2" xfId="5909" xr:uid="{00000000-0005-0000-0000-0000F2590000}"/>
    <cellStyle name="Currency 3 2 2 2 5 2 2" xfId="15615" xr:uid="{00000000-0005-0000-0000-0000F3590000}"/>
    <cellStyle name="Currency 3 2 2 2 5 2 3" xfId="21835" xr:uid="{00000000-0005-0000-0000-0000F4590000}"/>
    <cellStyle name="Currency 3 2 2 2 5 3" xfId="13626" xr:uid="{00000000-0005-0000-0000-0000F5590000}"/>
    <cellStyle name="Currency 3 2 2 2 5 3 2" xfId="27175" xr:uid="{00000000-0005-0000-0000-0000F6590000}"/>
    <cellStyle name="Currency 3 2 2 2 5 4" xfId="21836" xr:uid="{00000000-0005-0000-0000-0000F7590000}"/>
    <cellStyle name="Currency 3 2 2 2 6" xfId="5910" xr:uid="{00000000-0005-0000-0000-0000F8590000}"/>
    <cellStyle name="Currency 3 2 2 2 6 2" xfId="14207" xr:uid="{00000000-0005-0000-0000-0000F9590000}"/>
    <cellStyle name="Currency 3 2 2 2 6 2 2" xfId="27756" xr:uid="{00000000-0005-0000-0000-0000FA590000}"/>
    <cellStyle name="Currency 3 2 2 2 6 3" xfId="21834" xr:uid="{00000000-0005-0000-0000-0000FB590000}"/>
    <cellStyle name="Currency 3 2 2 2 7" xfId="5911" xr:uid="{00000000-0005-0000-0000-0000FC590000}"/>
    <cellStyle name="Currency 3 2 2 2 7 2" xfId="16093" xr:uid="{00000000-0005-0000-0000-0000FD590000}"/>
    <cellStyle name="Currency 3 2 2 2 7 2 2" xfId="29500" xr:uid="{00000000-0005-0000-0000-0000FE590000}"/>
    <cellStyle name="Currency 3 2 2 2 7 3" xfId="21833" xr:uid="{00000000-0005-0000-0000-0000FF590000}"/>
    <cellStyle name="Currency 3 2 2 2 8" xfId="9841" xr:uid="{00000000-0005-0000-0000-0000005A0000}"/>
    <cellStyle name="Currency 3 2 2 2 9" xfId="21852" xr:uid="{00000000-0005-0000-0000-0000015A0000}"/>
    <cellStyle name="Currency 3 2 2 3" xfId="5912" xr:uid="{00000000-0005-0000-0000-0000025A0000}"/>
    <cellStyle name="Currency 3 2 2 3 2" xfId="5913" xr:uid="{00000000-0005-0000-0000-0000035A0000}"/>
    <cellStyle name="Currency 3 2 2 3 2 2" xfId="5914" xr:uid="{00000000-0005-0000-0000-0000045A0000}"/>
    <cellStyle name="Currency 3 2 2 3 2 2 2" xfId="11357" xr:uid="{00000000-0005-0000-0000-0000055A0000}"/>
    <cellStyle name="Currency 3 2 2 3 2 2 3" xfId="21830" xr:uid="{00000000-0005-0000-0000-0000065A0000}"/>
    <cellStyle name="Currency 3 2 2 3 2 3" xfId="5915" xr:uid="{00000000-0005-0000-0000-0000075A0000}"/>
    <cellStyle name="Currency 3 2 2 3 2 3 2" xfId="16820" xr:uid="{00000000-0005-0000-0000-0000085A0000}"/>
    <cellStyle name="Currency 3 2 2 3 2 3 2 2" xfId="30227" xr:uid="{00000000-0005-0000-0000-0000095A0000}"/>
    <cellStyle name="Currency 3 2 2 3 2 3 3" xfId="21829" xr:uid="{00000000-0005-0000-0000-00000A5A0000}"/>
    <cellStyle name="Currency 3 2 2 3 2 4" xfId="9846" xr:uid="{00000000-0005-0000-0000-00000B5A0000}"/>
    <cellStyle name="Currency 3 2 2 3 2 5" xfId="21831" xr:uid="{00000000-0005-0000-0000-00000C5A0000}"/>
    <cellStyle name="Currency 3 2 2 3 3" xfId="5916" xr:uid="{00000000-0005-0000-0000-00000D5A0000}"/>
    <cellStyle name="Currency 3 2 2 3 3 2" xfId="5917" xr:uid="{00000000-0005-0000-0000-00000E5A0000}"/>
    <cellStyle name="Currency 3 2 2 3 3 2 2" xfId="13157" xr:uid="{00000000-0005-0000-0000-00000F5A0000}"/>
    <cellStyle name="Currency 3 2 2 3 3 2 3" xfId="21827" xr:uid="{00000000-0005-0000-0000-0000105A0000}"/>
    <cellStyle name="Currency 3 2 2 3 3 3" xfId="12208" xr:uid="{00000000-0005-0000-0000-0000115A0000}"/>
    <cellStyle name="Currency 3 2 2 3 3 3 2" xfId="25920" xr:uid="{00000000-0005-0000-0000-0000125A0000}"/>
    <cellStyle name="Currency 3 2 2 3 3 4" xfId="21828" xr:uid="{00000000-0005-0000-0000-0000135A0000}"/>
    <cellStyle name="Currency 3 2 2 3 4" xfId="5918" xr:uid="{00000000-0005-0000-0000-0000145A0000}"/>
    <cellStyle name="Currency 3 2 2 3 4 2" xfId="5919" xr:uid="{00000000-0005-0000-0000-0000155A0000}"/>
    <cellStyle name="Currency 3 2 2 3 4 2 2" xfId="15616" xr:uid="{00000000-0005-0000-0000-0000165A0000}"/>
    <cellStyle name="Currency 3 2 2 3 4 2 3" xfId="21825" xr:uid="{00000000-0005-0000-0000-0000175A0000}"/>
    <cellStyle name="Currency 3 2 2 3 4 3" xfId="13772" xr:uid="{00000000-0005-0000-0000-0000185A0000}"/>
    <cellStyle name="Currency 3 2 2 3 4 3 2" xfId="27321" xr:uid="{00000000-0005-0000-0000-0000195A0000}"/>
    <cellStyle name="Currency 3 2 2 3 4 4" xfId="21826" xr:uid="{00000000-0005-0000-0000-00001A5A0000}"/>
    <cellStyle name="Currency 3 2 2 3 5" xfId="5920" xr:uid="{00000000-0005-0000-0000-00001B5A0000}"/>
    <cellStyle name="Currency 3 2 2 3 5 2" xfId="14353" xr:uid="{00000000-0005-0000-0000-00001C5A0000}"/>
    <cellStyle name="Currency 3 2 2 3 5 2 2" xfId="27902" xr:uid="{00000000-0005-0000-0000-00001D5A0000}"/>
    <cellStyle name="Currency 3 2 2 3 5 3" xfId="21824" xr:uid="{00000000-0005-0000-0000-00001E5A0000}"/>
    <cellStyle name="Currency 3 2 2 3 6" xfId="5921" xr:uid="{00000000-0005-0000-0000-00001F5A0000}"/>
    <cellStyle name="Currency 3 2 2 3 6 2" xfId="16239" xr:uid="{00000000-0005-0000-0000-0000205A0000}"/>
    <cellStyle name="Currency 3 2 2 3 6 2 2" xfId="29646" xr:uid="{00000000-0005-0000-0000-0000215A0000}"/>
    <cellStyle name="Currency 3 2 2 3 6 3" xfId="21823" xr:uid="{00000000-0005-0000-0000-0000225A0000}"/>
    <cellStyle name="Currency 3 2 2 3 7" xfId="9845" xr:uid="{00000000-0005-0000-0000-0000235A0000}"/>
    <cellStyle name="Currency 3 2 2 3 8" xfId="21832" xr:uid="{00000000-0005-0000-0000-0000245A0000}"/>
    <cellStyle name="Currency 3 2 2 4" xfId="5922" xr:uid="{00000000-0005-0000-0000-0000255A0000}"/>
    <cellStyle name="Currency 3 2 2 4 2" xfId="5923" xr:uid="{00000000-0005-0000-0000-0000265A0000}"/>
    <cellStyle name="Currency 3 2 2 4 2 2" xfId="17167" xr:uid="{00000000-0005-0000-0000-0000275A0000}"/>
    <cellStyle name="Currency 3 2 2 4 2 2 2" xfId="30526" xr:uid="{00000000-0005-0000-0000-0000285A0000}"/>
    <cellStyle name="Currency 3 2 2 4 2 3" xfId="21821" xr:uid="{00000000-0005-0000-0000-0000295A0000}"/>
    <cellStyle name="Currency 3 2 2 4 3" xfId="9847" xr:uid="{00000000-0005-0000-0000-00002A5A0000}"/>
    <cellStyle name="Currency 3 2 2 4 4" xfId="21822" xr:uid="{00000000-0005-0000-0000-00002B5A0000}"/>
    <cellStyle name="Currency 3 2 2 5" xfId="5924" xr:uid="{00000000-0005-0000-0000-00002C5A0000}"/>
    <cellStyle name="Currency 3 2 2 5 2" xfId="5925" xr:uid="{00000000-0005-0000-0000-00002D5A0000}"/>
    <cellStyle name="Currency 3 2 2 5 2 2" xfId="11358" xr:uid="{00000000-0005-0000-0000-00002E5A0000}"/>
    <cellStyle name="Currency 3 2 2 5 2 3" xfId="21819" xr:uid="{00000000-0005-0000-0000-00002F5A0000}"/>
    <cellStyle name="Currency 3 2 2 5 3" xfId="5926" xr:uid="{00000000-0005-0000-0000-0000305A0000}"/>
    <cellStyle name="Currency 3 2 2 5 3 2" xfId="17256" xr:uid="{00000000-0005-0000-0000-0000315A0000}"/>
    <cellStyle name="Currency 3 2 2 5 3 2 2" xfId="30615" xr:uid="{00000000-0005-0000-0000-0000325A0000}"/>
    <cellStyle name="Currency 3 2 2 5 3 3" xfId="21818" xr:uid="{00000000-0005-0000-0000-0000335A0000}"/>
    <cellStyle name="Currency 3 2 2 5 4" xfId="9848" xr:uid="{00000000-0005-0000-0000-0000345A0000}"/>
    <cellStyle name="Currency 3 2 2 5 5" xfId="21820" xr:uid="{00000000-0005-0000-0000-0000355A0000}"/>
    <cellStyle name="Currency 3 2 2 6" xfId="5927" xr:uid="{00000000-0005-0000-0000-0000365A0000}"/>
    <cellStyle name="Currency 3 2 2 6 2" xfId="5928" xr:uid="{00000000-0005-0000-0000-0000375A0000}"/>
    <cellStyle name="Currency 3 2 2 6 2 2" xfId="13158" xr:uid="{00000000-0005-0000-0000-0000385A0000}"/>
    <cellStyle name="Currency 3 2 2 6 2 3" xfId="21816" xr:uid="{00000000-0005-0000-0000-0000395A0000}"/>
    <cellStyle name="Currency 3 2 2 6 3" xfId="5929" xr:uid="{00000000-0005-0000-0000-00003A5A0000}"/>
    <cellStyle name="Currency 3 2 2 6 3 2" xfId="16531" xr:uid="{00000000-0005-0000-0000-00003B5A0000}"/>
    <cellStyle name="Currency 3 2 2 6 3 2 2" xfId="29938" xr:uid="{00000000-0005-0000-0000-00003C5A0000}"/>
    <cellStyle name="Currency 3 2 2 6 3 3" xfId="21815" xr:uid="{00000000-0005-0000-0000-00003D5A0000}"/>
    <cellStyle name="Currency 3 2 2 6 4" xfId="11906" xr:uid="{00000000-0005-0000-0000-00003E5A0000}"/>
    <cellStyle name="Currency 3 2 2 6 4 2" xfId="25621" xr:uid="{00000000-0005-0000-0000-00003F5A0000}"/>
    <cellStyle name="Currency 3 2 2 6 5" xfId="21817" xr:uid="{00000000-0005-0000-0000-0000405A0000}"/>
    <cellStyle name="Currency 3 2 2 7" xfId="5930" xr:uid="{00000000-0005-0000-0000-0000415A0000}"/>
    <cellStyle name="Currency 3 2 2 7 2" xfId="5931" xr:uid="{00000000-0005-0000-0000-0000425A0000}"/>
    <cellStyle name="Currency 3 2 2 7 2 2" xfId="15617" xr:uid="{00000000-0005-0000-0000-0000435A0000}"/>
    <cellStyle name="Currency 3 2 2 7 2 3" xfId="21813" xr:uid="{00000000-0005-0000-0000-0000445A0000}"/>
    <cellStyle name="Currency 3 2 2 7 3" xfId="13483" xr:uid="{00000000-0005-0000-0000-0000455A0000}"/>
    <cellStyle name="Currency 3 2 2 7 3 2" xfId="27032" xr:uid="{00000000-0005-0000-0000-0000465A0000}"/>
    <cellStyle name="Currency 3 2 2 7 4" xfId="21814" xr:uid="{00000000-0005-0000-0000-0000475A0000}"/>
    <cellStyle name="Currency 3 2 2 8" xfId="5932" xr:uid="{00000000-0005-0000-0000-0000485A0000}"/>
    <cellStyle name="Currency 3 2 2 8 2" xfId="14064" xr:uid="{00000000-0005-0000-0000-0000495A0000}"/>
    <cellStyle name="Currency 3 2 2 8 2 2" xfId="27613" xr:uid="{00000000-0005-0000-0000-00004A5A0000}"/>
    <cellStyle name="Currency 3 2 2 8 3" xfId="21812" xr:uid="{00000000-0005-0000-0000-00004B5A0000}"/>
    <cellStyle name="Currency 3 2 2 9" xfId="5933" xr:uid="{00000000-0005-0000-0000-00004C5A0000}"/>
    <cellStyle name="Currency 3 2 2 9 2" xfId="15950" xr:uid="{00000000-0005-0000-0000-00004D5A0000}"/>
    <cellStyle name="Currency 3 2 2 9 2 2" xfId="29357" xr:uid="{00000000-0005-0000-0000-00004E5A0000}"/>
    <cellStyle name="Currency 3 2 2 9 3" xfId="21811" xr:uid="{00000000-0005-0000-0000-00004F5A0000}"/>
    <cellStyle name="Currency 3 2 3" xfId="5934" xr:uid="{00000000-0005-0000-0000-0000505A0000}"/>
    <cellStyle name="Currency 3 2 3 2" xfId="5935" xr:uid="{00000000-0005-0000-0000-0000515A0000}"/>
    <cellStyle name="Currency 3 2 3 2 2" xfId="5936" xr:uid="{00000000-0005-0000-0000-0000525A0000}"/>
    <cellStyle name="Currency 3 2 3 2 2 2" xfId="5937" xr:uid="{00000000-0005-0000-0000-0000535A0000}"/>
    <cellStyle name="Currency 3 2 3 2 2 2 2" xfId="11359" xr:uid="{00000000-0005-0000-0000-0000545A0000}"/>
    <cellStyle name="Currency 3 2 3 2 2 2 3" xfId="21807" xr:uid="{00000000-0005-0000-0000-0000555A0000}"/>
    <cellStyle name="Currency 3 2 3 2 2 3" xfId="5938" xr:uid="{00000000-0005-0000-0000-0000565A0000}"/>
    <cellStyle name="Currency 3 2 3 2 2 3 2" xfId="16917" xr:uid="{00000000-0005-0000-0000-0000575A0000}"/>
    <cellStyle name="Currency 3 2 3 2 2 3 2 2" xfId="30324" xr:uid="{00000000-0005-0000-0000-0000585A0000}"/>
    <cellStyle name="Currency 3 2 3 2 2 3 3" xfId="21806" xr:uid="{00000000-0005-0000-0000-0000595A0000}"/>
    <cellStyle name="Currency 3 2 3 2 2 4" xfId="9851" xr:uid="{00000000-0005-0000-0000-00005A5A0000}"/>
    <cellStyle name="Currency 3 2 3 2 2 5" xfId="21808" xr:uid="{00000000-0005-0000-0000-00005B5A0000}"/>
    <cellStyle name="Currency 3 2 3 2 3" xfId="5939" xr:uid="{00000000-0005-0000-0000-00005C5A0000}"/>
    <cellStyle name="Currency 3 2 3 2 3 2" xfId="5940" xr:uid="{00000000-0005-0000-0000-00005D5A0000}"/>
    <cellStyle name="Currency 3 2 3 2 3 2 2" xfId="13159" xr:uid="{00000000-0005-0000-0000-00005E5A0000}"/>
    <cellStyle name="Currency 3 2 3 2 3 2 3" xfId="21804" xr:uid="{00000000-0005-0000-0000-00005F5A0000}"/>
    <cellStyle name="Currency 3 2 3 2 3 3" xfId="12305" xr:uid="{00000000-0005-0000-0000-0000605A0000}"/>
    <cellStyle name="Currency 3 2 3 2 3 3 2" xfId="26017" xr:uid="{00000000-0005-0000-0000-0000615A0000}"/>
    <cellStyle name="Currency 3 2 3 2 3 4" xfId="21805" xr:uid="{00000000-0005-0000-0000-0000625A0000}"/>
    <cellStyle name="Currency 3 2 3 2 4" xfId="5941" xr:uid="{00000000-0005-0000-0000-0000635A0000}"/>
    <cellStyle name="Currency 3 2 3 2 4 2" xfId="5942" xr:uid="{00000000-0005-0000-0000-0000645A0000}"/>
    <cellStyle name="Currency 3 2 3 2 4 2 2" xfId="15618" xr:uid="{00000000-0005-0000-0000-0000655A0000}"/>
    <cellStyle name="Currency 3 2 3 2 4 2 3" xfId="21802" xr:uid="{00000000-0005-0000-0000-0000665A0000}"/>
    <cellStyle name="Currency 3 2 3 2 4 3" xfId="13869" xr:uid="{00000000-0005-0000-0000-0000675A0000}"/>
    <cellStyle name="Currency 3 2 3 2 4 3 2" xfId="27418" xr:uid="{00000000-0005-0000-0000-0000685A0000}"/>
    <cellStyle name="Currency 3 2 3 2 4 4" xfId="21803" xr:uid="{00000000-0005-0000-0000-0000695A0000}"/>
    <cellStyle name="Currency 3 2 3 2 5" xfId="5943" xr:uid="{00000000-0005-0000-0000-00006A5A0000}"/>
    <cellStyle name="Currency 3 2 3 2 5 2" xfId="14450" xr:uid="{00000000-0005-0000-0000-00006B5A0000}"/>
    <cellStyle name="Currency 3 2 3 2 5 2 2" xfId="27999" xr:uid="{00000000-0005-0000-0000-00006C5A0000}"/>
    <cellStyle name="Currency 3 2 3 2 5 3" xfId="21801" xr:uid="{00000000-0005-0000-0000-00006D5A0000}"/>
    <cellStyle name="Currency 3 2 3 2 6" xfId="5944" xr:uid="{00000000-0005-0000-0000-00006E5A0000}"/>
    <cellStyle name="Currency 3 2 3 2 6 2" xfId="16336" xr:uid="{00000000-0005-0000-0000-00006F5A0000}"/>
    <cellStyle name="Currency 3 2 3 2 6 2 2" xfId="29743" xr:uid="{00000000-0005-0000-0000-0000705A0000}"/>
    <cellStyle name="Currency 3 2 3 2 6 3" xfId="21800" xr:uid="{00000000-0005-0000-0000-0000715A0000}"/>
    <cellStyle name="Currency 3 2 3 2 7" xfId="9850" xr:uid="{00000000-0005-0000-0000-0000725A0000}"/>
    <cellStyle name="Currency 3 2 3 2 8" xfId="21809" xr:uid="{00000000-0005-0000-0000-0000735A0000}"/>
    <cellStyle name="Currency 3 2 3 3" xfId="5945" xr:uid="{00000000-0005-0000-0000-0000745A0000}"/>
    <cellStyle name="Currency 3 2 3 3 2" xfId="5946" xr:uid="{00000000-0005-0000-0000-0000755A0000}"/>
    <cellStyle name="Currency 3 2 3 3 2 2" xfId="11360" xr:uid="{00000000-0005-0000-0000-0000765A0000}"/>
    <cellStyle name="Currency 3 2 3 3 2 3" xfId="21798" xr:uid="{00000000-0005-0000-0000-0000775A0000}"/>
    <cellStyle name="Currency 3 2 3 3 3" xfId="5947" xr:uid="{00000000-0005-0000-0000-0000785A0000}"/>
    <cellStyle name="Currency 3 2 3 3 3 2" xfId="16628" xr:uid="{00000000-0005-0000-0000-0000795A0000}"/>
    <cellStyle name="Currency 3 2 3 3 3 2 2" xfId="30035" xr:uid="{00000000-0005-0000-0000-00007A5A0000}"/>
    <cellStyle name="Currency 3 2 3 3 3 3" xfId="21797" xr:uid="{00000000-0005-0000-0000-00007B5A0000}"/>
    <cellStyle name="Currency 3 2 3 3 4" xfId="9852" xr:uid="{00000000-0005-0000-0000-00007C5A0000}"/>
    <cellStyle name="Currency 3 2 3 3 5" xfId="21799" xr:uid="{00000000-0005-0000-0000-00007D5A0000}"/>
    <cellStyle name="Currency 3 2 3 4" xfId="5948" xr:uid="{00000000-0005-0000-0000-00007E5A0000}"/>
    <cellStyle name="Currency 3 2 3 4 2" xfId="5949" xr:uid="{00000000-0005-0000-0000-00007F5A0000}"/>
    <cellStyle name="Currency 3 2 3 4 2 2" xfId="13160" xr:uid="{00000000-0005-0000-0000-0000805A0000}"/>
    <cellStyle name="Currency 3 2 3 4 2 3" xfId="21795" xr:uid="{00000000-0005-0000-0000-0000815A0000}"/>
    <cellStyle name="Currency 3 2 3 4 3" xfId="12005" xr:uid="{00000000-0005-0000-0000-0000825A0000}"/>
    <cellStyle name="Currency 3 2 3 4 3 2" xfId="25720" xr:uid="{00000000-0005-0000-0000-0000835A0000}"/>
    <cellStyle name="Currency 3 2 3 4 4" xfId="21796" xr:uid="{00000000-0005-0000-0000-0000845A0000}"/>
    <cellStyle name="Currency 3 2 3 5" xfId="5950" xr:uid="{00000000-0005-0000-0000-0000855A0000}"/>
    <cellStyle name="Currency 3 2 3 5 2" xfId="5951" xr:uid="{00000000-0005-0000-0000-0000865A0000}"/>
    <cellStyle name="Currency 3 2 3 5 2 2" xfId="15619" xr:uid="{00000000-0005-0000-0000-0000875A0000}"/>
    <cellStyle name="Currency 3 2 3 5 2 3" xfId="21793" xr:uid="{00000000-0005-0000-0000-0000885A0000}"/>
    <cellStyle name="Currency 3 2 3 5 3" xfId="13580" xr:uid="{00000000-0005-0000-0000-0000895A0000}"/>
    <cellStyle name="Currency 3 2 3 5 3 2" xfId="27129" xr:uid="{00000000-0005-0000-0000-00008A5A0000}"/>
    <cellStyle name="Currency 3 2 3 5 4" xfId="21794" xr:uid="{00000000-0005-0000-0000-00008B5A0000}"/>
    <cellStyle name="Currency 3 2 3 6" xfId="5952" xr:uid="{00000000-0005-0000-0000-00008C5A0000}"/>
    <cellStyle name="Currency 3 2 3 6 2" xfId="14161" xr:uid="{00000000-0005-0000-0000-00008D5A0000}"/>
    <cellStyle name="Currency 3 2 3 6 2 2" xfId="27710" xr:uid="{00000000-0005-0000-0000-00008E5A0000}"/>
    <cellStyle name="Currency 3 2 3 6 3" xfId="21792" xr:uid="{00000000-0005-0000-0000-00008F5A0000}"/>
    <cellStyle name="Currency 3 2 3 7" xfId="5953" xr:uid="{00000000-0005-0000-0000-0000905A0000}"/>
    <cellStyle name="Currency 3 2 3 7 2" xfId="16047" xr:uid="{00000000-0005-0000-0000-0000915A0000}"/>
    <cellStyle name="Currency 3 2 3 7 2 2" xfId="29454" xr:uid="{00000000-0005-0000-0000-0000925A0000}"/>
    <cellStyle name="Currency 3 2 3 7 3" xfId="21791" xr:uid="{00000000-0005-0000-0000-0000935A0000}"/>
    <cellStyle name="Currency 3 2 3 8" xfId="9849" xr:uid="{00000000-0005-0000-0000-0000945A0000}"/>
    <cellStyle name="Currency 3 2 3 9" xfId="21810" xr:uid="{00000000-0005-0000-0000-0000955A0000}"/>
    <cellStyle name="Currency 3 2 4" xfId="5954" xr:uid="{00000000-0005-0000-0000-0000965A0000}"/>
    <cellStyle name="Currency 3 2 4 2" xfId="5955" xr:uid="{00000000-0005-0000-0000-0000975A0000}"/>
    <cellStyle name="Currency 3 2 4 2 2" xfId="5956" xr:uid="{00000000-0005-0000-0000-0000985A0000}"/>
    <cellStyle name="Currency 3 2 4 2 2 2" xfId="11361" xr:uid="{00000000-0005-0000-0000-0000995A0000}"/>
    <cellStyle name="Currency 3 2 4 2 2 3" xfId="21788" xr:uid="{00000000-0005-0000-0000-00009A5A0000}"/>
    <cellStyle name="Currency 3 2 4 2 3" xfId="5957" xr:uid="{00000000-0005-0000-0000-00009B5A0000}"/>
    <cellStyle name="Currency 3 2 4 2 3 2" xfId="16774" xr:uid="{00000000-0005-0000-0000-00009C5A0000}"/>
    <cellStyle name="Currency 3 2 4 2 3 2 2" xfId="30181" xr:uid="{00000000-0005-0000-0000-00009D5A0000}"/>
    <cellStyle name="Currency 3 2 4 2 3 3" xfId="21787" xr:uid="{00000000-0005-0000-0000-00009E5A0000}"/>
    <cellStyle name="Currency 3 2 4 2 4" xfId="9854" xr:uid="{00000000-0005-0000-0000-00009F5A0000}"/>
    <cellStyle name="Currency 3 2 4 2 5" xfId="21789" xr:uid="{00000000-0005-0000-0000-0000A05A0000}"/>
    <cellStyle name="Currency 3 2 4 3" xfId="5958" xr:uid="{00000000-0005-0000-0000-0000A15A0000}"/>
    <cellStyle name="Currency 3 2 4 3 2" xfId="5959" xr:uid="{00000000-0005-0000-0000-0000A25A0000}"/>
    <cellStyle name="Currency 3 2 4 3 2 2" xfId="13161" xr:uid="{00000000-0005-0000-0000-0000A35A0000}"/>
    <cellStyle name="Currency 3 2 4 3 2 3" xfId="21785" xr:uid="{00000000-0005-0000-0000-0000A45A0000}"/>
    <cellStyle name="Currency 3 2 4 3 3" xfId="12162" xr:uid="{00000000-0005-0000-0000-0000A55A0000}"/>
    <cellStyle name="Currency 3 2 4 3 3 2" xfId="25874" xr:uid="{00000000-0005-0000-0000-0000A65A0000}"/>
    <cellStyle name="Currency 3 2 4 3 4" xfId="21786" xr:uid="{00000000-0005-0000-0000-0000A75A0000}"/>
    <cellStyle name="Currency 3 2 4 4" xfId="5960" xr:uid="{00000000-0005-0000-0000-0000A85A0000}"/>
    <cellStyle name="Currency 3 2 4 4 2" xfId="5961" xr:uid="{00000000-0005-0000-0000-0000A95A0000}"/>
    <cellStyle name="Currency 3 2 4 4 2 2" xfId="15620" xr:uid="{00000000-0005-0000-0000-0000AA5A0000}"/>
    <cellStyle name="Currency 3 2 4 4 2 3" xfId="21783" xr:uid="{00000000-0005-0000-0000-0000AB5A0000}"/>
    <cellStyle name="Currency 3 2 4 4 3" xfId="13726" xr:uid="{00000000-0005-0000-0000-0000AC5A0000}"/>
    <cellStyle name="Currency 3 2 4 4 3 2" xfId="27275" xr:uid="{00000000-0005-0000-0000-0000AD5A0000}"/>
    <cellStyle name="Currency 3 2 4 4 4" xfId="21784" xr:uid="{00000000-0005-0000-0000-0000AE5A0000}"/>
    <cellStyle name="Currency 3 2 4 5" xfId="5962" xr:uid="{00000000-0005-0000-0000-0000AF5A0000}"/>
    <cellStyle name="Currency 3 2 4 5 2" xfId="14307" xr:uid="{00000000-0005-0000-0000-0000B05A0000}"/>
    <cellStyle name="Currency 3 2 4 5 2 2" xfId="27856" xr:uid="{00000000-0005-0000-0000-0000B15A0000}"/>
    <cellStyle name="Currency 3 2 4 5 3" xfId="21782" xr:uid="{00000000-0005-0000-0000-0000B25A0000}"/>
    <cellStyle name="Currency 3 2 4 6" xfId="5963" xr:uid="{00000000-0005-0000-0000-0000B35A0000}"/>
    <cellStyle name="Currency 3 2 4 6 2" xfId="16193" xr:uid="{00000000-0005-0000-0000-0000B45A0000}"/>
    <cellStyle name="Currency 3 2 4 6 2 2" xfId="29600" xr:uid="{00000000-0005-0000-0000-0000B55A0000}"/>
    <cellStyle name="Currency 3 2 4 6 3" xfId="21781" xr:uid="{00000000-0005-0000-0000-0000B65A0000}"/>
    <cellStyle name="Currency 3 2 4 7" xfId="9853" xr:uid="{00000000-0005-0000-0000-0000B75A0000}"/>
    <cellStyle name="Currency 3 2 4 8" xfId="21790" xr:uid="{00000000-0005-0000-0000-0000B85A0000}"/>
    <cellStyle name="Currency 3 2 5" xfId="5964" xr:uid="{00000000-0005-0000-0000-0000B95A0000}"/>
    <cellStyle name="Currency 3 2 5 2" xfId="5965" xr:uid="{00000000-0005-0000-0000-0000BA5A0000}"/>
    <cellStyle name="Currency 3 2 5 2 2" xfId="5966" xr:uid="{00000000-0005-0000-0000-0000BB5A0000}"/>
    <cellStyle name="Currency 3 2 5 2 2 2" xfId="11363" xr:uid="{00000000-0005-0000-0000-0000BC5A0000}"/>
    <cellStyle name="Currency 3 2 5 2 2 3" xfId="21778" xr:uid="{00000000-0005-0000-0000-0000BD5A0000}"/>
    <cellStyle name="Currency 3 2 5 2 3" xfId="9856" xr:uid="{00000000-0005-0000-0000-0000BE5A0000}"/>
    <cellStyle name="Currency 3 2 5 2 4" xfId="21779" xr:uid="{00000000-0005-0000-0000-0000BF5A0000}"/>
    <cellStyle name="Currency 3 2 5 3" xfId="5967" xr:uid="{00000000-0005-0000-0000-0000C05A0000}"/>
    <cellStyle name="Currency 3 2 5 3 2" xfId="11362" xr:uid="{00000000-0005-0000-0000-0000C15A0000}"/>
    <cellStyle name="Currency 3 2 5 3 3" xfId="21777" xr:uid="{00000000-0005-0000-0000-0000C25A0000}"/>
    <cellStyle name="Currency 3 2 5 4" xfId="5968" xr:uid="{00000000-0005-0000-0000-0000C35A0000}"/>
    <cellStyle name="Currency 3 2 5 4 2" xfId="17017" xr:uid="{00000000-0005-0000-0000-0000C45A0000}"/>
    <cellStyle name="Currency 3 2 5 4 2 2" xfId="30424" xr:uid="{00000000-0005-0000-0000-0000C55A0000}"/>
    <cellStyle name="Currency 3 2 5 4 3" xfId="21776" xr:uid="{00000000-0005-0000-0000-0000C65A0000}"/>
    <cellStyle name="Currency 3 2 5 5" xfId="9855" xr:uid="{00000000-0005-0000-0000-0000C75A0000}"/>
    <cellStyle name="Currency 3 2 5 6" xfId="21780" xr:uid="{00000000-0005-0000-0000-0000C85A0000}"/>
    <cellStyle name="Currency 3 2 6" xfId="5969" xr:uid="{00000000-0005-0000-0000-0000C95A0000}"/>
    <cellStyle name="Currency 3 2 6 2" xfId="5970" xr:uid="{00000000-0005-0000-0000-0000CA5A0000}"/>
    <cellStyle name="Currency 3 2 6 2 2" xfId="17121" xr:uid="{00000000-0005-0000-0000-0000CB5A0000}"/>
    <cellStyle name="Currency 3 2 6 2 2 2" xfId="30480" xr:uid="{00000000-0005-0000-0000-0000CC5A0000}"/>
    <cellStyle name="Currency 3 2 6 2 3" xfId="21774" xr:uid="{00000000-0005-0000-0000-0000CD5A0000}"/>
    <cellStyle name="Currency 3 2 6 3" xfId="9857" xr:uid="{00000000-0005-0000-0000-0000CE5A0000}"/>
    <cellStyle name="Currency 3 2 6 4" xfId="21775" xr:uid="{00000000-0005-0000-0000-0000CF5A0000}"/>
    <cellStyle name="Currency 3 2 7" xfId="5971" xr:uid="{00000000-0005-0000-0000-0000D05A0000}"/>
    <cellStyle name="Currency 3 2 7 2" xfId="5972" xr:uid="{00000000-0005-0000-0000-0000D15A0000}"/>
    <cellStyle name="Currency 3 2 7 2 2" xfId="11364" xr:uid="{00000000-0005-0000-0000-0000D25A0000}"/>
    <cellStyle name="Currency 3 2 7 2 3" xfId="21772" xr:uid="{00000000-0005-0000-0000-0000D35A0000}"/>
    <cellStyle name="Currency 3 2 7 3" xfId="5973" xr:uid="{00000000-0005-0000-0000-0000D45A0000}"/>
    <cellStyle name="Currency 3 2 7 3 2" xfId="17210" xr:uid="{00000000-0005-0000-0000-0000D55A0000}"/>
    <cellStyle name="Currency 3 2 7 3 2 2" xfId="30569" xr:uid="{00000000-0005-0000-0000-0000D65A0000}"/>
    <cellStyle name="Currency 3 2 7 3 3" xfId="21771" xr:uid="{00000000-0005-0000-0000-0000D75A0000}"/>
    <cellStyle name="Currency 3 2 7 4" xfId="9858" xr:uid="{00000000-0005-0000-0000-0000D85A0000}"/>
    <cellStyle name="Currency 3 2 7 5" xfId="21773" xr:uid="{00000000-0005-0000-0000-0000D95A0000}"/>
    <cellStyle name="Currency 3 2 8" xfId="5974" xr:uid="{00000000-0005-0000-0000-0000DA5A0000}"/>
    <cellStyle name="Currency 3 2 8 2" xfId="5975" xr:uid="{00000000-0005-0000-0000-0000DB5A0000}"/>
    <cellStyle name="Currency 3 2 8 2 2" xfId="11365" xr:uid="{00000000-0005-0000-0000-0000DC5A0000}"/>
    <cellStyle name="Currency 3 2 8 2 3" xfId="21769" xr:uid="{00000000-0005-0000-0000-0000DD5A0000}"/>
    <cellStyle name="Currency 3 2 8 3" xfId="5976" xr:uid="{00000000-0005-0000-0000-0000DE5A0000}"/>
    <cellStyle name="Currency 3 2 8 3 2" xfId="16485" xr:uid="{00000000-0005-0000-0000-0000DF5A0000}"/>
    <cellStyle name="Currency 3 2 8 3 2 2" xfId="29892" xr:uid="{00000000-0005-0000-0000-0000E05A0000}"/>
    <cellStyle name="Currency 3 2 8 3 3" xfId="21768" xr:uid="{00000000-0005-0000-0000-0000E15A0000}"/>
    <cellStyle name="Currency 3 2 8 4" xfId="9859" xr:uid="{00000000-0005-0000-0000-0000E25A0000}"/>
    <cellStyle name="Currency 3 2 8 5" xfId="21770" xr:uid="{00000000-0005-0000-0000-0000E35A0000}"/>
    <cellStyle name="Currency 3 2 9" xfId="5977" xr:uid="{00000000-0005-0000-0000-0000E45A0000}"/>
    <cellStyle name="Currency 3 2 9 2" xfId="5978" xr:uid="{00000000-0005-0000-0000-0000E55A0000}"/>
    <cellStyle name="Currency 3 2 9 2 2" xfId="13162" xr:uid="{00000000-0005-0000-0000-0000E65A0000}"/>
    <cellStyle name="Currency 3 2 9 2 2 2" xfId="26867" xr:uid="{00000000-0005-0000-0000-0000E75A0000}"/>
    <cellStyle name="Currency 3 2 9 2 3" xfId="21766" xr:uid="{00000000-0005-0000-0000-0000E85A0000}"/>
    <cellStyle name="Currency 3 2 9 3" xfId="5979" xr:uid="{00000000-0005-0000-0000-0000E95A0000}"/>
    <cellStyle name="Currency 3 2 9 3 2" xfId="15621" xr:uid="{00000000-0005-0000-0000-0000EA5A0000}"/>
    <cellStyle name="Currency 3 2 9 3 3" xfId="21765" xr:uid="{00000000-0005-0000-0000-0000EB5A0000}"/>
    <cellStyle name="Currency 3 2 9 4" xfId="10530" xr:uid="{00000000-0005-0000-0000-0000EC5A0000}"/>
    <cellStyle name="Currency 3 2 9 4 2" xfId="24472" xr:uid="{00000000-0005-0000-0000-0000ED5A0000}"/>
    <cellStyle name="Currency 3 2 9 5" xfId="21767" xr:uid="{00000000-0005-0000-0000-0000EE5A0000}"/>
    <cellStyle name="Currency 3 20" xfId="5980" xr:uid="{00000000-0005-0000-0000-0000EF5A0000}"/>
    <cellStyle name="Currency 3 20 2" xfId="5981" xr:uid="{00000000-0005-0000-0000-0000F05A0000}"/>
    <cellStyle name="Currency 3 20 2 2" xfId="11366" xr:uid="{00000000-0005-0000-0000-0000F15A0000}"/>
    <cellStyle name="Currency 3 20 2 3" xfId="21763" xr:uid="{00000000-0005-0000-0000-0000F25A0000}"/>
    <cellStyle name="Currency 3 20 3" xfId="9860" xr:uid="{00000000-0005-0000-0000-0000F35A0000}"/>
    <cellStyle name="Currency 3 20 4" xfId="21764" xr:uid="{00000000-0005-0000-0000-0000F45A0000}"/>
    <cellStyle name="Currency 3 21" xfId="5982" xr:uid="{00000000-0005-0000-0000-0000F55A0000}"/>
    <cellStyle name="Currency 3 21 2" xfId="5983" xr:uid="{00000000-0005-0000-0000-0000F65A0000}"/>
    <cellStyle name="Currency 3 21 2 2" xfId="11712" xr:uid="{00000000-0005-0000-0000-0000F75A0000}"/>
    <cellStyle name="Currency 3 21 2 2 2" xfId="25432" xr:uid="{00000000-0005-0000-0000-0000F85A0000}"/>
    <cellStyle name="Currency 3 21 2 3" xfId="21761" xr:uid="{00000000-0005-0000-0000-0000F95A0000}"/>
    <cellStyle name="Currency 3 21 3" xfId="5984" xr:uid="{00000000-0005-0000-0000-0000FA5A0000}"/>
    <cellStyle name="Currency 3 21 3 2" xfId="13163" xr:uid="{00000000-0005-0000-0000-0000FB5A0000}"/>
    <cellStyle name="Currency 3 21 3 2 2" xfId="26868" xr:uid="{00000000-0005-0000-0000-0000FC5A0000}"/>
    <cellStyle name="Currency 3 21 3 3" xfId="21760" xr:uid="{00000000-0005-0000-0000-0000FD5A0000}"/>
    <cellStyle name="Currency 3 21 4" xfId="5985" xr:uid="{00000000-0005-0000-0000-0000FE5A0000}"/>
    <cellStyle name="Currency 3 21 4 2" xfId="15622" xr:uid="{00000000-0005-0000-0000-0000FF5A0000}"/>
    <cellStyle name="Currency 3 21 4 3" xfId="21759" xr:uid="{00000000-0005-0000-0000-0000005B0000}"/>
    <cellStyle name="Currency 3 21 5" xfId="10477" xr:uid="{00000000-0005-0000-0000-0000015B0000}"/>
    <cellStyle name="Currency 3 21 5 2" xfId="24436" xr:uid="{00000000-0005-0000-0000-0000025B0000}"/>
    <cellStyle name="Currency 3 21 6" xfId="21762" xr:uid="{00000000-0005-0000-0000-0000035B0000}"/>
    <cellStyle name="Currency 3 22" xfId="5986" xr:uid="{00000000-0005-0000-0000-0000045B0000}"/>
    <cellStyle name="Currency 3 22 2" xfId="5987" xr:uid="{00000000-0005-0000-0000-0000055B0000}"/>
    <cellStyle name="Currency 3 22 2 2" xfId="13164" xr:uid="{00000000-0005-0000-0000-0000065B0000}"/>
    <cellStyle name="Currency 3 22 2 2 2" xfId="26869" xr:uid="{00000000-0005-0000-0000-0000075B0000}"/>
    <cellStyle name="Currency 3 22 2 3" xfId="21757" xr:uid="{00000000-0005-0000-0000-0000085B0000}"/>
    <cellStyle name="Currency 3 22 3" xfId="5988" xr:uid="{00000000-0005-0000-0000-0000095B0000}"/>
    <cellStyle name="Currency 3 22 3 2" xfId="15623" xr:uid="{00000000-0005-0000-0000-00000A5B0000}"/>
    <cellStyle name="Currency 3 22 3 3" xfId="21756" xr:uid="{00000000-0005-0000-0000-00000B5B0000}"/>
    <cellStyle name="Currency 3 22 4" xfId="10507" xr:uid="{00000000-0005-0000-0000-00000C5B0000}"/>
    <cellStyle name="Currency 3 22 4 2" xfId="24455" xr:uid="{00000000-0005-0000-0000-00000D5B0000}"/>
    <cellStyle name="Currency 3 22 5" xfId="21758" xr:uid="{00000000-0005-0000-0000-00000E5B0000}"/>
    <cellStyle name="Currency 3 23" xfId="5989" xr:uid="{00000000-0005-0000-0000-00000F5B0000}"/>
    <cellStyle name="Currency 3 23 2" xfId="11346" xr:uid="{00000000-0005-0000-0000-0000105B0000}"/>
    <cellStyle name="Currency 3 23 3" xfId="21755" xr:uid="{00000000-0005-0000-0000-0000115B0000}"/>
    <cellStyle name="Currency 3 24" xfId="5990" xr:uid="{00000000-0005-0000-0000-0000125B0000}"/>
    <cellStyle name="Currency 3 24 2" xfId="11752" xr:uid="{00000000-0005-0000-0000-0000135B0000}"/>
    <cellStyle name="Currency 3 24 2 2" xfId="25467" xr:uid="{00000000-0005-0000-0000-0000145B0000}"/>
    <cellStyle name="Currency 3 24 3" xfId="21754" xr:uid="{00000000-0005-0000-0000-0000155B0000}"/>
    <cellStyle name="Currency 3 25" xfId="5991" xr:uid="{00000000-0005-0000-0000-0000165B0000}"/>
    <cellStyle name="Currency 3 25 2" xfId="13380" xr:uid="{00000000-0005-0000-0000-0000175B0000}"/>
    <cellStyle name="Currency 3 25 2 2" xfId="26929" xr:uid="{00000000-0005-0000-0000-0000185B0000}"/>
    <cellStyle name="Currency 3 25 3" xfId="21753" xr:uid="{00000000-0005-0000-0000-0000195B0000}"/>
    <cellStyle name="Currency 3 26" xfId="5992" xr:uid="{00000000-0005-0000-0000-00001A5B0000}"/>
    <cellStyle name="Currency 3 26 2" xfId="13961" xr:uid="{00000000-0005-0000-0000-00001B5B0000}"/>
    <cellStyle name="Currency 3 26 2 2" xfId="27510" xr:uid="{00000000-0005-0000-0000-00001C5B0000}"/>
    <cellStyle name="Currency 3 26 3" xfId="21752" xr:uid="{00000000-0005-0000-0000-00001D5B0000}"/>
    <cellStyle name="Currency 3 27" xfId="5993" xr:uid="{00000000-0005-0000-0000-00001E5B0000}"/>
    <cellStyle name="Currency 3 27 2" xfId="15817" xr:uid="{00000000-0005-0000-0000-00001F5B0000}"/>
    <cellStyle name="Currency 3 27 2 2" xfId="29224" xr:uid="{00000000-0005-0000-0000-0000205B0000}"/>
    <cellStyle name="Currency 3 27 3" xfId="21751" xr:uid="{00000000-0005-0000-0000-0000215B0000}"/>
    <cellStyle name="Currency 3 28" xfId="5994" xr:uid="{00000000-0005-0000-0000-0000225B0000}"/>
    <cellStyle name="Currency 3 28 2" xfId="15847" xr:uid="{00000000-0005-0000-0000-0000235B0000}"/>
    <cellStyle name="Currency 3 28 2 2" xfId="29254" xr:uid="{00000000-0005-0000-0000-0000245B0000}"/>
    <cellStyle name="Currency 3 28 3" xfId="21750" xr:uid="{00000000-0005-0000-0000-0000255B0000}"/>
    <cellStyle name="Currency 3 29" xfId="8645" xr:uid="{00000000-0005-0000-0000-0000265B0000}"/>
    <cellStyle name="Currency 3 29 2" xfId="9827" xr:uid="{00000000-0005-0000-0000-0000275B0000}"/>
    <cellStyle name="Currency 3 3" xfId="5995" xr:uid="{00000000-0005-0000-0000-0000285B0000}"/>
    <cellStyle name="Currency 3 3 10" xfId="5996" xr:uid="{00000000-0005-0000-0000-0000295B0000}"/>
    <cellStyle name="Currency 3 3 10 2" xfId="17323" xr:uid="{00000000-0005-0000-0000-00002A5B0000}"/>
    <cellStyle name="Currency 3 3 10 3" xfId="21748" xr:uid="{00000000-0005-0000-0000-00002B5B0000}"/>
    <cellStyle name="Currency 3 3 11" xfId="8724" xr:uid="{00000000-0005-0000-0000-00002C5B0000}"/>
    <cellStyle name="Currency 3 3 12" xfId="9861" xr:uid="{00000000-0005-0000-0000-00002D5B0000}"/>
    <cellStyle name="Currency 3 3 13" xfId="21749" xr:uid="{00000000-0005-0000-0000-00002E5B0000}"/>
    <cellStyle name="Currency 3 3 2" xfId="5997" xr:uid="{00000000-0005-0000-0000-00002F5B0000}"/>
    <cellStyle name="Currency 3 3 2 2" xfId="5998" xr:uid="{00000000-0005-0000-0000-0000305B0000}"/>
    <cellStyle name="Currency 3 3 2 2 2" xfId="5999" xr:uid="{00000000-0005-0000-0000-0000315B0000}"/>
    <cellStyle name="Currency 3 3 2 2 2 2" xfId="6000" xr:uid="{00000000-0005-0000-0000-0000325B0000}"/>
    <cellStyle name="Currency 3 3 2 2 2 2 2" xfId="11367" xr:uid="{00000000-0005-0000-0000-0000335B0000}"/>
    <cellStyle name="Currency 3 3 2 2 2 2 3" xfId="21744" xr:uid="{00000000-0005-0000-0000-0000345B0000}"/>
    <cellStyle name="Currency 3 3 2 2 2 3" xfId="6001" xr:uid="{00000000-0005-0000-0000-0000355B0000}"/>
    <cellStyle name="Currency 3 3 2 2 2 3 2" xfId="16940" xr:uid="{00000000-0005-0000-0000-0000365B0000}"/>
    <cellStyle name="Currency 3 3 2 2 2 3 2 2" xfId="30347" xr:uid="{00000000-0005-0000-0000-0000375B0000}"/>
    <cellStyle name="Currency 3 3 2 2 2 3 3" xfId="21743" xr:uid="{00000000-0005-0000-0000-0000385B0000}"/>
    <cellStyle name="Currency 3 3 2 2 2 4" xfId="9864" xr:uid="{00000000-0005-0000-0000-0000395B0000}"/>
    <cellStyle name="Currency 3 3 2 2 2 5" xfId="21745" xr:uid="{00000000-0005-0000-0000-00003A5B0000}"/>
    <cellStyle name="Currency 3 3 2 2 3" xfId="6002" xr:uid="{00000000-0005-0000-0000-00003B5B0000}"/>
    <cellStyle name="Currency 3 3 2 2 3 2" xfId="6003" xr:uid="{00000000-0005-0000-0000-00003C5B0000}"/>
    <cellStyle name="Currency 3 3 2 2 3 2 2" xfId="13165" xr:uid="{00000000-0005-0000-0000-00003D5B0000}"/>
    <cellStyle name="Currency 3 3 2 2 3 2 3" xfId="21741" xr:uid="{00000000-0005-0000-0000-00003E5B0000}"/>
    <cellStyle name="Currency 3 3 2 2 3 3" xfId="12328" xr:uid="{00000000-0005-0000-0000-00003F5B0000}"/>
    <cellStyle name="Currency 3 3 2 2 3 3 2" xfId="26040" xr:uid="{00000000-0005-0000-0000-0000405B0000}"/>
    <cellStyle name="Currency 3 3 2 2 3 4" xfId="21742" xr:uid="{00000000-0005-0000-0000-0000415B0000}"/>
    <cellStyle name="Currency 3 3 2 2 4" xfId="6004" xr:uid="{00000000-0005-0000-0000-0000425B0000}"/>
    <cellStyle name="Currency 3 3 2 2 4 2" xfId="6005" xr:uid="{00000000-0005-0000-0000-0000435B0000}"/>
    <cellStyle name="Currency 3 3 2 2 4 2 2" xfId="15624" xr:uid="{00000000-0005-0000-0000-0000445B0000}"/>
    <cellStyle name="Currency 3 3 2 2 4 2 3" xfId="21739" xr:uid="{00000000-0005-0000-0000-0000455B0000}"/>
    <cellStyle name="Currency 3 3 2 2 4 3" xfId="13892" xr:uid="{00000000-0005-0000-0000-0000465B0000}"/>
    <cellStyle name="Currency 3 3 2 2 4 3 2" xfId="27441" xr:uid="{00000000-0005-0000-0000-0000475B0000}"/>
    <cellStyle name="Currency 3 3 2 2 4 4" xfId="21740" xr:uid="{00000000-0005-0000-0000-0000485B0000}"/>
    <cellStyle name="Currency 3 3 2 2 5" xfId="6006" xr:uid="{00000000-0005-0000-0000-0000495B0000}"/>
    <cellStyle name="Currency 3 3 2 2 5 2" xfId="14473" xr:uid="{00000000-0005-0000-0000-00004A5B0000}"/>
    <cellStyle name="Currency 3 3 2 2 5 2 2" xfId="28022" xr:uid="{00000000-0005-0000-0000-00004B5B0000}"/>
    <cellStyle name="Currency 3 3 2 2 5 3" xfId="21738" xr:uid="{00000000-0005-0000-0000-00004C5B0000}"/>
    <cellStyle name="Currency 3 3 2 2 6" xfId="6007" xr:uid="{00000000-0005-0000-0000-00004D5B0000}"/>
    <cellStyle name="Currency 3 3 2 2 6 2" xfId="16359" xr:uid="{00000000-0005-0000-0000-00004E5B0000}"/>
    <cellStyle name="Currency 3 3 2 2 6 2 2" xfId="29766" xr:uid="{00000000-0005-0000-0000-00004F5B0000}"/>
    <cellStyle name="Currency 3 3 2 2 6 3" xfId="21737" xr:uid="{00000000-0005-0000-0000-0000505B0000}"/>
    <cellStyle name="Currency 3 3 2 2 7" xfId="9863" xr:uid="{00000000-0005-0000-0000-0000515B0000}"/>
    <cellStyle name="Currency 3 3 2 2 8" xfId="21746" xr:uid="{00000000-0005-0000-0000-0000525B0000}"/>
    <cellStyle name="Currency 3 3 2 3" xfId="6008" xr:uid="{00000000-0005-0000-0000-0000535B0000}"/>
    <cellStyle name="Currency 3 3 2 3 2" xfId="6009" xr:uid="{00000000-0005-0000-0000-0000545B0000}"/>
    <cellStyle name="Currency 3 3 2 3 2 2" xfId="11368" xr:uid="{00000000-0005-0000-0000-0000555B0000}"/>
    <cellStyle name="Currency 3 3 2 3 2 3" xfId="21735" xr:uid="{00000000-0005-0000-0000-0000565B0000}"/>
    <cellStyle name="Currency 3 3 2 3 3" xfId="6010" xr:uid="{00000000-0005-0000-0000-0000575B0000}"/>
    <cellStyle name="Currency 3 3 2 3 3 2" xfId="16651" xr:uid="{00000000-0005-0000-0000-0000585B0000}"/>
    <cellStyle name="Currency 3 3 2 3 3 2 2" xfId="30058" xr:uid="{00000000-0005-0000-0000-0000595B0000}"/>
    <cellStyle name="Currency 3 3 2 3 3 3" xfId="21734" xr:uid="{00000000-0005-0000-0000-00005A5B0000}"/>
    <cellStyle name="Currency 3 3 2 3 4" xfId="9865" xr:uid="{00000000-0005-0000-0000-00005B5B0000}"/>
    <cellStyle name="Currency 3 3 2 3 5" xfId="21736" xr:uid="{00000000-0005-0000-0000-00005C5B0000}"/>
    <cellStyle name="Currency 3 3 2 4" xfId="6011" xr:uid="{00000000-0005-0000-0000-00005D5B0000}"/>
    <cellStyle name="Currency 3 3 2 4 2" xfId="6012" xr:uid="{00000000-0005-0000-0000-00005E5B0000}"/>
    <cellStyle name="Currency 3 3 2 4 2 2" xfId="13166" xr:uid="{00000000-0005-0000-0000-00005F5B0000}"/>
    <cellStyle name="Currency 3 3 2 4 2 3" xfId="21732" xr:uid="{00000000-0005-0000-0000-0000605B0000}"/>
    <cellStyle name="Currency 3 3 2 4 3" xfId="12028" xr:uid="{00000000-0005-0000-0000-0000615B0000}"/>
    <cellStyle name="Currency 3 3 2 4 3 2" xfId="25743" xr:uid="{00000000-0005-0000-0000-0000625B0000}"/>
    <cellStyle name="Currency 3 3 2 4 4" xfId="21733" xr:uid="{00000000-0005-0000-0000-0000635B0000}"/>
    <cellStyle name="Currency 3 3 2 5" xfId="6013" xr:uid="{00000000-0005-0000-0000-0000645B0000}"/>
    <cellStyle name="Currency 3 3 2 5 2" xfId="6014" xr:uid="{00000000-0005-0000-0000-0000655B0000}"/>
    <cellStyle name="Currency 3 3 2 5 2 2" xfId="15625" xr:uid="{00000000-0005-0000-0000-0000665B0000}"/>
    <cellStyle name="Currency 3 3 2 5 2 3" xfId="21730" xr:uid="{00000000-0005-0000-0000-0000675B0000}"/>
    <cellStyle name="Currency 3 3 2 5 3" xfId="13603" xr:uid="{00000000-0005-0000-0000-0000685B0000}"/>
    <cellStyle name="Currency 3 3 2 5 3 2" xfId="27152" xr:uid="{00000000-0005-0000-0000-0000695B0000}"/>
    <cellStyle name="Currency 3 3 2 5 4" xfId="21731" xr:uid="{00000000-0005-0000-0000-00006A5B0000}"/>
    <cellStyle name="Currency 3 3 2 6" xfId="6015" xr:uid="{00000000-0005-0000-0000-00006B5B0000}"/>
    <cellStyle name="Currency 3 3 2 6 2" xfId="14184" xr:uid="{00000000-0005-0000-0000-00006C5B0000}"/>
    <cellStyle name="Currency 3 3 2 6 2 2" xfId="27733" xr:uid="{00000000-0005-0000-0000-00006D5B0000}"/>
    <cellStyle name="Currency 3 3 2 6 3" xfId="21729" xr:uid="{00000000-0005-0000-0000-00006E5B0000}"/>
    <cellStyle name="Currency 3 3 2 7" xfId="6016" xr:uid="{00000000-0005-0000-0000-00006F5B0000}"/>
    <cellStyle name="Currency 3 3 2 7 2" xfId="16070" xr:uid="{00000000-0005-0000-0000-0000705B0000}"/>
    <cellStyle name="Currency 3 3 2 7 2 2" xfId="29477" xr:uid="{00000000-0005-0000-0000-0000715B0000}"/>
    <cellStyle name="Currency 3 3 2 7 3" xfId="21728" xr:uid="{00000000-0005-0000-0000-0000725B0000}"/>
    <cellStyle name="Currency 3 3 2 8" xfId="9862" xr:uid="{00000000-0005-0000-0000-0000735B0000}"/>
    <cellStyle name="Currency 3 3 2 9" xfId="21747" xr:uid="{00000000-0005-0000-0000-0000745B0000}"/>
    <cellStyle name="Currency 3 3 3" xfId="6017" xr:uid="{00000000-0005-0000-0000-0000755B0000}"/>
    <cellStyle name="Currency 3 3 3 2" xfId="6018" xr:uid="{00000000-0005-0000-0000-0000765B0000}"/>
    <cellStyle name="Currency 3 3 3 2 2" xfId="6019" xr:uid="{00000000-0005-0000-0000-0000775B0000}"/>
    <cellStyle name="Currency 3 3 3 2 2 2" xfId="11369" xr:uid="{00000000-0005-0000-0000-0000785B0000}"/>
    <cellStyle name="Currency 3 3 3 2 2 3" xfId="21725" xr:uid="{00000000-0005-0000-0000-0000795B0000}"/>
    <cellStyle name="Currency 3 3 3 2 3" xfId="6020" xr:uid="{00000000-0005-0000-0000-00007A5B0000}"/>
    <cellStyle name="Currency 3 3 3 2 3 2" xfId="16797" xr:uid="{00000000-0005-0000-0000-00007B5B0000}"/>
    <cellStyle name="Currency 3 3 3 2 3 2 2" xfId="30204" xr:uid="{00000000-0005-0000-0000-00007C5B0000}"/>
    <cellStyle name="Currency 3 3 3 2 3 3" xfId="21724" xr:uid="{00000000-0005-0000-0000-00007D5B0000}"/>
    <cellStyle name="Currency 3 3 3 2 4" xfId="9867" xr:uid="{00000000-0005-0000-0000-00007E5B0000}"/>
    <cellStyle name="Currency 3 3 3 2 5" xfId="21726" xr:uid="{00000000-0005-0000-0000-00007F5B0000}"/>
    <cellStyle name="Currency 3 3 3 3" xfId="6021" xr:uid="{00000000-0005-0000-0000-0000805B0000}"/>
    <cellStyle name="Currency 3 3 3 3 2" xfId="6022" xr:uid="{00000000-0005-0000-0000-0000815B0000}"/>
    <cellStyle name="Currency 3 3 3 3 2 2" xfId="13167" xr:uid="{00000000-0005-0000-0000-0000825B0000}"/>
    <cellStyle name="Currency 3 3 3 3 2 3" xfId="21722" xr:uid="{00000000-0005-0000-0000-0000835B0000}"/>
    <cellStyle name="Currency 3 3 3 3 3" xfId="12185" xr:uid="{00000000-0005-0000-0000-0000845B0000}"/>
    <cellStyle name="Currency 3 3 3 3 3 2" xfId="25897" xr:uid="{00000000-0005-0000-0000-0000855B0000}"/>
    <cellStyle name="Currency 3 3 3 3 4" xfId="21723" xr:uid="{00000000-0005-0000-0000-0000865B0000}"/>
    <cellStyle name="Currency 3 3 3 4" xfId="6023" xr:uid="{00000000-0005-0000-0000-0000875B0000}"/>
    <cellStyle name="Currency 3 3 3 4 2" xfId="6024" xr:uid="{00000000-0005-0000-0000-0000885B0000}"/>
    <cellStyle name="Currency 3 3 3 4 2 2" xfId="15626" xr:uid="{00000000-0005-0000-0000-0000895B0000}"/>
    <cellStyle name="Currency 3 3 3 4 2 3" xfId="21720" xr:uid="{00000000-0005-0000-0000-00008A5B0000}"/>
    <cellStyle name="Currency 3 3 3 4 3" xfId="13749" xr:uid="{00000000-0005-0000-0000-00008B5B0000}"/>
    <cellStyle name="Currency 3 3 3 4 3 2" xfId="27298" xr:uid="{00000000-0005-0000-0000-00008C5B0000}"/>
    <cellStyle name="Currency 3 3 3 4 4" xfId="21721" xr:uid="{00000000-0005-0000-0000-00008D5B0000}"/>
    <cellStyle name="Currency 3 3 3 5" xfId="6025" xr:uid="{00000000-0005-0000-0000-00008E5B0000}"/>
    <cellStyle name="Currency 3 3 3 5 2" xfId="14330" xr:uid="{00000000-0005-0000-0000-00008F5B0000}"/>
    <cellStyle name="Currency 3 3 3 5 2 2" xfId="27879" xr:uid="{00000000-0005-0000-0000-0000905B0000}"/>
    <cellStyle name="Currency 3 3 3 5 3" xfId="21719" xr:uid="{00000000-0005-0000-0000-0000915B0000}"/>
    <cellStyle name="Currency 3 3 3 6" xfId="6026" xr:uid="{00000000-0005-0000-0000-0000925B0000}"/>
    <cellStyle name="Currency 3 3 3 6 2" xfId="16216" xr:uid="{00000000-0005-0000-0000-0000935B0000}"/>
    <cellStyle name="Currency 3 3 3 6 2 2" xfId="29623" xr:uid="{00000000-0005-0000-0000-0000945B0000}"/>
    <cellStyle name="Currency 3 3 3 6 3" xfId="21718" xr:uid="{00000000-0005-0000-0000-0000955B0000}"/>
    <cellStyle name="Currency 3 3 3 7" xfId="9866" xr:uid="{00000000-0005-0000-0000-0000965B0000}"/>
    <cellStyle name="Currency 3 3 3 8" xfId="21727" xr:uid="{00000000-0005-0000-0000-0000975B0000}"/>
    <cellStyle name="Currency 3 3 4" xfId="6027" xr:uid="{00000000-0005-0000-0000-0000985B0000}"/>
    <cellStyle name="Currency 3 3 4 2" xfId="6028" xr:uid="{00000000-0005-0000-0000-0000995B0000}"/>
    <cellStyle name="Currency 3 3 4 2 2" xfId="13168" xr:uid="{00000000-0005-0000-0000-00009A5B0000}"/>
    <cellStyle name="Currency 3 3 4 2 3" xfId="21716" xr:uid="{00000000-0005-0000-0000-00009B5B0000}"/>
    <cellStyle name="Currency 3 3 4 3" xfId="6029" xr:uid="{00000000-0005-0000-0000-00009C5B0000}"/>
    <cellStyle name="Currency 3 3 4 3 2" xfId="17018" xr:uid="{00000000-0005-0000-0000-00009D5B0000}"/>
    <cellStyle name="Currency 3 3 4 3 3" xfId="21715" xr:uid="{00000000-0005-0000-0000-00009E5B0000}"/>
    <cellStyle name="Currency 3 3 4 4" xfId="9868" xr:uid="{00000000-0005-0000-0000-00009F5B0000}"/>
    <cellStyle name="Currency 3 3 4 5" xfId="21717" xr:uid="{00000000-0005-0000-0000-0000A05B0000}"/>
    <cellStyle name="Currency 3 3 5" xfId="6030" xr:uid="{00000000-0005-0000-0000-0000A15B0000}"/>
    <cellStyle name="Currency 3 3 5 2" xfId="6031" xr:uid="{00000000-0005-0000-0000-0000A25B0000}"/>
    <cellStyle name="Currency 3 3 5 2 2" xfId="11370" xr:uid="{00000000-0005-0000-0000-0000A35B0000}"/>
    <cellStyle name="Currency 3 3 5 2 3" xfId="21713" xr:uid="{00000000-0005-0000-0000-0000A45B0000}"/>
    <cellStyle name="Currency 3 3 5 3" xfId="6032" xr:uid="{00000000-0005-0000-0000-0000A55B0000}"/>
    <cellStyle name="Currency 3 3 5 3 2" xfId="17144" xr:uid="{00000000-0005-0000-0000-0000A65B0000}"/>
    <cellStyle name="Currency 3 3 5 3 2 2" xfId="30503" xr:uid="{00000000-0005-0000-0000-0000A75B0000}"/>
    <cellStyle name="Currency 3 3 5 3 3" xfId="21712" xr:uid="{00000000-0005-0000-0000-0000A85B0000}"/>
    <cellStyle name="Currency 3 3 5 4" xfId="9869" xr:uid="{00000000-0005-0000-0000-0000A95B0000}"/>
    <cellStyle name="Currency 3 3 5 5" xfId="21714" xr:uid="{00000000-0005-0000-0000-0000AA5B0000}"/>
    <cellStyle name="Currency 3 3 6" xfId="6033" xr:uid="{00000000-0005-0000-0000-0000AB5B0000}"/>
    <cellStyle name="Currency 3 3 6 2" xfId="6034" xr:uid="{00000000-0005-0000-0000-0000AC5B0000}"/>
    <cellStyle name="Currency 3 3 6 2 2" xfId="15627" xr:uid="{00000000-0005-0000-0000-0000AD5B0000}"/>
    <cellStyle name="Currency 3 3 6 2 3" xfId="21710" xr:uid="{00000000-0005-0000-0000-0000AE5B0000}"/>
    <cellStyle name="Currency 3 3 6 3" xfId="6035" xr:uid="{00000000-0005-0000-0000-0000AF5B0000}"/>
    <cellStyle name="Currency 3 3 6 3 2" xfId="17233" xr:uid="{00000000-0005-0000-0000-0000B05B0000}"/>
    <cellStyle name="Currency 3 3 6 3 2 2" xfId="30592" xr:uid="{00000000-0005-0000-0000-0000B15B0000}"/>
    <cellStyle name="Currency 3 3 6 3 3" xfId="21709" xr:uid="{00000000-0005-0000-0000-0000B25B0000}"/>
    <cellStyle name="Currency 3 3 6 4" xfId="11881" xr:uid="{00000000-0005-0000-0000-0000B35B0000}"/>
    <cellStyle name="Currency 3 3 6 4 2" xfId="25596" xr:uid="{00000000-0005-0000-0000-0000B45B0000}"/>
    <cellStyle name="Currency 3 3 6 5" xfId="21711" xr:uid="{00000000-0005-0000-0000-0000B55B0000}"/>
    <cellStyle name="Currency 3 3 7" xfId="6036" xr:uid="{00000000-0005-0000-0000-0000B65B0000}"/>
    <cellStyle name="Currency 3 3 7 2" xfId="6037" xr:uid="{00000000-0005-0000-0000-0000B75B0000}"/>
    <cellStyle name="Currency 3 3 7 2 2" xfId="16508" xr:uid="{00000000-0005-0000-0000-0000B85B0000}"/>
    <cellStyle name="Currency 3 3 7 2 2 2" xfId="29915" xr:uid="{00000000-0005-0000-0000-0000B95B0000}"/>
    <cellStyle name="Currency 3 3 7 2 3" xfId="21707" xr:uid="{00000000-0005-0000-0000-0000BA5B0000}"/>
    <cellStyle name="Currency 3 3 7 3" xfId="13460" xr:uid="{00000000-0005-0000-0000-0000BB5B0000}"/>
    <cellStyle name="Currency 3 3 7 3 2" xfId="27009" xr:uid="{00000000-0005-0000-0000-0000BC5B0000}"/>
    <cellStyle name="Currency 3 3 7 4" xfId="21708" xr:uid="{00000000-0005-0000-0000-0000BD5B0000}"/>
    <cellStyle name="Currency 3 3 8" xfId="6038" xr:uid="{00000000-0005-0000-0000-0000BE5B0000}"/>
    <cellStyle name="Currency 3 3 8 2" xfId="14041" xr:uid="{00000000-0005-0000-0000-0000BF5B0000}"/>
    <cellStyle name="Currency 3 3 8 2 2" xfId="27590" xr:uid="{00000000-0005-0000-0000-0000C05B0000}"/>
    <cellStyle name="Currency 3 3 8 3" xfId="21706" xr:uid="{00000000-0005-0000-0000-0000C15B0000}"/>
    <cellStyle name="Currency 3 3 9" xfId="6039" xr:uid="{00000000-0005-0000-0000-0000C25B0000}"/>
    <cellStyle name="Currency 3 3 9 2" xfId="15927" xr:uid="{00000000-0005-0000-0000-0000C35B0000}"/>
    <cellStyle name="Currency 3 3 9 2 2" xfId="29334" xr:uid="{00000000-0005-0000-0000-0000C45B0000}"/>
    <cellStyle name="Currency 3 3 9 3" xfId="21705" xr:uid="{00000000-0005-0000-0000-0000C55B0000}"/>
    <cellStyle name="Currency 3 30" xfId="21890" xr:uid="{00000000-0005-0000-0000-0000C65B0000}"/>
    <cellStyle name="Currency 3 4" xfId="6040" xr:uid="{00000000-0005-0000-0000-0000C75B0000}"/>
    <cellStyle name="Currency 3 4 10" xfId="9870" xr:uid="{00000000-0005-0000-0000-0000C85B0000}"/>
    <cellStyle name="Currency 3 4 11" xfId="21704" xr:uid="{00000000-0005-0000-0000-0000C95B0000}"/>
    <cellStyle name="Currency 3 4 2" xfId="6041" xr:uid="{00000000-0005-0000-0000-0000CA5B0000}"/>
    <cellStyle name="Currency 3 4 2 2" xfId="6042" xr:uid="{00000000-0005-0000-0000-0000CB5B0000}"/>
    <cellStyle name="Currency 3 4 2 2 2" xfId="6043" xr:uid="{00000000-0005-0000-0000-0000CC5B0000}"/>
    <cellStyle name="Currency 3 4 2 2 2 2" xfId="6044" xr:uid="{00000000-0005-0000-0000-0000CD5B0000}"/>
    <cellStyle name="Currency 3 4 2 2 2 2 2" xfId="11371" xr:uid="{00000000-0005-0000-0000-0000CE5B0000}"/>
    <cellStyle name="Currency 3 4 2 2 2 2 3" xfId="21700" xr:uid="{00000000-0005-0000-0000-0000CF5B0000}"/>
    <cellStyle name="Currency 3 4 2 2 2 3" xfId="6045" xr:uid="{00000000-0005-0000-0000-0000D05B0000}"/>
    <cellStyle name="Currency 3 4 2 2 2 3 2" xfId="16894" xr:uid="{00000000-0005-0000-0000-0000D15B0000}"/>
    <cellStyle name="Currency 3 4 2 2 2 3 2 2" xfId="30301" xr:uid="{00000000-0005-0000-0000-0000D25B0000}"/>
    <cellStyle name="Currency 3 4 2 2 2 3 3" xfId="21699" xr:uid="{00000000-0005-0000-0000-0000D35B0000}"/>
    <cellStyle name="Currency 3 4 2 2 2 4" xfId="9873" xr:uid="{00000000-0005-0000-0000-0000D45B0000}"/>
    <cellStyle name="Currency 3 4 2 2 2 5" xfId="21701" xr:uid="{00000000-0005-0000-0000-0000D55B0000}"/>
    <cellStyle name="Currency 3 4 2 2 3" xfId="6046" xr:uid="{00000000-0005-0000-0000-0000D65B0000}"/>
    <cellStyle name="Currency 3 4 2 2 3 2" xfId="6047" xr:uid="{00000000-0005-0000-0000-0000D75B0000}"/>
    <cellStyle name="Currency 3 4 2 2 3 2 2" xfId="13169" xr:uid="{00000000-0005-0000-0000-0000D85B0000}"/>
    <cellStyle name="Currency 3 4 2 2 3 2 3" xfId="21697" xr:uid="{00000000-0005-0000-0000-0000D95B0000}"/>
    <cellStyle name="Currency 3 4 2 2 3 3" xfId="12282" xr:uid="{00000000-0005-0000-0000-0000DA5B0000}"/>
    <cellStyle name="Currency 3 4 2 2 3 3 2" xfId="25994" xr:uid="{00000000-0005-0000-0000-0000DB5B0000}"/>
    <cellStyle name="Currency 3 4 2 2 3 4" xfId="21698" xr:uid="{00000000-0005-0000-0000-0000DC5B0000}"/>
    <cellStyle name="Currency 3 4 2 2 4" xfId="6048" xr:uid="{00000000-0005-0000-0000-0000DD5B0000}"/>
    <cellStyle name="Currency 3 4 2 2 4 2" xfId="6049" xr:uid="{00000000-0005-0000-0000-0000DE5B0000}"/>
    <cellStyle name="Currency 3 4 2 2 4 2 2" xfId="15628" xr:uid="{00000000-0005-0000-0000-0000DF5B0000}"/>
    <cellStyle name="Currency 3 4 2 2 4 2 3" xfId="21695" xr:uid="{00000000-0005-0000-0000-0000E05B0000}"/>
    <cellStyle name="Currency 3 4 2 2 4 3" xfId="13846" xr:uid="{00000000-0005-0000-0000-0000E15B0000}"/>
    <cellStyle name="Currency 3 4 2 2 4 3 2" xfId="27395" xr:uid="{00000000-0005-0000-0000-0000E25B0000}"/>
    <cellStyle name="Currency 3 4 2 2 4 4" xfId="21696" xr:uid="{00000000-0005-0000-0000-0000E35B0000}"/>
    <cellStyle name="Currency 3 4 2 2 5" xfId="6050" xr:uid="{00000000-0005-0000-0000-0000E45B0000}"/>
    <cellStyle name="Currency 3 4 2 2 5 2" xfId="14427" xr:uid="{00000000-0005-0000-0000-0000E55B0000}"/>
    <cellStyle name="Currency 3 4 2 2 5 2 2" xfId="27976" xr:uid="{00000000-0005-0000-0000-0000E65B0000}"/>
    <cellStyle name="Currency 3 4 2 2 5 3" xfId="21694" xr:uid="{00000000-0005-0000-0000-0000E75B0000}"/>
    <cellStyle name="Currency 3 4 2 2 6" xfId="6051" xr:uid="{00000000-0005-0000-0000-0000E85B0000}"/>
    <cellStyle name="Currency 3 4 2 2 6 2" xfId="16313" xr:uid="{00000000-0005-0000-0000-0000E95B0000}"/>
    <cellStyle name="Currency 3 4 2 2 6 2 2" xfId="29720" xr:uid="{00000000-0005-0000-0000-0000EA5B0000}"/>
    <cellStyle name="Currency 3 4 2 2 6 3" xfId="21693" xr:uid="{00000000-0005-0000-0000-0000EB5B0000}"/>
    <cellStyle name="Currency 3 4 2 2 7" xfId="9872" xr:uid="{00000000-0005-0000-0000-0000EC5B0000}"/>
    <cellStyle name="Currency 3 4 2 2 8" xfId="21702" xr:uid="{00000000-0005-0000-0000-0000ED5B0000}"/>
    <cellStyle name="Currency 3 4 2 3" xfId="6052" xr:uid="{00000000-0005-0000-0000-0000EE5B0000}"/>
    <cellStyle name="Currency 3 4 2 3 2" xfId="6053" xr:uid="{00000000-0005-0000-0000-0000EF5B0000}"/>
    <cellStyle name="Currency 3 4 2 3 2 2" xfId="11372" xr:uid="{00000000-0005-0000-0000-0000F05B0000}"/>
    <cellStyle name="Currency 3 4 2 3 2 3" xfId="21691" xr:uid="{00000000-0005-0000-0000-0000F15B0000}"/>
    <cellStyle name="Currency 3 4 2 3 3" xfId="6054" xr:uid="{00000000-0005-0000-0000-0000F25B0000}"/>
    <cellStyle name="Currency 3 4 2 3 3 2" xfId="16605" xr:uid="{00000000-0005-0000-0000-0000F35B0000}"/>
    <cellStyle name="Currency 3 4 2 3 3 2 2" xfId="30012" xr:uid="{00000000-0005-0000-0000-0000F45B0000}"/>
    <cellStyle name="Currency 3 4 2 3 3 3" xfId="21690" xr:uid="{00000000-0005-0000-0000-0000F55B0000}"/>
    <cellStyle name="Currency 3 4 2 3 4" xfId="9874" xr:uid="{00000000-0005-0000-0000-0000F65B0000}"/>
    <cellStyle name="Currency 3 4 2 3 5" xfId="21692" xr:uid="{00000000-0005-0000-0000-0000F75B0000}"/>
    <cellStyle name="Currency 3 4 2 4" xfId="6055" xr:uid="{00000000-0005-0000-0000-0000F85B0000}"/>
    <cellStyle name="Currency 3 4 2 4 2" xfId="6056" xr:uid="{00000000-0005-0000-0000-0000F95B0000}"/>
    <cellStyle name="Currency 3 4 2 4 2 2" xfId="13170" xr:uid="{00000000-0005-0000-0000-0000FA5B0000}"/>
    <cellStyle name="Currency 3 4 2 4 2 3" xfId="21688" xr:uid="{00000000-0005-0000-0000-0000FB5B0000}"/>
    <cellStyle name="Currency 3 4 2 4 3" xfId="11982" xr:uid="{00000000-0005-0000-0000-0000FC5B0000}"/>
    <cellStyle name="Currency 3 4 2 4 3 2" xfId="25697" xr:uid="{00000000-0005-0000-0000-0000FD5B0000}"/>
    <cellStyle name="Currency 3 4 2 4 4" xfId="21689" xr:uid="{00000000-0005-0000-0000-0000FE5B0000}"/>
    <cellStyle name="Currency 3 4 2 5" xfId="6057" xr:uid="{00000000-0005-0000-0000-0000FF5B0000}"/>
    <cellStyle name="Currency 3 4 2 5 2" xfId="6058" xr:uid="{00000000-0005-0000-0000-0000005C0000}"/>
    <cellStyle name="Currency 3 4 2 5 2 2" xfId="15629" xr:uid="{00000000-0005-0000-0000-0000015C0000}"/>
    <cellStyle name="Currency 3 4 2 5 2 3" xfId="21686" xr:uid="{00000000-0005-0000-0000-0000025C0000}"/>
    <cellStyle name="Currency 3 4 2 5 3" xfId="13557" xr:uid="{00000000-0005-0000-0000-0000035C0000}"/>
    <cellStyle name="Currency 3 4 2 5 3 2" xfId="27106" xr:uid="{00000000-0005-0000-0000-0000045C0000}"/>
    <cellStyle name="Currency 3 4 2 5 4" xfId="21687" xr:uid="{00000000-0005-0000-0000-0000055C0000}"/>
    <cellStyle name="Currency 3 4 2 6" xfId="6059" xr:uid="{00000000-0005-0000-0000-0000065C0000}"/>
    <cellStyle name="Currency 3 4 2 6 2" xfId="14138" xr:uid="{00000000-0005-0000-0000-0000075C0000}"/>
    <cellStyle name="Currency 3 4 2 6 2 2" xfId="27687" xr:uid="{00000000-0005-0000-0000-0000085C0000}"/>
    <cellStyle name="Currency 3 4 2 6 3" xfId="21685" xr:uid="{00000000-0005-0000-0000-0000095C0000}"/>
    <cellStyle name="Currency 3 4 2 7" xfId="6060" xr:uid="{00000000-0005-0000-0000-00000A5C0000}"/>
    <cellStyle name="Currency 3 4 2 7 2" xfId="16024" xr:uid="{00000000-0005-0000-0000-00000B5C0000}"/>
    <cellStyle name="Currency 3 4 2 7 2 2" xfId="29431" xr:uid="{00000000-0005-0000-0000-00000C5C0000}"/>
    <cellStyle name="Currency 3 4 2 7 3" xfId="21684" xr:uid="{00000000-0005-0000-0000-00000D5C0000}"/>
    <cellStyle name="Currency 3 4 2 8" xfId="9871" xr:uid="{00000000-0005-0000-0000-00000E5C0000}"/>
    <cellStyle name="Currency 3 4 2 9" xfId="21703" xr:uid="{00000000-0005-0000-0000-00000F5C0000}"/>
    <cellStyle name="Currency 3 4 3" xfId="6061" xr:uid="{00000000-0005-0000-0000-0000105C0000}"/>
    <cellStyle name="Currency 3 4 3 2" xfId="6062" xr:uid="{00000000-0005-0000-0000-0000115C0000}"/>
    <cellStyle name="Currency 3 4 3 2 2" xfId="6063" xr:uid="{00000000-0005-0000-0000-0000125C0000}"/>
    <cellStyle name="Currency 3 4 3 2 2 2" xfId="11373" xr:uid="{00000000-0005-0000-0000-0000135C0000}"/>
    <cellStyle name="Currency 3 4 3 2 2 3" xfId="21681" xr:uid="{00000000-0005-0000-0000-0000145C0000}"/>
    <cellStyle name="Currency 3 4 3 2 3" xfId="6064" xr:uid="{00000000-0005-0000-0000-0000155C0000}"/>
    <cellStyle name="Currency 3 4 3 2 3 2" xfId="16754" xr:uid="{00000000-0005-0000-0000-0000165C0000}"/>
    <cellStyle name="Currency 3 4 3 2 3 2 2" xfId="30161" xr:uid="{00000000-0005-0000-0000-0000175C0000}"/>
    <cellStyle name="Currency 3 4 3 2 3 3" xfId="21680" xr:uid="{00000000-0005-0000-0000-0000185C0000}"/>
    <cellStyle name="Currency 3 4 3 2 4" xfId="9876" xr:uid="{00000000-0005-0000-0000-0000195C0000}"/>
    <cellStyle name="Currency 3 4 3 2 5" xfId="21682" xr:uid="{00000000-0005-0000-0000-00001A5C0000}"/>
    <cellStyle name="Currency 3 4 3 3" xfId="6065" xr:uid="{00000000-0005-0000-0000-00001B5C0000}"/>
    <cellStyle name="Currency 3 4 3 3 2" xfId="6066" xr:uid="{00000000-0005-0000-0000-00001C5C0000}"/>
    <cellStyle name="Currency 3 4 3 3 2 2" xfId="13171" xr:uid="{00000000-0005-0000-0000-00001D5C0000}"/>
    <cellStyle name="Currency 3 4 3 3 2 3" xfId="21678" xr:uid="{00000000-0005-0000-0000-00001E5C0000}"/>
    <cellStyle name="Currency 3 4 3 3 3" xfId="12142" xr:uid="{00000000-0005-0000-0000-00001F5C0000}"/>
    <cellStyle name="Currency 3 4 3 3 3 2" xfId="25854" xr:uid="{00000000-0005-0000-0000-0000205C0000}"/>
    <cellStyle name="Currency 3 4 3 3 4" xfId="21679" xr:uid="{00000000-0005-0000-0000-0000215C0000}"/>
    <cellStyle name="Currency 3 4 3 4" xfId="6067" xr:uid="{00000000-0005-0000-0000-0000225C0000}"/>
    <cellStyle name="Currency 3 4 3 4 2" xfId="6068" xr:uid="{00000000-0005-0000-0000-0000235C0000}"/>
    <cellStyle name="Currency 3 4 3 4 2 2" xfId="15630" xr:uid="{00000000-0005-0000-0000-0000245C0000}"/>
    <cellStyle name="Currency 3 4 3 4 2 3" xfId="21676" xr:uid="{00000000-0005-0000-0000-0000255C0000}"/>
    <cellStyle name="Currency 3 4 3 4 3" xfId="13706" xr:uid="{00000000-0005-0000-0000-0000265C0000}"/>
    <cellStyle name="Currency 3 4 3 4 3 2" xfId="27255" xr:uid="{00000000-0005-0000-0000-0000275C0000}"/>
    <cellStyle name="Currency 3 4 3 4 4" xfId="21677" xr:uid="{00000000-0005-0000-0000-0000285C0000}"/>
    <cellStyle name="Currency 3 4 3 5" xfId="6069" xr:uid="{00000000-0005-0000-0000-0000295C0000}"/>
    <cellStyle name="Currency 3 4 3 5 2" xfId="14287" xr:uid="{00000000-0005-0000-0000-00002A5C0000}"/>
    <cellStyle name="Currency 3 4 3 5 2 2" xfId="27836" xr:uid="{00000000-0005-0000-0000-00002B5C0000}"/>
    <cellStyle name="Currency 3 4 3 5 3" xfId="21675" xr:uid="{00000000-0005-0000-0000-00002C5C0000}"/>
    <cellStyle name="Currency 3 4 3 6" xfId="6070" xr:uid="{00000000-0005-0000-0000-00002D5C0000}"/>
    <cellStyle name="Currency 3 4 3 6 2" xfId="16173" xr:uid="{00000000-0005-0000-0000-00002E5C0000}"/>
    <cellStyle name="Currency 3 4 3 6 2 2" xfId="29580" xr:uid="{00000000-0005-0000-0000-00002F5C0000}"/>
    <cellStyle name="Currency 3 4 3 6 3" xfId="21674" xr:uid="{00000000-0005-0000-0000-0000305C0000}"/>
    <cellStyle name="Currency 3 4 3 7" xfId="9875" xr:uid="{00000000-0005-0000-0000-0000315C0000}"/>
    <cellStyle name="Currency 3 4 3 8" xfId="21683" xr:uid="{00000000-0005-0000-0000-0000325C0000}"/>
    <cellStyle name="Currency 3 4 4" xfId="6071" xr:uid="{00000000-0005-0000-0000-0000335C0000}"/>
    <cellStyle name="Currency 3 4 4 2" xfId="6072" xr:uid="{00000000-0005-0000-0000-0000345C0000}"/>
    <cellStyle name="Currency 3 4 4 2 2" xfId="16462" xr:uid="{00000000-0005-0000-0000-0000355C0000}"/>
    <cellStyle name="Currency 3 4 4 2 2 2" xfId="29869" xr:uid="{00000000-0005-0000-0000-0000365C0000}"/>
    <cellStyle name="Currency 3 4 4 2 3" xfId="21672" xr:uid="{00000000-0005-0000-0000-0000375C0000}"/>
    <cellStyle name="Currency 3 4 4 3" xfId="9877" xr:uid="{00000000-0005-0000-0000-0000385C0000}"/>
    <cellStyle name="Currency 3 4 4 4" xfId="21673" xr:uid="{00000000-0005-0000-0000-0000395C0000}"/>
    <cellStyle name="Currency 3 4 5" xfId="6073" xr:uid="{00000000-0005-0000-0000-00003A5C0000}"/>
    <cellStyle name="Currency 3 4 5 2" xfId="6074" xr:uid="{00000000-0005-0000-0000-00003B5C0000}"/>
    <cellStyle name="Currency 3 4 5 2 2" xfId="11374" xr:uid="{00000000-0005-0000-0000-00003C5C0000}"/>
    <cellStyle name="Currency 3 4 5 2 3" xfId="21670" xr:uid="{00000000-0005-0000-0000-00003D5C0000}"/>
    <cellStyle name="Currency 3 4 5 3" xfId="9878" xr:uid="{00000000-0005-0000-0000-00003E5C0000}"/>
    <cellStyle name="Currency 3 4 5 4" xfId="21671" xr:uid="{00000000-0005-0000-0000-00003F5C0000}"/>
    <cellStyle name="Currency 3 4 6" xfId="6075" xr:uid="{00000000-0005-0000-0000-0000405C0000}"/>
    <cellStyle name="Currency 3 4 6 2" xfId="6076" xr:uid="{00000000-0005-0000-0000-0000415C0000}"/>
    <cellStyle name="Currency 3 4 6 2 2" xfId="13172" xr:uid="{00000000-0005-0000-0000-0000425C0000}"/>
    <cellStyle name="Currency 3 4 6 2 3" xfId="21668" xr:uid="{00000000-0005-0000-0000-0000435C0000}"/>
    <cellStyle name="Currency 3 4 6 3" xfId="11813" xr:uid="{00000000-0005-0000-0000-0000445C0000}"/>
    <cellStyle name="Currency 3 4 6 3 2" xfId="25528" xr:uid="{00000000-0005-0000-0000-0000455C0000}"/>
    <cellStyle name="Currency 3 4 6 4" xfId="21669" xr:uid="{00000000-0005-0000-0000-0000465C0000}"/>
    <cellStyle name="Currency 3 4 7" xfId="6077" xr:uid="{00000000-0005-0000-0000-0000475C0000}"/>
    <cellStyle name="Currency 3 4 7 2" xfId="6078" xr:uid="{00000000-0005-0000-0000-0000485C0000}"/>
    <cellStyle name="Currency 3 4 7 2 2" xfId="15631" xr:uid="{00000000-0005-0000-0000-0000495C0000}"/>
    <cellStyle name="Currency 3 4 7 2 3" xfId="21666" xr:uid="{00000000-0005-0000-0000-00004A5C0000}"/>
    <cellStyle name="Currency 3 4 7 3" xfId="13414" xr:uid="{00000000-0005-0000-0000-00004B5C0000}"/>
    <cellStyle name="Currency 3 4 7 3 2" xfId="26963" xr:uid="{00000000-0005-0000-0000-00004C5C0000}"/>
    <cellStyle name="Currency 3 4 7 4" xfId="21667" xr:uid="{00000000-0005-0000-0000-00004D5C0000}"/>
    <cellStyle name="Currency 3 4 8" xfId="6079" xr:uid="{00000000-0005-0000-0000-00004E5C0000}"/>
    <cellStyle name="Currency 3 4 8 2" xfId="13995" xr:uid="{00000000-0005-0000-0000-00004F5C0000}"/>
    <cellStyle name="Currency 3 4 8 2 2" xfId="27544" xr:uid="{00000000-0005-0000-0000-0000505C0000}"/>
    <cellStyle name="Currency 3 4 8 3" xfId="21665" xr:uid="{00000000-0005-0000-0000-0000515C0000}"/>
    <cellStyle name="Currency 3 4 9" xfId="6080" xr:uid="{00000000-0005-0000-0000-0000525C0000}"/>
    <cellStyle name="Currency 3 4 9 2" xfId="15881" xr:uid="{00000000-0005-0000-0000-0000535C0000}"/>
    <cellStyle name="Currency 3 4 9 2 2" xfId="29288" xr:uid="{00000000-0005-0000-0000-0000545C0000}"/>
    <cellStyle name="Currency 3 4 9 3" xfId="21664" xr:uid="{00000000-0005-0000-0000-0000555C0000}"/>
    <cellStyle name="Currency 3 5" xfId="6081" xr:uid="{00000000-0005-0000-0000-0000565C0000}"/>
    <cellStyle name="Currency 3 5 10" xfId="9879" xr:uid="{00000000-0005-0000-0000-0000575C0000}"/>
    <cellStyle name="Currency 3 5 11" xfId="21663" xr:uid="{00000000-0005-0000-0000-0000585C0000}"/>
    <cellStyle name="Currency 3 5 2" xfId="6082" xr:uid="{00000000-0005-0000-0000-0000595C0000}"/>
    <cellStyle name="Currency 3 5 2 2" xfId="6083" xr:uid="{00000000-0005-0000-0000-00005A5C0000}"/>
    <cellStyle name="Currency 3 5 2 2 2" xfId="6084" xr:uid="{00000000-0005-0000-0000-00005B5C0000}"/>
    <cellStyle name="Currency 3 5 2 2 2 2" xfId="6085" xr:uid="{00000000-0005-0000-0000-00005C5C0000}"/>
    <cellStyle name="Currency 3 5 2 2 2 2 2" xfId="11375" xr:uid="{00000000-0005-0000-0000-00005D5C0000}"/>
    <cellStyle name="Currency 3 5 2 2 2 2 3" xfId="21659" xr:uid="{00000000-0005-0000-0000-00005E5C0000}"/>
    <cellStyle name="Currency 3 5 2 2 2 3" xfId="6086" xr:uid="{00000000-0005-0000-0000-00005F5C0000}"/>
    <cellStyle name="Currency 3 5 2 2 2 3 2" xfId="16877" xr:uid="{00000000-0005-0000-0000-0000605C0000}"/>
    <cellStyle name="Currency 3 5 2 2 2 3 2 2" xfId="30284" xr:uid="{00000000-0005-0000-0000-0000615C0000}"/>
    <cellStyle name="Currency 3 5 2 2 2 3 3" xfId="21658" xr:uid="{00000000-0005-0000-0000-0000625C0000}"/>
    <cellStyle name="Currency 3 5 2 2 2 4" xfId="9882" xr:uid="{00000000-0005-0000-0000-0000635C0000}"/>
    <cellStyle name="Currency 3 5 2 2 2 5" xfId="21660" xr:uid="{00000000-0005-0000-0000-0000645C0000}"/>
    <cellStyle name="Currency 3 5 2 2 3" xfId="6087" xr:uid="{00000000-0005-0000-0000-0000655C0000}"/>
    <cellStyle name="Currency 3 5 2 2 3 2" xfId="6088" xr:uid="{00000000-0005-0000-0000-0000665C0000}"/>
    <cellStyle name="Currency 3 5 2 2 3 2 2" xfId="13173" xr:uid="{00000000-0005-0000-0000-0000675C0000}"/>
    <cellStyle name="Currency 3 5 2 2 3 2 3" xfId="21656" xr:uid="{00000000-0005-0000-0000-0000685C0000}"/>
    <cellStyle name="Currency 3 5 2 2 3 3" xfId="12265" xr:uid="{00000000-0005-0000-0000-0000695C0000}"/>
    <cellStyle name="Currency 3 5 2 2 3 3 2" xfId="25977" xr:uid="{00000000-0005-0000-0000-00006A5C0000}"/>
    <cellStyle name="Currency 3 5 2 2 3 4" xfId="21657" xr:uid="{00000000-0005-0000-0000-00006B5C0000}"/>
    <cellStyle name="Currency 3 5 2 2 4" xfId="6089" xr:uid="{00000000-0005-0000-0000-00006C5C0000}"/>
    <cellStyle name="Currency 3 5 2 2 4 2" xfId="6090" xr:uid="{00000000-0005-0000-0000-00006D5C0000}"/>
    <cellStyle name="Currency 3 5 2 2 4 2 2" xfId="15632" xr:uid="{00000000-0005-0000-0000-00006E5C0000}"/>
    <cellStyle name="Currency 3 5 2 2 4 2 3" xfId="21654" xr:uid="{00000000-0005-0000-0000-00006F5C0000}"/>
    <cellStyle name="Currency 3 5 2 2 4 3" xfId="13829" xr:uid="{00000000-0005-0000-0000-0000705C0000}"/>
    <cellStyle name="Currency 3 5 2 2 4 3 2" xfId="27378" xr:uid="{00000000-0005-0000-0000-0000715C0000}"/>
    <cellStyle name="Currency 3 5 2 2 4 4" xfId="21655" xr:uid="{00000000-0005-0000-0000-0000725C0000}"/>
    <cellStyle name="Currency 3 5 2 2 5" xfId="6091" xr:uid="{00000000-0005-0000-0000-0000735C0000}"/>
    <cellStyle name="Currency 3 5 2 2 5 2" xfId="14410" xr:uid="{00000000-0005-0000-0000-0000745C0000}"/>
    <cellStyle name="Currency 3 5 2 2 5 2 2" xfId="27959" xr:uid="{00000000-0005-0000-0000-0000755C0000}"/>
    <cellStyle name="Currency 3 5 2 2 5 3" xfId="21653" xr:uid="{00000000-0005-0000-0000-0000765C0000}"/>
    <cellStyle name="Currency 3 5 2 2 6" xfId="6092" xr:uid="{00000000-0005-0000-0000-0000775C0000}"/>
    <cellStyle name="Currency 3 5 2 2 6 2" xfId="16296" xr:uid="{00000000-0005-0000-0000-0000785C0000}"/>
    <cellStyle name="Currency 3 5 2 2 6 2 2" xfId="29703" xr:uid="{00000000-0005-0000-0000-0000795C0000}"/>
    <cellStyle name="Currency 3 5 2 2 6 3" xfId="21652" xr:uid="{00000000-0005-0000-0000-00007A5C0000}"/>
    <cellStyle name="Currency 3 5 2 2 7" xfId="9881" xr:uid="{00000000-0005-0000-0000-00007B5C0000}"/>
    <cellStyle name="Currency 3 5 2 2 8" xfId="21661" xr:uid="{00000000-0005-0000-0000-00007C5C0000}"/>
    <cellStyle name="Currency 3 5 2 3" xfId="6093" xr:uid="{00000000-0005-0000-0000-00007D5C0000}"/>
    <cellStyle name="Currency 3 5 2 3 2" xfId="6094" xr:uid="{00000000-0005-0000-0000-00007E5C0000}"/>
    <cellStyle name="Currency 3 5 2 3 2 2" xfId="11376" xr:uid="{00000000-0005-0000-0000-00007F5C0000}"/>
    <cellStyle name="Currency 3 5 2 3 2 3" xfId="21650" xr:uid="{00000000-0005-0000-0000-0000805C0000}"/>
    <cellStyle name="Currency 3 5 2 3 3" xfId="6095" xr:uid="{00000000-0005-0000-0000-0000815C0000}"/>
    <cellStyle name="Currency 3 5 2 3 3 2" xfId="16588" xr:uid="{00000000-0005-0000-0000-0000825C0000}"/>
    <cellStyle name="Currency 3 5 2 3 3 2 2" xfId="29995" xr:uid="{00000000-0005-0000-0000-0000835C0000}"/>
    <cellStyle name="Currency 3 5 2 3 3 3" xfId="21649" xr:uid="{00000000-0005-0000-0000-0000845C0000}"/>
    <cellStyle name="Currency 3 5 2 3 4" xfId="9883" xr:uid="{00000000-0005-0000-0000-0000855C0000}"/>
    <cellStyle name="Currency 3 5 2 3 5" xfId="21651" xr:uid="{00000000-0005-0000-0000-0000865C0000}"/>
    <cellStyle name="Currency 3 5 2 4" xfId="6096" xr:uid="{00000000-0005-0000-0000-0000875C0000}"/>
    <cellStyle name="Currency 3 5 2 4 2" xfId="6097" xr:uid="{00000000-0005-0000-0000-0000885C0000}"/>
    <cellStyle name="Currency 3 5 2 4 2 2" xfId="13174" xr:uid="{00000000-0005-0000-0000-0000895C0000}"/>
    <cellStyle name="Currency 3 5 2 4 2 3" xfId="21647" xr:uid="{00000000-0005-0000-0000-00008A5C0000}"/>
    <cellStyle name="Currency 3 5 2 4 3" xfId="11965" xr:uid="{00000000-0005-0000-0000-00008B5C0000}"/>
    <cellStyle name="Currency 3 5 2 4 3 2" xfId="25680" xr:uid="{00000000-0005-0000-0000-00008C5C0000}"/>
    <cellStyle name="Currency 3 5 2 4 4" xfId="21648" xr:uid="{00000000-0005-0000-0000-00008D5C0000}"/>
    <cellStyle name="Currency 3 5 2 5" xfId="6098" xr:uid="{00000000-0005-0000-0000-00008E5C0000}"/>
    <cellStyle name="Currency 3 5 2 5 2" xfId="6099" xr:uid="{00000000-0005-0000-0000-00008F5C0000}"/>
    <cellStyle name="Currency 3 5 2 5 2 2" xfId="15633" xr:uid="{00000000-0005-0000-0000-0000905C0000}"/>
    <cellStyle name="Currency 3 5 2 5 2 3" xfId="21645" xr:uid="{00000000-0005-0000-0000-0000915C0000}"/>
    <cellStyle name="Currency 3 5 2 5 3" xfId="13540" xr:uid="{00000000-0005-0000-0000-0000925C0000}"/>
    <cellStyle name="Currency 3 5 2 5 3 2" xfId="27089" xr:uid="{00000000-0005-0000-0000-0000935C0000}"/>
    <cellStyle name="Currency 3 5 2 5 4" xfId="21646" xr:uid="{00000000-0005-0000-0000-0000945C0000}"/>
    <cellStyle name="Currency 3 5 2 6" xfId="6100" xr:uid="{00000000-0005-0000-0000-0000955C0000}"/>
    <cellStyle name="Currency 3 5 2 6 2" xfId="14121" xr:uid="{00000000-0005-0000-0000-0000965C0000}"/>
    <cellStyle name="Currency 3 5 2 6 2 2" xfId="27670" xr:uid="{00000000-0005-0000-0000-0000975C0000}"/>
    <cellStyle name="Currency 3 5 2 6 3" xfId="21644" xr:uid="{00000000-0005-0000-0000-0000985C0000}"/>
    <cellStyle name="Currency 3 5 2 7" xfId="6101" xr:uid="{00000000-0005-0000-0000-0000995C0000}"/>
    <cellStyle name="Currency 3 5 2 7 2" xfId="16007" xr:uid="{00000000-0005-0000-0000-00009A5C0000}"/>
    <cellStyle name="Currency 3 5 2 7 2 2" xfId="29414" xr:uid="{00000000-0005-0000-0000-00009B5C0000}"/>
    <cellStyle name="Currency 3 5 2 7 3" xfId="21643" xr:uid="{00000000-0005-0000-0000-00009C5C0000}"/>
    <cellStyle name="Currency 3 5 2 8" xfId="9880" xr:uid="{00000000-0005-0000-0000-00009D5C0000}"/>
    <cellStyle name="Currency 3 5 2 9" xfId="21662" xr:uid="{00000000-0005-0000-0000-00009E5C0000}"/>
    <cellStyle name="Currency 3 5 3" xfId="6102" xr:uid="{00000000-0005-0000-0000-00009F5C0000}"/>
    <cellStyle name="Currency 3 5 3 2" xfId="6103" xr:uid="{00000000-0005-0000-0000-0000A05C0000}"/>
    <cellStyle name="Currency 3 5 3 2 2" xfId="6104" xr:uid="{00000000-0005-0000-0000-0000A15C0000}"/>
    <cellStyle name="Currency 3 5 3 2 2 2" xfId="11377" xr:uid="{00000000-0005-0000-0000-0000A25C0000}"/>
    <cellStyle name="Currency 3 5 3 2 2 3" xfId="21640" xr:uid="{00000000-0005-0000-0000-0000A35C0000}"/>
    <cellStyle name="Currency 3 5 3 2 3" xfId="6105" xr:uid="{00000000-0005-0000-0000-0000A45C0000}"/>
    <cellStyle name="Currency 3 5 3 2 3 2" xfId="16737" xr:uid="{00000000-0005-0000-0000-0000A55C0000}"/>
    <cellStyle name="Currency 3 5 3 2 3 2 2" xfId="30144" xr:uid="{00000000-0005-0000-0000-0000A65C0000}"/>
    <cellStyle name="Currency 3 5 3 2 3 3" xfId="21639" xr:uid="{00000000-0005-0000-0000-0000A75C0000}"/>
    <cellStyle name="Currency 3 5 3 2 4" xfId="9885" xr:uid="{00000000-0005-0000-0000-0000A85C0000}"/>
    <cellStyle name="Currency 3 5 3 2 5" xfId="21641" xr:uid="{00000000-0005-0000-0000-0000A95C0000}"/>
    <cellStyle name="Currency 3 5 3 3" xfId="6106" xr:uid="{00000000-0005-0000-0000-0000AA5C0000}"/>
    <cellStyle name="Currency 3 5 3 3 2" xfId="6107" xr:uid="{00000000-0005-0000-0000-0000AB5C0000}"/>
    <cellStyle name="Currency 3 5 3 3 2 2" xfId="13175" xr:uid="{00000000-0005-0000-0000-0000AC5C0000}"/>
    <cellStyle name="Currency 3 5 3 3 2 3" xfId="21637" xr:uid="{00000000-0005-0000-0000-0000AD5C0000}"/>
    <cellStyle name="Currency 3 5 3 3 3" xfId="12125" xr:uid="{00000000-0005-0000-0000-0000AE5C0000}"/>
    <cellStyle name="Currency 3 5 3 3 3 2" xfId="25837" xr:uid="{00000000-0005-0000-0000-0000AF5C0000}"/>
    <cellStyle name="Currency 3 5 3 3 4" xfId="21638" xr:uid="{00000000-0005-0000-0000-0000B05C0000}"/>
    <cellStyle name="Currency 3 5 3 4" xfId="6108" xr:uid="{00000000-0005-0000-0000-0000B15C0000}"/>
    <cellStyle name="Currency 3 5 3 4 2" xfId="6109" xr:uid="{00000000-0005-0000-0000-0000B25C0000}"/>
    <cellStyle name="Currency 3 5 3 4 2 2" xfId="15634" xr:uid="{00000000-0005-0000-0000-0000B35C0000}"/>
    <cellStyle name="Currency 3 5 3 4 2 3" xfId="21635" xr:uid="{00000000-0005-0000-0000-0000B45C0000}"/>
    <cellStyle name="Currency 3 5 3 4 3" xfId="13689" xr:uid="{00000000-0005-0000-0000-0000B55C0000}"/>
    <cellStyle name="Currency 3 5 3 4 3 2" xfId="27238" xr:uid="{00000000-0005-0000-0000-0000B65C0000}"/>
    <cellStyle name="Currency 3 5 3 4 4" xfId="21636" xr:uid="{00000000-0005-0000-0000-0000B75C0000}"/>
    <cellStyle name="Currency 3 5 3 5" xfId="6110" xr:uid="{00000000-0005-0000-0000-0000B85C0000}"/>
    <cellStyle name="Currency 3 5 3 5 2" xfId="14270" xr:uid="{00000000-0005-0000-0000-0000B95C0000}"/>
    <cellStyle name="Currency 3 5 3 5 2 2" xfId="27819" xr:uid="{00000000-0005-0000-0000-0000BA5C0000}"/>
    <cellStyle name="Currency 3 5 3 5 3" xfId="21634" xr:uid="{00000000-0005-0000-0000-0000BB5C0000}"/>
    <cellStyle name="Currency 3 5 3 6" xfId="6111" xr:uid="{00000000-0005-0000-0000-0000BC5C0000}"/>
    <cellStyle name="Currency 3 5 3 6 2" xfId="16156" xr:uid="{00000000-0005-0000-0000-0000BD5C0000}"/>
    <cellStyle name="Currency 3 5 3 6 2 2" xfId="29563" xr:uid="{00000000-0005-0000-0000-0000BE5C0000}"/>
    <cellStyle name="Currency 3 5 3 6 3" xfId="21633" xr:uid="{00000000-0005-0000-0000-0000BF5C0000}"/>
    <cellStyle name="Currency 3 5 3 7" xfId="9884" xr:uid="{00000000-0005-0000-0000-0000C05C0000}"/>
    <cellStyle name="Currency 3 5 3 8" xfId="21642" xr:uid="{00000000-0005-0000-0000-0000C15C0000}"/>
    <cellStyle name="Currency 3 5 4" xfId="6112" xr:uid="{00000000-0005-0000-0000-0000C25C0000}"/>
    <cellStyle name="Currency 3 5 4 2" xfId="6113" xr:uid="{00000000-0005-0000-0000-0000C35C0000}"/>
    <cellStyle name="Currency 3 5 4 2 2" xfId="16445" xr:uid="{00000000-0005-0000-0000-0000C45C0000}"/>
    <cellStyle name="Currency 3 5 4 2 2 2" xfId="29852" xr:uid="{00000000-0005-0000-0000-0000C55C0000}"/>
    <cellStyle name="Currency 3 5 4 2 3" xfId="21631" xr:uid="{00000000-0005-0000-0000-0000C65C0000}"/>
    <cellStyle name="Currency 3 5 4 3" xfId="9886" xr:uid="{00000000-0005-0000-0000-0000C75C0000}"/>
    <cellStyle name="Currency 3 5 4 4" xfId="21632" xr:uid="{00000000-0005-0000-0000-0000C85C0000}"/>
    <cellStyle name="Currency 3 5 5" xfId="6114" xr:uid="{00000000-0005-0000-0000-0000C95C0000}"/>
    <cellStyle name="Currency 3 5 5 2" xfId="6115" xr:uid="{00000000-0005-0000-0000-0000CA5C0000}"/>
    <cellStyle name="Currency 3 5 5 2 2" xfId="11378" xr:uid="{00000000-0005-0000-0000-0000CB5C0000}"/>
    <cellStyle name="Currency 3 5 5 2 3" xfId="21629" xr:uid="{00000000-0005-0000-0000-0000CC5C0000}"/>
    <cellStyle name="Currency 3 5 5 3" xfId="9887" xr:uid="{00000000-0005-0000-0000-0000CD5C0000}"/>
    <cellStyle name="Currency 3 5 5 4" xfId="21630" xr:uid="{00000000-0005-0000-0000-0000CE5C0000}"/>
    <cellStyle name="Currency 3 5 6" xfId="6116" xr:uid="{00000000-0005-0000-0000-0000CF5C0000}"/>
    <cellStyle name="Currency 3 5 6 2" xfId="6117" xr:uid="{00000000-0005-0000-0000-0000D05C0000}"/>
    <cellStyle name="Currency 3 5 6 2 2" xfId="13176" xr:uid="{00000000-0005-0000-0000-0000D15C0000}"/>
    <cellStyle name="Currency 3 5 6 2 3" xfId="21627" xr:uid="{00000000-0005-0000-0000-0000D25C0000}"/>
    <cellStyle name="Currency 3 5 6 3" xfId="11796" xr:uid="{00000000-0005-0000-0000-0000D35C0000}"/>
    <cellStyle name="Currency 3 5 6 3 2" xfId="25511" xr:uid="{00000000-0005-0000-0000-0000D45C0000}"/>
    <cellStyle name="Currency 3 5 6 4" xfId="21628" xr:uid="{00000000-0005-0000-0000-0000D55C0000}"/>
    <cellStyle name="Currency 3 5 7" xfId="6118" xr:uid="{00000000-0005-0000-0000-0000D65C0000}"/>
    <cellStyle name="Currency 3 5 7 2" xfId="6119" xr:uid="{00000000-0005-0000-0000-0000D75C0000}"/>
    <cellStyle name="Currency 3 5 7 2 2" xfId="15635" xr:uid="{00000000-0005-0000-0000-0000D85C0000}"/>
    <cellStyle name="Currency 3 5 7 2 3" xfId="21625" xr:uid="{00000000-0005-0000-0000-0000D95C0000}"/>
    <cellStyle name="Currency 3 5 7 3" xfId="13397" xr:uid="{00000000-0005-0000-0000-0000DA5C0000}"/>
    <cellStyle name="Currency 3 5 7 3 2" xfId="26946" xr:uid="{00000000-0005-0000-0000-0000DB5C0000}"/>
    <cellStyle name="Currency 3 5 7 4" xfId="21626" xr:uid="{00000000-0005-0000-0000-0000DC5C0000}"/>
    <cellStyle name="Currency 3 5 8" xfId="6120" xr:uid="{00000000-0005-0000-0000-0000DD5C0000}"/>
    <cellStyle name="Currency 3 5 8 2" xfId="13978" xr:uid="{00000000-0005-0000-0000-0000DE5C0000}"/>
    <cellStyle name="Currency 3 5 8 2 2" xfId="27527" xr:uid="{00000000-0005-0000-0000-0000DF5C0000}"/>
    <cellStyle name="Currency 3 5 8 3" xfId="21624" xr:uid="{00000000-0005-0000-0000-0000E05C0000}"/>
    <cellStyle name="Currency 3 5 9" xfId="6121" xr:uid="{00000000-0005-0000-0000-0000E15C0000}"/>
    <cellStyle name="Currency 3 5 9 2" xfId="15864" xr:uid="{00000000-0005-0000-0000-0000E25C0000}"/>
    <cellStyle name="Currency 3 5 9 2 2" xfId="29271" xr:uid="{00000000-0005-0000-0000-0000E35C0000}"/>
    <cellStyle name="Currency 3 5 9 3" xfId="21623" xr:uid="{00000000-0005-0000-0000-0000E45C0000}"/>
    <cellStyle name="Currency 3 6" xfId="6122" xr:uid="{00000000-0005-0000-0000-0000E55C0000}"/>
    <cellStyle name="Currency 3 6 10" xfId="9888" xr:uid="{00000000-0005-0000-0000-0000E65C0000}"/>
    <cellStyle name="Currency 3 6 11" xfId="21622" xr:uid="{00000000-0005-0000-0000-0000E75C0000}"/>
    <cellStyle name="Currency 3 6 2" xfId="6123" xr:uid="{00000000-0005-0000-0000-0000E85C0000}"/>
    <cellStyle name="Currency 3 6 2 2" xfId="6124" xr:uid="{00000000-0005-0000-0000-0000E95C0000}"/>
    <cellStyle name="Currency 3 6 2 2 2" xfId="6125" xr:uid="{00000000-0005-0000-0000-0000EA5C0000}"/>
    <cellStyle name="Currency 3 6 2 2 2 2" xfId="6126" xr:uid="{00000000-0005-0000-0000-0000EB5C0000}"/>
    <cellStyle name="Currency 3 6 2 2 2 2 2" xfId="11379" xr:uid="{00000000-0005-0000-0000-0000EC5C0000}"/>
    <cellStyle name="Currency 3 6 2 2 2 2 3" xfId="21618" xr:uid="{00000000-0005-0000-0000-0000ED5C0000}"/>
    <cellStyle name="Currency 3 6 2 2 2 3" xfId="6127" xr:uid="{00000000-0005-0000-0000-0000EE5C0000}"/>
    <cellStyle name="Currency 3 6 2 2 2 3 2" xfId="16983" xr:uid="{00000000-0005-0000-0000-0000EF5C0000}"/>
    <cellStyle name="Currency 3 6 2 2 2 3 2 2" xfId="30390" xr:uid="{00000000-0005-0000-0000-0000F05C0000}"/>
    <cellStyle name="Currency 3 6 2 2 2 3 3" xfId="21617" xr:uid="{00000000-0005-0000-0000-0000F15C0000}"/>
    <cellStyle name="Currency 3 6 2 2 2 4" xfId="9891" xr:uid="{00000000-0005-0000-0000-0000F25C0000}"/>
    <cellStyle name="Currency 3 6 2 2 2 5" xfId="21619" xr:uid="{00000000-0005-0000-0000-0000F35C0000}"/>
    <cellStyle name="Currency 3 6 2 2 3" xfId="6128" xr:uid="{00000000-0005-0000-0000-0000F45C0000}"/>
    <cellStyle name="Currency 3 6 2 2 3 2" xfId="6129" xr:uid="{00000000-0005-0000-0000-0000F55C0000}"/>
    <cellStyle name="Currency 3 6 2 2 3 2 2" xfId="13177" xr:uid="{00000000-0005-0000-0000-0000F65C0000}"/>
    <cellStyle name="Currency 3 6 2 2 3 2 3" xfId="21615" xr:uid="{00000000-0005-0000-0000-0000F75C0000}"/>
    <cellStyle name="Currency 3 6 2 2 3 3" xfId="12371" xr:uid="{00000000-0005-0000-0000-0000F85C0000}"/>
    <cellStyle name="Currency 3 6 2 2 3 3 2" xfId="26083" xr:uid="{00000000-0005-0000-0000-0000F95C0000}"/>
    <cellStyle name="Currency 3 6 2 2 3 4" xfId="21616" xr:uid="{00000000-0005-0000-0000-0000FA5C0000}"/>
    <cellStyle name="Currency 3 6 2 2 4" xfId="6130" xr:uid="{00000000-0005-0000-0000-0000FB5C0000}"/>
    <cellStyle name="Currency 3 6 2 2 4 2" xfId="6131" xr:uid="{00000000-0005-0000-0000-0000FC5C0000}"/>
    <cellStyle name="Currency 3 6 2 2 4 2 2" xfId="15636" xr:uid="{00000000-0005-0000-0000-0000FD5C0000}"/>
    <cellStyle name="Currency 3 6 2 2 4 2 3" xfId="21613" xr:uid="{00000000-0005-0000-0000-0000FE5C0000}"/>
    <cellStyle name="Currency 3 6 2 2 4 3" xfId="13935" xr:uid="{00000000-0005-0000-0000-0000FF5C0000}"/>
    <cellStyle name="Currency 3 6 2 2 4 3 2" xfId="27484" xr:uid="{00000000-0005-0000-0000-0000005D0000}"/>
    <cellStyle name="Currency 3 6 2 2 4 4" xfId="21614" xr:uid="{00000000-0005-0000-0000-0000015D0000}"/>
    <cellStyle name="Currency 3 6 2 2 5" xfId="6132" xr:uid="{00000000-0005-0000-0000-0000025D0000}"/>
    <cellStyle name="Currency 3 6 2 2 5 2" xfId="14516" xr:uid="{00000000-0005-0000-0000-0000035D0000}"/>
    <cellStyle name="Currency 3 6 2 2 5 2 2" xfId="28065" xr:uid="{00000000-0005-0000-0000-0000045D0000}"/>
    <cellStyle name="Currency 3 6 2 2 5 3" xfId="21612" xr:uid="{00000000-0005-0000-0000-0000055D0000}"/>
    <cellStyle name="Currency 3 6 2 2 6" xfId="6133" xr:uid="{00000000-0005-0000-0000-0000065D0000}"/>
    <cellStyle name="Currency 3 6 2 2 6 2" xfId="16402" xr:uid="{00000000-0005-0000-0000-0000075D0000}"/>
    <cellStyle name="Currency 3 6 2 2 6 2 2" xfId="29809" xr:uid="{00000000-0005-0000-0000-0000085D0000}"/>
    <cellStyle name="Currency 3 6 2 2 6 3" xfId="21611" xr:uid="{00000000-0005-0000-0000-0000095D0000}"/>
    <cellStyle name="Currency 3 6 2 2 7" xfId="9890" xr:uid="{00000000-0005-0000-0000-00000A5D0000}"/>
    <cellStyle name="Currency 3 6 2 2 8" xfId="21620" xr:uid="{00000000-0005-0000-0000-00000B5D0000}"/>
    <cellStyle name="Currency 3 6 2 3" xfId="6134" xr:uid="{00000000-0005-0000-0000-00000C5D0000}"/>
    <cellStyle name="Currency 3 6 2 3 2" xfId="6135" xr:uid="{00000000-0005-0000-0000-00000D5D0000}"/>
    <cellStyle name="Currency 3 6 2 3 2 2" xfId="11380" xr:uid="{00000000-0005-0000-0000-00000E5D0000}"/>
    <cellStyle name="Currency 3 6 2 3 2 3" xfId="21609" xr:uid="{00000000-0005-0000-0000-00000F5D0000}"/>
    <cellStyle name="Currency 3 6 2 3 3" xfId="6136" xr:uid="{00000000-0005-0000-0000-0000105D0000}"/>
    <cellStyle name="Currency 3 6 2 3 3 2" xfId="16694" xr:uid="{00000000-0005-0000-0000-0000115D0000}"/>
    <cellStyle name="Currency 3 6 2 3 3 2 2" xfId="30101" xr:uid="{00000000-0005-0000-0000-0000125D0000}"/>
    <cellStyle name="Currency 3 6 2 3 3 3" xfId="21608" xr:uid="{00000000-0005-0000-0000-0000135D0000}"/>
    <cellStyle name="Currency 3 6 2 3 4" xfId="9892" xr:uid="{00000000-0005-0000-0000-0000145D0000}"/>
    <cellStyle name="Currency 3 6 2 3 5" xfId="21610" xr:uid="{00000000-0005-0000-0000-0000155D0000}"/>
    <cellStyle name="Currency 3 6 2 4" xfId="6137" xr:uid="{00000000-0005-0000-0000-0000165D0000}"/>
    <cellStyle name="Currency 3 6 2 4 2" xfId="6138" xr:uid="{00000000-0005-0000-0000-0000175D0000}"/>
    <cellStyle name="Currency 3 6 2 4 2 2" xfId="13178" xr:uid="{00000000-0005-0000-0000-0000185D0000}"/>
    <cellStyle name="Currency 3 6 2 4 2 3" xfId="21606" xr:uid="{00000000-0005-0000-0000-0000195D0000}"/>
    <cellStyle name="Currency 3 6 2 4 3" xfId="12071" xr:uid="{00000000-0005-0000-0000-00001A5D0000}"/>
    <cellStyle name="Currency 3 6 2 4 3 2" xfId="25786" xr:uid="{00000000-0005-0000-0000-00001B5D0000}"/>
    <cellStyle name="Currency 3 6 2 4 4" xfId="21607" xr:uid="{00000000-0005-0000-0000-00001C5D0000}"/>
    <cellStyle name="Currency 3 6 2 5" xfId="6139" xr:uid="{00000000-0005-0000-0000-00001D5D0000}"/>
    <cellStyle name="Currency 3 6 2 5 2" xfId="6140" xr:uid="{00000000-0005-0000-0000-00001E5D0000}"/>
    <cellStyle name="Currency 3 6 2 5 2 2" xfId="15637" xr:uid="{00000000-0005-0000-0000-00001F5D0000}"/>
    <cellStyle name="Currency 3 6 2 5 2 3" xfId="21604" xr:uid="{00000000-0005-0000-0000-0000205D0000}"/>
    <cellStyle name="Currency 3 6 2 5 3" xfId="13646" xr:uid="{00000000-0005-0000-0000-0000215D0000}"/>
    <cellStyle name="Currency 3 6 2 5 3 2" xfId="27195" xr:uid="{00000000-0005-0000-0000-0000225D0000}"/>
    <cellStyle name="Currency 3 6 2 5 4" xfId="21605" xr:uid="{00000000-0005-0000-0000-0000235D0000}"/>
    <cellStyle name="Currency 3 6 2 6" xfId="6141" xr:uid="{00000000-0005-0000-0000-0000245D0000}"/>
    <cellStyle name="Currency 3 6 2 6 2" xfId="14227" xr:uid="{00000000-0005-0000-0000-0000255D0000}"/>
    <cellStyle name="Currency 3 6 2 6 2 2" xfId="27776" xr:uid="{00000000-0005-0000-0000-0000265D0000}"/>
    <cellStyle name="Currency 3 6 2 6 3" xfId="21603" xr:uid="{00000000-0005-0000-0000-0000275D0000}"/>
    <cellStyle name="Currency 3 6 2 7" xfId="6142" xr:uid="{00000000-0005-0000-0000-0000285D0000}"/>
    <cellStyle name="Currency 3 6 2 7 2" xfId="16113" xr:uid="{00000000-0005-0000-0000-0000295D0000}"/>
    <cellStyle name="Currency 3 6 2 7 2 2" xfId="29520" xr:uid="{00000000-0005-0000-0000-00002A5D0000}"/>
    <cellStyle name="Currency 3 6 2 7 3" xfId="21602" xr:uid="{00000000-0005-0000-0000-00002B5D0000}"/>
    <cellStyle name="Currency 3 6 2 8" xfId="9889" xr:uid="{00000000-0005-0000-0000-00002C5D0000}"/>
    <cellStyle name="Currency 3 6 2 9" xfId="21621" xr:uid="{00000000-0005-0000-0000-00002D5D0000}"/>
    <cellStyle name="Currency 3 6 3" xfId="6143" xr:uid="{00000000-0005-0000-0000-00002E5D0000}"/>
    <cellStyle name="Currency 3 6 3 2" xfId="6144" xr:uid="{00000000-0005-0000-0000-00002F5D0000}"/>
    <cellStyle name="Currency 3 6 3 2 2" xfId="6145" xr:uid="{00000000-0005-0000-0000-0000305D0000}"/>
    <cellStyle name="Currency 3 6 3 2 2 2" xfId="11381" xr:uid="{00000000-0005-0000-0000-0000315D0000}"/>
    <cellStyle name="Currency 3 6 3 2 2 3" xfId="21599" xr:uid="{00000000-0005-0000-0000-0000325D0000}"/>
    <cellStyle name="Currency 3 6 3 2 3" xfId="6146" xr:uid="{00000000-0005-0000-0000-0000335D0000}"/>
    <cellStyle name="Currency 3 6 3 2 3 2" xfId="16840" xr:uid="{00000000-0005-0000-0000-0000345D0000}"/>
    <cellStyle name="Currency 3 6 3 2 3 2 2" xfId="30247" xr:uid="{00000000-0005-0000-0000-0000355D0000}"/>
    <cellStyle name="Currency 3 6 3 2 3 3" xfId="21598" xr:uid="{00000000-0005-0000-0000-0000365D0000}"/>
    <cellStyle name="Currency 3 6 3 2 4" xfId="9894" xr:uid="{00000000-0005-0000-0000-0000375D0000}"/>
    <cellStyle name="Currency 3 6 3 2 5" xfId="21600" xr:uid="{00000000-0005-0000-0000-0000385D0000}"/>
    <cellStyle name="Currency 3 6 3 3" xfId="6147" xr:uid="{00000000-0005-0000-0000-0000395D0000}"/>
    <cellStyle name="Currency 3 6 3 3 2" xfId="6148" xr:uid="{00000000-0005-0000-0000-00003A5D0000}"/>
    <cellStyle name="Currency 3 6 3 3 2 2" xfId="13179" xr:uid="{00000000-0005-0000-0000-00003B5D0000}"/>
    <cellStyle name="Currency 3 6 3 3 2 3" xfId="21596" xr:uid="{00000000-0005-0000-0000-00003C5D0000}"/>
    <cellStyle name="Currency 3 6 3 3 3" xfId="12228" xr:uid="{00000000-0005-0000-0000-00003D5D0000}"/>
    <cellStyle name="Currency 3 6 3 3 3 2" xfId="25940" xr:uid="{00000000-0005-0000-0000-00003E5D0000}"/>
    <cellStyle name="Currency 3 6 3 3 4" xfId="21597" xr:uid="{00000000-0005-0000-0000-00003F5D0000}"/>
    <cellStyle name="Currency 3 6 3 4" xfId="6149" xr:uid="{00000000-0005-0000-0000-0000405D0000}"/>
    <cellStyle name="Currency 3 6 3 4 2" xfId="6150" xr:uid="{00000000-0005-0000-0000-0000415D0000}"/>
    <cellStyle name="Currency 3 6 3 4 2 2" xfId="15638" xr:uid="{00000000-0005-0000-0000-0000425D0000}"/>
    <cellStyle name="Currency 3 6 3 4 2 3" xfId="21594" xr:uid="{00000000-0005-0000-0000-0000435D0000}"/>
    <cellStyle name="Currency 3 6 3 4 3" xfId="13792" xr:uid="{00000000-0005-0000-0000-0000445D0000}"/>
    <cellStyle name="Currency 3 6 3 4 3 2" xfId="27341" xr:uid="{00000000-0005-0000-0000-0000455D0000}"/>
    <cellStyle name="Currency 3 6 3 4 4" xfId="21595" xr:uid="{00000000-0005-0000-0000-0000465D0000}"/>
    <cellStyle name="Currency 3 6 3 5" xfId="6151" xr:uid="{00000000-0005-0000-0000-0000475D0000}"/>
    <cellStyle name="Currency 3 6 3 5 2" xfId="14373" xr:uid="{00000000-0005-0000-0000-0000485D0000}"/>
    <cellStyle name="Currency 3 6 3 5 2 2" xfId="27922" xr:uid="{00000000-0005-0000-0000-0000495D0000}"/>
    <cellStyle name="Currency 3 6 3 5 3" xfId="21593" xr:uid="{00000000-0005-0000-0000-00004A5D0000}"/>
    <cellStyle name="Currency 3 6 3 6" xfId="6152" xr:uid="{00000000-0005-0000-0000-00004B5D0000}"/>
    <cellStyle name="Currency 3 6 3 6 2" xfId="16259" xr:uid="{00000000-0005-0000-0000-00004C5D0000}"/>
    <cellStyle name="Currency 3 6 3 6 2 2" xfId="29666" xr:uid="{00000000-0005-0000-0000-00004D5D0000}"/>
    <cellStyle name="Currency 3 6 3 6 3" xfId="21592" xr:uid="{00000000-0005-0000-0000-00004E5D0000}"/>
    <cellStyle name="Currency 3 6 3 7" xfId="9893" xr:uid="{00000000-0005-0000-0000-00004F5D0000}"/>
    <cellStyle name="Currency 3 6 3 8" xfId="21601" xr:uid="{00000000-0005-0000-0000-0000505D0000}"/>
    <cellStyle name="Currency 3 6 4" xfId="6153" xr:uid="{00000000-0005-0000-0000-0000515D0000}"/>
    <cellStyle name="Currency 3 6 4 2" xfId="6154" xr:uid="{00000000-0005-0000-0000-0000525D0000}"/>
    <cellStyle name="Currency 3 6 4 2 2" xfId="16551" xr:uid="{00000000-0005-0000-0000-0000535D0000}"/>
    <cellStyle name="Currency 3 6 4 2 2 2" xfId="29958" xr:uid="{00000000-0005-0000-0000-0000545D0000}"/>
    <cellStyle name="Currency 3 6 4 2 3" xfId="21590" xr:uid="{00000000-0005-0000-0000-0000555D0000}"/>
    <cellStyle name="Currency 3 6 4 3" xfId="9895" xr:uid="{00000000-0005-0000-0000-0000565D0000}"/>
    <cellStyle name="Currency 3 6 4 4" xfId="21591" xr:uid="{00000000-0005-0000-0000-0000575D0000}"/>
    <cellStyle name="Currency 3 6 5" xfId="6155" xr:uid="{00000000-0005-0000-0000-0000585D0000}"/>
    <cellStyle name="Currency 3 6 5 2" xfId="6156" xr:uid="{00000000-0005-0000-0000-0000595D0000}"/>
    <cellStyle name="Currency 3 6 5 2 2" xfId="11382" xr:uid="{00000000-0005-0000-0000-00005A5D0000}"/>
    <cellStyle name="Currency 3 6 5 2 3" xfId="21588" xr:uid="{00000000-0005-0000-0000-00005B5D0000}"/>
    <cellStyle name="Currency 3 6 5 3" xfId="9896" xr:uid="{00000000-0005-0000-0000-00005C5D0000}"/>
    <cellStyle name="Currency 3 6 5 4" xfId="21589" xr:uid="{00000000-0005-0000-0000-00005D5D0000}"/>
    <cellStyle name="Currency 3 6 6" xfId="6157" xr:uid="{00000000-0005-0000-0000-00005E5D0000}"/>
    <cellStyle name="Currency 3 6 6 2" xfId="6158" xr:uid="{00000000-0005-0000-0000-00005F5D0000}"/>
    <cellStyle name="Currency 3 6 6 2 2" xfId="13180" xr:uid="{00000000-0005-0000-0000-0000605D0000}"/>
    <cellStyle name="Currency 3 6 6 2 3" xfId="21586" xr:uid="{00000000-0005-0000-0000-0000615D0000}"/>
    <cellStyle name="Currency 3 6 6 3" xfId="11926" xr:uid="{00000000-0005-0000-0000-0000625D0000}"/>
    <cellStyle name="Currency 3 6 6 3 2" xfId="25641" xr:uid="{00000000-0005-0000-0000-0000635D0000}"/>
    <cellStyle name="Currency 3 6 6 4" xfId="21587" xr:uid="{00000000-0005-0000-0000-0000645D0000}"/>
    <cellStyle name="Currency 3 6 7" xfId="6159" xr:uid="{00000000-0005-0000-0000-0000655D0000}"/>
    <cellStyle name="Currency 3 6 7 2" xfId="6160" xr:uid="{00000000-0005-0000-0000-0000665D0000}"/>
    <cellStyle name="Currency 3 6 7 2 2" xfId="15639" xr:uid="{00000000-0005-0000-0000-0000675D0000}"/>
    <cellStyle name="Currency 3 6 7 2 3" xfId="21584" xr:uid="{00000000-0005-0000-0000-0000685D0000}"/>
    <cellStyle name="Currency 3 6 7 3" xfId="13503" xr:uid="{00000000-0005-0000-0000-0000695D0000}"/>
    <cellStyle name="Currency 3 6 7 3 2" xfId="27052" xr:uid="{00000000-0005-0000-0000-00006A5D0000}"/>
    <cellStyle name="Currency 3 6 7 4" xfId="21585" xr:uid="{00000000-0005-0000-0000-00006B5D0000}"/>
    <cellStyle name="Currency 3 6 8" xfId="6161" xr:uid="{00000000-0005-0000-0000-00006C5D0000}"/>
    <cellStyle name="Currency 3 6 8 2" xfId="14084" xr:uid="{00000000-0005-0000-0000-00006D5D0000}"/>
    <cellStyle name="Currency 3 6 8 2 2" xfId="27633" xr:uid="{00000000-0005-0000-0000-00006E5D0000}"/>
    <cellStyle name="Currency 3 6 8 3" xfId="21583" xr:uid="{00000000-0005-0000-0000-00006F5D0000}"/>
    <cellStyle name="Currency 3 6 9" xfId="6162" xr:uid="{00000000-0005-0000-0000-0000705D0000}"/>
    <cellStyle name="Currency 3 6 9 2" xfId="15970" xr:uid="{00000000-0005-0000-0000-0000715D0000}"/>
    <cellStyle name="Currency 3 6 9 2 2" xfId="29377" xr:uid="{00000000-0005-0000-0000-0000725D0000}"/>
    <cellStyle name="Currency 3 6 9 3" xfId="21582" xr:uid="{00000000-0005-0000-0000-0000735D0000}"/>
    <cellStyle name="Currency 3 7" xfId="6163" xr:uid="{00000000-0005-0000-0000-0000745D0000}"/>
    <cellStyle name="Currency 3 7 2" xfId="6164" xr:uid="{00000000-0005-0000-0000-0000755D0000}"/>
    <cellStyle name="Currency 3 7 2 2" xfId="6165" xr:uid="{00000000-0005-0000-0000-0000765D0000}"/>
    <cellStyle name="Currency 3 7 2 2 2" xfId="6166" xr:uid="{00000000-0005-0000-0000-0000775D0000}"/>
    <cellStyle name="Currency 3 7 2 2 2 2" xfId="11383" xr:uid="{00000000-0005-0000-0000-0000785D0000}"/>
    <cellStyle name="Currency 3 7 2 2 2 3" xfId="21578" xr:uid="{00000000-0005-0000-0000-0000795D0000}"/>
    <cellStyle name="Currency 3 7 2 2 3" xfId="6167" xr:uid="{00000000-0005-0000-0000-00007A5D0000}"/>
    <cellStyle name="Currency 3 7 2 2 3 2" xfId="16860" xr:uid="{00000000-0005-0000-0000-00007B5D0000}"/>
    <cellStyle name="Currency 3 7 2 2 3 2 2" xfId="30267" xr:uid="{00000000-0005-0000-0000-00007C5D0000}"/>
    <cellStyle name="Currency 3 7 2 2 3 3" xfId="21577" xr:uid="{00000000-0005-0000-0000-00007D5D0000}"/>
    <cellStyle name="Currency 3 7 2 2 4" xfId="9899" xr:uid="{00000000-0005-0000-0000-00007E5D0000}"/>
    <cellStyle name="Currency 3 7 2 2 5" xfId="21579" xr:uid="{00000000-0005-0000-0000-00007F5D0000}"/>
    <cellStyle name="Currency 3 7 2 3" xfId="6168" xr:uid="{00000000-0005-0000-0000-0000805D0000}"/>
    <cellStyle name="Currency 3 7 2 3 2" xfId="6169" xr:uid="{00000000-0005-0000-0000-0000815D0000}"/>
    <cellStyle name="Currency 3 7 2 3 2 2" xfId="13181" xr:uid="{00000000-0005-0000-0000-0000825D0000}"/>
    <cellStyle name="Currency 3 7 2 3 2 3" xfId="21575" xr:uid="{00000000-0005-0000-0000-0000835D0000}"/>
    <cellStyle name="Currency 3 7 2 3 3" xfId="12248" xr:uid="{00000000-0005-0000-0000-0000845D0000}"/>
    <cellStyle name="Currency 3 7 2 3 3 2" xfId="25960" xr:uid="{00000000-0005-0000-0000-0000855D0000}"/>
    <cellStyle name="Currency 3 7 2 3 4" xfId="21576" xr:uid="{00000000-0005-0000-0000-0000865D0000}"/>
    <cellStyle name="Currency 3 7 2 4" xfId="6170" xr:uid="{00000000-0005-0000-0000-0000875D0000}"/>
    <cellStyle name="Currency 3 7 2 4 2" xfId="6171" xr:uid="{00000000-0005-0000-0000-0000885D0000}"/>
    <cellStyle name="Currency 3 7 2 4 2 2" xfId="15640" xr:uid="{00000000-0005-0000-0000-0000895D0000}"/>
    <cellStyle name="Currency 3 7 2 4 2 3" xfId="21573" xr:uid="{00000000-0005-0000-0000-00008A5D0000}"/>
    <cellStyle name="Currency 3 7 2 4 3" xfId="13812" xr:uid="{00000000-0005-0000-0000-00008B5D0000}"/>
    <cellStyle name="Currency 3 7 2 4 3 2" xfId="27361" xr:uid="{00000000-0005-0000-0000-00008C5D0000}"/>
    <cellStyle name="Currency 3 7 2 4 4" xfId="21574" xr:uid="{00000000-0005-0000-0000-00008D5D0000}"/>
    <cellStyle name="Currency 3 7 2 5" xfId="6172" xr:uid="{00000000-0005-0000-0000-00008E5D0000}"/>
    <cellStyle name="Currency 3 7 2 5 2" xfId="14393" xr:uid="{00000000-0005-0000-0000-00008F5D0000}"/>
    <cellStyle name="Currency 3 7 2 5 2 2" xfId="27942" xr:uid="{00000000-0005-0000-0000-0000905D0000}"/>
    <cellStyle name="Currency 3 7 2 5 3" xfId="21572" xr:uid="{00000000-0005-0000-0000-0000915D0000}"/>
    <cellStyle name="Currency 3 7 2 6" xfId="6173" xr:uid="{00000000-0005-0000-0000-0000925D0000}"/>
    <cellStyle name="Currency 3 7 2 6 2" xfId="16279" xr:uid="{00000000-0005-0000-0000-0000935D0000}"/>
    <cellStyle name="Currency 3 7 2 6 2 2" xfId="29686" xr:uid="{00000000-0005-0000-0000-0000945D0000}"/>
    <cellStyle name="Currency 3 7 2 6 3" xfId="21571" xr:uid="{00000000-0005-0000-0000-0000955D0000}"/>
    <cellStyle name="Currency 3 7 2 7" xfId="9898" xr:uid="{00000000-0005-0000-0000-0000965D0000}"/>
    <cellStyle name="Currency 3 7 2 8" xfId="21580" xr:uid="{00000000-0005-0000-0000-0000975D0000}"/>
    <cellStyle name="Currency 3 7 3" xfId="6174" xr:uid="{00000000-0005-0000-0000-0000985D0000}"/>
    <cellStyle name="Currency 3 7 3 2" xfId="6175" xr:uid="{00000000-0005-0000-0000-0000995D0000}"/>
    <cellStyle name="Currency 3 7 3 2 2" xfId="11384" xr:uid="{00000000-0005-0000-0000-00009A5D0000}"/>
    <cellStyle name="Currency 3 7 3 2 3" xfId="21569" xr:uid="{00000000-0005-0000-0000-00009B5D0000}"/>
    <cellStyle name="Currency 3 7 3 3" xfId="6176" xr:uid="{00000000-0005-0000-0000-00009C5D0000}"/>
    <cellStyle name="Currency 3 7 3 3 2" xfId="16571" xr:uid="{00000000-0005-0000-0000-00009D5D0000}"/>
    <cellStyle name="Currency 3 7 3 3 2 2" xfId="29978" xr:uid="{00000000-0005-0000-0000-00009E5D0000}"/>
    <cellStyle name="Currency 3 7 3 3 3" xfId="21568" xr:uid="{00000000-0005-0000-0000-00009F5D0000}"/>
    <cellStyle name="Currency 3 7 3 4" xfId="9900" xr:uid="{00000000-0005-0000-0000-0000A05D0000}"/>
    <cellStyle name="Currency 3 7 3 5" xfId="21570" xr:uid="{00000000-0005-0000-0000-0000A15D0000}"/>
    <cellStyle name="Currency 3 7 4" xfId="6177" xr:uid="{00000000-0005-0000-0000-0000A25D0000}"/>
    <cellStyle name="Currency 3 7 4 2" xfId="6178" xr:uid="{00000000-0005-0000-0000-0000A35D0000}"/>
    <cellStyle name="Currency 3 7 4 2 2" xfId="13182" xr:uid="{00000000-0005-0000-0000-0000A45D0000}"/>
    <cellStyle name="Currency 3 7 4 2 3" xfId="21566" xr:uid="{00000000-0005-0000-0000-0000A55D0000}"/>
    <cellStyle name="Currency 3 7 4 3" xfId="11947" xr:uid="{00000000-0005-0000-0000-0000A65D0000}"/>
    <cellStyle name="Currency 3 7 4 3 2" xfId="25662" xr:uid="{00000000-0005-0000-0000-0000A75D0000}"/>
    <cellStyle name="Currency 3 7 4 4" xfId="21567" xr:uid="{00000000-0005-0000-0000-0000A85D0000}"/>
    <cellStyle name="Currency 3 7 5" xfId="6179" xr:uid="{00000000-0005-0000-0000-0000A95D0000}"/>
    <cellStyle name="Currency 3 7 5 2" xfId="6180" xr:uid="{00000000-0005-0000-0000-0000AA5D0000}"/>
    <cellStyle name="Currency 3 7 5 2 2" xfId="15641" xr:uid="{00000000-0005-0000-0000-0000AB5D0000}"/>
    <cellStyle name="Currency 3 7 5 2 3" xfId="21564" xr:uid="{00000000-0005-0000-0000-0000AC5D0000}"/>
    <cellStyle name="Currency 3 7 5 3" xfId="13523" xr:uid="{00000000-0005-0000-0000-0000AD5D0000}"/>
    <cellStyle name="Currency 3 7 5 3 2" xfId="27072" xr:uid="{00000000-0005-0000-0000-0000AE5D0000}"/>
    <cellStyle name="Currency 3 7 5 4" xfId="21565" xr:uid="{00000000-0005-0000-0000-0000AF5D0000}"/>
    <cellStyle name="Currency 3 7 6" xfId="6181" xr:uid="{00000000-0005-0000-0000-0000B05D0000}"/>
    <cellStyle name="Currency 3 7 6 2" xfId="14104" xr:uid="{00000000-0005-0000-0000-0000B15D0000}"/>
    <cellStyle name="Currency 3 7 6 2 2" xfId="27653" xr:uid="{00000000-0005-0000-0000-0000B25D0000}"/>
    <cellStyle name="Currency 3 7 6 3" xfId="21563" xr:uid="{00000000-0005-0000-0000-0000B35D0000}"/>
    <cellStyle name="Currency 3 7 7" xfId="6182" xr:uid="{00000000-0005-0000-0000-0000B45D0000}"/>
    <cellStyle name="Currency 3 7 7 2" xfId="15990" xr:uid="{00000000-0005-0000-0000-0000B55D0000}"/>
    <cellStyle name="Currency 3 7 7 2 2" xfId="29397" xr:uid="{00000000-0005-0000-0000-0000B65D0000}"/>
    <cellStyle name="Currency 3 7 7 3" xfId="21562" xr:uid="{00000000-0005-0000-0000-0000B75D0000}"/>
    <cellStyle name="Currency 3 7 8" xfId="9897" xr:uid="{00000000-0005-0000-0000-0000B85D0000}"/>
    <cellStyle name="Currency 3 7 9" xfId="21581" xr:uid="{00000000-0005-0000-0000-0000B95D0000}"/>
    <cellStyle name="Currency 3 8" xfId="6183" xr:uid="{00000000-0005-0000-0000-0000BA5D0000}"/>
    <cellStyle name="Currency 3 8 2" xfId="6184" xr:uid="{00000000-0005-0000-0000-0000BB5D0000}"/>
    <cellStyle name="Currency 3 8 2 2" xfId="6185" xr:uid="{00000000-0005-0000-0000-0000BC5D0000}"/>
    <cellStyle name="Currency 3 8 2 2 2" xfId="11385" xr:uid="{00000000-0005-0000-0000-0000BD5D0000}"/>
    <cellStyle name="Currency 3 8 2 2 3" xfId="21559" xr:uid="{00000000-0005-0000-0000-0000BE5D0000}"/>
    <cellStyle name="Currency 3 8 2 3" xfId="6186" xr:uid="{00000000-0005-0000-0000-0000BF5D0000}"/>
    <cellStyle name="Currency 3 8 2 3 2" xfId="16716" xr:uid="{00000000-0005-0000-0000-0000C05D0000}"/>
    <cellStyle name="Currency 3 8 2 3 2 2" xfId="30123" xr:uid="{00000000-0005-0000-0000-0000C15D0000}"/>
    <cellStyle name="Currency 3 8 2 3 3" xfId="21558" xr:uid="{00000000-0005-0000-0000-0000C25D0000}"/>
    <cellStyle name="Currency 3 8 2 4" xfId="9902" xr:uid="{00000000-0005-0000-0000-0000C35D0000}"/>
    <cellStyle name="Currency 3 8 2 5" xfId="21560" xr:uid="{00000000-0005-0000-0000-0000C45D0000}"/>
    <cellStyle name="Currency 3 8 3" xfId="6187" xr:uid="{00000000-0005-0000-0000-0000C55D0000}"/>
    <cellStyle name="Currency 3 8 3 2" xfId="6188" xr:uid="{00000000-0005-0000-0000-0000C65D0000}"/>
    <cellStyle name="Currency 3 8 3 2 2" xfId="13183" xr:uid="{00000000-0005-0000-0000-0000C75D0000}"/>
    <cellStyle name="Currency 3 8 3 2 3" xfId="21556" xr:uid="{00000000-0005-0000-0000-0000C85D0000}"/>
    <cellStyle name="Currency 3 8 3 3" xfId="12099" xr:uid="{00000000-0005-0000-0000-0000C95D0000}"/>
    <cellStyle name="Currency 3 8 3 3 2" xfId="25811" xr:uid="{00000000-0005-0000-0000-0000CA5D0000}"/>
    <cellStyle name="Currency 3 8 3 4" xfId="21557" xr:uid="{00000000-0005-0000-0000-0000CB5D0000}"/>
    <cellStyle name="Currency 3 8 4" xfId="6189" xr:uid="{00000000-0005-0000-0000-0000CC5D0000}"/>
    <cellStyle name="Currency 3 8 4 2" xfId="6190" xr:uid="{00000000-0005-0000-0000-0000CD5D0000}"/>
    <cellStyle name="Currency 3 8 4 2 2" xfId="15642" xr:uid="{00000000-0005-0000-0000-0000CE5D0000}"/>
    <cellStyle name="Currency 3 8 4 2 3" xfId="21554" xr:uid="{00000000-0005-0000-0000-0000CF5D0000}"/>
    <cellStyle name="Currency 3 8 4 3" xfId="13668" xr:uid="{00000000-0005-0000-0000-0000D05D0000}"/>
    <cellStyle name="Currency 3 8 4 3 2" xfId="27217" xr:uid="{00000000-0005-0000-0000-0000D15D0000}"/>
    <cellStyle name="Currency 3 8 4 4" xfId="21555" xr:uid="{00000000-0005-0000-0000-0000D25D0000}"/>
    <cellStyle name="Currency 3 8 5" xfId="6191" xr:uid="{00000000-0005-0000-0000-0000D35D0000}"/>
    <cellStyle name="Currency 3 8 5 2" xfId="14249" xr:uid="{00000000-0005-0000-0000-0000D45D0000}"/>
    <cellStyle name="Currency 3 8 5 2 2" xfId="27798" xr:uid="{00000000-0005-0000-0000-0000D55D0000}"/>
    <cellStyle name="Currency 3 8 5 3" xfId="21553" xr:uid="{00000000-0005-0000-0000-0000D65D0000}"/>
    <cellStyle name="Currency 3 8 6" xfId="6192" xr:uid="{00000000-0005-0000-0000-0000D75D0000}"/>
    <cellStyle name="Currency 3 8 6 2" xfId="16135" xr:uid="{00000000-0005-0000-0000-0000D85D0000}"/>
    <cellStyle name="Currency 3 8 6 2 2" xfId="29542" xr:uid="{00000000-0005-0000-0000-0000D95D0000}"/>
    <cellStyle name="Currency 3 8 6 3" xfId="21552" xr:uid="{00000000-0005-0000-0000-0000DA5D0000}"/>
    <cellStyle name="Currency 3 8 7" xfId="9901" xr:uid="{00000000-0005-0000-0000-0000DB5D0000}"/>
    <cellStyle name="Currency 3 8 8" xfId="21561" xr:uid="{00000000-0005-0000-0000-0000DC5D0000}"/>
    <cellStyle name="Currency 3 9" xfId="6193" xr:uid="{00000000-0005-0000-0000-0000DD5D0000}"/>
    <cellStyle name="Currency 3 9 2" xfId="6194" xr:uid="{00000000-0005-0000-0000-0000DE5D0000}"/>
    <cellStyle name="Currency 3 9 2 2" xfId="6195" xr:uid="{00000000-0005-0000-0000-0000DF5D0000}"/>
    <cellStyle name="Currency 3 9 2 2 2" xfId="11386" xr:uid="{00000000-0005-0000-0000-0000E05D0000}"/>
    <cellStyle name="Currency 3 9 2 2 3" xfId="21549" xr:uid="{00000000-0005-0000-0000-0000E15D0000}"/>
    <cellStyle name="Currency 3 9 2 3" xfId="6196" xr:uid="{00000000-0005-0000-0000-0000E25D0000}"/>
    <cellStyle name="Currency 3 9 2 3 2" xfId="16724" xr:uid="{00000000-0005-0000-0000-0000E35D0000}"/>
    <cellStyle name="Currency 3 9 2 3 2 2" xfId="30131" xr:uid="{00000000-0005-0000-0000-0000E45D0000}"/>
    <cellStyle name="Currency 3 9 2 3 3" xfId="21548" xr:uid="{00000000-0005-0000-0000-0000E55D0000}"/>
    <cellStyle name="Currency 3 9 2 4" xfId="9904" xr:uid="{00000000-0005-0000-0000-0000E65D0000}"/>
    <cellStyle name="Currency 3 9 2 5" xfId="21550" xr:uid="{00000000-0005-0000-0000-0000E75D0000}"/>
    <cellStyle name="Currency 3 9 3" xfId="6197" xr:uid="{00000000-0005-0000-0000-0000E85D0000}"/>
    <cellStyle name="Currency 3 9 3 2" xfId="6198" xr:uid="{00000000-0005-0000-0000-0000E95D0000}"/>
    <cellStyle name="Currency 3 9 3 2 2" xfId="13184" xr:uid="{00000000-0005-0000-0000-0000EA5D0000}"/>
    <cellStyle name="Currency 3 9 3 2 3" xfId="21546" xr:uid="{00000000-0005-0000-0000-0000EB5D0000}"/>
    <cellStyle name="Currency 3 9 3 3" xfId="12112" xr:uid="{00000000-0005-0000-0000-0000EC5D0000}"/>
    <cellStyle name="Currency 3 9 3 3 2" xfId="25824" xr:uid="{00000000-0005-0000-0000-0000ED5D0000}"/>
    <cellStyle name="Currency 3 9 3 4" xfId="21547" xr:uid="{00000000-0005-0000-0000-0000EE5D0000}"/>
    <cellStyle name="Currency 3 9 4" xfId="6199" xr:uid="{00000000-0005-0000-0000-0000EF5D0000}"/>
    <cellStyle name="Currency 3 9 4 2" xfId="6200" xr:uid="{00000000-0005-0000-0000-0000F05D0000}"/>
    <cellStyle name="Currency 3 9 4 2 2" xfId="15643" xr:uid="{00000000-0005-0000-0000-0000F15D0000}"/>
    <cellStyle name="Currency 3 9 4 2 3" xfId="21544" xr:uid="{00000000-0005-0000-0000-0000F25D0000}"/>
    <cellStyle name="Currency 3 9 4 3" xfId="13676" xr:uid="{00000000-0005-0000-0000-0000F35D0000}"/>
    <cellStyle name="Currency 3 9 4 3 2" xfId="27225" xr:uid="{00000000-0005-0000-0000-0000F45D0000}"/>
    <cellStyle name="Currency 3 9 4 4" xfId="21545" xr:uid="{00000000-0005-0000-0000-0000F55D0000}"/>
    <cellStyle name="Currency 3 9 5" xfId="6201" xr:uid="{00000000-0005-0000-0000-0000F65D0000}"/>
    <cellStyle name="Currency 3 9 5 2" xfId="14257" xr:uid="{00000000-0005-0000-0000-0000F75D0000}"/>
    <cellStyle name="Currency 3 9 5 2 2" xfId="27806" xr:uid="{00000000-0005-0000-0000-0000F85D0000}"/>
    <cellStyle name="Currency 3 9 5 3" xfId="21543" xr:uid="{00000000-0005-0000-0000-0000F95D0000}"/>
    <cellStyle name="Currency 3 9 6" xfId="6202" xr:uid="{00000000-0005-0000-0000-0000FA5D0000}"/>
    <cellStyle name="Currency 3 9 6 2" xfId="16143" xr:uid="{00000000-0005-0000-0000-0000FB5D0000}"/>
    <cellStyle name="Currency 3 9 6 2 2" xfId="29550" xr:uid="{00000000-0005-0000-0000-0000FC5D0000}"/>
    <cellStyle name="Currency 3 9 6 3" xfId="21542" xr:uid="{00000000-0005-0000-0000-0000FD5D0000}"/>
    <cellStyle name="Currency 3 9 7" xfId="9903" xr:uid="{00000000-0005-0000-0000-0000FE5D0000}"/>
    <cellStyle name="Currency 3 9 8" xfId="21551" xr:uid="{00000000-0005-0000-0000-0000FF5D0000}"/>
    <cellStyle name="Currency 4" xfId="6203" xr:uid="{00000000-0005-0000-0000-0000005E0000}"/>
    <cellStyle name="Currency 4 2" xfId="6204" xr:uid="{00000000-0005-0000-0000-0000015E0000}"/>
    <cellStyle name="Currency 4 2 2" xfId="6205" xr:uid="{00000000-0005-0000-0000-0000025E0000}"/>
    <cellStyle name="Currency 4 2 2 2" xfId="9907" xr:uid="{00000000-0005-0000-0000-0000035E0000}"/>
    <cellStyle name="Currency 4 2 2 3" xfId="21539" xr:uid="{00000000-0005-0000-0000-0000045E0000}"/>
    <cellStyle name="Currency 4 2 3" xfId="6206" xr:uid="{00000000-0005-0000-0000-0000055E0000}"/>
    <cellStyle name="Currency 4 2 3 2" xfId="13185" xr:uid="{00000000-0005-0000-0000-0000065E0000}"/>
    <cellStyle name="Currency 4 2 3 3" xfId="21538" xr:uid="{00000000-0005-0000-0000-0000075E0000}"/>
    <cellStyle name="Currency 4 2 4" xfId="6207" xr:uid="{00000000-0005-0000-0000-0000085E0000}"/>
    <cellStyle name="Currency 4 2 4 2" xfId="17019" xr:uid="{00000000-0005-0000-0000-0000095E0000}"/>
    <cellStyle name="Currency 4 2 4 2 2" xfId="30425" xr:uid="{00000000-0005-0000-0000-00000A5E0000}"/>
    <cellStyle name="Currency 4 2 4 3" xfId="21537" xr:uid="{00000000-0005-0000-0000-00000B5E0000}"/>
    <cellStyle name="Currency 4 2 5" xfId="9906" xr:uid="{00000000-0005-0000-0000-00000C5E0000}"/>
    <cellStyle name="Currency 4 2 6" xfId="21540" xr:uid="{00000000-0005-0000-0000-00000D5E0000}"/>
    <cellStyle name="Currency 4 3" xfId="6208" xr:uid="{00000000-0005-0000-0000-00000E5E0000}"/>
    <cellStyle name="Currency 4 3 2" xfId="9908" xr:uid="{00000000-0005-0000-0000-00000F5E0000}"/>
    <cellStyle name="Currency 4 3 3" xfId="21536" xr:uid="{00000000-0005-0000-0000-0000105E0000}"/>
    <cellStyle name="Currency 4 4" xfId="6209" xr:uid="{00000000-0005-0000-0000-0000115E0000}"/>
    <cellStyle name="Currency 4 4 2" xfId="9909" xr:uid="{00000000-0005-0000-0000-0000125E0000}"/>
    <cellStyle name="Currency 4 4 3" xfId="21535" xr:uid="{00000000-0005-0000-0000-0000135E0000}"/>
    <cellStyle name="Currency 4 5" xfId="6210" xr:uid="{00000000-0005-0000-0000-0000145E0000}"/>
    <cellStyle name="Currency 4 5 2" xfId="13186" xr:uid="{00000000-0005-0000-0000-0000155E0000}"/>
    <cellStyle name="Currency 4 5 3" xfId="21534" xr:uid="{00000000-0005-0000-0000-0000165E0000}"/>
    <cellStyle name="Currency 4 6" xfId="6211" xr:uid="{00000000-0005-0000-0000-0000175E0000}"/>
    <cellStyle name="Currency 4 6 2" xfId="9905" xr:uid="{00000000-0005-0000-0000-0000185E0000}"/>
    <cellStyle name="Currency 4 6 3" xfId="21533" xr:uid="{00000000-0005-0000-0000-0000195E0000}"/>
    <cellStyle name="Currency 4 7" xfId="8667" xr:uid="{00000000-0005-0000-0000-00001A5E0000}"/>
    <cellStyle name="Currency 4 8" xfId="21541" xr:uid="{00000000-0005-0000-0000-00001B5E0000}"/>
    <cellStyle name="Currency 5" xfId="6212" xr:uid="{00000000-0005-0000-0000-00001C5E0000}"/>
    <cellStyle name="Currency 5 10" xfId="6213" xr:uid="{00000000-0005-0000-0000-00001D5E0000}"/>
    <cellStyle name="Currency 5 10 2" xfId="15889" xr:uid="{00000000-0005-0000-0000-00001E5E0000}"/>
    <cellStyle name="Currency 5 10 2 2" xfId="29296" xr:uid="{00000000-0005-0000-0000-00001F5E0000}"/>
    <cellStyle name="Currency 5 10 3" xfId="21531" xr:uid="{00000000-0005-0000-0000-0000205E0000}"/>
    <cellStyle name="Currency 5 11" xfId="6214" xr:uid="{00000000-0005-0000-0000-0000215E0000}"/>
    <cellStyle name="Currency 5 11 2" xfId="17324" xr:uid="{00000000-0005-0000-0000-0000225E0000}"/>
    <cellStyle name="Currency 5 11 3" xfId="21530" xr:uid="{00000000-0005-0000-0000-0000235E0000}"/>
    <cellStyle name="Currency 5 12" xfId="8725" xr:uid="{00000000-0005-0000-0000-0000245E0000}"/>
    <cellStyle name="Currency 5 13" xfId="9910" xr:uid="{00000000-0005-0000-0000-0000255E0000}"/>
    <cellStyle name="Currency 5 14" xfId="21532" xr:uid="{00000000-0005-0000-0000-0000265E0000}"/>
    <cellStyle name="Currency 5 2" xfId="6215" xr:uid="{00000000-0005-0000-0000-0000275E0000}"/>
    <cellStyle name="Currency 5 2 10" xfId="21529" xr:uid="{00000000-0005-0000-0000-0000285E0000}"/>
    <cellStyle name="Currency 5 2 2" xfId="6216" xr:uid="{00000000-0005-0000-0000-0000295E0000}"/>
    <cellStyle name="Currency 5 2 2 2" xfId="6217" xr:uid="{00000000-0005-0000-0000-00002A5E0000}"/>
    <cellStyle name="Currency 5 2 2 2 2" xfId="6218" xr:uid="{00000000-0005-0000-0000-00002B5E0000}"/>
    <cellStyle name="Currency 5 2 2 2 2 2" xfId="6219" xr:uid="{00000000-0005-0000-0000-00002C5E0000}"/>
    <cellStyle name="Currency 5 2 2 2 2 2 2" xfId="11387" xr:uid="{00000000-0005-0000-0000-00002D5E0000}"/>
    <cellStyle name="Currency 5 2 2 2 2 2 3" xfId="21525" xr:uid="{00000000-0005-0000-0000-00002E5E0000}"/>
    <cellStyle name="Currency 5 2 2 2 2 3" xfId="6220" xr:uid="{00000000-0005-0000-0000-00002F5E0000}"/>
    <cellStyle name="Currency 5 2 2 2 2 3 2" xfId="16948" xr:uid="{00000000-0005-0000-0000-0000305E0000}"/>
    <cellStyle name="Currency 5 2 2 2 2 3 2 2" xfId="30355" xr:uid="{00000000-0005-0000-0000-0000315E0000}"/>
    <cellStyle name="Currency 5 2 2 2 2 3 3" xfId="21524" xr:uid="{00000000-0005-0000-0000-0000325E0000}"/>
    <cellStyle name="Currency 5 2 2 2 2 4" xfId="9914" xr:uid="{00000000-0005-0000-0000-0000335E0000}"/>
    <cellStyle name="Currency 5 2 2 2 2 5" xfId="21526" xr:uid="{00000000-0005-0000-0000-0000345E0000}"/>
    <cellStyle name="Currency 5 2 2 2 3" xfId="6221" xr:uid="{00000000-0005-0000-0000-0000355E0000}"/>
    <cellStyle name="Currency 5 2 2 2 3 2" xfId="6222" xr:uid="{00000000-0005-0000-0000-0000365E0000}"/>
    <cellStyle name="Currency 5 2 2 2 3 2 2" xfId="13187" xr:uid="{00000000-0005-0000-0000-0000375E0000}"/>
    <cellStyle name="Currency 5 2 2 2 3 2 3" xfId="21522" xr:uid="{00000000-0005-0000-0000-0000385E0000}"/>
    <cellStyle name="Currency 5 2 2 2 3 3" xfId="12336" xr:uid="{00000000-0005-0000-0000-0000395E0000}"/>
    <cellStyle name="Currency 5 2 2 2 3 3 2" xfId="26048" xr:uid="{00000000-0005-0000-0000-00003A5E0000}"/>
    <cellStyle name="Currency 5 2 2 2 3 4" xfId="21523" xr:uid="{00000000-0005-0000-0000-00003B5E0000}"/>
    <cellStyle name="Currency 5 2 2 2 4" xfId="6223" xr:uid="{00000000-0005-0000-0000-00003C5E0000}"/>
    <cellStyle name="Currency 5 2 2 2 4 2" xfId="6224" xr:uid="{00000000-0005-0000-0000-00003D5E0000}"/>
    <cellStyle name="Currency 5 2 2 2 4 2 2" xfId="15644" xr:uid="{00000000-0005-0000-0000-00003E5E0000}"/>
    <cellStyle name="Currency 5 2 2 2 4 2 3" xfId="21520" xr:uid="{00000000-0005-0000-0000-00003F5E0000}"/>
    <cellStyle name="Currency 5 2 2 2 4 3" xfId="13900" xr:uid="{00000000-0005-0000-0000-0000405E0000}"/>
    <cellStyle name="Currency 5 2 2 2 4 3 2" xfId="27449" xr:uid="{00000000-0005-0000-0000-0000415E0000}"/>
    <cellStyle name="Currency 5 2 2 2 4 4" xfId="21521" xr:uid="{00000000-0005-0000-0000-0000425E0000}"/>
    <cellStyle name="Currency 5 2 2 2 5" xfId="6225" xr:uid="{00000000-0005-0000-0000-0000435E0000}"/>
    <cellStyle name="Currency 5 2 2 2 5 2" xfId="14481" xr:uid="{00000000-0005-0000-0000-0000445E0000}"/>
    <cellStyle name="Currency 5 2 2 2 5 2 2" xfId="28030" xr:uid="{00000000-0005-0000-0000-0000455E0000}"/>
    <cellStyle name="Currency 5 2 2 2 5 3" xfId="21519" xr:uid="{00000000-0005-0000-0000-0000465E0000}"/>
    <cellStyle name="Currency 5 2 2 2 6" xfId="6226" xr:uid="{00000000-0005-0000-0000-0000475E0000}"/>
    <cellStyle name="Currency 5 2 2 2 6 2" xfId="16367" xr:uid="{00000000-0005-0000-0000-0000485E0000}"/>
    <cellStyle name="Currency 5 2 2 2 6 2 2" xfId="29774" xr:uid="{00000000-0005-0000-0000-0000495E0000}"/>
    <cellStyle name="Currency 5 2 2 2 6 3" xfId="21518" xr:uid="{00000000-0005-0000-0000-00004A5E0000}"/>
    <cellStyle name="Currency 5 2 2 2 7" xfId="9913" xr:uid="{00000000-0005-0000-0000-00004B5E0000}"/>
    <cellStyle name="Currency 5 2 2 2 8" xfId="21527" xr:uid="{00000000-0005-0000-0000-00004C5E0000}"/>
    <cellStyle name="Currency 5 2 2 3" xfId="6227" xr:uid="{00000000-0005-0000-0000-00004D5E0000}"/>
    <cellStyle name="Currency 5 2 2 3 2" xfId="6228" xr:uid="{00000000-0005-0000-0000-00004E5E0000}"/>
    <cellStyle name="Currency 5 2 2 3 2 2" xfId="11388" xr:uid="{00000000-0005-0000-0000-00004F5E0000}"/>
    <cellStyle name="Currency 5 2 2 3 2 3" xfId="21516" xr:uid="{00000000-0005-0000-0000-0000505E0000}"/>
    <cellStyle name="Currency 5 2 2 3 3" xfId="6229" xr:uid="{00000000-0005-0000-0000-0000515E0000}"/>
    <cellStyle name="Currency 5 2 2 3 3 2" xfId="16659" xr:uid="{00000000-0005-0000-0000-0000525E0000}"/>
    <cellStyle name="Currency 5 2 2 3 3 2 2" xfId="30066" xr:uid="{00000000-0005-0000-0000-0000535E0000}"/>
    <cellStyle name="Currency 5 2 2 3 3 3" xfId="21515" xr:uid="{00000000-0005-0000-0000-0000545E0000}"/>
    <cellStyle name="Currency 5 2 2 3 4" xfId="9915" xr:uid="{00000000-0005-0000-0000-0000555E0000}"/>
    <cellStyle name="Currency 5 2 2 3 5" xfId="21517" xr:uid="{00000000-0005-0000-0000-0000565E0000}"/>
    <cellStyle name="Currency 5 2 2 4" xfId="6230" xr:uid="{00000000-0005-0000-0000-0000575E0000}"/>
    <cellStyle name="Currency 5 2 2 4 2" xfId="6231" xr:uid="{00000000-0005-0000-0000-0000585E0000}"/>
    <cellStyle name="Currency 5 2 2 4 2 2" xfId="13188" xr:uid="{00000000-0005-0000-0000-0000595E0000}"/>
    <cellStyle name="Currency 5 2 2 4 2 3" xfId="21513" xr:uid="{00000000-0005-0000-0000-00005A5E0000}"/>
    <cellStyle name="Currency 5 2 2 4 3" xfId="12036" xr:uid="{00000000-0005-0000-0000-00005B5E0000}"/>
    <cellStyle name="Currency 5 2 2 4 3 2" xfId="25751" xr:uid="{00000000-0005-0000-0000-00005C5E0000}"/>
    <cellStyle name="Currency 5 2 2 4 4" xfId="21514" xr:uid="{00000000-0005-0000-0000-00005D5E0000}"/>
    <cellStyle name="Currency 5 2 2 5" xfId="6232" xr:uid="{00000000-0005-0000-0000-00005E5E0000}"/>
    <cellStyle name="Currency 5 2 2 5 2" xfId="6233" xr:uid="{00000000-0005-0000-0000-00005F5E0000}"/>
    <cellStyle name="Currency 5 2 2 5 2 2" xfId="15645" xr:uid="{00000000-0005-0000-0000-0000605E0000}"/>
    <cellStyle name="Currency 5 2 2 5 2 3" xfId="21511" xr:uid="{00000000-0005-0000-0000-0000615E0000}"/>
    <cellStyle name="Currency 5 2 2 5 3" xfId="13611" xr:uid="{00000000-0005-0000-0000-0000625E0000}"/>
    <cellStyle name="Currency 5 2 2 5 3 2" xfId="27160" xr:uid="{00000000-0005-0000-0000-0000635E0000}"/>
    <cellStyle name="Currency 5 2 2 5 4" xfId="21512" xr:uid="{00000000-0005-0000-0000-0000645E0000}"/>
    <cellStyle name="Currency 5 2 2 6" xfId="6234" xr:uid="{00000000-0005-0000-0000-0000655E0000}"/>
    <cellStyle name="Currency 5 2 2 6 2" xfId="14192" xr:uid="{00000000-0005-0000-0000-0000665E0000}"/>
    <cellStyle name="Currency 5 2 2 6 2 2" xfId="27741" xr:uid="{00000000-0005-0000-0000-0000675E0000}"/>
    <cellStyle name="Currency 5 2 2 6 3" xfId="21510" xr:uid="{00000000-0005-0000-0000-0000685E0000}"/>
    <cellStyle name="Currency 5 2 2 7" xfId="6235" xr:uid="{00000000-0005-0000-0000-0000695E0000}"/>
    <cellStyle name="Currency 5 2 2 7 2" xfId="16078" xr:uid="{00000000-0005-0000-0000-00006A5E0000}"/>
    <cellStyle name="Currency 5 2 2 7 2 2" xfId="29485" xr:uid="{00000000-0005-0000-0000-00006B5E0000}"/>
    <cellStyle name="Currency 5 2 2 7 3" xfId="21509" xr:uid="{00000000-0005-0000-0000-00006C5E0000}"/>
    <cellStyle name="Currency 5 2 2 8" xfId="9912" xr:uid="{00000000-0005-0000-0000-00006D5E0000}"/>
    <cellStyle name="Currency 5 2 2 9" xfId="21528" xr:uid="{00000000-0005-0000-0000-00006E5E0000}"/>
    <cellStyle name="Currency 5 2 3" xfId="6236" xr:uid="{00000000-0005-0000-0000-00006F5E0000}"/>
    <cellStyle name="Currency 5 2 3 2" xfId="6237" xr:uid="{00000000-0005-0000-0000-0000705E0000}"/>
    <cellStyle name="Currency 5 2 3 2 2" xfId="6238" xr:uid="{00000000-0005-0000-0000-0000715E0000}"/>
    <cellStyle name="Currency 5 2 3 2 2 2" xfId="11389" xr:uid="{00000000-0005-0000-0000-0000725E0000}"/>
    <cellStyle name="Currency 5 2 3 2 2 3" xfId="21506" xr:uid="{00000000-0005-0000-0000-0000735E0000}"/>
    <cellStyle name="Currency 5 2 3 2 3" xfId="6239" xr:uid="{00000000-0005-0000-0000-0000745E0000}"/>
    <cellStyle name="Currency 5 2 3 2 3 2" xfId="16805" xr:uid="{00000000-0005-0000-0000-0000755E0000}"/>
    <cellStyle name="Currency 5 2 3 2 3 2 2" xfId="30212" xr:uid="{00000000-0005-0000-0000-0000765E0000}"/>
    <cellStyle name="Currency 5 2 3 2 3 3" xfId="21505" xr:uid="{00000000-0005-0000-0000-0000775E0000}"/>
    <cellStyle name="Currency 5 2 3 2 4" xfId="9917" xr:uid="{00000000-0005-0000-0000-0000785E0000}"/>
    <cellStyle name="Currency 5 2 3 2 5" xfId="21507" xr:uid="{00000000-0005-0000-0000-0000795E0000}"/>
    <cellStyle name="Currency 5 2 3 3" xfId="6240" xr:uid="{00000000-0005-0000-0000-00007A5E0000}"/>
    <cellStyle name="Currency 5 2 3 3 2" xfId="6241" xr:uid="{00000000-0005-0000-0000-00007B5E0000}"/>
    <cellStyle name="Currency 5 2 3 3 2 2" xfId="13189" xr:uid="{00000000-0005-0000-0000-00007C5E0000}"/>
    <cellStyle name="Currency 5 2 3 3 2 3" xfId="21503" xr:uid="{00000000-0005-0000-0000-00007D5E0000}"/>
    <cellStyle name="Currency 5 2 3 3 3" xfId="12193" xr:uid="{00000000-0005-0000-0000-00007E5E0000}"/>
    <cellStyle name="Currency 5 2 3 3 3 2" xfId="25905" xr:uid="{00000000-0005-0000-0000-00007F5E0000}"/>
    <cellStyle name="Currency 5 2 3 3 4" xfId="21504" xr:uid="{00000000-0005-0000-0000-0000805E0000}"/>
    <cellStyle name="Currency 5 2 3 4" xfId="6242" xr:uid="{00000000-0005-0000-0000-0000815E0000}"/>
    <cellStyle name="Currency 5 2 3 4 2" xfId="6243" xr:uid="{00000000-0005-0000-0000-0000825E0000}"/>
    <cellStyle name="Currency 5 2 3 4 2 2" xfId="15646" xr:uid="{00000000-0005-0000-0000-0000835E0000}"/>
    <cellStyle name="Currency 5 2 3 4 2 3" xfId="21501" xr:uid="{00000000-0005-0000-0000-0000845E0000}"/>
    <cellStyle name="Currency 5 2 3 4 3" xfId="13757" xr:uid="{00000000-0005-0000-0000-0000855E0000}"/>
    <cellStyle name="Currency 5 2 3 4 3 2" xfId="27306" xr:uid="{00000000-0005-0000-0000-0000865E0000}"/>
    <cellStyle name="Currency 5 2 3 4 4" xfId="21502" xr:uid="{00000000-0005-0000-0000-0000875E0000}"/>
    <cellStyle name="Currency 5 2 3 5" xfId="6244" xr:uid="{00000000-0005-0000-0000-0000885E0000}"/>
    <cellStyle name="Currency 5 2 3 5 2" xfId="14338" xr:uid="{00000000-0005-0000-0000-0000895E0000}"/>
    <cellStyle name="Currency 5 2 3 5 2 2" xfId="27887" xr:uid="{00000000-0005-0000-0000-00008A5E0000}"/>
    <cellStyle name="Currency 5 2 3 5 3" xfId="21500" xr:uid="{00000000-0005-0000-0000-00008B5E0000}"/>
    <cellStyle name="Currency 5 2 3 6" xfId="6245" xr:uid="{00000000-0005-0000-0000-00008C5E0000}"/>
    <cellStyle name="Currency 5 2 3 6 2" xfId="16224" xr:uid="{00000000-0005-0000-0000-00008D5E0000}"/>
    <cellStyle name="Currency 5 2 3 6 2 2" xfId="29631" xr:uid="{00000000-0005-0000-0000-00008E5E0000}"/>
    <cellStyle name="Currency 5 2 3 6 3" xfId="21499" xr:uid="{00000000-0005-0000-0000-00008F5E0000}"/>
    <cellStyle name="Currency 5 2 3 7" xfId="9916" xr:uid="{00000000-0005-0000-0000-0000905E0000}"/>
    <cellStyle name="Currency 5 2 3 8" xfId="21508" xr:uid="{00000000-0005-0000-0000-0000915E0000}"/>
    <cellStyle name="Currency 5 2 4" xfId="6246" xr:uid="{00000000-0005-0000-0000-0000925E0000}"/>
    <cellStyle name="Currency 5 2 4 2" xfId="6247" xr:uid="{00000000-0005-0000-0000-0000935E0000}"/>
    <cellStyle name="Currency 5 2 4 2 2" xfId="11390" xr:uid="{00000000-0005-0000-0000-0000945E0000}"/>
    <cellStyle name="Currency 5 2 4 2 3" xfId="21497" xr:uid="{00000000-0005-0000-0000-0000955E0000}"/>
    <cellStyle name="Currency 5 2 4 3" xfId="6248" xr:uid="{00000000-0005-0000-0000-0000965E0000}"/>
    <cellStyle name="Currency 5 2 4 3 2" xfId="17152" xr:uid="{00000000-0005-0000-0000-0000975E0000}"/>
    <cellStyle name="Currency 5 2 4 3 2 2" xfId="30511" xr:uid="{00000000-0005-0000-0000-0000985E0000}"/>
    <cellStyle name="Currency 5 2 4 3 3" xfId="21496" xr:uid="{00000000-0005-0000-0000-0000995E0000}"/>
    <cellStyle name="Currency 5 2 4 4" xfId="9918" xr:uid="{00000000-0005-0000-0000-00009A5E0000}"/>
    <cellStyle name="Currency 5 2 4 5" xfId="21498" xr:uid="{00000000-0005-0000-0000-00009B5E0000}"/>
    <cellStyle name="Currency 5 2 5" xfId="6249" xr:uid="{00000000-0005-0000-0000-00009C5E0000}"/>
    <cellStyle name="Currency 5 2 5 2" xfId="6250" xr:uid="{00000000-0005-0000-0000-00009D5E0000}"/>
    <cellStyle name="Currency 5 2 5 2 2" xfId="13190" xr:uid="{00000000-0005-0000-0000-00009E5E0000}"/>
    <cellStyle name="Currency 5 2 5 2 3" xfId="21494" xr:uid="{00000000-0005-0000-0000-00009F5E0000}"/>
    <cellStyle name="Currency 5 2 5 3" xfId="6251" xr:uid="{00000000-0005-0000-0000-0000A05E0000}"/>
    <cellStyle name="Currency 5 2 5 3 2" xfId="17241" xr:uid="{00000000-0005-0000-0000-0000A15E0000}"/>
    <cellStyle name="Currency 5 2 5 3 2 2" xfId="30600" xr:uid="{00000000-0005-0000-0000-0000A25E0000}"/>
    <cellStyle name="Currency 5 2 5 3 3" xfId="21493" xr:uid="{00000000-0005-0000-0000-0000A35E0000}"/>
    <cellStyle name="Currency 5 2 5 4" xfId="11891" xr:uid="{00000000-0005-0000-0000-0000A45E0000}"/>
    <cellStyle name="Currency 5 2 5 4 2" xfId="25606" xr:uid="{00000000-0005-0000-0000-0000A55E0000}"/>
    <cellStyle name="Currency 5 2 5 5" xfId="21495" xr:uid="{00000000-0005-0000-0000-0000A65E0000}"/>
    <cellStyle name="Currency 5 2 6" xfId="6252" xr:uid="{00000000-0005-0000-0000-0000A75E0000}"/>
    <cellStyle name="Currency 5 2 6 2" xfId="6253" xr:uid="{00000000-0005-0000-0000-0000A85E0000}"/>
    <cellStyle name="Currency 5 2 6 2 2" xfId="15647" xr:uid="{00000000-0005-0000-0000-0000A95E0000}"/>
    <cellStyle name="Currency 5 2 6 2 3" xfId="21491" xr:uid="{00000000-0005-0000-0000-0000AA5E0000}"/>
    <cellStyle name="Currency 5 2 6 3" xfId="6254" xr:uid="{00000000-0005-0000-0000-0000AB5E0000}"/>
    <cellStyle name="Currency 5 2 6 3 2" xfId="16516" xr:uid="{00000000-0005-0000-0000-0000AC5E0000}"/>
    <cellStyle name="Currency 5 2 6 3 2 2" xfId="29923" xr:uid="{00000000-0005-0000-0000-0000AD5E0000}"/>
    <cellStyle name="Currency 5 2 6 3 3" xfId="21490" xr:uid="{00000000-0005-0000-0000-0000AE5E0000}"/>
    <cellStyle name="Currency 5 2 6 4" xfId="13468" xr:uid="{00000000-0005-0000-0000-0000AF5E0000}"/>
    <cellStyle name="Currency 5 2 6 4 2" xfId="27017" xr:uid="{00000000-0005-0000-0000-0000B05E0000}"/>
    <cellStyle name="Currency 5 2 6 5" xfId="21492" xr:uid="{00000000-0005-0000-0000-0000B15E0000}"/>
    <cellStyle name="Currency 5 2 7" xfId="6255" xr:uid="{00000000-0005-0000-0000-0000B25E0000}"/>
    <cellStyle name="Currency 5 2 7 2" xfId="14049" xr:uid="{00000000-0005-0000-0000-0000B35E0000}"/>
    <cellStyle name="Currency 5 2 7 2 2" xfId="27598" xr:uid="{00000000-0005-0000-0000-0000B45E0000}"/>
    <cellStyle name="Currency 5 2 7 3" xfId="21489" xr:uid="{00000000-0005-0000-0000-0000B55E0000}"/>
    <cellStyle name="Currency 5 2 8" xfId="6256" xr:uid="{00000000-0005-0000-0000-0000B65E0000}"/>
    <cellStyle name="Currency 5 2 8 2" xfId="15935" xr:uid="{00000000-0005-0000-0000-0000B75E0000}"/>
    <cellStyle name="Currency 5 2 8 2 2" xfId="29342" xr:uid="{00000000-0005-0000-0000-0000B85E0000}"/>
    <cellStyle name="Currency 5 2 8 3" xfId="21488" xr:uid="{00000000-0005-0000-0000-0000B95E0000}"/>
    <cellStyle name="Currency 5 2 9" xfId="9911" xr:uid="{00000000-0005-0000-0000-0000BA5E0000}"/>
    <cellStyle name="Currency 5 3" xfId="6257" xr:uid="{00000000-0005-0000-0000-0000BB5E0000}"/>
    <cellStyle name="Currency 5 3 2" xfId="6258" xr:uid="{00000000-0005-0000-0000-0000BC5E0000}"/>
    <cellStyle name="Currency 5 3 2 2" xfId="6259" xr:uid="{00000000-0005-0000-0000-0000BD5E0000}"/>
    <cellStyle name="Currency 5 3 2 2 2" xfId="6260" xr:uid="{00000000-0005-0000-0000-0000BE5E0000}"/>
    <cellStyle name="Currency 5 3 2 2 2 2" xfId="11391" xr:uid="{00000000-0005-0000-0000-0000BF5E0000}"/>
    <cellStyle name="Currency 5 3 2 2 2 3" xfId="21484" xr:uid="{00000000-0005-0000-0000-0000C05E0000}"/>
    <cellStyle name="Currency 5 3 2 2 3" xfId="6261" xr:uid="{00000000-0005-0000-0000-0000C15E0000}"/>
    <cellStyle name="Currency 5 3 2 2 3 2" xfId="16902" xr:uid="{00000000-0005-0000-0000-0000C25E0000}"/>
    <cellStyle name="Currency 5 3 2 2 3 2 2" xfId="30309" xr:uid="{00000000-0005-0000-0000-0000C35E0000}"/>
    <cellStyle name="Currency 5 3 2 2 3 3" xfId="21483" xr:uid="{00000000-0005-0000-0000-0000C45E0000}"/>
    <cellStyle name="Currency 5 3 2 2 4" xfId="9921" xr:uid="{00000000-0005-0000-0000-0000C55E0000}"/>
    <cellStyle name="Currency 5 3 2 2 5" xfId="21485" xr:uid="{00000000-0005-0000-0000-0000C65E0000}"/>
    <cellStyle name="Currency 5 3 2 3" xfId="6262" xr:uid="{00000000-0005-0000-0000-0000C75E0000}"/>
    <cellStyle name="Currency 5 3 2 3 2" xfId="6263" xr:uid="{00000000-0005-0000-0000-0000C85E0000}"/>
    <cellStyle name="Currency 5 3 2 3 2 2" xfId="13191" xr:uid="{00000000-0005-0000-0000-0000C95E0000}"/>
    <cellStyle name="Currency 5 3 2 3 2 3" xfId="21481" xr:uid="{00000000-0005-0000-0000-0000CA5E0000}"/>
    <cellStyle name="Currency 5 3 2 3 3" xfId="12290" xr:uid="{00000000-0005-0000-0000-0000CB5E0000}"/>
    <cellStyle name="Currency 5 3 2 3 3 2" xfId="26002" xr:uid="{00000000-0005-0000-0000-0000CC5E0000}"/>
    <cellStyle name="Currency 5 3 2 3 4" xfId="21482" xr:uid="{00000000-0005-0000-0000-0000CD5E0000}"/>
    <cellStyle name="Currency 5 3 2 4" xfId="6264" xr:uid="{00000000-0005-0000-0000-0000CE5E0000}"/>
    <cellStyle name="Currency 5 3 2 4 2" xfId="6265" xr:uid="{00000000-0005-0000-0000-0000CF5E0000}"/>
    <cellStyle name="Currency 5 3 2 4 2 2" xfId="15648" xr:uid="{00000000-0005-0000-0000-0000D05E0000}"/>
    <cellStyle name="Currency 5 3 2 4 2 3" xfId="21479" xr:uid="{00000000-0005-0000-0000-0000D15E0000}"/>
    <cellStyle name="Currency 5 3 2 4 3" xfId="13854" xr:uid="{00000000-0005-0000-0000-0000D25E0000}"/>
    <cellStyle name="Currency 5 3 2 4 3 2" xfId="27403" xr:uid="{00000000-0005-0000-0000-0000D35E0000}"/>
    <cellStyle name="Currency 5 3 2 4 4" xfId="21480" xr:uid="{00000000-0005-0000-0000-0000D45E0000}"/>
    <cellStyle name="Currency 5 3 2 5" xfId="6266" xr:uid="{00000000-0005-0000-0000-0000D55E0000}"/>
    <cellStyle name="Currency 5 3 2 5 2" xfId="14435" xr:uid="{00000000-0005-0000-0000-0000D65E0000}"/>
    <cellStyle name="Currency 5 3 2 5 2 2" xfId="27984" xr:uid="{00000000-0005-0000-0000-0000D75E0000}"/>
    <cellStyle name="Currency 5 3 2 5 3" xfId="21478" xr:uid="{00000000-0005-0000-0000-0000D85E0000}"/>
    <cellStyle name="Currency 5 3 2 6" xfId="6267" xr:uid="{00000000-0005-0000-0000-0000D95E0000}"/>
    <cellStyle name="Currency 5 3 2 6 2" xfId="16321" xr:uid="{00000000-0005-0000-0000-0000DA5E0000}"/>
    <cellStyle name="Currency 5 3 2 6 2 2" xfId="29728" xr:uid="{00000000-0005-0000-0000-0000DB5E0000}"/>
    <cellStyle name="Currency 5 3 2 6 3" xfId="21477" xr:uid="{00000000-0005-0000-0000-0000DC5E0000}"/>
    <cellStyle name="Currency 5 3 2 7" xfId="9920" xr:uid="{00000000-0005-0000-0000-0000DD5E0000}"/>
    <cellStyle name="Currency 5 3 2 8" xfId="21486" xr:uid="{00000000-0005-0000-0000-0000DE5E0000}"/>
    <cellStyle name="Currency 5 3 3" xfId="6268" xr:uid="{00000000-0005-0000-0000-0000DF5E0000}"/>
    <cellStyle name="Currency 5 3 3 2" xfId="6269" xr:uid="{00000000-0005-0000-0000-0000E05E0000}"/>
    <cellStyle name="Currency 5 3 3 2 2" xfId="11392" xr:uid="{00000000-0005-0000-0000-0000E15E0000}"/>
    <cellStyle name="Currency 5 3 3 2 3" xfId="21475" xr:uid="{00000000-0005-0000-0000-0000E25E0000}"/>
    <cellStyle name="Currency 5 3 3 3" xfId="6270" xr:uid="{00000000-0005-0000-0000-0000E35E0000}"/>
    <cellStyle name="Currency 5 3 3 3 2" xfId="16613" xr:uid="{00000000-0005-0000-0000-0000E45E0000}"/>
    <cellStyle name="Currency 5 3 3 3 2 2" xfId="30020" xr:uid="{00000000-0005-0000-0000-0000E55E0000}"/>
    <cellStyle name="Currency 5 3 3 3 3" xfId="21474" xr:uid="{00000000-0005-0000-0000-0000E65E0000}"/>
    <cellStyle name="Currency 5 3 3 4" xfId="9922" xr:uid="{00000000-0005-0000-0000-0000E75E0000}"/>
    <cellStyle name="Currency 5 3 3 5" xfId="21476" xr:uid="{00000000-0005-0000-0000-0000E85E0000}"/>
    <cellStyle name="Currency 5 3 4" xfId="6271" xr:uid="{00000000-0005-0000-0000-0000E95E0000}"/>
    <cellStyle name="Currency 5 3 4 2" xfId="6272" xr:uid="{00000000-0005-0000-0000-0000EA5E0000}"/>
    <cellStyle name="Currency 5 3 4 2 2" xfId="13192" xr:uid="{00000000-0005-0000-0000-0000EB5E0000}"/>
    <cellStyle name="Currency 5 3 4 2 3" xfId="21472" xr:uid="{00000000-0005-0000-0000-0000EC5E0000}"/>
    <cellStyle name="Currency 5 3 4 3" xfId="11990" xr:uid="{00000000-0005-0000-0000-0000ED5E0000}"/>
    <cellStyle name="Currency 5 3 4 3 2" xfId="25705" xr:uid="{00000000-0005-0000-0000-0000EE5E0000}"/>
    <cellStyle name="Currency 5 3 4 4" xfId="21473" xr:uid="{00000000-0005-0000-0000-0000EF5E0000}"/>
    <cellStyle name="Currency 5 3 5" xfId="6273" xr:uid="{00000000-0005-0000-0000-0000F05E0000}"/>
    <cellStyle name="Currency 5 3 5 2" xfId="6274" xr:uid="{00000000-0005-0000-0000-0000F15E0000}"/>
    <cellStyle name="Currency 5 3 5 2 2" xfId="15649" xr:uid="{00000000-0005-0000-0000-0000F25E0000}"/>
    <cellStyle name="Currency 5 3 5 2 3" xfId="21470" xr:uid="{00000000-0005-0000-0000-0000F35E0000}"/>
    <cellStyle name="Currency 5 3 5 3" xfId="13565" xr:uid="{00000000-0005-0000-0000-0000F45E0000}"/>
    <cellStyle name="Currency 5 3 5 3 2" xfId="27114" xr:uid="{00000000-0005-0000-0000-0000F55E0000}"/>
    <cellStyle name="Currency 5 3 5 4" xfId="21471" xr:uid="{00000000-0005-0000-0000-0000F65E0000}"/>
    <cellStyle name="Currency 5 3 6" xfId="6275" xr:uid="{00000000-0005-0000-0000-0000F75E0000}"/>
    <cellStyle name="Currency 5 3 6 2" xfId="14146" xr:uid="{00000000-0005-0000-0000-0000F85E0000}"/>
    <cellStyle name="Currency 5 3 6 2 2" xfId="27695" xr:uid="{00000000-0005-0000-0000-0000F95E0000}"/>
    <cellStyle name="Currency 5 3 6 3" xfId="21469" xr:uid="{00000000-0005-0000-0000-0000FA5E0000}"/>
    <cellStyle name="Currency 5 3 7" xfId="6276" xr:uid="{00000000-0005-0000-0000-0000FB5E0000}"/>
    <cellStyle name="Currency 5 3 7 2" xfId="16032" xr:uid="{00000000-0005-0000-0000-0000FC5E0000}"/>
    <cellStyle name="Currency 5 3 7 2 2" xfId="29439" xr:uid="{00000000-0005-0000-0000-0000FD5E0000}"/>
    <cellStyle name="Currency 5 3 7 3" xfId="21468" xr:uid="{00000000-0005-0000-0000-0000FE5E0000}"/>
    <cellStyle name="Currency 5 3 8" xfId="9919" xr:uid="{00000000-0005-0000-0000-0000FF5E0000}"/>
    <cellStyle name="Currency 5 3 9" xfId="21487" xr:uid="{00000000-0005-0000-0000-0000005F0000}"/>
    <cellStyle name="Currency 5 4" xfId="6277" xr:uid="{00000000-0005-0000-0000-0000015F0000}"/>
    <cellStyle name="Currency 5 4 2" xfId="6278" xr:uid="{00000000-0005-0000-0000-0000025F0000}"/>
    <cellStyle name="Currency 5 4 2 2" xfId="6279" xr:uid="{00000000-0005-0000-0000-0000035F0000}"/>
    <cellStyle name="Currency 5 4 2 2 2" xfId="11393" xr:uid="{00000000-0005-0000-0000-0000045F0000}"/>
    <cellStyle name="Currency 5 4 2 2 3" xfId="21465" xr:uid="{00000000-0005-0000-0000-0000055F0000}"/>
    <cellStyle name="Currency 5 4 2 3" xfId="6280" xr:uid="{00000000-0005-0000-0000-0000065F0000}"/>
    <cellStyle name="Currency 5 4 2 3 2" xfId="16759" xr:uid="{00000000-0005-0000-0000-0000075F0000}"/>
    <cellStyle name="Currency 5 4 2 3 2 2" xfId="30166" xr:uid="{00000000-0005-0000-0000-0000085F0000}"/>
    <cellStyle name="Currency 5 4 2 3 3" xfId="21464" xr:uid="{00000000-0005-0000-0000-0000095F0000}"/>
    <cellStyle name="Currency 5 4 2 4" xfId="9924" xr:uid="{00000000-0005-0000-0000-00000A5F0000}"/>
    <cellStyle name="Currency 5 4 2 5" xfId="21466" xr:uid="{00000000-0005-0000-0000-00000B5F0000}"/>
    <cellStyle name="Currency 5 4 3" xfId="6281" xr:uid="{00000000-0005-0000-0000-00000C5F0000}"/>
    <cellStyle name="Currency 5 4 3 2" xfId="6282" xr:uid="{00000000-0005-0000-0000-00000D5F0000}"/>
    <cellStyle name="Currency 5 4 3 2 2" xfId="13193" xr:uid="{00000000-0005-0000-0000-00000E5F0000}"/>
    <cellStyle name="Currency 5 4 3 2 3" xfId="21462" xr:uid="{00000000-0005-0000-0000-00000F5F0000}"/>
    <cellStyle name="Currency 5 4 3 3" xfId="12147" xr:uid="{00000000-0005-0000-0000-0000105F0000}"/>
    <cellStyle name="Currency 5 4 3 3 2" xfId="25859" xr:uid="{00000000-0005-0000-0000-0000115F0000}"/>
    <cellStyle name="Currency 5 4 3 4" xfId="21463" xr:uid="{00000000-0005-0000-0000-0000125F0000}"/>
    <cellStyle name="Currency 5 4 4" xfId="6283" xr:uid="{00000000-0005-0000-0000-0000135F0000}"/>
    <cellStyle name="Currency 5 4 4 2" xfId="6284" xr:uid="{00000000-0005-0000-0000-0000145F0000}"/>
    <cellStyle name="Currency 5 4 4 2 2" xfId="15650" xr:uid="{00000000-0005-0000-0000-0000155F0000}"/>
    <cellStyle name="Currency 5 4 4 2 3" xfId="21460" xr:uid="{00000000-0005-0000-0000-0000165F0000}"/>
    <cellStyle name="Currency 5 4 4 3" xfId="13711" xr:uid="{00000000-0005-0000-0000-0000175F0000}"/>
    <cellStyle name="Currency 5 4 4 3 2" xfId="27260" xr:uid="{00000000-0005-0000-0000-0000185F0000}"/>
    <cellStyle name="Currency 5 4 4 4" xfId="21461" xr:uid="{00000000-0005-0000-0000-0000195F0000}"/>
    <cellStyle name="Currency 5 4 5" xfId="6285" xr:uid="{00000000-0005-0000-0000-00001A5F0000}"/>
    <cellStyle name="Currency 5 4 5 2" xfId="14292" xr:uid="{00000000-0005-0000-0000-00001B5F0000}"/>
    <cellStyle name="Currency 5 4 5 2 2" xfId="27841" xr:uid="{00000000-0005-0000-0000-00001C5F0000}"/>
    <cellStyle name="Currency 5 4 5 3" xfId="21459" xr:uid="{00000000-0005-0000-0000-00001D5F0000}"/>
    <cellStyle name="Currency 5 4 6" xfId="6286" xr:uid="{00000000-0005-0000-0000-00001E5F0000}"/>
    <cellStyle name="Currency 5 4 6 2" xfId="16178" xr:uid="{00000000-0005-0000-0000-00001F5F0000}"/>
    <cellStyle name="Currency 5 4 6 2 2" xfId="29585" xr:uid="{00000000-0005-0000-0000-0000205F0000}"/>
    <cellStyle name="Currency 5 4 6 3" xfId="21458" xr:uid="{00000000-0005-0000-0000-0000215F0000}"/>
    <cellStyle name="Currency 5 4 7" xfId="9923" xr:uid="{00000000-0005-0000-0000-0000225F0000}"/>
    <cellStyle name="Currency 5 4 8" xfId="21467" xr:uid="{00000000-0005-0000-0000-0000235F0000}"/>
    <cellStyle name="Currency 5 5" xfId="6287" xr:uid="{00000000-0005-0000-0000-0000245F0000}"/>
    <cellStyle name="Currency 5 5 2" xfId="6288" xr:uid="{00000000-0005-0000-0000-0000255F0000}"/>
    <cellStyle name="Currency 5 5 2 2" xfId="17020" xr:uid="{00000000-0005-0000-0000-0000265F0000}"/>
    <cellStyle name="Currency 5 5 2 2 2" xfId="30426" xr:uid="{00000000-0005-0000-0000-0000275F0000}"/>
    <cellStyle name="Currency 5 5 2 3" xfId="21456" xr:uid="{00000000-0005-0000-0000-0000285F0000}"/>
    <cellStyle name="Currency 5 5 3" xfId="9925" xr:uid="{00000000-0005-0000-0000-0000295F0000}"/>
    <cellStyle name="Currency 5 5 4" xfId="21457" xr:uid="{00000000-0005-0000-0000-00002A5F0000}"/>
    <cellStyle name="Currency 5 6" xfId="6289" xr:uid="{00000000-0005-0000-0000-00002B5F0000}"/>
    <cellStyle name="Currency 5 6 2" xfId="6290" xr:uid="{00000000-0005-0000-0000-00002C5F0000}"/>
    <cellStyle name="Currency 5 6 2 2" xfId="11394" xr:uid="{00000000-0005-0000-0000-00002D5F0000}"/>
    <cellStyle name="Currency 5 6 2 3" xfId="21454" xr:uid="{00000000-0005-0000-0000-00002E5F0000}"/>
    <cellStyle name="Currency 5 6 3" xfId="6291" xr:uid="{00000000-0005-0000-0000-00002F5F0000}"/>
    <cellStyle name="Currency 5 6 3 2" xfId="17106" xr:uid="{00000000-0005-0000-0000-0000305F0000}"/>
    <cellStyle name="Currency 5 6 3 2 2" xfId="30465" xr:uid="{00000000-0005-0000-0000-0000315F0000}"/>
    <cellStyle name="Currency 5 6 3 3" xfId="21453" xr:uid="{00000000-0005-0000-0000-0000325F0000}"/>
    <cellStyle name="Currency 5 6 4" xfId="9926" xr:uid="{00000000-0005-0000-0000-0000335F0000}"/>
    <cellStyle name="Currency 5 6 5" xfId="21455" xr:uid="{00000000-0005-0000-0000-0000345F0000}"/>
    <cellStyle name="Currency 5 7" xfId="6292" xr:uid="{00000000-0005-0000-0000-0000355F0000}"/>
    <cellStyle name="Currency 5 7 2" xfId="6293" xr:uid="{00000000-0005-0000-0000-0000365F0000}"/>
    <cellStyle name="Currency 5 7 2 2" xfId="13194" xr:uid="{00000000-0005-0000-0000-0000375F0000}"/>
    <cellStyle name="Currency 5 7 2 3" xfId="21451" xr:uid="{00000000-0005-0000-0000-0000385F0000}"/>
    <cellStyle name="Currency 5 7 3" xfId="6294" xr:uid="{00000000-0005-0000-0000-0000395F0000}"/>
    <cellStyle name="Currency 5 7 3 2" xfId="17195" xr:uid="{00000000-0005-0000-0000-00003A5F0000}"/>
    <cellStyle name="Currency 5 7 3 2 2" xfId="30554" xr:uid="{00000000-0005-0000-0000-00003B5F0000}"/>
    <cellStyle name="Currency 5 7 3 3" xfId="21450" xr:uid="{00000000-0005-0000-0000-00003C5F0000}"/>
    <cellStyle name="Currency 5 7 4" xfId="11821" xr:uid="{00000000-0005-0000-0000-00003D5F0000}"/>
    <cellStyle name="Currency 5 7 4 2" xfId="25536" xr:uid="{00000000-0005-0000-0000-00003E5F0000}"/>
    <cellStyle name="Currency 5 7 5" xfId="21452" xr:uid="{00000000-0005-0000-0000-00003F5F0000}"/>
    <cellStyle name="Currency 5 8" xfId="6295" xr:uid="{00000000-0005-0000-0000-0000405F0000}"/>
    <cellStyle name="Currency 5 8 2" xfId="6296" xr:uid="{00000000-0005-0000-0000-0000415F0000}"/>
    <cellStyle name="Currency 5 8 2 2" xfId="15651" xr:uid="{00000000-0005-0000-0000-0000425F0000}"/>
    <cellStyle name="Currency 5 8 2 3" xfId="21448" xr:uid="{00000000-0005-0000-0000-0000435F0000}"/>
    <cellStyle name="Currency 5 8 3" xfId="6297" xr:uid="{00000000-0005-0000-0000-0000445F0000}"/>
    <cellStyle name="Currency 5 8 3 2" xfId="16470" xr:uid="{00000000-0005-0000-0000-0000455F0000}"/>
    <cellStyle name="Currency 5 8 3 2 2" xfId="29877" xr:uid="{00000000-0005-0000-0000-0000465F0000}"/>
    <cellStyle name="Currency 5 8 3 3" xfId="21447" xr:uid="{00000000-0005-0000-0000-0000475F0000}"/>
    <cellStyle name="Currency 5 8 4" xfId="13422" xr:uid="{00000000-0005-0000-0000-0000485F0000}"/>
    <cellStyle name="Currency 5 8 4 2" xfId="26971" xr:uid="{00000000-0005-0000-0000-0000495F0000}"/>
    <cellStyle name="Currency 5 8 5" xfId="21449" xr:uid="{00000000-0005-0000-0000-00004A5F0000}"/>
    <cellStyle name="Currency 5 9" xfId="6298" xr:uid="{00000000-0005-0000-0000-00004B5F0000}"/>
    <cellStyle name="Currency 5 9 2" xfId="14003" xr:uid="{00000000-0005-0000-0000-00004C5F0000}"/>
    <cellStyle name="Currency 5 9 2 2" xfId="27552" xr:uid="{00000000-0005-0000-0000-00004D5F0000}"/>
    <cellStyle name="Currency 5 9 3" xfId="21446" xr:uid="{00000000-0005-0000-0000-00004E5F0000}"/>
    <cellStyle name="Currency 6" xfId="6299" xr:uid="{00000000-0005-0000-0000-00004F5F0000}"/>
    <cellStyle name="Currency 6 2" xfId="6300" xr:uid="{00000000-0005-0000-0000-0000505F0000}"/>
    <cellStyle name="Currency 6 2 2" xfId="17021" xr:uid="{00000000-0005-0000-0000-0000515F0000}"/>
    <cellStyle name="Currency 6 2 2 2" xfId="30427" xr:uid="{00000000-0005-0000-0000-0000525F0000}"/>
    <cellStyle name="Currency 6 2 3" xfId="21444" xr:uid="{00000000-0005-0000-0000-0000535F0000}"/>
    <cellStyle name="Currency 6 3" xfId="6301" xr:uid="{00000000-0005-0000-0000-0000545F0000}"/>
    <cellStyle name="Currency 6 3 2" xfId="17325" xr:uid="{00000000-0005-0000-0000-0000555F0000}"/>
    <cellStyle name="Currency 6 3 3" xfId="21443" xr:uid="{00000000-0005-0000-0000-0000565F0000}"/>
    <cellStyle name="Currency 6 4" xfId="8722" xr:uid="{00000000-0005-0000-0000-0000575F0000}"/>
    <cellStyle name="Currency 6 5" xfId="21445" xr:uid="{00000000-0005-0000-0000-0000585F0000}"/>
    <cellStyle name="Currency 7" xfId="6302" xr:uid="{00000000-0005-0000-0000-0000595F0000}"/>
    <cellStyle name="Currency 7 2" xfId="9927" xr:uid="{00000000-0005-0000-0000-00005A5F0000}"/>
    <cellStyle name="Currency 7 3" xfId="21442" xr:uid="{00000000-0005-0000-0000-00005B5F0000}"/>
    <cellStyle name="Currency 8" xfId="6303" xr:uid="{00000000-0005-0000-0000-00005C5F0000}"/>
    <cellStyle name="Currency 8 10" xfId="21441" xr:uid="{00000000-0005-0000-0000-00005D5F0000}"/>
    <cellStyle name="Currency 8 2" xfId="6304" xr:uid="{00000000-0005-0000-0000-00005E5F0000}"/>
    <cellStyle name="Currency 8 2 2" xfId="6305" xr:uid="{00000000-0005-0000-0000-00005F5F0000}"/>
    <cellStyle name="Currency 8 2 2 2" xfId="6306" xr:uid="{00000000-0005-0000-0000-0000605F0000}"/>
    <cellStyle name="Currency 8 2 2 2 2" xfId="6307" xr:uid="{00000000-0005-0000-0000-0000615F0000}"/>
    <cellStyle name="Currency 8 2 2 2 2 2" xfId="11395" xr:uid="{00000000-0005-0000-0000-0000625F0000}"/>
    <cellStyle name="Currency 8 2 2 2 2 3" xfId="21437" xr:uid="{00000000-0005-0000-0000-0000635F0000}"/>
    <cellStyle name="Currency 8 2 2 2 3" xfId="6308" xr:uid="{00000000-0005-0000-0000-0000645F0000}"/>
    <cellStyle name="Currency 8 2 2 2 3 2" xfId="16925" xr:uid="{00000000-0005-0000-0000-0000655F0000}"/>
    <cellStyle name="Currency 8 2 2 2 3 2 2" xfId="30332" xr:uid="{00000000-0005-0000-0000-0000665F0000}"/>
    <cellStyle name="Currency 8 2 2 2 3 3" xfId="21436" xr:uid="{00000000-0005-0000-0000-0000675F0000}"/>
    <cellStyle name="Currency 8 2 2 2 4" xfId="9931" xr:uid="{00000000-0005-0000-0000-0000685F0000}"/>
    <cellStyle name="Currency 8 2 2 2 5" xfId="21438" xr:uid="{00000000-0005-0000-0000-0000695F0000}"/>
    <cellStyle name="Currency 8 2 2 3" xfId="6309" xr:uid="{00000000-0005-0000-0000-00006A5F0000}"/>
    <cellStyle name="Currency 8 2 2 3 2" xfId="6310" xr:uid="{00000000-0005-0000-0000-00006B5F0000}"/>
    <cellStyle name="Currency 8 2 2 3 2 2" xfId="13195" xr:uid="{00000000-0005-0000-0000-00006C5F0000}"/>
    <cellStyle name="Currency 8 2 2 3 2 3" xfId="21434" xr:uid="{00000000-0005-0000-0000-00006D5F0000}"/>
    <cellStyle name="Currency 8 2 2 3 3" xfId="12313" xr:uid="{00000000-0005-0000-0000-00006E5F0000}"/>
    <cellStyle name="Currency 8 2 2 3 3 2" xfId="26025" xr:uid="{00000000-0005-0000-0000-00006F5F0000}"/>
    <cellStyle name="Currency 8 2 2 3 4" xfId="21435" xr:uid="{00000000-0005-0000-0000-0000705F0000}"/>
    <cellStyle name="Currency 8 2 2 4" xfId="6311" xr:uid="{00000000-0005-0000-0000-0000715F0000}"/>
    <cellStyle name="Currency 8 2 2 4 2" xfId="6312" xr:uid="{00000000-0005-0000-0000-0000725F0000}"/>
    <cellStyle name="Currency 8 2 2 4 2 2" xfId="15652" xr:uid="{00000000-0005-0000-0000-0000735F0000}"/>
    <cellStyle name="Currency 8 2 2 4 2 3" xfId="21432" xr:uid="{00000000-0005-0000-0000-0000745F0000}"/>
    <cellStyle name="Currency 8 2 2 4 3" xfId="13877" xr:uid="{00000000-0005-0000-0000-0000755F0000}"/>
    <cellStyle name="Currency 8 2 2 4 3 2" xfId="27426" xr:uid="{00000000-0005-0000-0000-0000765F0000}"/>
    <cellStyle name="Currency 8 2 2 4 4" xfId="21433" xr:uid="{00000000-0005-0000-0000-0000775F0000}"/>
    <cellStyle name="Currency 8 2 2 5" xfId="6313" xr:uid="{00000000-0005-0000-0000-0000785F0000}"/>
    <cellStyle name="Currency 8 2 2 5 2" xfId="14458" xr:uid="{00000000-0005-0000-0000-0000795F0000}"/>
    <cellStyle name="Currency 8 2 2 5 2 2" xfId="28007" xr:uid="{00000000-0005-0000-0000-00007A5F0000}"/>
    <cellStyle name="Currency 8 2 2 5 3" xfId="21431" xr:uid="{00000000-0005-0000-0000-00007B5F0000}"/>
    <cellStyle name="Currency 8 2 2 6" xfId="6314" xr:uid="{00000000-0005-0000-0000-00007C5F0000}"/>
    <cellStyle name="Currency 8 2 2 6 2" xfId="16344" xr:uid="{00000000-0005-0000-0000-00007D5F0000}"/>
    <cellStyle name="Currency 8 2 2 6 2 2" xfId="29751" xr:uid="{00000000-0005-0000-0000-00007E5F0000}"/>
    <cellStyle name="Currency 8 2 2 6 3" xfId="21430" xr:uid="{00000000-0005-0000-0000-00007F5F0000}"/>
    <cellStyle name="Currency 8 2 2 7" xfId="9930" xr:uid="{00000000-0005-0000-0000-0000805F0000}"/>
    <cellStyle name="Currency 8 2 2 8" xfId="21439" xr:uid="{00000000-0005-0000-0000-0000815F0000}"/>
    <cellStyle name="Currency 8 2 3" xfId="6315" xr:uid="{00000000-0005-0000-0000-0000825F0000}"/>
    <cellStyle name="Currency 8 2 3 2" xfId="6316" xr:uid="{00000000-0005-0000-0000-0000835F0000}"/>
    <cellStyle name="Currency 8 2 3 2 2" xfId="11396" xr:uid="{00000000-0005-0000-0000-0000845F0000}"/>
    <cellStyle name="Currency 8 2 3 2 3" xfId="21428" xr:uid="{00000000-0005-0000-0000-0000855F0000}"/>
    <cellStyle name="Currency 8 2 3 3" xfId="6317" xr:uid="{00000000-0005-0000-0000-0000865F0000}"/>
    <cellStyle name="Currency 8 2 3 3 2" xfId="16636" xr:uid="{00000000-0005-0000-0000-0000875F0000}"/>
    <cellStyle name="Currency 8 2 3 3 2 2" xfId="30043" xr:uid="{00000000-0005-0000-0000-0000885F0000}"/>
    <cellStyle name="Currency 8 2 3 3 3" xfId="21427" xr:uid="{00000000-0005-0000-0000-0000895F0000}"/>
    <cellStyle name="Currency 8 2 3 4" xfId="9932" xr:uid="{00000000-0005-0000-0000-00008A5F0000}"/>
    <cellStyle name="Currency 8 2 3 5" xfId="21429" xr:uid="{00000000-0005-0000-0000-00008B5F0000}"/>
    <cellStyle name="Currency 8 2 4" xfId="6318" xr:uid="{00000000-0005-0000-0000-00008C5F0000}"/>
    <cellStyle name="Currency 8 2 4 2" xfId="6319" xr:uid="{00000000-0005-0000-0000-00008D5F0000}"/>
    <cellStyle name="Currency 8 2 4 2 2" xfId="13196" xr:uid="{00000000-0005-0000-0000-00008E5F0000}"/>
    <cellStyle name="Currency 8 2 4 2 3" xfId="21425" xr:uid="{00000000-0005-0000-0000-00008F5F0000}"/>
    <cellStyle name="Currency 8 2 4 3" xfId="12013" xr:uid="{00000000-0005-0000-0000-0000905F0000}"/>
    <cellStyle name="Currency 8 2 4 3 2" xfId="25728" xr:uid="{00000000-0005-0000-0000-0000915F0000}"/>
    <cellStyle name="Currency 8 2 4 4" xfId="21426" xr:uid="{00000000-0005-0000-0000-0000925F0000}"/>
    <cellStyle name="Currency 8 2 5" xfId="6320" xr:uid="{00000000-0005-0000-0000-0000935F0000}"/>
    <cellStyle name="Currency 8 2 5 2" xfId="6321" xr:uid="{00000000-0005-0000-0000-0000945F0000}"/>
    <cellStyle name="Currency 8 2 5 2 2" xfId="15653" xr:uid="{00000000-0005-0000-0000-0000955F0000}"/>
    <cellStyle name="Currency 8 2 5 2 3" xfId="21423" xr:uid="{00000000-0005-0000-0000-0000965F0000}"/>
    <cellStyle name="Currency 8 2 5 3" xfId="13588" xr:uid="{00000000-0005-0000-0000-0000975F0000}"/>
    <cellStyle name="Currency 8 2 5 3 2" xfId="27137" xr:uid="{00000000-0005-0000-0000-0000985F0000}"/>
    <cellStyle name="Currency 8 2 5 4" xfId="21424" xr:uid="{00000000-0005-0000-0000-0000995F0000}"/>
    <cellStyle name="Currency 8 2 6" xfId="6322" xr:uid="{00000000-0005-0000-0000-00009A5F0000}"/>
    <cellStyle name="Currency 8 2 6 2" xfId="14169" xr:uid="{00000000-0005-0000-0000-00009B5F0000}"/>
    <cellStyle name="Currency 8 2 6 2 2" xfId="27718" xr:uid="{00000000-0005-0000-0000-00009C5F0000}"/>
    <cellStyle name="Currency 8 2 6 3" xfId="21422" xr:uid="{00000000-0005-0000-0000-00009D5F0000}"/>
    <cellStyle name="Currency 8 2 7" xfId="6323" xr:uid="{00000000-0005-0000-0000-00009E5F0000}"/>
    <cellStyle name="Currency 8 2 7 2" xfId="16055" xr:uid="{00000000-0005-0000-0000-00009F5F0000}"/>
    <cellStyle name="Currency 8 2 7 2 2" xfId="29462" xr:uid="{00000000-0005-0000-0000-0000A05F0000}"/>
    <cellStyle name="Currency 8 2 7 3" xfId="21421" xr:uid="{00000000-0005-0000-0000-0000A15F0000}"/>
    <cellStyle name="Currency 8 2 8" xfId="9929" xr:uid="{00000000-0005-0000-0000-0000A25F0000}"/>
    <cellStyle name="Currency 8 2 9" xfId="21440" xr:uid="{00000000-0005-0000-0000-0000A35F0000}"/>
    <cellStyle name="Currency 8 3" xfId="6324" xr:uid="{00000000-0005-0000-0000-0000A45F0000}"/>
    <cellStyle name="Currency 8 3 2" xfId="6325" xr:uid="{00000000-0005-0000-0000-0000A55F0000}"/>
    <cellStyle name="Currency 8 3 2 2" xfId="6326" xr:uid="{00000000-0005-0000-0000-0000A65F0000}"/>
    <cellStyle name="Currency 8 3 2 2 2" xfId="11397" xr:uid="{00000000-0005-0000-0000-0000A75F0000}"/>
    <cellStyle name="Currency 8 3 2 2 3" xfId="21418" xr:uid="{00000000-0005-0000-0000-0000A85F0000}"/>
    <cellStyle name="Currency 8 3 2 3" xfId="6327" xr:uid="{00000000-0005-0000-0000-0000A95F0000}"/>
    <cellStyle name="Currency 8 3 2 3 2" xfId="16782" xr:uid="{00000000-0005-0000-0000-0000AA5F0000}"/>
    <cellStyle name="Currency 8 3 2 3 2 2" xfId="30189" xr:uid="{00000000-0005-0000-0000-0000AB5F0000}"/>
    <cellStyle name="Currency 8 3 2 3 3" xfId="21417" xr:uid="{00000000-0005-0000-0000-0000AC5F0000}"/>
    <cellStyle name="Currency 8 3 2 4" xfId="9934" xr:uid="{00000000-0005-0000-0000-0000AD5F0000}"/>
    <cellStyle name="Currency 8 3 2 5" xfId="21419" xr:uid="{00000000-0005-0000-0000-0000AE5F0000}"/>
    <cellStyle name="Currency 8 3 3" xfId="6328" xr:uid="{00000000-0005-0000-0000-0000AF5F0000}"/>
    <cellStyle name="Currency 8 3 3 2" xfId="6329" xr:uid="{00000000-0005-0000-0000-0000B05F0000}"/>
    <cellStyle name="Currency 8 3 3 2 2" xfId="13197" xr:uid="{00000000-0005-0000-0000-0000B15F0000}"/>
    <cellStyle name="Currency 8 3 3 2 3" xfId="21415" xr:uid="{00000000-0005-0000-0000-0000B25F0000}"/>
    <cellStyle name="Currency 8 3 3 3" xfId="12170" xr:uid="{00000000-0005-0000-0000-0000B35F0000}"/>
    <cellStyle name="Currency 8 3 3 3 2" xfId="25882" xr:uid="{00000000-0005-0000-0000-0000B45F0000}"/>
    <cellStyle name="Currency 8 3 3 4" xfId="21416" xr:uid="{00000000-0005-0000-0000-0000B55F0000}"/>
    <cellStyle name="Currency 8 3 4" xfId="6330" xr:uid="{00000000-0005-0000-0000-0000B65F0000}"/>
    <cellStyle name="Currency 8 3 4 2" xfId="6331" xr:uid="{00000000-0005-0000-0000-0000B75F0000}"/>
    <cellStyle name="Currency 8 3 4 2 2" xfId="15654" xr:uid="{00000000-0005-0000-0000-0000B85F0000}"/>
    <cellStyle name="Currency 8 3 4 2 3" xfId="21413" xr:uid="{00000000-0005-0000-0000-0000B95F0000}"/>
    <cellStyle name="Currency 8 3 4 3" xfId="13734" xr:uid="{00000000-0005-0000-0000-0000BA5F0000}"/>
    <cellStyle name="Currency 8 3 4 3 2" xfId="27283" xr:uid="{00000000-0005-0000-0000-0000BB5F0000}"/>
    <cellStyle name="Currency 8 3 4 4" xfId="21414" xr:uid="{00000000-0005-0000-0000-0000BC5F0000}"/>
    <cellStyle name="Currency 8 3 5" xfId="6332" xr:uid="{00000000-0005-0000-0000-0000BD5F0000}"/>
    <cellStyle name="Currency 8 3 5 2" xfId="14315" xr:uid="{00000000-0005-0000-0000-0000BE5F0000}"/>
    <cellStyle name="Currency 8 3 5 2 2" xfId="27864" xr:uid="{00000000-0005-0000-0000-0000BF5F0000}"/>
    <cellStyle name="Currency 8 3 5 3" xfId="21412" xr:uid="{00000000-0005-0000-0000-0000C05F0000}"/>
    <cellStyle name="Currency 8 3 6" xfId="6333" xr:uid="{00000000-0005-0000-0000-0000C15F0000}"/>
    <cellStyle name="Currency 8 3 6 2" xfId="16201" xr:uid="{00000000-0005-0000-0000-0000C25F0000}"/>
    <cellStyle name="Currency 8 3 6 2 2" xfId="29608" xr:uid="{00000000-0005-0000-0000-0000C35F0000}"/>
    <cellStyle name="Currency 8 3 6 3" xfId="21411" xr:uid="{00000000-0005-0000-0000-0000C45F0000}"/>
    <cellStyle name="Currency 8 3 7" xfId="9933" xr:uid="{00000000-0005-0000-0000-0000C55F0000}"/>
    <cellStyle name="Currency 8 3 8" xfId="21420" xr:uid="{00000000-0005-0000-0000-0000C65F0000}"/>
    <cellStyle name="Currency 8 4" xfId="6334" xr:uid="{00000000-0005-0000-0000-0000C75F0000}"/>
    <cellStyle name="Currency 8 4 2" xfId="6335" xr:uid="{00000000-0005-0000-0000-0000C85F0000}"/>
    <cellStyle name="Currency 8 4 2 2" xfId="11398" xr:uid="{00000000-0005-0000-0000-0000C95F0000}"/>
    <cellStyle name="Currency 8 4 2 3" xfId="21409" xr:uid="{00000000-0005-0000-0000-0000CA5F0000}"/>
    <cellStyle name="Currency 8 4 3" xfId="6336" xr:uid="{00000000-0005-0000-0000-0000CB5F0000}"/>
    <cellStyle name="Currency 8 4 3 2" xfId="17129" xr:uid="{00000000-0005-0000-0000-0000CC5F0000}"/>
    <cellStyle name="Currency 8 4 3 2 2" xfId="30488" xr:uid="{00000000-0005-0000-0000-0000CD5F0000}"/>
    <cellStyle name="Currency 8 4 3 3" xfId="21408" xr:uid="{00000000-0005-0000-0000-0000CE5F0000}"/>
    <cellStyle name="Currency 8 4 4" xfId="9935" xr:uid="{00000000-0005-0000-0000-0000CF5F0000}"/>
    <cellStyle name="Currency 8 4 5" xfId="21410" xr:uid="{00000000-0005-0000-0000-0000D05F0000}"/>
    <cellStyle name="Currency 8 5" xfId="6337" xr:uid="{00000000-0005-0000-0000-0000D15F0000}"/>
    <cellStyle name="Currency 8 5 2" xfId="6338" xr:uid="{00000000-0005-0000-0000-0000D25F0000}"/>
    <cellStyle name="Currency 8 5 2 2" xfId="13198" xr:uid="{00000000-0005-0000-0000-0000D35F0000}"/>
    <cellStyle name="Currency 8 5 2 3" xfId="21406" xr:uid="{00000000-0005-0000-0000-0000D45F0000}"/>
    <cellStyle name="Currency 8 5 3" xfId="6339" xr:uid="{00000000-0005-0000-0000-0000D55F0000}"/>
    <cellStyle name="Currency 8 5 3 2" xfId="17218" xr:uid="{00000000-0005-0000-0000-0000D65F0000}"/>
    <cellStyle name="Currency 8 5 3 2 2" xfId="30577" xr:uid="{00000000-0005-0000-0000-0000D75F0000}"/>
    <cellStyle name="Currency 8 5 3 3" xfId="21405" xr:uid="{00000000-0005-0000-0000-0000D85F0000}"/>
    <cellStyle name="Currency 8 5 4" xfId="11865" xr:uid="{00000000-0005-0000-0000-0000D95F0000}"/>
    <cellStyle name="Currency 8 5 4 2" xfId="25580" xr:uid="{00000000-0005-0000-0000-0000DA5F0000}"/>
    <cellStyle name="Currency 8 5 5" xfId="21407" xr:uid="{00000000-0005-0000-0000-0000DB5F0000}"/>
    <cellStyle name="Currency 8 6" xfId="6340" xr:uid="{00000000-0005-0000-0000-0000DC5F0000}"/>
    <cellStyle name="Currency 8 6 2" xfId="6341" xr:uid="{00000000-0005-0000-0000-0000DD5F0000}"/>
    <cellStyle name="Currency 8 6 2 2" xfId="15655" xr:uid="{00000000-0005-0000-0000-0000DE5F0000}"/>
    <cellStyle name="Currency 8 6 2 3" xfId="21403" xr:uid="{00000000-0005-0000-0000-0000DF5F0000}"/>
    <cellStyle name="Currency 8 6 3" xfId="6342" xr:uid="{00000000-0005-0000-0000-0000E05F0000}"/>
    <cellStyle name="Currency 8 6 3 2" xfId="16493" xr:uid="{00000000-0005-0000-0000-0000E15F0000}"/>
    <cellStyle name="Currency 8 6 3 2 2" xfId="29900" xr:uid="{00000000-0005-0000-0000-0000E25F0000}"/>
    <cellStyle name="Currency 8 6 3 3" xfId="21402" xr:uid="{00000000-0005-0000-0000-0000E35F0000}"/>
    <cellStyle name="Currency 8 6 4" xfId="13445" xr:uid="{00000000-0005-0000-0000-0000E45F0000}"/>
    <cellStyle name="Currency 8 6 4 2" xfId="26994" xr:uid="{00000000-0005-0000-0000-0000E55F0000}"/>
    <cellStyle name="Currency 8 6 5" xfId="21404" xr:uid="{00000000-0005-0000-0000-0000E65F0000}"/>
    <cellStyle name="Currency 8 7" xfId="6343" xr:uid="{00000000-0005-0000-0000-0000E75F0000}"/>
    <cellStyle name="Currency 8 7 2" xfId="14026" xr:uid="{00000000-0005-0000-0000-0000E85F0000}"/>
    <cellStyle name="Currency 8 7 2 2" xfId="27575" xr:uid="{00000000-0005-0000-0000-0000E95F0000}"/>
    <cellStyle name="Currency 8 7 3" xfId="21401" xr:uid="{00000000-0005-0000-0000-0000EA5F0000}"/>
    <cellStyle name="Currency 8 8" xfId="6344" xr:uid="{00000000-0005-0000-0000-0000EB5F0000}"/>
    <cellStyle name="Currency 8 8 2" xfId="15912" xr:uid="{00000000-0005-0000-0000-0000EC5F0000}"/>
    <cellStyle name="Currency 8 8 2 2" xfId="29319" xr:uid="{00000000-0005-0000-0000-0000ED5F0000}"/>
    <cellStyle name="Currency 8 8 3" xfId="21400" xr:uid="{00000000-0005-0000-0000-0000EE5F0000}"/>
    <cellStyle name="Currency 8 9" xfId="9928" xr:uid="{00000000-0005-0000-0000-0000EF5F0000}"/>
    <cellStyle name="Currency 9" xfId="6345" xr:uid="{00000000-0005-0000-0000-0000F05F0000}"/>
    <cellStyle name="Currency 9 2" xfId="9936" xr:uid="{00000000-0005-0000-0000-0000F15F0000}"/>
    <cellStyle name="Currency 9 3" xfId="21399" xr:uid="{00000000-0005-0000-0000-0000F25F0000}"/>
    <cellStyle name="Currency0" xfId="6346" xr:uid="{00000000-0005-0000-0000-0000F35F0000}"/>
    <cellStyle name="Currency0 2" xfId="6347" xr:uid="{00000000-0005-0000-0000-0000F45F0000}"/>
    <cellStyle name="Currency0 2 2" xfId="6348" xr:uid="{00000000-0005-0000-0000-0000F55F0000}"/>
    <cellStyle name="Currency0 2 2 2" xfId="17022" xr:uid="{00000000-0005-0000-0000-0000F65F0000}"/>
    <cellStyle name="Currency0 2 2 3" xfId="21396" xr:uid="{00000000-0005-0000-0000-0000F75F0000}"/>
    <cellStyle name="Currency0 2 3" xfId="8658" xr:uid="{00000000-0005-0000-0000-0000F85F0000}"/>
    <cellStyle name="Currency0 2 4" xfId="21397" xr:uid="{00000000-0005-0000-0000-0000F95F0000}"/>
    <cellStyle name="Currency0 3" xfId="6349" xr:uid="{00000000-0005-0000-0000-0000FA5F0000}"/>
    <cellStyle name="Currency0 3 2" xfId="8716" xr:uid="{00000000-0005-0000-0000-0000FB5F0000}"/>
    <cellStyle name="Currency0 3 2 2" xfId="17326" xr:uid="{00000000-0005-0000-0000-0000FC5F0000}"/>
    <cellStyle name="Currency0 3 3" xfId="17285" xr:uid="{00000000-0005-0000-0000-0000FD5F0000}"/>
    <cellStyle name="Currency0 3 4" xfId="9937" xr:uid="{00000000-0005-0000-0000-0000FE5F0000}"/>
    <cellStyle name="Currency0 3 5" xfId="21395" xr:uid="{00000000-0005-0000-0000-0000FF5F0000}"/>
    <cellStyle name="Currency0 4" xfId="8651" xr:uid="{00000000-0005-0000-0000-000000600000}"/>
    <cellStyle name="Currency0 5" xfId="21398" xr:uid="{00000000-0005-0000-0000-000001600000}"/>
    <cellStyle name="Date" xfId="6350" xr:uid="{00000000-0005-0000-0000-000002600000}"/>
    <cellStyle name="Date 2" xfId="6351" xr:uid="{00000000-0005-0000-0000-000003600000}"/>
    <cellStyle name="Date 2 2" xfId="6352" xr:uid="{00000000-0005-0000-0000-000004600000}"/>
    <cellStyle name="Date 2 2 2" xfId="17023" xr:uid="{00000000-0005-0000-0000-000005600000}"/>
    <cellStyle name="Date 2 2 3" xfId="21392" xr:uid="{00000000-0005-0000-0000-000006600000}"/>
    <cellStyle name="Date 2 3" xfId="8686" xr:uid="{00000000-0005-0000-0000-000007600000}"/>
    <cellStyle name="Date 2 4" xfId="21393" xr:uid="{00000000-0005-0000-0000-000008600000}"/>
    <cellStyle name="Date 3" xfId="6353" xr:uid="{00000000-0005-0000-0000-000009600000}"/>
    <cellStyle name="Date 3 2" xfId="8659" xr:uid="{00000000-0005-0000-0000-00000A600000}"/>
    <cellStyle name="Date 3 3" xfId="21391" xr:uid="{00000000-0005-0000-0000-00000B600000}"/>
    <cellStyle name="Date 4" xfId="6354" xr:uid="{00000000-0005-0000-0000-00000C600000}"/>
    <cellStyle name="Date 4 2" xfId="8730" xr:uid="{00000000-0005-0000-0000-00000D600000}"/>
    <cellStyle name="Date 4 2 2" xfId="17327" xr:uid="{00000000-0005-0000-0000-00000E600000}"/>
    <cellStyle name="Date 4 3" xfId="17286" xr:uid="{00000000-0005-0000-0000-00000F600000}"/>
    <cellStyle name="Date 4 4" xfId="9938" xr:uid="{00000000-0005-0000-0000-000010600000}"/>
    <cellStyle name="Date 4 5" xfId="30680" xr:uid="{00000000-0005-0000-0000-000011600000}"/>
    <cellStyle name="Date 5" xfId="8650" xr:uid="{00000000-0005-0000-0000-000012600000}"/>
    <cellStyle name="Date 6" xfId="21394" xr:uid="{00000000-0005-0000-0000-000013600000}"/>
    <cellStyle name="Explanatory Text" xfId="33025" builtinId="53" customBuiltin="1"/>
    <cellStyle name="Explanatory Text 2" xfId="6356" xr:uid="{00000000-0005-0000-0000-000015600000}"/>
    <cellStyle name="Explanatory Text 2 2" xfId="8729" xr:uid="{00000000-0005-0000-0000-000016600000}"/>
    <cellStyle name="Explanatory Text 2 3" xfId="30682" xr:uid="{00000000-0005-0000-0000-000017600000}"/>
    <cellStyle name="Explanatory Text 3" xfId="8804" xr:uid="{00000000-0005-0000-0000-000018600000}"/>
    <cellStyle name="Explanatory Text 4" xfId="30681" xr:uid="{00000000-0005-0000-0000-000019600000}"/>
    <cellStyle name="Explanatory Text 5" xfId="6355" xr:uid="{00000000-0005-0000-0000-00001A600000}"/>
    <cellStyle name="Fixed" xfId="6357" xr:uid="{00000000-0005-0000-0000-00001B600000}"/>
    <cellStyle name="Fixed 2" xfId="6358" xr:uid="{00000000-0005-0000-0000-00001C600000}"/>
    <cellStyle name="Fixed 2 2" xfId="6359" xr:uid="{00000000-0005-0000-0000-00001D600000}"/>
    <cellStyle name="Fixed 2 2 2" xfId="17024" xr:uid="{00000000-0005-0000-0000-00001E600000}"/>
    <cellStyle name="Fixed 2 2 3" xfId="30685" xr:uid="{00000000-0005-0000-0000-00001F600000}"/>
    <cellStyle name="Fixed 2 3" xfId="8660" xr:uid="{00000000-0005-0000-0000-000020600000}"/>
    <cellStyle name="Fixed 2 4" xfId="30684" xr:uid="{00000000-0005-0000-0000-000021600000}"/>
    <cellStyle name="Fixed 3" xfId="6360" xr:uid="{00000000-0005-0000-0000-000022600000}"/>
    <cellStyle name="Fixed 3 2" xfId="8720" xr:uid="{00000000-0005-0000-0000-000023600000}"/>
    <cellStyle name="Fixed 3 2 2" xfId="17328" xr:uid="{00000000-0005-0000-0000-000024600000}"/>
    <cellStyle name="Fixed 3 3" xfId="17287" xr:uid="{00000000-0005-0000-0000-000025600000}"/>
    <cellStyle name="Fixed 3 4" xfId="9939" xr:uid="{00000000-0005-0000-0000-000026600000}"/>
    <cellStyle name="Fixed 3 5" xfId="30686" xr:uid="{00000000-0005-0000-0000-000027600000}"/>
    <cellStyle name="Fixed 4" xfId="8652" xr:uid="{00000000-0005-0000-0000-000028600000}"/>
    <cellStyle name="Fixed 5" xfId="30683" xr:uid="{00000000-0005-0000-0000-000029600000}"/>
    <cellStyle name="Good" xfId="9" builtinId="26" customBuiltin="1"/>
    <cellStyle name="Good 10" xfId="6361" xr:uid="{00000000-0005-0000-0000-00002B600000}"/>
    <cellStyle name="Good 10 2" xfId="9941" xr:uid="{00000000-0005-0000-0000-00002C600000}"/>
    <cellStyle name="Good 10 3" xfId="30687" xr:uid="{00000000-0005-0000-0000-00002D600000}"/>
    <cellStyle name="Good 11" xfId="6362" xr:uid="{00000000-0005-0000-0000-00002E600000}"/>
    <cellStyle name="Good 11 2" xfId="9942" xr:uid="{00000000-0005-0000-0000-00002F600000}"/>
    <cellStyle name="Good 11 3" xfId="30688" xr:uid="{00000000-0005-0000-0000-000030600000}"/>
    <cellStyle name="Good 12" xfId="6363" xr:uid="{00000000-0005-0000-0000-000031600000}"/>
    <cellStyle name="Good 12 2" xfId="6364" xr:uid="{00000000-0005-0000-0000-000032600000}"/>
    <cellStyle name="Good 12 2 2" xfId="15656" xr:uid="{00000000-0005-0000-0000-000033600000}"/>
    <cellStyle name="Good 12 2 3" xfId="30690" xr:uid="{00000000-0005-0000-0000-000034600000}"/>
    <cellStyle name="Good 12 3" xfId="10478" xr:uid="{00000000-0005-0000-0000-000035600000}"/>
    <cellStyle name="Good 12 4" xfId="30689" xr:uid="{00000000-0005-0000-0000-000036600000}"/>
    <cellStyle name="Good 13" xfId="6365" xr:uid="{00000000-0005-0000-0000-000037600000}"/>
    <cellStyle name="Good 13 2" xfId="11399" xr:uid="{00000000-0005-0000-0000-000038600000}"/>
    <cellStyle name="Good 13 3" xfId="30691" xr:uid="{00000000-0005-0000-0000-000039600000}"/>
    <cellStyle name="Good 14" xfId="6366" xr:uid="{00000000-0005-0000-0000-00003A600000}"/>
    <cellStyle name="Good 14 2" xfId="9940" xr:uid="{00000000-0005-0000-0000-00003B600000}"/>
    <cellStyle name="Good 14 3" xfId="30692" xr:uid="{00000000-0005-0000-0000-00003C600000}"/>
    <cellStyle name="Good 2" xfId="6367" xr:uid="{00000000-0005-0000-0000-00003D600000}"/>
    <cellStyle name="Good 2 2" xfId="9943" xr:uid="{00000000-0005-0000-0000-00003E600000}"/>
    <cellStyle name="Good 2 3" xfId="30693" xr:uid="{00000000-0005-0000-0000-00003F600000}"/>
    <cellStyle name="Good 3" xfId="6368" xr:uid="{00000000-0005-0000-0000-000040600000}"/>
    <cellStyle name="Good 3 2" xfId="6369" xr:uid="{00000000-0005-0000-0000-000041600000}"/>
    <cellStyle name="Good 3 2 2" xfId="9945" xr:uid="{00000000-0005-0000-0000-000042600000}"/>
    <cellStyle name="Good 3 2 3" xfId="30695" xr:uid="{00000000-0005-0000-0000-000043600000}"/>
    <cellStyle name="Good 3 3" xfId="9944" xr:uid="{00000000-0005-0000-0000-000044600000}"/>
    <cellStyle name="Good 3 4" xfId="30694" xr:uid="{00000000-0005-0000-0000-000045600000}"/>
    <cellStyle name="Good 4" xfId="6370" xr:uid="{00000000-0005-0000-0000-000046600000}"/>
    <cellStyle name="Good 4 2" xfId="6371" xr:uid="{00000000-0005-0000-0000-000047600000}"/>
    <cellStyle name="Good 4 2 2" xfId="13200" xr:uid="{00000000-0005-0000-0000-000048600000}"/>
    <cellStyle name="Good 4 2 3" xfId="30697" xr:uid="{00000000-0005-0000-0000-000049600000}"/>
    <cellStyle name="Good 4 3" xfId="6372" xr:uid="{00000000-0005-0000-0000-00004A600000}"/>
    <cellStyle name="Good 4 3 2" xfId="13199" xr:uid="{00000000-0005-0000-0000-00004B600000}"/>
    <cellStyle name="Good 4 3 3" xfId="30698" xr:uid="{00000000-0005-0000-0000-00004C600000}"/>
    <cellStyle name="Good 4 4" xfId="9946" xr:uid="{00000000-0005-0000-0000-00004D600000}"/>
    <cellStyle name="Good 4 5" xfId="30696" xr:uid="{00000000-0005-0000-0000-00004E600000}"/>
    <cellStyle name="Good 5" xfId="6373" xr:uid="{00000000-0005-0000-0000-00004F600000}"/>
    <cellStyle name="Good 5 2" xfId="6374" xr:uid="{00000000-0005-0000-0000-000050600000}"/>
    <cellStyle name="Good 5 2 2" xfId="9948" xr:uid="{00000000-0005-0000-0000-000051600000}"/>
    <cellStyle name="Good 5 2 3" xfId="30700" xr:uid="{00000000-0005-0000-0000-000052600000}"/>
    <cellStyle name="Good 5 3" xfId="9947" xr:uid="{00000000-0005-0000-0000-000053600000}"/>
    <cellStyle name="Good 5 4" xfId="30699" xr:uid="{00000000-0005-0000-0000-000054600000}"/>
    <cellStyle name="Good 6" xfId="6375" xr:uid="{00000000-0005-0000-0000-000055600000}"/>
    <cellStyle name="Good 6 2" xfId="9949" xr:uid="{00000000-0005-0000-0000-000056600000}"/>
    <cellStyle name="Good 6 3" xfId="30701" xr:uid="{00000000-0005-0000-0000-000057600000}"/>
    <cellStyle name="Good 7" xfId="6376" xr:uid="{00000000-0005-0000-0000-000058600000}"/>
    <cellStyle name="Good 7 2" xfId="9950" xr:uid="{00000000-0005-0000-0000-000059600000}"/>
    <cellStyle name="Good 7 3" xfId="30702" xr:uid="{00000000-0005-0000-0000-00005A600000}"/>
    <cellStyle name="Good 8" xfId="6377" xr:uid="{00000000-0005-0000-0000-00005B600000}"/>
    <cellStyle name="Good 8 2" xfId="9951" xr:uid="{00000000-0005-0000-0000-00005C600000}"/>
    <cellStyle name="Good 8 3" xfId="30703" xr:uid="{00000000-0005-0000-0000-00005D600000}"/>
    <cellStyle name="Good 9" xfId="6378" xr:uid="{00000000-0005-0000-0000-00005E600000}"/>
    <cellStyle name="Good 9 2" xfId="9952" xr:uid="{00000000-0005-0000-0000-00005F600000}"/>
    <cellStyle name="Good 9 3" xfId="30704" xr:uid="{00000000-0005-0000-0000-000060600000}"/>
    <cellStyle name="Heading 1" xfId="5" builtinId="16" customBuiltin="1"/>
    <cellStyle name="Heading 1 2" xfId="6379" xr:uid="{00000000-0005-0000-0000-000062600000}"/>
    <cellStyle name="Heading 1 2 10" xfId="6380" xr:uid="{00000000-0005-0000-0000-000063600000}"/>
    <cellStyle name="Heading 1 2 10 2" xfId="6381" xr:uid="{00000000-0005-0000-0000-000064600000}"/>
    <cellStyle name="Heading 1 2 10 2 2" xfId="11401" xr:uid="{00000000-0005-0000-0000-000065600000}"/>
    <cellStyle name="Heading 1 2 10 2 3" xfId="30707" xr:uid="{00000000-0005-0000-0000-000066600000}"/>
    <cellStyle name="Heading 1 2 10 3" xfId="9955" xr:uid="{00000000-0005-0000-0000-000067600000}"/>
    <cellStyle name="Heading 1 2 10 4" xfId="30706" xr:uid="{00000000-0005-0000-0000-000068600000}"/>
    <cellStyle name="Heading 1 2 11" xfId="6382" xr:uid="{00000000-0005-0000-0000-000069600000}"/>
    <cellStyle name="Heading 1 2 11 2" xfId="6383" xr:uid="{00000000-0005-0000-0000-00006A600000}"/>
    <cellStyle name="Heading 1 2 11 2 2" xfId="11402" xr:uid="{00000000-0005-0000-0000-00006B600000}"/>
    <cellStyle name="Heading 1 2 11 2 3" xfId="30709" xr:uid="{00000000-0005-0000-0000-00006C600000}"/>
    <cellStyle name="Heading 1 2 11 3" xfId="9956" xr:uid="{00000000-0005-0000-0000-00006D600000}"/>
    <cellStyle name="Heading 1 2 11 4" xfId="30708" xr:uid="{00000000-0005-0000-0000-00006E600000}"/>
    <cellStyle name="Heading 1 2 12" xfId="6384" xr:uid="{00000000-0005-0000-0000-00006F600000}"/>
    <cellStyle name="Heading 1 2 12 2" xfId="6385" xr:uid="{00000000-0005-0000-0000-000070600000}"/>
    <cellStyle name="Heading 1 2 12 2 2" xfId="11403" xr:uid="{00000000-0005-0000-0000-000071600000}"/>
    <cellStyle name="Heading 1 2 12 2 3" xfId="30711" xr:uid="{00000000-0005-0000-0000-000072600000}"/>
    <cellStyle name="Heading 1 2 12 3" xfId="9957" xr:uid="{00000000-0005-0000-0000-000073600000}"/>
    <cellStyle name="Heading 1 2 12 4" xfId="30710" xr:uid="{00000000-0005-0000-0000-000074600000}"/>
    <cellStyle name="Heading 1 2 13" xfId="6386" xr:uid="{00000000-0005-0000-0000-000075600000}"/>
    <cellStyle name="Heading 1 2 13 2" xfId="6387" xr:uid="{00000000-0005-0000-0000-000076600000}"/>
    <cellStyle name="Heading 1 2 13 2 2" xfId="15657" xr:uid="{00000000-0005-0000-0000-000077600000}"/>
    <cellStyle name="Heading 1 2 13 2 3" xfId="30713" xr:uid="{00000000-0005-0000-0000-000078600000}"/>
    <cellStyle name="Heading 1 2 13 3" xfId="9958" xr:uid="{00000000-0005-0000-0000-000079600000}"/>
    <cellStyle name="Heading 1 2 13 4" xfId="30712" xr:uid="{00000000-0005-0000-0000-00007A600000}"/>
    <cellStyle name="Heading 1 2 14" xfId="6388" xr:uid="{00000000-0005-0000-0000-00007B600000}"/>
    <cellStyle name="Heading 1 2 14 2" xfId="6389" xr:uid="{00000000-0005-0000-0000-00007C600000}"/>
    <cellStyle name="Heading 1 2 14 2 2" xfId="15658" xr:uid="{00000000-0005-0000-0000-00007D600000}"/>
    <cellStyle name="Heading 1 2 14 2 3" xfId="30715" xr:uid="{00000000-0005-0000-0000-00007E600000}"/>
    <cellStyle name="Heading 1 2 14 3" xfId="10479" xr:uid="{00000000-0005-0000-0000-00007F600000}"/>
    <cellStyle name="Heading 1 2 14 4" xfId="30714" xr:uid="{00000000-0005-0000-0000-000080600000}"/>
    <cellStyle name="Heading 1 2 15" xfId="6390" xr:uid="{00000000-0005-0000-0000-000081600000}"/>
    <cellStyle name="Heading 1 2 15 2" xfId="11400" xr:uid="{00000000-0005-0000-0000-000082600000}"/>
    <cellStyle name="Heading 1 2 15 3" xfId="30716" xr:uid="{00000000-0005-0000-0000-000083600000}"/>
    <cellStyle name="Heading 1 2 16" xfId="8653" xr:uid="{00000000-0005-0000-0000-000084600000}"/>
    <cellStyle name="Heading 1 2 16 2" xfId="9954" xr:uid="{00000000-0005-0000-0000-000085600000}"/>
    <cellStyle name="Heading 1 2 17" xfId="17292" xr:uid="{00000000-0005-0000-0000-000086600000}"/>
    <cellStyle name="Heading 1 2 18" xfId="30705" xr:uid="{00000000-0005-0000-0000-000087600000}"/>
    <cellStyle name="Heading 1 2 2" xfId="6391" xr:uid="{00000000-0005-0000-0000-000088600000}"/>
    <cellStyle name="Heading 1 2 2 2" xfId="6392" xr:uid="{00000000-0005-0000-0000-000089600000}"/>
    <cellStyle name="Heading 1 2 2 2 2" xfId="6393" xr:uid="{00000000-0005-0000-0000-00008A600000}"/>
    <cellStyle name="Heading 1 2 2 2 2 2" xfId="11404" xr:uid="{00000000-0005-0000-0000-00008B600000}"/>
    <cellStyle name="Heading 1 2 2 2 2 3" xfId="30719" xr:uid="{00000000-0005-0000-0000-00008C600000}"/>
    <cellStyle name="Heading 1 2 2 2 3" xfId="9960" xr:uid="{00000000-0005-0000-0000-00008D600000}"/>
    <cellStyle name="Heading 1 2 2 2 4" xfId="30718" xr:uid="{00000000-0005-0000-0000-00008E600000}"/>
    <cellStyle name="Heading 1 2 2 3" xfId="6394" xr:uid="{00000000-0005-0000-0000-00008F600000}"/>
    <cellStyle name="Heading 1 2 2 3 2" xfId="6395" xr:uid="{00000000-0005-0000-0000-000090600000}"/>
    <cellStyle name="Heading 1 2 2 3 2 2" xfId="15659" xr:uid="{00000000-0005-0000-0000-000091600000}"/>
    <cellStyle name="Heading 1 2 2 3 2 3" xfId="30721" xr:uid="{00000000-0005-0000-0000-000092600000}"/>
    <cellStyle name="Heading 1 2 2 3 3" xfId="11653" xr:uid="{00000000-0005-0000-0000-000093600000}"/>
    <cellStyle name="Heading 1 2 2 3 4" xfId="30720" xr:uid="{00000000-0005-0000-0000-000094600000}"/>
    <cellStyle name="Heading 1 2 2 4" xfId="6396" xr:uid="{00000000-0005-0000-0000-000095600000}"/>
    <cellStyle name="Heading 1 2 2 4 2" xfId="12078" xr:uid="{00000000-0005-0000-0000-000096600000}"/>
    <cellStyle name="Heading 1 2 2 4 3" xfId="30722" xr:uid="{00000000-0005-0000-0000-000097600000}"/>
    <cellStyle name="Heading 1 2 2 5" xfId="6397" xr:uid="{00000000-0005-0000-0000-000098600000}"/>
    <cellStyle name="Heading 1 2 2 5 2" xfId="9959" xr:uid="{00000000-0005-0000-0000-000099600000}"/>
    <cellStyle name="Heading 1 2 2 5 3" xfId="30723" xr:uid="{00000000-0005-0000-0000-00009A600000}"/>
    <cellStyle name="Heading 1 2 2 6" xfId="8682" xr:uid="{00000000-0005-0000-0000-00009B600000}"/>
    <cellStyle name="Heading 1 2 2 7" xfId="30717" xr:uid="{00000000-0005-0000-0000-00009C600000}"/>
    <cellStyle name="Heading 1 2 3" xfId="6398" xr:uid="{00000000-0005-0000-0000-00009D600000}"/>
    <cellStyle name="Heading 1 2 3 2" xfId="6399" xr:uid="{00000000-0005-0000-0000-00009E600000}"/>
    <cellStyle name="Heading 1 2 3 2 2" xfId="9962" xr:uid="{00000000-0005-0000-0000-00009F600000}"/>
    <cellStyle name="Heading 1 2 3 2 3" xfId="30725" xr:uid="{00000000-0005-0000-0000-0000A0600000}"/>
    <cellStyle name="Heading 1 2 3 3" xfId="6400" xr:uid="{00000000-0005-0000-0000-0000A1600000}"/>
    <cellStyle name="Heading 1 2 3 3 2" xfId="11405" xr:uid="{00000000-0005-0000-0000-0000A2600000}"/>
    <cellStyle name="Heading 1 2 3 3 3" xfId="30726" xr:uid="{00000000-0005-0000-0000-0000A3600000}"/>
    <cellStyle name="Heading 1 2 3 4" xfId="6401" xr:uid="{00000000-0005-0000-0000-0000A4600000}"/>
    <cellStyle name="Heading 1 2 3 4 2" xfId="17329" xr:uid="{00000000-0005-0000-0000-0000A5600000}"/>
    <cellStyle name="Heading 1 2 3 4 3" xfId="30727" xr:uid="{00000000-0005-0000-0000-0000A6600000}"/>
    <cellStyle name="Heading 1 2 3 5" xfId="8714" xr:uid="{00000000-0005-0000-0000-0000A7600000}"/>
    <cellStyle name="Heading 1 2 3 6" xfId="9961" xr:uid="{00000000-0005-0000-0000-0000A8600000}"/>
    <cellStyle name="Heading 1 2 3 7" xfId="30724" xr:uid="{00000000-0005-0000-0000-0000A9600000}"/>
    <cellStyle name="Heading 1 2 4" xfId="6402" xr:uid="{00000000-0005-0000-0000-0000AA600000}"/>
    <cellStyle name="Heading 1 2 4 2" xfId="6403" xr:uid="{00000000-0005-0000-0000-0000AB600000}"/>
    <cellStyle name="Heading 1 2 4 2 2" xfId="9964" xr:uid="{00000000-0005-0000-0000-0000AC600000}"/>
    <cellStyle name="Heading 1 2 4 2 3" xfId="30729" xr:uid="{00000000-0005-0000-0000-0000AD600000}"/>
    <cellStyle name="Heading 1 2 4 3" xfId="6404" xr:uid="{00000000-0005-0000-0000-0000AE600000}"/>
    <cellStyle name="Heading 1 2 4 3 2" xfId="13202" xr:uid="{00000000-0005-0000-0000-0000AF600000}"/>
    <cellStyle name="Heading 1 2 4 3 3" xfId="30730" xr:uid="{00000000-0005-0000-0000-0000B0600000}"/>
    <cellStyle name="Heading 1 2 4 4" xfId="6405" xr:uid="{00000000-0005-0000-0000-0000B1600000}"/>
    <cellStyle name="Heading 1 2 4 4 2" xfId="13201" xr:uid="{00000000-0005-0000-0000-0000B2600000}"/>
    <cellStyle name="Heading 1 2 4 4 3" xfId="30731" xr:uid="{00000000-0005-0000-0000-0000B3600000}"/>
    <cellStyle name="Heading 1 2 4 5" xfId="9963" xr:uid="{00000000-0005-0000-0000-0000B4600000}"/>
    <cellStyle name="Heading 1 2 4 6" xfId="30728" xr:uid="{00000000-0005-0000-0000-0000B5600000}"/>
    <cellStyle name="Heading 1 2 5" xfId="6406" xr:uid="{00000000-0005-0000-0000-0000B6600000}"/>
    <cellStyle name="Heading 1 2 5 2" xfId="6407" xr:uid="{00000000-0005-0000-0000-0000B7600000}"/>
    <cellStyle name="Heading 1 2 5 2 2" xfId="13204" xr:uid="{00000000-0005-0000-0000-0000B8600000}"/>
    <cellStyle name="Heading 1 2 5 2 3" xfId="30733" xr:uid="{00000000-0005-0000-0000-0000B9600000}"/>
    <cellStyle name="Heading 1 2 5 3" xfId="6408" xr:uid="{00000000-0005-0000-0000-0000BA600000}"/>
    <cellStyle name="Heading 1 2 5 3 2" xfId="13203" xr:uid="{00000000-0005-0000-0000-0000BB600000}"/>
    <cellStyle name="Heading 1 2 5 3 3" xfId="30734" xr:uid="{00000000-0005-0000-0000-0000BC600000}"/>
    <cellStyle name="Heading 1 2 5 4" xfId="6409" xr:uid="{00000000-0005-0000-0000-0000BD600000}"/>
    <cellStyle name="Heading 1 2 5 4 2" xfId="15660" xr:uid="{00000000-0005-0000-0000-0000BE600000}"/>
    <cellStyle name="Heading 1 2 5 4 3" xfId="30735" xr:uid="{00000000-0005-0000-0000-0000BF600000}"/>
    <cellStyle name="Heading 1 2 5 5" xfId="9965" xr:uid="{00000000-0005-0000-0000-0000C0600000}"/>
    <cellStyle name="Heading 1 2 5 6" xfId="30732" xr:uid="{00000000-0005-0000-0000-0000C1600000}"/>
    <cellStyle name="Heading 1 2 6" xfId="6410" xr:uid="{00000000-0005-0000-0000-0000C2600000}"/>
    <cellStyle name="Heading 1 2 6 2" xfId="6411" xr:uid="{00000000-0005-0000-0000-0000C3600000}"/>
    <cellStyle name="Heading 1 2 6 2 2" xfId="6412" xr:uid="{00000000-0005-0000-0000-0000C4600000}"/>
    <cellStyle name="Heading 1 2 6 2 2 2" xfId="11407" xr:uid="{00000000-0005-0000-0000-0000C5600000}"/>
    <cellStyle name="Heading 1 2 6 2 2 3" xfId="30738" xr:uid="{00000000-0005-0000-0000-0000C6600000}"/>
    <cellStyle name="Heading 1 2 6 2 3" xfId="9967" xr:uid="{00000000-0005-0000-0000-0000C7600000}"/>
    <cellStyle name="Heading 1 2 6 2 4" xfId="30737" xr:uid="{00000000-0005-0000-0000-0000C8600000}"/>
    <cellStyle name="Heading 1 2 6 3" xfId="6413" xr:uid="{00000000-0005-0000-0000-0000C9600000}"/>
    <cellStyle name="Heading 1 2 6 3 2" xfId="11406" xr:uid="{00000000-0005-0000-0000-0000CA600000}"/>
    <cellStyle name="Heading 1 2 6 3 3" xfId="30739" xr:uid="{00000000-0005-0000-0000-0000CB600000}"/>
    <cellStyle name="Heading 1 2 6 4" xfId="9966" xr:uid="{00000000-0005-0000-0000-0000CC600000}"/>
    <cellStyle name="Heading 1 2 6 5" xfId="30736" xr:uid="{00000000-0005-0000-0000-0000CD600000}"/>
    <cellStyle name="Heading 1 2 7" xfId="6414" xr:uid="{00000000-0005-0000-0000-0000CE600000}"/>
    <cellStyle name="Heading 1 2 7 2" xfId="6415" xr:uid="{00000000-0005-0000-0000-0000CF600000}"/>
    <cellStyle name="Heading 1 2 7 2 2" xfId="6416" xr:uid="{00000000-0005-0000-0000-0000D0600000}"/>
    <cellStyle name="Heading 1 2 7 2 2 2" xfId="11409" xr:uid="{00000000-0005-0000-0000-0000D1600000}"/>
    <cellStyle name="Heading 1 2 7 2 2 3" xfId="30742" xr:uid="{00000000-0005-0000-0000-0000D2600000}"/>
    <cellStyle name="Heading 1 2 7 2 3" xfId="9969" xr:uid="{00000000-0005-0000-0000-0000D3600000}"/>
    <cellStyle name="Heading 1 2 7 2 4" xfId="30741" xr:uid="{00000000-0005-0000-0000-0000D4600000}"/>
    <cellStyle name="Heading 1 2 7 3" xfId="6417" xr:uid="{00000000-0005-0000-0000-0000D5600000}"/>
    <cellStyle name="Heading 1 2 7 3 2" xfId="11408" xr:uid="{00000000-0005-0000-0000-0000D6600000}"/>
    <cellStyle name="Heading 1 2 7 3 3" xfId="30743" xr:uid="{00000000-0005-0000-0000-0000D7600000}"/>
    <cellStyle name="Heading 1 2 7 4" xfId="9968" xr:uid="{00000000-0005-0000-0000-0000D8600000}"/>
    <cellStyle name="Heading 1 2 7 5" xfId="30740" xr:uid="{00000000-0005-0000-0000-0000D9600000}"/>
    <cellStyle name="Heading 1 2 8" xfId="6418" xr:uid="{00000000-0005-0000-0000-0000DA600000}"/>
    <cellStyle name="Heading 1 2 8 2" xfId="6419" xr:uid="{00000000-0005-0000-0000-0000DB600000}"/>
    <cellStyle name="Heading 1 2 8 2 2" xfId="11410" xr:uid="{00000000-0005-0000-0000-0000DC600000}"/>
    <cellStyle name="Heading 1 2 8 2 3" xfId="30745" xr:uid="{00000000-0005-0000-0000-0000DD600000}"/>
    <cellStyle name="Heading 1 2 8 3" xfId="9970" xr:uid="{00000000-0005-0000-0000-0000DE600000}"/>
    <cellStyle name="Heading 1 2 8 4" xfId="30744" xr:uid="{00000000-0005-0000-0000-0000DF600000}"/>
    <cellStyle name="Heading 1 2 9" xfId="6420" xr:uid="{00000000-0005-0000-0000-0000E0600000}"/>
    <cellStyle name="Heading 1 2 9 2" xfId="6421" xr:uid="{00000000-0005-0000-0000-0000E1600000}"/>
    <cellStyle name="Heading 1 2 9 2 2" xfId="11411" xr:uid="{00000000-0005-0000-0000-0000E2600000}"/>
    <cellStyle name="Heading 1 2 9 2 3" xfId="30747" xr:uid="{00000000-0005-0000-0000-0000E3600000}"/>
    <cellStyle name="Heading 1 2 9 3" xfId="9971" xr:uid="{00000000-0005-0000-0000-0000E4600000}"/>
    <cellStyle name="Heading 1 2 9 4" xfId="30746" xr:uid="{00000000-0005-0000-0000-0000E5600000}"/>
    <cellStyle name="Heading 1 3" xfId="6422" xr:uid="{00000000-0005-0000-0000-0000E6600000}"/>
    <cellStyle name="Heading 1 3 2" xfId="8661" xr:uid="{00000000-0005-0000-0000-0000E7600000}"/>
    <cellStyle name="Heading 1 3 3" xfId="30748" xr:uid="{00000000-0005-0000-0000-0000E8600000}"/>
    <cellStyle name="Heading 1 4" xfId="6423" xr:uid="{00000000-0005-0000-0000-0000E9600000}"/>
    <cellStyle name="Heading 1 4 2" xfId="9972" xr:uid="{00000000-0005-0000-0000-0000EA600000}"/>
    <cellStyle name="Heading 1 4 3" xfId="30749" xr:uid="{00000000-0005-0000-0000-0000EB600000}"/>
    <cellStyle name="Heading 1 5" xfId="6424" xr:uid="{00000000-0005-0000-0000-0000EC600000}"/>
    <cellStyle name="Heading 1 5 2" xfId="9973" xr:uid="{00000000-0005-0000-0000-0000ED600000}"/>
    <cellStyle name="Heading 1 5 3" xfId="30750" xr:uid="{00000000-0005-0000-0000-0000EE600000}"/>
    <cellStyle name="Heading 1 6" xfId="6425" xr:uid="{00000000-0005-0000-0000-0000EF600000}"/>
    <cellStyle name="Heading 1 6 2" xfId="9974" xr:uid="{00000000-0005-0000-0000-0000F0600000}"/>
    <cellStyle name="Heading 1 6 3" xfId="30751" xr:uid="{00000000-0005-0000-0000-0000F1600000}"/>
    <cellStyle name="Heading 1 7" xfId="6426" xr:uid="{00000000-0005-0000-0000-0000F2600000}"/>
    <cellStyle name="Heading 1 7 2" xfId="9975" xr:uid="{00000000-0005-0000-0000-0000F3600000}"/>
    <cellStyle name="Heading 1 7 3" xfId="30752" xr:uid="{00000000-0005-0000-0000-0000F4600000}"/>
    <cellStyle name="Heading 1 8" xfId="9953" xr:uid="{00000000-0005-0000-0000-0000F5600000}"/>
    <cellStyle name="Heading 2" xfId="6" builtinId="17" customBuiltin="1"/>
    <cellStyle name="Heading 2 2" xfId="6427" xr:uid="{00000000-0005-0000-0000-0000F7600000}"/>
    <cellStyle name="Heading 2 2 10" xfId="6428" xr:uid="{00000000-0005-0000-0000-0000F8600000}"/>
    <cellStyle name="Heading 2 2 10 2" xfId="6429" xr:uid="{00000000-0005-0000-0000-0000F9600000}"/>
    <cellStyle name="Heading 2 2 10 2 2" xfId="11413" xr:uid="{00000000-0005-0000-0000-0000FA600000}"/>
    <cellStyle name="Heading 2 2 10 2 3" xfId="30755" xr:uid="{00000000-0005-0000-0000-0000FB600000}"/>
    <cellStyle name="Heading 2 2 10 3" xfId="9978" xr:uid="{00000000-0005-0000-0000-0000FC600000}"/>
    <cellStyle name="Heading 2 2 10 4" xfId="30754" xr:uid="{00000000-0005-0000-0000-0000FD600000}"/>
    <cellStyle name="Heading 2 2 11" xfId="6430" xr:uid="{00000000-0005-0000-0000-0000FE600000}"/>
    <cellStyle name="Heading 2 2 11 2" xfId="6431" xr:uid="{00000000-0005-0000-0000-0000FF600000}"/>
    <cellStyle name="Heading 2 2 11 2 2" xfId="11414" xr:uid="{00000000-0005-0000-0000-000000610000}"/>
    <cellStyle name="Heading 2 2 11 2 3" xfId="30757" xr:uid="{00000000-0005-0000-0000-000001610000}"/>
    <cellStyle name="Heading 2 2 11 3" xfId="9979" xr:uid="{00000000-0005-0000-0000-000002610000}"/>
    <cellStyle name="Heading 2 2 11 4" xfId="30756" xr:uid="{00000000-0005-0000-0000-000003610000}"/>
    <cellStyle name="Heading 2 2 12" xfId="6432" xr:uid="{00000000-0005-0000-0000-000004610000}"/>
    <cellStyle name="Heading 2 2 12 2" xfId="6433" xr:uid="{00000000-0005-0000-0000-000005610000}"/>
    <cellStyle name="Heading 2 2 12 2 2" xfId="11415" xr:uid="{00000000-0005-0000-0000-000006610000}"/>
    <cellStyle name="Heading 2 2 12 2 3" xfId="30759" xr:uid="{00000000-0005-0000-0000-000007610000}"/>
    <cellStyle name="Heading 2 2 12 3" xfId="9980" xr:uid="{00000000-0005-0000-0000-000008610000}"/>
    <cellStyle name="Heading 2 2 12 4" xfId="30758" xr:uid="{00000000-0005-0000-0000-000009610000}"/>
    <cellStyle name="Heading 2 2 13" xfId="6434" xr:uid="{00000000-0005-0000-0000-00000A610000}"/>
    <cellStyle name="Heading 2 2 13 2" xfId="6435" xr:uid="{00000000-0005-0000-0000-00000B610000}"/>
    <cellStyle name="Heading 2 2 13 2 2" xfId="15661" xr:uid="{00000000-0005-0000-0000-00000C610000}"/>
    <cellStyle name="Heading 2 2 13 2 3" xfId="30761" xr:uid="{00000000-0005-0000-0000-00000D610000}"/>
    <cellStyle name="Heading 2 2 13 3" xfId="9981" xr:uid="{00000000-0005-0000-0000-00000E610000}"/>
    <cellStyle name="Heading 2 2 13 4" xfId="30760" xr:uid="{00000000-0005-0000-0000-00000F610000}"/>
    <cellStyle name="Heading 2 2 14" xfId="6436" xr:uid="{00000000-0005-0000-0000-000010610000}"/>
    <cellStyle name="Heading 2 2 14 2" xfId="6437" xr:uid="{00000000-0005-0000-0000-000011610000}"/>
    <cellStyle name="Heading 2 2 14 2 2" xfId="15662" xr:uid="{00000000-0005-0000-0000-000012610000}"/>
    <cellStyle name="Heading 2 2 14 2 3" xfId="30763" xr:uid="{00000000-0005-0000-0000-000013610000}"/>
    <cellStyle name="Heading 2 2 14 3" xfId="10480" xr:uid="{00000000-0005-0000-0000-000014610000}"/>
    <cellStyle name="Heading 2 2 14 4" xfId="30762" xr:uid="{00000000-0005-0000-0000-000015610000}"/>
    <cellStyle name="Heading 2 2 15" xfId="6438" xr:uid="{00000000-0005-0000-0000-000016610000}"/>
    <cellStyle name="Heading 2 2 15 2" xfId="11412" xr:uid="{00000000-0005-0000-0000-000017610000}"/>
    <cellStyle name="Heading 2 2 15 3" xfId="30764" xr:uid="{00000000-0005-0000-0000-000018610000}"/>
    <cellStyle name="Heading 2 2 16" xfId="8654" xr:uid="{00000000-0005-0000-0000-000019610000}"/>
    <cellStyle name="Heading 2 2 16 2" xfId="9977" xr:uid="{00000000-0005-0000-0000-00001A610000}"/>
    <cellStyle name="Heading 2 2 17" xfId="17293" xr:uid="{00000000-0005-0000-0000-00001B610000}"/>
    <cellStyle name="Heading 2 2 18" xfId="30753" xr:uid="{00000000-0005-0000-0000-00001C610000}"/>
    <cellStyle name="Heading 2 2 2" xfId="6439" xr:uid="{00000000-0005-0000-0000-00001D610000}"/>
    <cellStyle name="Heading 2 2 2 2" xfId="6440" xr:uid="{00000000-0005-0000-0000-00001E610000}"/>
    <cellStyle name="Heading 2 2 2 2 2" xfId="6441" xr:uid="{00000000-0005-0000-0000-00001F610000}"/>
    <cellStyle name="Heading 2 2 2 2 2 2" xfId="11416" xr:uid="{00000000-0005-0000-0000-000020610000}"/>
    <cellStyle name="Heading 2 2 2 2 2 3" xfId="30767" xr:uid="{00000000-0005-0000-0000-000021610000}"/>
    <cellStyle name="Heading 2 2 2 2 3" xfId="9983" xr:uid="{00000000-0005-0000-0000-000022610000}"/>
    <cellStyle name="Heading 2 2 2 2 4" xfId="30766" xr:uid="{00000000-0005-0000-0000-000023610000}"/>
    <cellStyle name="Heading 2 2 2 3" xfId="6442" xr:uid="{00000000-0005-0000-0000-000024610000}"/>
    <cellStyle name="Heading 2 2 2 3 2" xfId="6443" xr:uid="{00000000-0005-0000-0000-000025610000}"/>
    <cellStyle name="Heading 2 2 2 3 2 2" xfId="15663" xr:uid="{00000000-0005-0000-0000-000026610000}"/>
    <cellStyle name="Heading 2 2 2 3 2 3" xfId="30769" xr:uid="{00000000-0005-0000-0000-000027610000}"/>
    <cellStyle name="Heading 2 2 2 3 3" xfId="11716" xr:uid="{00000000-0005-0000-0000-000028610000}"/>
    <cellStyle name="Heading 2 2 2 3 4" xfId="30768" xr:uid="{00000000-0005-0000-0000-000029610000}"/>
    <cellStyle name="Heading 2 2 2 4" xfId="6444" xr:uid="{00000000-0005-0000-0000-00002A610000}"/>
    <cellStyle name="Heading 2 2 2 4 2" xfId="12092" xr:uid="{00000000-0005-0000-0000-00002B610000}"/>
    <cellStyle name="Heading 2 2 2 4 3" xfId="30770" xr:uid="{00000000-0005-0000-0000-00002C610000}"/>
    <cellStyle name="Heading 2 2 2 5" xfId="6445" xr:uid="{00000000-0005-0000-0000-00002D610000}"/>
    <cellStyle name="Heading 2 2 2 5 2" xfId="9982" xr:uid="{00000000-0005-0000-0000-00002E610000}"/>
    <cellStyle name="Heading 2 2 2 5 3" xfId="30771" xr:uid="{00000000-0005-0000-0000-00002F610000}"/>
    <cellStyle name="Heading 2 2 2 6" xfId="8683" xr:uid="{00000000-0005-0000-0000-000030610000}"/>
    <cellStyle name="Heading 2 2 2 7" xfId="30765" xr:uid="{00000000-0005-0000-0000-000031610000}"/>
    <cellStyle name="Heading 2 2 3" xfId="6446" xr:uid="{00000000-0005-0000-0000-000032610000}"/>
    <cellStyle name="Heading 2 2 3 2" xfId="6447" xr:uid="{00000000-0005-0000-0000-000033610000}"/>
    <cellStyle name="Heading 2 2 3 2 2" xfId="9985" xr:uid="{00000000-0005-0000-0000-000034610000}"/>
    <cellStyle name="Heading 2 2 3 2 3" xfId="30773" xr:uid="{00000000-0005-0000-0000-000035610000}"/>
    <cellStyle name="Heading 2 2 3 3" xfId="6448" xr:uid="{00000000-0005-0000-0000-000036610000}"/>
    <cellStyle name="Heading 2 2 3 3 2" xfId="11417" xr:uid="{00000000-0005-0000-0000-000037610000}"/>
    <cellStyle name="Heading 2 2 3 3 3" xfId="30774" xr:uid="{00000000-0005-0000-0000-000038610000}"/>
    <cellStyle name="Heading 2 2 3 4" xfId="6449" xr:uid="{00000000-0005-0000-0000-000039610000}"/>
    <cellStyle name="Heading 2 2 3 4 2" xfId="17330" xr:uid="{00000000-0005-0000-0000-00003A610000}"/>
    <cellStyle name="Heading 2 2 3 4 3" xfId="30775" xr:uid="{00000000-0005-0000-0000-00003B610000}"/>
    <cellStyle name="Heading 2 2 3 5" xfId="8718" xr:uid="{00000000-0005-0000-0000-00003C610000}"/>
    <cellStyle name="Heading 2 2 3 6" xfId="9984" xr:uid="{00000000-0005-0000-0000-00003D610000}"/>
    <cellStyle name="Heading 2 2 3 7" xfId="30772" xr:uid="{00000000-0005-0000-0000-00003E610000}"/>
    <cellStyle name="Heading 2 2 4" xfId="6450" xr:uid="{00000000-0005-0000-0000-00003F610000}"/>
    <cellStyle name="Heading 2 2 4 2" xfId="6451" xr:uid="{00000000-0005-0000-0000-000040610000}"/>
    <cellStyle name="Heading 2 2 4 2 2" xfId="9987" xr:uid="{00000000-0005-0000-0000-000041610000}"/>
    <cellStyle name="Heading 2 2 4 2 3" xfId="30777" xr:uid="{00000000-0005-0000-0000-000042610000}"/>
    <cellStyle name="Heading 2 2 4 3" xfId="6452" xr:uid="{00000000-0005-0000-0000-000043610000}"/>
    <cellStyle name="Heading 2 2 4 3 2" xfId="13206" xr:uid="{00000000-0005-0000-0000-000044610000}"/>
    <cellStyle name="Heading 2 2 4 3 3" xfId="30778" xr:uid="{00000000-0005-0000-0000-000045610000}"/>
    <cellStyle name="Heading 2 2 4 4" xfId="6453" xr:uid="{00000000-0005-0000-0000-000046610000}"/>
    <cellStyle name="Heading 2 2 4 4 2" xfId="13205" xr:uid="{00000000-0005-0000-0000-000047610000}"/>
    <cellStyle name="Heading 2 2 4 4 3" xfId="30779" xr:uid="{00000000-0005-0000-0000-000048610000}"/>
    <cellStyle name="Heading 2 2 4 5" xfId="9986" xr:uid="{00000000-0005-0000-0000-000049610000}"/>
    <cellStyle name="Heading 2 2 4 6" xfId="30776" xr:uid="{00000000-0005-0000-0000-00004A610000}"/>
    <cellStyle name="Heading 2 2 5" xfId="6454" xr:uid="{00000000-0005-0000-0000-00004B610000}"/>
    <cellStyle name="Heading 2 2 5 2" xfId="6455" xr:uid="{00000000-0005-0000-0000-00004C610000}"/>
    <cellStyle name="Heading 2 2 5 2 2" xfId="13208" xr:uid="{00000000-0005-0000-0000-00004D610000}"/>
    <cellStyle name="Heading 2 2 5 2 3" xfId="30781" xr:uid="{00000000-0005-0000-0000-00004E610000}"/>
    <cellStyle name="Heading 2 2 5 3" xfId="6456" xr:uid="{00000000-0005-0000-0000-00004F610000}"/>
    <cellStyle name="Heading 2 2 5 3 2" xfId="13207" xr:uid="{00000000-0005-0000-0000-000050610000}"/>
    <cellStyle name="Heading 2 2 5 3 3" xfId="30782" xr:uid="{00000000-0005-0000-0000-000051610000}"/>
    <cellStyle name="Heading 2 2 5 4" xfId="6457" xr:uid="{00000000-0005-0000-0000-000052610000}"/>
    <cellStyle name="Heading 2 2 5 4 2" xfId="15664" xr:uid="{00000000-0005-0000-0000-000053610000}"/>
    <cellStyle name="Heading 2 2 5 4 3" xfId="30783" xr:uid="{00000000-0005-0000-0000-000054610000}"/>
    <cellStyle name="Heading 2 2 5 5" xfId="9988" xr:uid="{00000000-0005-0000-0000-000055610000}"/>
    <cellStyle name="Heading 2 2 5 6" xfId="30780" xr:uid="{00000000-0005-0000-0000-000056610000}"/>
    <cellStyle name="Heading 2 2 6" xfId="6458" xr:uid="{00000000-0005-0000-0000-000057610000}"/>
    <cellStyle name="Heading 2 2 6 2" xfId="6459" xr:uid="{00000000-0005-0000-0000-000058610000}"/>
    <cellStyle name="Heading 2 2 6 2 2" xfId="6460" xr:uid="{00000000-0005-0000-0000-000059610000}"/>
    <cellStyle name="Heading 2 2 6 2 2 2" xfId="11419" xr:uid="{00000000-0005-0000-0000-00005A610000}"/>
    <cellStyle name="Heading 2 2 6 2 2 3" xfId="30786" xr:uid="{00000000-0005-0000-0000-00005B610000}"/>
    <cellStyle name="Heading 2 2 6 2 3" xfId="9990" xr:uid="{00000000-0005-0000-0000-00005C610000}"/>
    <cellStyle name="Heading 2 2 6 2 4" xfId="30785" xr:uid="{00000000-0005-0000-0000-00005D610000}"/>
    <cellStyle name="Heading 2 2 6 3" xfId="6461" xr:uid="{00000000-0005-0000-0000-00005E610000}"/>
    <cellStyle name="Heading 2 2 6 3 2" xfId="11418" xr:uid="{00000000-0005-0000-0000-00005F610000}"/>
    <cellStyle name="Heading 2 2 6 3 3" xfId="30787" xr:uid="{00000000-0005-0000-0000-000060610000}"/>
    <cellStyle name="Heading 2 2 6 4" xfId="9989" xr:uid="{00000000-0005-0000-0000-000061610000}"/>
    <cellStyle name="Heading 2 2 6 5" xfId="30784" xr:uid="{00000000-0005-0000-0000-000062610000}"/>
    <cellStyle name="Heading 2 2 7" xfId="6462" xr:uid="{00000000-0005-0000-0000-000063610000}"/>
    <cellStyle name="Heading 2 2 7 2" xfId="6463" xr:uid="{00000000-0005-0000-0000-000064610000}"/>
    <cellStyle name="Heading 2 2 7 2 2" xfId="6464" xr:uid="{00000000-0005-0000-0000-000065610000}"/>
    <cellStyle name="Heading 2 2 7 2 2 2" xfId="11421" xr:uid="{00000000-0005-0000-0000-000066610000}"/>
    <cellStyle name="Heading 2 2 7 2 2 3" xfId="30790" xr:uid="{00000000-0005-0000-0000-000067610000}"/>
    <cellStyle name="Heading 2 2 7 2 3" xfId="9992" xr:uid="{00000000-0005-0000-0000-000068610000}"/>
    <cellStyle name="Heading 2 2 7 2 4" xfId="30789" xr:uid="{00000000-0005-0000-0000-000069610000}"/>
    <cellStyle name="Heading 2 2 7 3" xfId="6465" xr:uid="{00000000-0005-0000-0000-00006A610000}"/>
    <cellStyle name="Heading 2 2 7 3 2" xfId="11420" xr:uid="{00000000-0005-0000-0000-00006B610000}"/>
    <cellStyle name="Heading 2 2 7 3 3" xfId="30791" xr:uid="{00000000-0005-0000-0000-00006C610000}"/>
    <cellStyle name="Heading 2 2 7 4" xfId="9991" xr:uid="{00000000-0005-0000-0000-00006D610000}"/>
    <cellStyle name="Heading 2 2 7 5" xfId="30788" xr:uid="{00000000-0005-0000-0000-00006E610000}"/>
    <cellStyle name="Heading 2 2 8" xfId="6466" xr:uid="{00000000-0005-0000-0000-00006F610000}"/>
    <cellStyle name="Heading 2 2 8 2" xfId="6467" xr:uid="{00000000-0005-0000-0000-000070610000}"/>
    <cellStyle name="Heading 2 2 8 2 2" xfId="11422" xr:uid="{00000000-0005-0000-0000-000071610000}"/>
    <cellStyle name="Heading 2 2 8 2 3" xfId="30793" xr:uid="{00000000-0005-0000-0000-000072610000}"/>
    <cellStyle name="Heading 2 2 8 3" xfId="9993" xr:uid="{00000000-0005-0000-0000-000073610000}"/>
    <cellStyle name="Heading 2 2 8 4" xfId="30792" xr:uid="{00000000-0005-0000-0000-000074610000}"/>
    <cellStyle name="Heading 2 2 9" xfId="6468" xr:uid="{00000000-0005-0000-0000-000075610000}"/>
    <cellStyle name="Heading 2 2 9 2" xfId="6469" xr:uid="{00000000-0005-0000-0000-000076610000}"/>
    <cellStyle name="Heading 2 2 9 2 2" xfId="11423" xr:uid="{00000000-0005-0000-0000-000077610000}"/>
    <cellStyle name="Heading 2 2 9 2 3" xfId="30795" xr:uid="{00000000-0005-0000-0000-000078610000}"/>
    <cellStyle name="Heading 2 2 9 3" xfId="9994" xr:uid="{00000000-0005-0000-0000-000079610000}"/>
    <cellStyle name="Heading 2 2 9 4" xfId="30794" xr:uid="{00000000-0005-0000-0000-00007A610000}"/>
    <cellStyle name="Heading 2 3" xfId="6470" xr:uid="{00000000-0005-0000-0000-00007B610000}"/>
    <cellStyle name="Heading 2 3 2" xfId="8662" xr:uid="{00000000-0005-0000-0000-00007C610000}"/>
    <cellStyle name="Heading 2 3 3" xfId="30796" xr:uid="{00000000-0005-0000-0000-00007D610000}"/>
    <cellStyle name="Heading 2 4" xfId="6471" xr:uid="{00000000-0005-0000-0000-00007E610000}"/>
    <cellStyle name="Heading 2 4 2" xfId="9995" xr:uid="{00000000-0005-0000-0000-00007F610000}"/>
    <cellStyle name="Heading 2 4 3" xfId="30797" xr:uid="{00000000-0005-0000-0000-000080610000}"/>
    <cellStyle name="Heading 2 5" xfId="6472" xr:uid="{00000000-0005-0000-0000-000081610000}"/>
    <cellStyle name="Heading 2 5 2" xfId="9996" xr:uid="{00000000-0005-0000-0000-000082610000}"/>
    <cellStyle name="Heading 2 5 3" xfId="30798" xr:uid="{00000000-0005-0000-0000-000083610000}"/>
    <cellStyle name="Heading 2 6" xfId="6473" xr:uid="{00000000-0005-0000-0000-000084610000}"/>
    <cellStyle name="Heading 2 6 2" xfId="9997" xr:uid="{00000000-0005-0000-0000-000085610000}"/>
    <cellStyle name="Heading 2 6 3" xfId="30799" xr:uid="{00000000-0005-0000-0000-000086610000}"/>
    <cellStyle name="Heading 2 7" xfId="6474" xr:uid="{00000000-0005-0000-0000-000087610000}"/>
    <cellStyle name="Heading 2 7 2" xfId="9998" xr:uid="{00000000-0005-0000-0000-000088610000}"/>
    <cellStyle name="Heading 2 7 3" xfId="30800" xr:uid="{00000000-0005-0000-0000-000089610000}"/>
    <cellStyle name="Heading 2 8" xfId="9976" xr:uid="{00000000-0005-0000-0000-00008A610000}"/>
    <cellStyle name="Heading 3" xfId="7" builtinId="18" customBuiltin="1"/>
    <cellStyle name="Heading 3 10" xfId="6475" xr:uid="{00000000-0005-0000-0000-00008C610000}"/>
    <cellStyle name="Heading 3 10 2" xfId="6476" xr:uid="{00000000-0005-0000-0000-00008D610000}"/>
    <cellStyle name="Heading 3 10 2 2" xfId="11425" xr:uid="{00000000-0005-0000-0000-00008E610000}"/>
    <cellStyle name="Heading 3 10 2 3" xfId="30802" xr:uid="{00000000-0005-0000-0000-00008F610000}"/>
    <cellStyle name="Heading 3 10 3" xfId="10000" xr:uid="{00000000-0005-0000-0000-000090610000}"/>
    <cellStyle name="Heading 3 10 4" xfId="30801" xr:uid="{00000000-0005-0000-0000-000091610000}"/>
    <cellStyle name="Heading 3 11" xfId="6477" xr:uid="{00000000-0005-0000-0000-000092610000}"/>
    <cellStyle name="Heading 3 11 2" xfId="6478" xr:uid="{00000000-0005-0000-0000-000093610000}"/>
    <cellStyle name="Heading 3 11 2 2" xfId="11426" xr:uid="{00000000-0005-0000-0000-000094610000}"/>
    <cellStyle name="Heading 3 11 2 3" xfId="30804" xr:uid="{00000000-0005-0000-0000-000095610000}"/>
    <cellStyle name="Heading 3 11 3" xfId="10001" xr:uid="{00000000-0005-0000-0000-000096610000}"/>
    <cellStyle name="Heading 3 11 4" xfId="30803" xr:uid="{00000000-0005-0000-0000-000097610000}"/>
    <cellStyle name="Heading 3 12" xfId="6479" xr:uid="{00000000-0005-0000-0000-000098610000}"/>
    <cellStyle name="Heading 3 12 2" xfId="6480" xr:uid="{00000000-0005-0000-0000-000099610000}"/>
    <cellStyle name="Heading 3 12 2 2" xfId="15665" xr:uid="{00000000-0005-0000-0000-00009A610000}"/>
    <cellStyle name="Heading 3 12 2 3" xfId="30806" xr:uid="{00000000-0005-0000-0000-00009B610000}"/>
    <cellStyle name="Heading 3 12 3" xfId="10002" xr:uid="{00000000-0005-0000-0000-00009C610000}"/>
    <cellStyle name="Heading 3 12 4" xfId="30805" xr:uid="{00000000-0005-0000-0000-00009D610000}"/>
    <cellStyle name="Heading 3 13" xfId="6481" xr:uid="{00000000-0005-0000-0000-00009E610000}"/>
    <cellStyle name="Heading 3 13 2" xfId="6482" xr:uid="{00000000-0005-0000-0000-00009F610000}"/>
    <cellStyle name="Heading 3 13 2 2" xfId="15666" xr:uid="{00000000-0005-0000-0000-0000A0610000}"/>
    <cellStyle name="Heading 3 13 2 3" xfId="30808" xr:uid="{00000000-0005-0000-0000-0000A1610000}"/>
    <cellStyle name="Heading 3 13 3" xfId="10481" xr:uid="{00000000-0005-0000-0000-0000A2610000}"/>
    <cellStyle name="Heading 3 13 4" xfId="30807" xr:uid="{00000000-0005-0000-0000-0000A3610000}"/>
    <cellStyle name="Heading 3 14" xfId="6483" xr:uid="{00000000-0005-0000-0000-0000A4610000}"/>
    <cellStyle name="Heading 3 14 2" xfId="11424" xr:uid="{00000000-0005-0000-0000-0000A5610000}"/>
    <cellStyle name="Heading 3 14 3" xfId="30809" xr:uid="{00000000-0005-0000-0000-0000A6610000}"/>
    <cellStyle name="Heading 3 15" xfId="6484" xr:uid="{00000000-0005-0000-0000-0000A7610000}"/>
    <cellStyle name="Heading 3 15 2" xfId="9999" xr:uid="{00000000-0005-0000-0000-0000A8610000}"/>
    <cellStyle name="Heading 3 15 3" xfId="30810" xr:uid="{00000000-0005-0000-0000-0000A9610000}"/>
    <cellStyle name="Heading 3 2" xfId="6485" xr:uid="{00000000-0005-0000-0000-0000AA610000}"/>
    <cellStyle name="Heading 3 2 2" xfId="6486" xr:uid="{00000000-0005-0000-0000-0000AB610000}"/>
    <cellStyle name="Heading 3 2 2 2" xfId="11683" xr:uid="{00000000-0005-0000-0000-0000AC610000}"/>
    <cellStyle name="Heading 3 2 2 3" xfId="30812" xr:uid="{00000000-0005-0000-0000-0000AD610000}"/>
    <cellStyle name="Heading 3 2 3" xfId="6487" xr:uid="{00000000-0005-0000-0000-0000AE610000}"/>
    <cellStyle name="Heading 3 2 3 2" xfId="17331" xr:uid="{00000000-0005-0000-0000-0000AF610000}"/>
    <cellStyle name="Heading 3 2 3 3" xfId="30813" xr:uid="{00000000-0005-0000-0000-0000B0610000}"/>
    <cellStyle name="Heading 3 2 4" xfId="8723" xr:uid="{00000000-0005-0000-0000-0000B1610000}"/>
    <cellStyle name="Heading 3 2 5" xfId="10003" xr:uid="{00000000-0005-0000-0000-0000B2610000}"/>
    <cellStyle name="Heading 3 2 6" xfId="30811" xr:uid="{00000000-0005-0000-0000-0000B3610000}"/>
    <cellStyle name="Heading 3 3" xfId="6488" xr:uid="{00000000-0005-0000-0000-0000B4610000}"/>
    <cellStyle name="Heading 3 3 2" xfId="6489" xr:uid="{00000000-0005-0000-0000-0000B5610000}"/>
    <cellStyle name="Heading 3 3 2 2" xfId="10005" xr:uid="{00000000-0005-0000-0000-0000B6610000}"/>
    <cellStyle name="Heading 3 3 2 3" xfId="30815" xr:uid="{00000000-0005-0000-0000-0000B7610000}"/>
    <cellStyle name="Heading 3 3 3" xfId="6490" xr:uid="{00000000-0005-0000-0000-0000B8610000}"/>
    <cellStyle name="Heading 3 3 3 2" xfId="13209" xr:uid="{00000000-0005-0000-0000-0000B9610000}"/>
    <cellStyle name="Heading 3 3 3 3" xfId="30816" xr:uid="{00000000-0005-0000-0000-0000BA610000}"/>
    <cellStyle name="Heading 3 3 4" xfId="10004" xr:uid="{00000000-0005-0000-0000-0000BB610000}"/>
    <cellStyle name="Heading 3 3 5" xfId="30814" xr:uid="{00000000-0005-0000-0000-0000BC610000}"/>
    <cellStyle name="Heading 3 4" xfId="6491" xr:uid="{00000000-0005-0000-0000-0000BD610000}"/>
    <cellStyle name="Heading 3 4 2" xfId="6492" xr:uid="{00000000-0005-0000-0000-0000BE610000}"/>
    <cellStyle name="Heading 3 4 2 2" xfId="10007" xr:uid="{00000000-0005-0000-0000-0000BF610000}"/>
    <cellStyle name="Heading 3 4 2 3" xfId="30818" xr:uid="{00000000-0005-0000-0000-0000C0610000}"/>
    <cellStyle name="Heading 3 4 3" xfId="6493" xr:uid="{00000000-0005-0000-0000-0000C1610000}"/>
    <cellStyle name="Heading 3 4 3 2" xfId="13211" xr:uid="{00000000-0005-0000-0000-0000C2610000}"/>
    <cellStyle name="Heading 3 4 3 3" xfId="30819" xr:uid="{00000000-0005-0000-0000-0000C3610000}"/>
    <cellStyle name="Heading 3 4 4" xfId="6494" xr:uid="{00000000-0005-0000-0000-0000C4610000}"/>
    <cellStyle name="Heading 3 4 4 2" xfId="13210" xr:uid="{00000000-0005-0000-0000-0000C5610000}"/>
    <cellStyle name="Heading 3 4 4 3" xfId="30820" xr:uid="{00000000-0005-0000-0000-0000C6610000}"/>
    <cellStyle name="Heading 3 4 5" xfId="10006" xr:uid="{00000000-0005-0000-0000-0000C7610000}"/>
    <cellStyle name="Heading 3 4 6" xfId="30817" xr:uid="{00000000-0005-0000-0000-0000C8610000}"/>
    <cellStyle name="Heading 3 5" xfId="6495" xr:uid="{00000000-0005-0000-0000-0000C9610000}"/>
    <cellStyle name="Heading 3 5 2" xfId="6496" xr:uid="{00000000-0005-0000-0000-0000CA610000}"/>
    <cellStyle name="Heading 3 5 2 2" xfId="6497" xr:uid="{00000000-0005-0000-0000-0000CB610000}"/>
    <cellStyle name="Heading 3 5 2 2 2" xfId="11428" xr:uid="{00000000-0005-0000-0000-0000CC610000}"/>
    <cellStyle name="Heading 3 5 2 2 3" xfId="30823" xr:uid="{00000000-0005-0000-0000-0000CD610000}"/>
    <cellStyle name="Heading 3 5 2 3" xfId="10009" xr:uid="{00000000-0005-0000-0000-0000CE610000}"/>
    <cellStyle name="Heading 3 5 2 4" xfId="30822" xr:uid="{00000000-0005-0000-0000-0000CF610000}"/>
    <cellStyle name="Heading 3 5 3" xfId="6498" xr:uid="{00000000-0005-0000-0000-0000D0610000}"/>
    <cellStyle name="Heading 3 5 3 2" xfId="11427" xr:uid="{00000000-0005-0000-0000-0000D1610000}"/>
    <cellStyle name="Heading 3 5 3 3" xfId="30824" xr:uid="{00000000-0005-0000-0000-0000D2610000}"/>
    <cellStyle name="Heading 3 5 4" xfId="6499" xr:uid="{00000000-0005-0000-0000-0000D3610000}"/>
    <cellStyle name="Heading 3 5 4 2" xfId="13212" xr:uid="{00000000-0005-0000-0000-0000D4610000}"/>
    <cellStyle name="Heading 3 5 4 3" xfId="30825" xr:uid="{00000000-0005-0000-0000-0000D5610000}"/>
    <cellStyle name="Heading 3 5 5" xfId="6500" xr:uid="{00000000-0005-0000-0000-0000D6610000}"/>
    <cellStyle name="Heading 3 5 5 2" xfId="15667" xr:uid="{00000000-0005-0000-0000-0000D7610000}"/>
    <cellStyle name="Heading 3 5 5 3" xfId="30826" xr:uid="{00000000-0005-0000-0000-0000D8610000}"/>
    <cellStyle name="Heading 3 5 6" xfId="10008" xr:uid="{00000000-0005-0000-0000-0000D9610000}"/>
    <cellStyle name="Heading 3 5 7" xfId="30821" xr:uid="{00000000-0005-0000-0000-0000DA610000}"/>
    <cellStyle name="Heading 3 6" xfId="6501" xr:uid="{00000000-0005-0000-0000-0000DB610000}"/>
    <cellStyle name="Heading 3 6 2" xfId="6502" xr:uid="{00000000-0005-0000-0000-0000DC610000}"/>
    <cellStyle name="Heading 3 6 2 2" xfId="6503" xr:uid="{00000000-0005-0000-0000-0000DD610000}"/>
    <cellStyle name="Heading 3 6 2 2 2" xfId="11430" xr:uid="{00000000-0005-0000-0000-0000DE610000}"/>
    <cellStyle name="Heading 3 6 2 2 3" xfId="30829" xr:uid="{00000000-0005-0000-0000-0000DF610000}"/>
    <cellStyle name="Heading 3 6 2 3" xfId="10011" xr:uid="{00000000-0005-0000-0000-0000E0610000}"/>
    <cellStyle name="Heading 3 6 2 4" xfId="30828" xr:uid="{00000000-0005-0000-0000-0000E1610000}"/>
    <cellStyle name="Heading 3 6 3" xfId="6504" xr:uid="{00000000-0005-0000-0000-0000E2610000}"/>
    <cellStyle name="Heading 3 6 3 2" xfId="11429" xr:uid="{00000000-0005-0000-0000-0000E3610000}"/>
    <cellStyle name="Heading 3 6 3 3" xfId="30830" xr:uid="{00000000-0005-0000-0000-0000E4610000}"/>
    <cellStyle name="Heading 3 6 4" xfId="10010" xr:uid="{00000000-0005-0000-0000-0000E5610000}"/>
    <cellStyle name="Heading 3 6 5" xfId="30827" xr:uid="{00000000-0005-0000-0000-0000E6610000}"/>
    <cellStyle name="Heading 3 7" xfId="6505" xr:uid="{00000000-0005-0000-0000-0000E7610000}"/>
    <cellStyle name="Heading 3 7 2" xfId="6506" xr:uid="{00000000-0005-0000-0000-0000E8610000}"/>
    <cellStyle name="Heading 3 7 2 2" xfId="11431" xr:uid="{00000000-0005-0000-0000-0000E9610000}"/>
    <cellStyle name="Heading 3 7 2 3" xfId="30832" xr:uid="{00000000-0005-0000-0000-0000EA610000}"/>
    <cellStyle name="Heading 3 7 3" xfId="10012" xr:uid="{00000000-0005-0000-0000-0000EB610000}"/>
    <cellStyle name="Heading 3 7 4" xfId="30831" xr:uid="{00000000-0005-0000-0000-0000EC610000}"/>
    <cellStyle name="Heading 3 8" xfId="6507" xr:uid="{00000000-0005-0000-0000-0000ED610000}"/>
    <cellStyle name="Heading 3 8 2" xfId="6508" xr:uid="{00000000-0005-0000-0000-0000EE610000}"/>
    <cellStyle name="Heading 3 8 2 2" xfId="11432" xr:uid="{00000000-0005-0000-0000-0000EF610000}"/>
    <cellStyle name="Heading 3 8 2 3" xfId="30834" xr:uid="{00000000-0005-0000-0000-0000F0610000}"/>
    <cellStyle name="Heading 3 8 3" xfId="10013" xr:uid="{00000000-0005-0000-0000-0000F1610000}"/>
    <cellStyle name="Heading 3 8 4" xfId="30833" xr:uid="{00000000-0005-0000-0000-0000F2610000}"/>
    <cellStyle name="Heading 3 9" xfId="6509" xr:uid="{00000000-0005-0000-0000-0000F3610000}"/>
    <cellStyle name="Heading 3 9 2" xfId="6510" xr:uid="{00000000-0005-0000-0000-0000F4610000}"/>
    <cellStyle name="Heading 3 9 2 2" xfId="11433" xr:uid="{00000000-0005-0000-0000-0000F5610000}"/>
    <cellStyle name="Heading 3 9 2 3" xfId="30836" xr:uid="{00000000-0005-0000-0000-0000F6610000}"/>
    <cellStyle name="Heading 3 9 3" xfId="10014" xr:uid="{00000000-0005-0000-0000-0000F7610000}"/>
    <cellStyle name="Heading 3 9 4" xfId="30835" xr:uid="{00000000-0005-0000-0000-0000F8610000}"/>
    <cellStyle name="Heading 4" xfId="8" builtinId="19" customBuiltin="1"/>
    <cellStyle name="Heading 4 10" xfId="6511" xr:uid="{00000000-0005-0000-0000-0000FA610000}"/>
    <cellStyle name="Heading 4 10 2" xfId="6512" xr:uid="{00000000-0005-0000-0000-0000FB610000}"/>
    <cellStyle name="Heading 4 10 2 2" xfId="11435" xr:uid="{00000000-0005-0000-0000-0000FC610000}"/>
    <cellStyle name="Heading 4 10 2 3" xfId="30838" xr:uid="{00000000-0005-0000-0000-0000FD610000}"/>
    <cellStyle name="Heading 4 10 3" xfId="10016" xr:uid="{00000000-0005-0000-0000-0000FE610000}"/>
    <cellStyle name="Heading 4 10 4" xfId="30837" xr:uid="{00000000-0005-0000-0000-0000FF610000}"/>
    <cellStyle name="Heading 4 11" xfId="6513" xr:uid="{00000000-0005-0000-0000-000000620000}"/>
    <cellStyle name="Heading 4 11 2" xfId="6514" xr:uid="{00000000-0005-0000-0000-000001620000}"/>
    <cellStyle name="Heading 4 11 2 2" xfId="15668" xr:uid="{00000000-0005-0000-0000-000002620000}"/>
    <cellStyle name="Heading 4 11 2 3" xfId="30840" xr:uid="{00000000-0005-0000-0000-000003620000}"/>
    <cellStyle name="Heading 4 11 3" xfId="10017" xr:uid="{00000000-0005-0000-0000-000004620000}"/>
    <cellStyle name="Heading 4 11 4" xfId="30839" xr:uid="{00000000-0005-0000-0000-000005620000}"/>
    <cellStyle name="Heading 4 12" xfId="6515" xr:uid="{00000000-0005-0000-0000-000006620000}"/>
    <cellStyle name="Heading 4 12 2" xfId="6516" xr:uid="{00000000-0005-0000-0000-000007620000}"/>
    <cellStyle name="Heading 4 12 2 2" xfId="15669" xr:uid="{00000000-0005-0000-0000-000008620000}"/>
    <cellStyle name="Heading 4 12 2 3" xfId="30842" xr:uid="{00000000-0005-0000-0000-000009620000}"/>
    <cellStyle name="Heading 4 12 3" xfId="10482" xr:uid="{00000000-0005-0000-0000-00000A620000}"/>
    <cellStyle name="Heading 4 12 4" xfId="30841" xr:uid="{00000000-0005-0000-0000-00000B620000}"/>
    <cellStyle name="Heading 4 13" xfId="6517" xr:uid="{00000000-0005-0000-0000-00000C620000}"/>
    <cellStyle name="Heading 4 13 2" xfId="11434" xr:uid="{00000000-0005-0000-0000-00000D620000}"/>
    <cellStyle name="Heading 4 13 3" xfId="30843" xr:uid="{00000000-0005-0000-0000-00000E620000}"/>
    <cellStyle name="Heading 4 14" xfId="6518" xr:uid="{00000000-0005-0000-0000-00000F620000}"/>
    <cellStyle name="Heading 4 14 2" xfId="10015" xr:uid="{00000000-0005-0000-0000-000010620000}"/>
    <cellStyle name="Heading 4 14 3" xfId="30844" xr:uid="{00000000-0005-0000-0000-000011620000}"/>
    <cellStyle name="Heading 4 2" xfId="6519" xr:uid="{00000000-0005-0000-0000-000012620000}"/>
    <cellStyle name="Heading 4 2 2" xfId="6520" xr:uid="{00000000-0005-0000-0000-000013620000}"/>
    <cellStyle name="Heading 4 2 2 2" xfId="10019" xr:uid="{00000000-0005-0000-0000-000014620000}"/>
    <cellStyle name="Heading 4 2 2 3" xfId="30846" xr:uid="{00000000-0005-0000-0000-000015620000}"/>
    <cellStyle name="Heading 4 2 3" xfId="6521" xr:uid="{00000000-0005-0000-0000-000016620000}"/>
    <cellStyle name="Heading 4 2 3 2" xfId="13213" xr:uid="{00000000-0005-0000-0000-000017620000}"/>
    <cellStyle name="Heading 4 2 3 3" xfId="30847" xr:uid="{00000000-0005-0000-0000-000018620000}"/>
    <cellStyle name="Heading 4 2 4" xfId="10018" xr:uid="{00000000-0005-0000-0000-000019620000}"/>
    <cellStyle name="Heading 4 2 5" xfId="30845" xr:uid="{00000000-0005-0000-0000-00001A620000}"/>
    <cellStyle name="Heading 4 3" xfId="6522" xr:uid="{00000000-0005-0000-0000-00001B620000}"/>
    <cellStyle name="Heading 4 3 2" xfId="6523" xr:uid="{00000000-0005-0000-0000-00001C620000}"/>
    <cellStyle name="Heading 4 3 2 2" xfId="10021" xr:uid="{00000000-0005-0000-0000-00001D620000}"/>
    <cellStyle name="Heading 4 3 2 3" xfId="30849" xr:uid="{00000000-0005-0000-0000-00001E620000}"/>
    <cellStyle name="Heading 4 3 3" xfId="6524" xr:uid="{00000000-0005-0000-0000-00001F620000}"/>
    <cellStyle name="Heading 4 3 3 2" xfId="13215" xr:uid="{00000000-0005-0000-0000-000020620000}"/>
    <cellStyle name="Heading 4 3 3 3" xfId="30850" xr:uid="{00000000-0005-0000-0000-000021620000}"/>
    <cellStyle name="Heading 4 3 4" xfId="6525" xr:uid="{00000000-0005-0000-0000-000022620000}"/>
    <cellStyle name="Heading 4 3 4 2" xfId="13214" xr:uid="{00000000-0005-0000-0000-000023620000}"/>
    <cellStyle name="Heading 4 3 4 3" xfId="30851" xr:uid="{00000000-0005-0000-0000-000024620000}"/>
    <cellStyle name="Heading 4 3 5" xfId="10020" xr:uid="{00000000-0005-0000-0000-000025620000}"/>
    <cellStyle name="Heading 4 3 6" xfId="30848" xr:uid="{00000000-0005-0000-0000-000026620000}"/>
    <cellStyle name="Heading 4 4" xfId="6526" xr:uid="{00000000-0005-0000-0000-000027620000}"/>
    <cellStyle name="Heading 4 4 2" xfId="6527" xr:uid="{00000000-0005-0000-0000-000028620000}"/>
    <cellStyle name="Heading 4 4 2 2" xfId="6528" xr:uid="{00000000-0005-0000-0000-000029620000}"/>
    <cellStyle name="Heading 4 4 2 2 2" xfId="11437" xr:uid="{00000000-0005-0000-0000-00002A620000}"/>
    <cellStyle name="Heading 4 4 2 2 3" xfId="30854" xr:uid="{00000000-0005-0000-0000-00002B620000}"/>
    <cellStyle name="Heading 4 4 2 3" xfId="10023" xr:uid="{00000000-0005-0000-0000-00002C620000}"/>
    <cellStyle name="Heading 4 4 2 4" xfId="30853" xr:uid="{00000000-0005-0000-0000-00002D620000}"/>
    <cellStyle name="Heading 4 4 3" xfId="6529" xr:uid="{00000000-0005-0000-0000-00002E620000}"/>
    <cellStyle name="Heading 4 4 3 2" xfId="11436" xr:uid="{00000000-0005-0000-0000-00002F620000}"/>
    <cellStyle name="Heading 4 4 3 3" xfId="30855" xr:uid="{00000000-0005-0000-0000-000030620000}"/>
    <cellStyle name="Heading 4 4 4" xfId="6530" xr:uid="{00000000-0005-0000-0000-000031620000}"/>
    <cellStyle name="Heading 4 4 4 2" xfId="13216" xr:uid="{00000000-0005-0000-0000-000032620000}"/>
    <cellStyle name="Heading 4 4 4 3" xfId="30856" xr:uid="{00000000-0005-0000-0000-000033620000}"/>
    <cellStyle name="Heading 4 4 5" xfId="6531" xr:uid="{00000000-0005-0000-0000-000034620000}"/>
    <cellStyle name="Heading 4 4 5 2" xfId="15670" xr:uid="{00000000-0005-0000-0000-000035620000}"/>
    <cellStyle name="Heading 4 4 5 3" xfId="30857" xr:uid="{00000000-0005-0000-0000-000036620000}"/>
    <cellStyle name="Heading 4 4 6" xfId="10022" xr:uid="{00000000-0005-0000-0000-000037620000}"/>
    <cellStyle name="Heading 4 4 7" xfId="30852" xr:uid="{00000000-0005-0000-0000-000038620000}"/>
    <cellStyle name="Heading 4 5" xfId="6532" xr:uid="{00000000-0005-0000-0000-000039620000}"/>
    <cellStyle name="Heading 4 5 2" xfId="6533" xr:uid="{00000000-0005-0000-0000-00003A620000}"/>
    <cellStyle name="Heading 4 5 2 2" xfId="6534" xr:uid="{00000000-0005-0000-0000-00003B620000}"/>
    <cellStyle name="Heading 4 5 2 2 2" xfId="11439" xr:uid="{00000000-0005-0000-0000-00003C620000}"/>
    <cellStyle name="Heading 4 5 2 2 3" xfId="30860" xr:uid="{00000000-0005-0000-0000-00003D620000}"/>
    <cellStyle name="Heading 4 5 2 3" xfId="10025" xr:uid="{00000000-0005-0000-0000-00003E620000}"/>
    <cellStyle name="Heading 4 5 2 4" xfId="30859" xr:uid="{00000000-0005-0000-0000-00003F620000}"/>
    <cellStyle name="Heading 4 5 3" xfId="6535" xr:uid="{00000000-0005-0000-0000-000040620000}"/>
    <cellStyle name="Heading 4 5 3 2" xfId="11438" xr:uid="{00000000-0005-0000-0000-000041620000}"/>
    <cellStyle name="Heading 4 5 3 3" xfId="30861" xr:uid="{00000000-0005-0000-0000-000042620000}"/>
    <cellStyle name="Heading 4 5 4" xfId="10024" xr:uid="{00000000-0005-0000-0000-000043620000}"/>
    <cellStyle name="Heading 4 5 5" xfId="30858" xr:uid="{00000000-0005-0000-0000-000044620000}"/>
    <cellStyle name="Heading 4 6" xfId="6536" xr:uid="{00000000-0005-0000-0000-000045620000}"/>
    <cellStyle name="Heading 4 6 2" xfId="6537" xr:uid="{00000000-0005-0000-0000-000046620000}"/>
    <cellStyle name="Heading 4 6 2 2" xfId="11440" xr:uid="{00000000-0005-0000-0000-000047620000}"/>
    <cellStyle name="Heading 4 6 2 3" xfId="30863" xr:uid="{00000000-0005-0000-0000-000048620000}"/>
    <cellStyle name="Heading 4 6 3" xfId="10026" xr:uid="{00000000-0005-0000-0000-000049620000}"/>
    <cellStyle name="Heading 4 6 4" xfId="30862" xr:uid="{00000000-0005-0000-0000-00004A620000}"/>
    <cellStyle name="Heading 4 7" xfId="6538" xr:uid="{00000000-0005-0000-0000-00004B620000}"/>
    <cellStyle name="Heading 4 7 2" xfId="6539" xr:uid="{00000000-0005-0000-0000-00004C620000}"/>
    <cellStyle name="Heading 4 7 2 2" xfId="11441" xr:uid="{00000000-0005-0000-0000-00004D620000}"/>
    <cellStyle name="Heading 4 7 2 3" xfId="30865" xr:uid="{00000000-0005-0000-0000-00004E620000}"/>
    <cellStyle name="Heading 4 7 3" xfId="10027" xr:uid="{00000000-0005-0000-0000-00004F620000}"/>
    <cellStyle name="Heading 4 7 4" xfId="30864" xr:uid="{00000000-0005-0000-0000-000050620000}"/>
    <cellStyle name="Heading 4 8" xfId="6540" xr:uid="{00000000-0005-0000-0000-000051620000}"/>
    <cellStyle name="Heading 4 8 2" xfId="6541" xr:uid="{00000000-0005-0000-0000-000052620000}"/>
    <cellStyle name="Heading 4 8 2 2" xfId="11442" xr:uid="{00000000-0005-0000-0000-000053620000}"/>
    <cellStyle name="Heading 4 8 2 3" xfId="30867" xr:uid="{00000000-0005-0000-0000-000054620000}"/>
    <cellStyle name="Heading 4 8 3" xfId="10028" xr:uid="{00000000-0005-0000-0000-000055620000}"/>
    <cellStyle name="Heading 4 8 4" xfId="30866" xr:uid="{00000000-0005-0000-0000-000056620000}"/>
    <cellStyle name="Heading 4 9" xfId="6542" xr:uid="{00000000-0005-0000-0000-000057620000}"/>
    <cellStyle name="Heading 4 9 2" xfId="6543" xr:uid="{00000000-0005-0000-0000-000058620000}"/>
    <cellStyle name="Heading 4 9 2 2" xfId="11443" xr:uid="{00000000-0005-0000-0000-000059620000}"/>
    <cellStyle name="Heading 4 9 2 3" xfId="30869" xr:uid="{00000000-0005-0000-0000-00005A620000}"/>
    <cellStyle name="Heading 4 9 3" xfId="10029" xr:uid="{00000000-0005-0000-0000-00005B620000}"/>
    <cellStyle name="Heading 4 9 4" xfId="30868" xr:uid="{00000000-0005-0000-0000-00005C620000}"/>
    <cellStyle name="Hyperlink" xfId="33028" builtinId="8"/>
    <cellStyle name="Hyperlink 2" xfId="6544" xr:uid="{00000000-0005-0000-0000-00005E620000}"/>
    <cellStyle name="Hyperlink 2 2" xfId="8688" xr:uid="{00000000-0005-0000-0000-00005F620000}"/>
    <cellStyle name="Hyperlink 2 3" xfId="30870" xr:uid="{00000000-0005-0000-0000-000060620000}"/>
    <cellStyle name="Hyperlink 3" xfId="6545" xr:uid="{00000000-0005-0000-0000-000061620000}"/>
    <cellStyle name="Hyperlink 3 2" xfId="10030" xr:uid="{00000000-0005-0000-0000-000062620000}"/>
    <cellStyle name="Hyperlink 3 3" xfId="30871" xr:uid="{00000000-0005-0000-0000-000063620000}"/>
    <cellStyle name="Hyperlink 4" xfId="33027" xr:uid="{00000000-0005-0000-0000-000064620000}"/>
    <cellStyle name="Input" xfId="12" builtinId="20" customBuiltin="1"/>
    <cellStyle name="Input 10" xfId="6546" xr:uid="{00000000-0005-0000-0000-000066620000}"/>
    <cellStyle name="Input 10 2" xfId="10032" xr:uid="{00000000-0005-0000-0000-000067620000}"/>
    <cellStyle name="Input 10 3" xfId="30872" xr:uid="{00000000-0005-0000-0000-000068620000}"/>
    <cellStyle name="Input 11" xfId="6547" xr:uid="{00000000-0005-0000-0000-000069620000}"/>
    <cellStyle name="Input 11 2" xfId="10033" xr:uid="{00000000-0005-0000-0000-00006A620000}"/>
    <cellStyle name="Input 11 3" xfId="30873" xr:uid="{00000000-0005-0000-0000-00006B620000}"/>
    <cellStyle name="Input 12" xfId="6548" xr:uid="{00000000-0005-0000-0000-00006C620000}"/>
    <cellStyle name="Input 12 2" xfId="6549" xr:uid="{00000000-0005-0000-0000-00006D620000}"/>
    <cellStyle name="Input 12 2 2" xfId="15671" xr:uid="{00000000-0005-0000-0000-00006E620000}"/>
    <cellStyle name="Input 12 2 3" xfId="30875" xr:uid="{00000000-0005-0000-0000-00006F620000}"/>
    <cellStyle name="Input 12 3" xfId="10483" xr:uid="{00000000-0005-0000-0000-000070620000}"/>
    <cellStyle name="Input 12 4" xfId="30874" xr:uid="{00000000-0005-0000-0000-000071620000}"/>
    <cellStyle name="Input 13" xfId="6550" xr:uid="{00000000-0005-0000-0000-000072620000}"/>
    <cellStyle name="Input 13 2" xfId="11444" xr:uid="{00000000-0005-0000-0000-000073620000}"/>
    <cellStyle name="Input 13 3" xfId="30876" xr:uid="{00000000-0005-0000-0000-000074620000}"/>
    <cellStyle name="Input 14" xfId="6551" xr:uid="{00000000-0005-0000-0000-000075620000}"/>
    <cellStyle name="Input 14 2" xfId="10031" xr:uid="{00000000-0005-0000-0000-000076620000}"/>
    <cellStyle name="Input 14 3" xfId="30877" xr:uid="{00000000-0005-0000-0000-000077620000}"/>
    <cellStyle name="Input 2" xfId="6552" xr:uid="{00000000-0005-0000-0000-000078620000}"/>
    <cellStyle name="Input 2 2" xfId="10034" xr:uid="{00000000-0005-0000-0000-000079620000}"/>
    <cellStyle name="Input 2 3" xfId="30878" xr:uid="{00000000-0005-0000-0000-00007A620000}"/>
    <cellStyle name="Input 3" xfId="6553" xr:uid="{00000000-0005-0000-0000-00007B620000}"/>
    <cellStyle name="Input 3 2" xfId="6554" xr:uid="{00000000-0005-0000-0000-00007C620000}"/>
    <cellStyle name="Input 3 2 2" xfId="10036" xr:uid="{00000000-0005-0000-0000-00007D620000}"/>
    <cellStyle name="Input 3 2 3" xfId="30880" xr:uid="{00000000-0005-0000-0000-00007E620000}"/>
    <cellStyle name="Input 3 3" xfId="10035" xr:uid="{00000000-0005-0000-0000-00007F620000}"/>
    <cellStyle name="Input 3 4" xfId="30879" xr:uid="{00000000-0005-0000-0000-000080620000}"/>
    <cellStyle name="Input 4" xfId="6555" xr:uid="{00000000-0005-0000-0000-000081620000}"/>
    <cellStyle name="Input 4 2" xfId="6556" xr:uid="{00000000-0005-0000-0000-000082620000}"/>
    <cellStyle name="Input 4 2 2" xfId="13218" xr:uid="{00000000-0005-0000-0000-000083620000}"/>
    <cellStyle name="Input 4 2 3" xfId="30882" xr:uid="{00000000-0005-0000-0000-000084620000}"/>
    <cellStyle name="Input 4 3" xfId="6557" xr:uid="{00000000-0005-0000-0000-000085620000}"/>
    <cellStyle name="Input 4 3 2" xfId="13217" xr:uid="{00000000-0005-0000-0000-000086620000}"/>
    <cellStyle name="Input 4 3 3" xfId="30883" xr:uid="{00000000-0005-0000-0000-000087620000}"/>
    <cellStyle name="Input 4 4" xfId="10037" xr:uid="{00000000-0005-0000-0000-000088620000}"/>
    <cellStyle name="Input 4 5" xfId="30881" xr:uid="{00000000-0005-0000-0000-000089620000}"/>
    <cellStyle name="Input 5" xfId="6558" xr:uid="{00000000-0005-0000-0000-00008A620000}"/>
    <cellStyle name="Input 5 2" xfId="6559" xr:uid="{00000000-0005-0000-0000-00008B620000}"/>
    <cellStyle name="Input 5 2 2" xfId="10039" xr:uid="{00000000-0005-0000-0000-00008C620000}"/>
    <cellStyle name="Input 5 2 3" xfId="30885" xr:uid="{00000000-0005-0000-0000-00008D620000}"/>
    <cellStyle name="Input 5 3" xfId="10038" xr:uid="{00000000-0005-0000-0000-00008E620000}"/>
    <cellStyle name="Input 5 4" xfId="30884" xr:uid="{00000000-0005-0000-0000-00008F620000}"/>
    <cellStyle name="Input 6" xfId="6560" xr:uid="{00000000-0005-0000-0000-000090620000}"/>
    <cellStyle name="Input 6 2" xfId="10040" xr:uid="{00000000-0005-0000-0000-000091620000}"/>
    <cellStyle name="Input 6 3" xfId="30886" xr:uid="{00000000-0005-0000-0000-000092620000}"/>
    <cellStyle name="Input 7" xfId="6561" xr:uid="{00000000-0005-0000-0000-000093620000}"/>
    <cellStyle name="Input 7 2" xfId="10041" xr:uid="{00000000-0005-0000-0000-000094620000}"/>
    <cellStyle name="Input 7 3" xfId="30887" xr:uid="{00000000-0005-0000-0000-000095620000}"/>
    <cellStyle name="Input 8" xfId="6562" xr:uid="{00000000-0005-0000-0000-000096620000}"/>
    <cellStyle name="Input 8 2" xfId="10042" xr:uid="{00000000-0005-0000-0000-000097620000}"/>
    <cellStyle name="Input 8 3" xfId="30888" xr:uid="{00000000-0005-0000-0000-000098620000}"/>
    <cellStyle name="Input 9" xfId="6563" xr:uid="{00000000-0005-0000-0000-000099620000}"/>
    <cellStyle name="Input 9 2" xfId="10043" xr:uid="{00000000-0005-0000-0000-00009A620000}"/>
    <cellStyle name="Input 9 3" xfId="30889" xr:uid="{00000000-0005-0000-0000-00009B620000}"/>
    <cellStyle name="Linked Cell" xfId="15" builtinId="24" customBuiltin="1"/>
    <cellStyle name="Linked Cell 10" xfId="6564" xr:uid="{00000000-0005-0000-0000-00009D620000}"/>
    <cellStyle name="Linked Cell 10 2" xfId="6565" xr:uid="{00000000-0005-0000-0000-00009E620000}"/>
    <cellStyle name="Linked Cell 10 2 2" xfId="11446" xr:uid="{00000000-0005-0000-0000-00009F620000}"/>
    <cellStyle name="Linked Cell 10 2 3" xfId="30891" xr:uid="{00000000-0005-0000-0000-0000A0620000}"/>
    <cellStyle name="Linked Cell 10 3" xfId="10045" xr:uid="{00000000-0005-0000-0000-0000A1620000}"/>
    <cellStyle name="Linked Cell 10 4" xfId="30890" xr:uid="{00000000-0005-0000-0000-0000A2620000}"/>
    <cellStyle name="Linked Cell 11" xfId="6566" xr:uid="{00000000-0005-0000-0000-0000A3620000}"/>
    <cellStyle name="Linked Cell 11 2" xfId="6567" xr:uid="{00000000-0005-0000-0000-0000A4620000}"/>
    <cellStyle name="Linked Cell 11 2 2" xfId="11447" xr:uid="{00000000-0005-0000-0000-0000A5620000}"/>
    <cellStyle name="Linked Cell 11 2 3" xfId="30893" xr:uid="{00000000-0005-0000-0000-0000A6620000}"/>
    <cellStyle name="Linked Cell 11 3" xfId="10046" xr:uid="{00000000-0005-0000-0000-0000A7620000}"/>
    <cellStyle name="Linked Cell 11 4" xfId="30892" xr:uid="{00000000-0005-0000-0000-0000A8620000}"/>
    <cellStyle name="Linked Cell 12" xfId="6568" xr:uid="{00000000-0005-0000-0000-0000A9620000}"/>
    <cellStyle name="Linked Cell 12 2" xfId="6569" xr:uid="{00000000-0005-0000-0000-0000AA620000}"/>
    <cellStyle name="Linked Cell 12 2 2" xfId="15672" xr:uid="{00000000-0005-0000-0000-0000AB620000}"/>
    <cellStyle name="Linked Cell 12 2 3" xfId="30895" xr:uid="{00000000-0005-0000-0000-0000AC620000}"/>
    <cellStyle name="Linked Cell 12 3" xfId="10047" xr:uid="{00000000-0005-0000-0000-0000AD620000}"/>
    <cellStyle name="Linked Cell 12 4" xfId="30894" xr:uid="{00000000-0005-0000-0000-0000AE620000}"/>
    <cellStyle name="Linked Cell 13" xfId="6570" xr:uid="{00000000-0005-0000-0000-0000AF620000}"/>
    <cellStyle name="Linked Cell 13 2" xfId="6571" xr:uid="{00000000-0005-0000-0000-0000B0620000}"/>
    <cellStyle name="Linked Cell 13 2 2" xfId="15673" xr:uid="{00000000-0005-0000-0000-0000B1620000}"/>
    <cellStyle name="Linked Cell 13 2 3" xfId="30897" xr:uid="{00000000-0005-0000-0000-0000B2620000}"/>
    <cellStyle name="Linked Cell 13 3" xfId="10484" xr:uid="{00000000-0005-0000-0000-0000B3620000}"/>
    <cellStyle name="Linked Cell 13 4" xfId="30896" xr:uid="{00000000-0005-0000-0000-0000B4620000}"/>
    <cellStyle name="Linked Cell 14" xfId="6572" xr:uid="{00000000-0005-0000-0000-0000B5620000}"/>
    <cellStyle name="Linked Cell 14 2" xfId="11445" xr:uid="{00000000-0005-0000-0000-0000B6620000}"/>
    <cellStyle name="Linked Cell 14 3" xfId="30898" xr:uid="{00000000-0005-0000-0000-0000B7620000}"/>
    <cellStyle name="Linked Cell 15" xfId="6573" xr:uid="{00000000-0005-0000-0000-0000B8620000}"/>
    <cellStyle name="Linked Cell 15 2" xfId="10044" xr:uid="{00000000-0005-0000-0000-0000B9620000}"/>
    <cellStyle name="Linked Cell 15 3" xfId="30899" xr:uid="{00000000-0005-0000-0000-0000BA620000}"/>
    <cellStyle name="Linked Cell 2" xfId="6574" xr:uid="{00000000-0005-0000-0000-0000BB620000}"/>
    <cellStyle name="Linked Cell 2 2" xfId="6575" xr:uid="{00000000-0005-0000-0000-0000BC620000}"/>
    <cellStyle name="Linked Cell 2 2 2" xfId="10049" xr:uid="{00000000-0005-0000-0000-0000BD620000}"/>
    <cellStyle name="Linked Cell 2 2 3" xfId="30901" xr:uid="{00000000-0005-0000-0000-0000BE620000}"/>
    <cellStyle name="Linked Cell 2 3" xfId="6576" xr:uid="{00000000-0005-0000-0000-0000BF620000}"/>
    <cellStyle name="Linked Cell 2 3 2" xfId="13219" xr:uid="{00000000-0005-0000-0000-0000C0620000}"/>
    <cellStyle name="Linked Cell 2 3 3" xfId="30902" xr:uid="{00000000-0005-0000-0000-0000C1620000}"/>
    <cellStyle name="Linked Cell 2 4" xfId="10048" xr:uid="{00000000-0005-0000-0000-0000C2620000}"/>
    <cellStyle name="Linked Cell 2 5" xfId="30900" xr:uid="{00000000-0005-0000-0000-0000C3620000}"/>
    <cellStyle name="Linked Cell 3" xfId="6577" xr:uid="{00000000-0005-0000-0000-0000C4620000}"/>
    <cellStyle name="Linked Cell 3 2" xfId="6578" xr:uid="{00000000-0005-0000-0000-0000C5620000}"/>
    <cellStyle name="Linked Cell 3 2 2" xfId="10051" xr:uid="{00000000-0005-0000-0000-0000C6620000}"/>
    <cellStyle name="Linked Cell 3 2 3" xfId="30904" xr:uid="{00000000-0005-0000-0000-0000C7620000}"/>
    <cellStyle name="Linked Cell 3 3" xfId="6579" xr:uid="{00000000-0005-0000-0000-0000C8620000}"/>
    <cellStyle name="Linked Cell 3 3 2" xfId="13221" xr:uid="{00000000-0005-0000-0000-0000C9620000}"/>
    <cellStyle name="Linked Cell 3 3 3" xfId="30905" xr:uid="{00000000-0005-0000-0000-0000CA620000}"/>
    <cellStyle name="Linked Cell 3 4" xfId="6580" xr:uid="{00000000-0005-0000-0000-0000CB620000}"/>
    <cellStyle name="Linked Cell 3 4 2" xfId="13220" xr:uid="{00000000-0005-0000-0000-0000CC620000}"/>
    <cellStyle name="Linked Cell 3 4 3" xfId="30906" xr:uid="{00000000-0005-0000-0000-0000CD620000}"/>
    <cellStyle name="Linked Cell 3 5" xfId="10050" xr:uid="{00000000-0005-0000-0000-0000CE620000}"/>
    <cellStyle name="Linked Cell 3 6" xfId="30903" xr:uid="{00000000-0005-0000-0000-0000CF620000}"/>
    <cellStyle name="Linked Cell 4" xfId="6581" xr:uid="{00000000-0005-0000-0000-0000D0620000}"/>
    <cellStyle name="Linked Cell 4 2" xfId="6582" xr:uid="{00000000-0005-0000-0000-0000D1620000}"/>
    <cellStyle name="Linked Cell 4 2 2" xfId="6583" xr:uid="{00000000-0005-0000-0000-0000D2620000}"/>
    <cellStyle name="Linked Cell 4 2 2 2" xfId="11449" xr:uid="{00000000-0005-0000-0000-0000D3620000}"/>
    <cellStyle name="Linked Cell 4 2 2 3" xfId="30909" xr:uid="{00000000-0005-0000-0000-0000D4620000}"/>
    <cellStyle name="Linked Cell 4 2 3" xfId="10053" xr:uid="{00000000-0005-0000-0000-0000D5620000}"/>
    <cellStyle name="Linked Cell 4 2 4" xfId="30908" xr:uid="{00000000-0005-0000-0000-0000D6620000}"/>
    <cellStyle name="Linked Cell 4 3" xfId="6584" xr:uid="{00000000-0005-0000-0000-0000D7620000}"/>
    <cellStyle name="Linked Cell 4 3 2" xfId="11448" xr:uid="{00000000-0005-0000-0000-0000D8620000}"/>
    <cellStyle name="Linked Cell 4 3 3" xfId="30910" xr:uid="{00000000-0005-0000-0000-0000D9620000}"/>
    <cellStyle name="Linked Cell 4 4" xfId="6585" xr:uid="{00000000-0005-0000-0000-0000DA620000}"/>
    <cellStyle name="Linked Cell 4 4 2" xfId="13222" xr:uid="{00000000-0005-0000-0000-0000DB620000}"/>
    <cellStyle name="Linked Cell 4 4 3" xfId="30911" xr:uid="{00000000-0005-0000-0000-0000DC620000}"/>
    <cellStyle name="Linked Cell 4 5" xfId="6586" xr:uid="{00000000-0005-0000-0000-0000DD620000}"/>
    <cellStyle name="Linked Cell 4 5 2" xfId="15674" xr:uid="{00000000-0005-0000-0000-0000DE620000}"/>
    <cellStyle name="Linked Cell 4 5 3" xfId="30912" xr:uid="{00000000-0005-0000-0000-0000DF620000}"/>
    <cellStyle name="Linked Cell 4 6" xfId="10052" xr:uid="{00000000-0005-0000-0000-0000E0620000}"/>
    <cellStyle name="Linked Cell 4 7" xfId="30907" xr:uid="{00000000-0005-0000-0000-0000E1620000}"/>
    <cellStyle name="Linked Cell 5" xfId="6587" xr:uid="{00000000-0005-0000-0000-0000E2620000}"/>
    <cellStyle name="Linked Cell 5 2" xfId="6588" xr:uid="{00000000-0005-0000-0000-0000E3620000}"/>
    <cellStyle name="Linked Cell 5 2 2" xfId="6589" xr:uid="{00000000-0005-0000-0000-0000E4620000}"/>
    <cellStyle name="Linked Cell 5 2 2 2" xfId="11451" xr:uid="{00000000-0005-0000-0000-0000E5620000}"/>
    <cellStyle name="Linked Cell 5 2 2 3" xfId="30915" xr:uid="{00000000-0005-0000-0000-0000E6620000}"/>
    <cellStyle name="Linked Cell 5 2 3" xfId="10055" xr:uid="{00000000-0005-0000-0000-0000E7620000}"/>
    <cellStyle name="Linked Cell 5 2 4" xfId="30914" xr:uid="{00000000-0005-0000-0000-0000E8620000}"/>
    <cellStyle name="Linked Cell 5 3" xfId="6590" xr:uid="{00000000-0005-0000-0000-0000E9620000}"/>
    <cellStyle name="Linked Cell 5 3 2" xfId="11450" xr:uid="{00000000-0005-0000-0000-0000EA620000}"/>
    <cellStyle name="Linked Cell 5 3 3" xfId="30916" xr:uid="{00000000-0005-0000-0000-0000EB620000}"/>
    <cellStyle name="Linked Cell 5 4" xfId="10054" xr:uid="{00000000-0005-0000-0000-0000EC620000}"/>
    <cellStyle name="Linked Cell 5 5" xfId="30913" xr:uid="{00000000-0005-0000-0000-0000ED620000}"/>
    <cellStyle name="Linked Cell 6" xfId="6591" xr:uid="{00000000-0005-0000-0000-0000EE620000}"/>
    <cellStyle name="Linked Cell 6 2" xfId="10056" xr:uid="{00000000-0005-0000-0000-0000EF620000}"/>
    <cellStyle name="Linked Cell 6 3" xfId="30917" xr:uid="{00000000-0005-0000-0000-0000F0620000}"/>
    <cellStyle name="Linked Cell 7" xfId="6592" xr:uid="{00000000-0005-0000-0000-0000F1620000}"/>
    <cellStyle name="Linked Cell 7 2" xfId="6593" xr:uid="{00000000-0005-0000-0000-0000F2620000}"/>
    <cellStyle name="Linked Cell 7 2 2" xfId="11452" xr:uid="{00000000-0005-0000-0000-0000F3620000}"/>
    <cellStyle name="Linked Cell 7 2 3" xfId="30919" xr:uid="{00000000-0005-0000-0000-0000F4620000}"/>
    <cellStyle name="Linked Cell 7 3" xfId="10057" xr:uid="{00000000-0005-0000-0000-0000F5620000}"/>
    <cellStyle name="Linked Cell 7 4" xfId="30918" xr:uid="{00000000-0005-0000-0000-0000F6620000}"/>
    <cellStyle name="Linked Cell 8" xfId="6594" xr:uid="{00000000-0005-0000-0000-0000F7620000}"/>
    <cellStyle name="Linked Cell 8 2" xfId="6595" xr:uid="{00000000-0005-0000-0000-0000F8620000}"/>
    <cellStyle name="Linked Cell 8 2 2" xfId="11453" xr:uid="{00000000-0005-0000-0000-0000F9620000}"/>
    <cellStyle name="Linked Cell 8 2 3" xfId="30921" xr:uid="{00000000-0005-0000-0000-0000FA620000}"/>
    <cellStyle name="Linked Cell 8 3" xfId="10058" xr:uid="{00000000-0005-0000-0000-0000FB620000}"/>
    <cellStyle name="Linked Cell 8 4" xfId="30920" xr:uid="{00000000-0005-0000-0000-0000FC620000}"/>
    <cellStyle name="Linked Cell 9" xfId="6596" xr:uid="{00000000-0005-0000-0000-0000FD620000}"/>
    <cellStyle name="Linked Cell 9 2" xfId="6597" xr:uid="{00000000-0005-0000-0000-0000FE620000}"/>
    <cellStyle name="Linked Cell 9 2 2" xfId="11454" xr:uid="{00000000-0005-0000-0000-0000FF620000}"/>
    <cellStyle name="Linked Cell 9 2 3" xfId="30923" xr:uid="{00000000-0005-0000-0000-000000630000}"/>
    <cellStyle name="Linked Cell 9 3" xfId="10059" xr:uid="{00000000-0005-0000-0000-000001630000}"/>
    <cellStyle name="Linked Cell 9 4" xfId="30922" xr:uid="{00000000-0005-0000-0000-000002630000}"/>
    <cellStyle name="Neutral" xfId="11" builtinId="28" customBuiltin="1"/>
    <cellStyle name="Neutral 10" xfId="6598" xr:uid="{00000000-0005-0000-0000-000004630000}"/>
    <cellStyle name="Neutral 10 2" xfId="10061" xr:uid="{00000000-0005-0000-0000-000005630000}"/>
    <cellStyle name="Neutral 10 3" xfId="30924" xr:uid="{00000000-0005-0000-0000-000006630000}"/>
    <cellStyle name="Neutral 11" xfId="6599" xr:uid="{00000000-0005-0000-0000-000007630000}"/>
    <cellStyle name="Neutral 11 2" xfId="10062" xr:uid="{00000000-0005-0000-0000-000008630000}"/>
    <cellStyle name="Neutral 11 3" xfId="30925" xr:uid="{00000000-0005-0000-0000-000009630000}"/>
    <cellStyle name="Neutral 12" xfId="6600" xr:uid="{00000000-0005-0000-0000-00000A630000}"/>
    <cellStyle name="Neutral 12 2" xfId="6601" xr:uid="{00000000-0005-0000-0000-00000B630000}"/>
    <cellStyle name="Neutral 12 2 2" xfId="15675" xr:uid="{00000000-0005-0000-0000-00000C630000}"/>
    <cellStyle name="Neutral 12 2 3" xfId="30927" xr:uid="{00000000-0005-0000-0000-00000D630000}"/>
    <cellStyle name="Neutral 12 3" xfId="10485" xr:uid="{00000000-0005-0000-0000-00000E630000}"/>
    <cellStyle name="Neutral 12 4" xfId="30926" xr:uid="{00000000-0005-0000-0000-00000F630000}"/>
    <cellStyle name="Neutral 13" xfId="6602" xr:uid="{00000000-0005-0000-0000-000010630000}"/>
    <cellStyle name="Neutral 13 2" xfId="11455" xr:uid="{00000000-0005-0000-0000-000011630000}"/>
    <cellStyle name="Neutral 13 3" xfId="30928" xr:uid="{00000000-0005-0000-0000-000012630000}"/>
    <cellStyle name="Neutral 14" xfId="6603" xr:uid="{00000000-0005-0000-0000-000013630000}"/>
    <cellStyle name="Neutral 14 2" xfId="10060" xr:uid="{00000000-0005-0000-0000-000014630000}"/>
    <cellStyle name="Neutral 14 3" xfId="30929" xr:uid="{00000000-0005-0000-0000-000015630000}"/>
    <cellStyle name="Neutral 2" xfId="6604" xr:uid="{00000000-0005-0000-0000-000016630000}"/>
    <cellStyle name="Neutral 2 2" xfId="10063" xr:uid="{00000000-0005-0000-0000-000017630000}"/>
    <cellStyle name="Neutral 2 3" xfId="30930" xr:uid="{00000000-0005-0000-0000-000018630000}"/>
    <cellStyle name="Neutral 3" xfId="6605" xr:uid="{00000000-0005-0000-0000-000019630000}"/>
    <cellStyle name="Neutral 3 2" xfId="6606" xr:uid="{00000000-0005-0000-0000-00001A630000}"/>
    <cellStyle name="Neutral 3 2 2" xfId="10065" xr:uid="{00000000-0005-0000-0000-00001B630000}"/>
    <cellStyle name="Neutral 3 2 3" xfId="30932" xr:uid="{00000000-0005-0000-0000-00001C630000}"/>
    <cellStyle name="Neutral 3 3" xfId="10064" xr:uid="{00000000-0005-0000-0000-00001D630000}"/>
    <cellStyle name="Neutral 3 4" xfId="30931" xr:uid="{00000000-0005-0000-0000-00001E630000}"/>
    <cellStyle name="Neutral 4" xfId="6607" xr:uid="{00000000-0005-0000-0000-00001F630000}"/>
    <cellStyle name="Neutral 4 2" xfId="6608" xr:uid="{00000000-0005-0000-0000-000020630000}"/>
    <cellStyle name="Neutral 4 2 2" xfId="13224" xr:uid="{00000000-0005-0000-0000-000021630000}"/>
    <cellStyle name="Neutral 4 2 3" xfId="30934" xr:uid="{00000000-0005-0000-0000-000022630000}"/>
    <cellStyle name="Neutral 4 3" xfId="6609" xr:uid="{00000000-0005-0000-0000-000023630000}"/>
    <cellStyle name="Neutral 4 3 2" xfId="13223" xr:uid="{00000000-0005-0000-0000-000024630000}"/>
    <cellStyle name="Neutral 4 3 3" xfId="30935" xr:uid="{00000000-0005-0000-0000-000025630000}"/>
    <cellStyle name="Neutral 4 4" xfId="10066" xr:uid="{00000000-0005-0000-0000-000026630000}"/>
    <cellStyle name="Neutral 4 5" xfId="30933" xr:uid="{00000000-0005-0000-0000-000027630000}"/>
    <cellStyle name="Neutral 5" xfId="6610" xr:uid="{00000000-0005-0000-0000-000028630000}"/>
    <cellStyle name="Neutral 5 2" xfId="6611" xr:uid="{00000000-0005-0000-0000-000029630000}"/>
    <cellStyle name="Neutral 5 2 2" xfId="10068" xr:uid="{00000000-0005-0000-0000-00002A630000}"/>
    <cellStyle name="Neutral 5 2 3" xfId="30937" xr:uid="{00000000-0005-0000-0000-00002B630000}"/>
    <cellStyle name="Neutral 5 3" xfId="10067" xr:uid="{00000000-0005-0000-0000-00002C630000}"/>
    <cellStyle name="Neutral 5 4" xfId="30936" xr:uid="{00000000-0005-0000-0000-00002D630000}"/>
    <cellStyle name="Neutral 6" xfId="6612" xr:uid="{00000000-0005-0000-0000-00002E630000}"/>
    <cellStyle name="Neutral 6 2" xfId="10069" xr:uid="{00000000-0005-0000-0000-00002F630000}"/>
    <cellStyle name="Neutral 6 3" xfId="30938" xr:uid="{00000000-0005-0000-0000-000030630000}"/>
    <cellStyle name="Neutral 7" xfId="6613" xr:uid="{00000000-0005-0000-0000-000031630000}"/>
    <cellStyle name="Neutral 7 2" xfId="10070" xr:uid="{00000000-0005-0000-0000-000032630000}"/>
    <cellStyle name="Neutral 7 3" xfId="30939" xr:uid="{00000000-0005-0000-0000-000033630000}"/>
    <cellStyle name="Neutral 8" xfId="6614" xr:uid="{00000000-0005-0000-0000-000034630000}"/>
    <cellStyle name="Neutral 8 2" xfId="10071" xr:uid="{00000000-0005-0000-0000-000035630000}"/>
    <cellStyle name="Neutral 8 3" xfId="30940" xr:uid="{00000000-0005-0000-0000-000036630000}"/>
    <cellStyle name="Neutral 9" xfId="6615" xr:uid="{00000000-0005-0000-0000-000037630000}"/>
    <cellStyle name="Neutral 9 2" xfId="10072" xr:uid="{00000000-0005-0000-0000-000038630000}"/>
    <cellStyle name="Neutral 9 3" xfId="30941" xr:uid="{00000000-0005-0000-0000-000039630000}"/>
    <cellStyle name="Normal" xfId="0" builtinId="0"/>
    <cellStyle name="Normal 10" xfId="6616" xr:uid="{00000000-0005-0000-0000-00003B630000}"/>
    <cellStyle name="Normal 10 2" xfId="6617" xr:uid="{00000000-0005-0000-0000-00003C630000}"/>
    <cellStyle name="Normal 10 2 2" xfId="6618" xr:uid="{00000000-0005-0000-0000-00003D630000}"/>
    <cellStyle name="Normal 10 2 2 2" xfId="11682" xr:uid="{00000000-0005-0000-0000-00003E630000}"/>
    <cellStyle name="Normal 10 2 2 2 2" xfId="25418" xr:uid="{00000000-0005-0000-0000-00003F630000}"/>
    <cellStyle name="Normal 10 2 2 3" xfId="30942" xr:uid="{00000000-0005-0000-0000-000040630000}"/>
    <cellStyle name="Normal 10 2 3" xfId="6619" xr:uid="{00000000-0005-0000-0000-000041630000}"/>
    <cellStyle name="Normal 10 2 3 2" xfId="17332" xr:uid="{00000000-0005-0000-0000-000042630000}"/>
    <cellStyle name="Normal 10 2 3 3" xfId="30943" xr:uid="{00000000-0005-0000-0000-000043630000}"/>
    <cellStyle name="Normal 10 2 4" xfId="8719" xr:uid="{00000000-0005-0000-0000-000044630000}"/>
    <cellStyle name="Normal 10 2 5" xfId="10074" xr:uid="{00000000-0005-0000-0000-000045630000}"/>
    <cellStyle name="Normal 10 3" xfId="6620" xr:uid="{00000000-0005-0000-0000-000046630000}"/>
    <cellStyle name="Normal 10 3 2" xfId="6621" xr:uid="{00000000-0005-0000-0000-000047630000}"/>
    <cellStyle name="Normal 10 3 2 2" xfId="13226" xr:uid="{00000000-0005-0000-0000-000048630000}"/>
    <cellStyle name="Normal 10 3 2 2 2" xfId="26871" xr:uid="{00000000-0005-0000-0000-000049630000}"/>
    <cellStyle name="Normal 10 3 2 3" xfId="30945" xr:uid="{00000000-0005-0000-0000-00004A630000}"/>
    <cellStyle name="Normal 10 3 3" xfId="6622" xr:uid="{00000000-0005-0000-0000-00004B630000}"/>
    <cellStyle name="Normal 10 3 3 2" xfId="15677" xr:uid="{00000000-0005-0000-0000-00004C630000}"/>
    <cellStyle name="Normal 10 3 3 2 2" xfId="29163" xr:uid="{00000000-0005-0000-0000-00004D630000}"/>
    <cellStyle name="Normal 10 3 3 3" xfId="30946" xr:uid="{00000000-0005-0000-0000-00004E630000}"/>
    <cellStyle name="Normal 10 3 4" xfId="11456" xr:uid="{00000000-0005-0000-0000-00004F630000}"/>
    <cellStyle name="Normal 10 3 4 2" xfId="25288" xr:uid="{00000000-0005-0000-0000-000050630000}"/>
    <cellStyle name="Normal 10 3 5" xfId="30944" xr:uid="{00000000-0005-0000-0000-000051630000}"/>
    <cellStyle name="Normal 10 3 6" xfId="32935" xr:uid="{00000000-0005-0000-0000-000052630000}"/>
    <cellStyle name="Normal 10 3 7" xfId="32993" xr:uid="{00000000-0005-0000-0000-000053630000}"/>
    <cellStyle name="Normal 10 4" xfId="6623" xr:uid="{00000000-0005-0000-0000-000054630000}"/>
    <cellStyle name="Normal 10 4 2" xfId="13225" xr:uid="{00000000-0005-0000-0000-000055630000}"/>
    <cellStyle name="Normal 10 4 2 2" xfId="26870" xr:uid="{00000000-0005-0000-0000-000056630000}"/>
    <cellStyle name="Normal 10 4 3" xfId="30947" xr:uid="{00000000-0005-0000-0000-000057630000}"/>
    <cellStyle name="Normal 10 5" xfId="6624" xr:uid="{00000000-0005-0000-0000-000058630000}"/>
    <cellStyle name="Normal 10 5 2" xfId="15676" xr:uid="{00000000-0005-0000-0000-000059630000}"/>
    <cellStyle name="Normal 10 5 2 2" xfId="29162" xr:uid="{00000000-0005-0000-0000-00005A630000}"/>
    <cellStyle name="Normal 10 5 3" xfId="30948" xr:uid="{00000000-0005-0000-0000-00005B630000}"/>
    <cellStyle name="Normal 10 6" xfId="6625" xr:uid="{00000000-0005-0000-0000-00005C630000}"/>
    <cellStyle name="Normal 10 6 2" xfId="15792" xr:uid="{00000000-0005-0000-0000-00005D630000}"/>
    <cellStyle name="Normal 10 6 2 2" xfId="29199" xr:uid="{00000000-0005-0000-0000-00005E630000}"/>
    <cellStyle name="Normal 10 6 3" xfId="30949" xr:uid="{00000000-0005-0000-0000-00005F630000}"/>
    <cellStyle name="Normal 10 7" xfId="8709" xr:uid="{00000000-0005-0000-0000-000060630000}"/>
    <cellStyle name="Normal 10 7 2" xfId="10073" xr:uid="{00000000-0005-0000-0000-000061630000}"/>
    <cellStyle name="Normal 10 7 2 2" xfId="24305" xr:uid="{00000000-0005-0000-0000-000062630000}"/>
    <cellStyle name="Normal 10 8" xfId="8710" xr:uid="{00000000-0005-0000-0000-000063630000}"/>
    <cellStyle name="Normal 10 8 2" xfId="17318" xr:uid="{00000000-0005-0000-0000-000064630000}"/>
    <cellStyle name="Normal 10 8 3" xfId="23225" xr:uid="{00000000-0005-0000-0000-000065630000}"/>
    <cellStyle name="Normal 11" xfId="6626" xr:uid="{00000000-0005-0000-0000-000066630000}"/>
    <cellStyle name="Normal 11 2" xfId="10075" xr:uid="{00000000-0005-0000-0000-000067630000}"/>
    <cellStyle name="Normal 11 3" xfId="30950" xr:uid="{00000000-0005-0000-0000-000068630000}"/>
    <cellStyle name="Normal 11 4" xfId="32906" xr:uid="{00000000-0005-0000-0000-000069630000}"/>
    <cellStyle name="Normal 11 5" xfId="32966" xr:uid="{00000000-0005-0000-0000-00006A630000}"/>
    <cellStyle name="Normal 12" xfId="6627" xr:uid="{00000000-0005-0000-0000-00006B630000}"/>
    <cellStyle name="Normal 12 2" xfId="10076" xr:uid="{00000000-0005-0000-0000-00006C630000}"/>
    <cellStyle name="Normal 12 3" xfId="30951" xr:uid="{00000000-0005-0000-0000-00006D630000}"/>
    <cellStyle name="Normal 12 4" xfId="32932" xr:uid="{00000000-0005-0000-0000-00006E630000}"/>
    <cellStyle name="Normal 13" xfId="6628" xr:uid="{00000000-0005-0000-0000-00006F630000}"/>
    <cellStyle name="Normal 13 10" xfId="6629" xr:uid="{00000000-0005-0000-0000-000070630000}"/>
    <cellStyle name="Normal 13 10 2" xfId="6630" xr:uid="{00000000-0005-0000-0000-000071630000}"/>
    <cellStyle name="Normal 13 10 2 2" xfId="13227" xr:uid="{00000000-0005-0000-0000-000072630000}"/>
    <cellStyle name="Normal 13 10 2 2 2" xfId="26872" xr:uid="{00000000-0005-0000-0000-000073630000}"/>
    <cellStyle name="Normal 13 10 2 3" xfId="30953" xr:uid="{00000000-0005-0000-0000-000074630000}"/>
    <cellStyle name="Normal 13 10 3" xfId="6631" xr:uid="{00000000-0005-0000-0000-000075630000}"/>
    <cellStyle name="Normal 13 10 3 2" xfId="15678" xr:uid="{00000000-0005-0000-0000-000076630000}"/>
    <cellStyle name="Normal 13 10 3 2 2" xfId="29164" xr:uid="{00000000-0005-0000-0000-000077630000}"/>
    <cellStyle name="Normal 13 10 3 3" xfId="30954" xr:uid="{00000000-0005-0000-0000-000078630000}"/>
    <cellStyle name="Normal 13 10 4" xfId="6632" xr:uid="{00000000-0005-0000-0000-000079630000}"/>
    <cellStyle name="Normal 13 10 4 2" xfId="17099" xr:uid="{00000000-0005-0000-0000-00007A630000}"/>
    <cellStyle name="Normal 13 10 4 2 2" xfId="30458" xr:uid="{00000000-0005-0000-0000-00007B630000}"/>
    <cellStyle name="Normal 13 10 4 3" xfId="30955" xr:uid="{00000000-0005-0000-0000-00007C630000}"/>
    <cellStyle name="Normal 13 10 5" xfId="10510" xr:uid="{00000000-0005-0000-0000-00007D630000}"/>
    <cellStyle name="Normal 13 10 5 2" xfId="24456" xr:uid="{00000000-0005-0000-0000-00007E630000}"/>
    <cellStyle name="Normal 13 10 6" xfId="30952" xr:uid="{00000000-0005-0000-0000-00007F630000}"/>
    <cellStyle name="Normal 13 11" xfId="6633" xr:uid="{00000000-0005-0000-0000-000080630000}"/>
    <cellStyle name="Normal 13 11 2" xfId="6634" xr:uid="{00000000-0005-0000-0000-000081630000}"/>
    <cellStyle name="Normal 13 11 2 2" xfId="13228" xr:uid="{00000000-0005-0000-0000-000082630000}"/>
    <cellStyle name="Normal 13 11 2 2 2" xfId="26873" xr:uid="{00000000-0005-0000-0000-000083630000}"/>
    <cellStyle name="Normal 13 11 2 3" xfId="30957" xr:uid="{00000000-0005-0000-0000-000084630000}"/>
    <cellStyle name="Normal 13 11 3" xfId="6635" xr:uid="{00000000-0005-0000-0000-000085630000}"/>
    <cellStyle name="Normal 13 11 3 2" xfId="15679" xr:uid="{00000000-0005-0000-0000-000086630000}"/>
    <cellStyle name="Normal 13 11 3 2 2" xfId="29165" xr:uid="{00000000-0005-0000-0000-000087630000}"/>
    <cellStyle name="Normal 13 11 3 3" xfId="30958" xr:uid="{00000000-0005-0000-0000-000088630000}"/>
    <cellStyle name="Normal 13 11 4" xfId="6636" xr:uid="{00000000-0005-0000-0000-000089630000}"/>
    <cellStyle name="Normal 13 11 4 2" xfId="17188" xr:uid="{00000000-0005-0000-0000-00008A630000}"/>
    <cellStyle name="Normal 13 11 4 2 2" xfId="30547" xr:uid="{00000000-0005-0000-0000-00008B630000}"/>
    <cellStyle name="Normal 13 11 4 3" xfId="30959" xr:uid="{00000000-0005-0000-0000-00008C630000}"/>
    <cellStyle name="Normal 13 11 5" xfId="11457" xr:uid="{00000000-0005-0000-0000-00008D630000}"/>
    <cellStyle name="Normal 13 11 5 2" xfId="25289" xr:uid="{00000000-0005-0000-0000-00008E630000}"/>
    <cellStyle name="Normal 13 11 6" xfId="30956" xr:uid="{00000000-0005-0000-0000-00008F630000}"/>
    <cellStyle name="Normal 13 12" xfId="6637" xr:uid="{00000000-0005-0000-0000-000090630000}"/>
    <cellStyle name="Normal 13 12 2" xfId="6638" xr:uid="{00000000-0005-0000-0000-000091630000}"/>
    <cellStyle name="Normal 13 12 2 2" xfId="17277" xr:uid="{00000000-0005-0000-0000-000092630000}"/>
    <cellStyle name="Normal 13 12 2 2 2" xfId="30636" xr:uid="{00000000-0005-0000-0000-000093630000}"/>
    <cellStyle name="Normal 13 12 2 3" xfId="30961" xr:uid="{00000000-0005-0000-0000-000094630000}"/>
    <cellStyle name="Normal 13 12 3" xfId="11766" xr:uid="{00000000-0005-0000-0000-000095630000}"/>
    <cellStyle name="Normal 13 12 3 2" xfId="25481" xr:uid="{00000000-0005-0000-0000-000096630000}"/>
    <cellStyle name="Normal 13 12 4" xfId="30960" xr:uid="{00000000-0005-0000-0000-000097630000}"/>
    <cellStyle name="Normal 13 13" xfId="6639" xr:uid="{00000000-0005-0000-0000-000098630000}"/>
    <cellStyle name="Normal 13 13 2" xfId="6640" xr:uid="{00000000-0005-0000-0000-000099630000}"/>
    <cellStyle name="Normal 13 13 2 2" xfId="16429" xr:uid="{00000000-0005-0000-0000-00009A630000}"/>
    <cellStyle name="Normal 13 13 2 2 2" xfId="29836" xr:uid="{00000000-0005-0000-0000-00009B630000}"/>
    <cellStyle name="Normal 13 13 2 3" xfId="30963" xr:uid="{00000000-0005-0000-0000-00009C630000}"/>
    <cellStyle name="Normal 13 13 3" xfId="13381" xr:uid="{00000000-0005-0000-0000-00009D630000}"/>
    <cellStyle name="Normal 13 13 3 2" xfId="26930" xr:uid="{00000000-0005-0000-0000-00009E630000}"/>
    <cellStyle name="Normal 13 13 4" xfId="30962" xr:uid="{00000000-0005-0000-0000-00009F630000}"/>
    <cellStyle name="Normal 13 14" xfId="6641" xr:uid="{00000000-0005-0000-0000-0000A0630000}"/>
    <cellStyle name="Normal 13 14 2" xfId="13962" xr:uid="{00000000-0005-0000-0000-0000A1630000}"/>
    <cellStyle name="Normal 13 14 2 2" xfId="27511" xr:uid="{00000000-0005-0000-0000-0000A2630000}"/>
    <cellStyle name="Normal 13 14 3" xfId="30964" xr:uid="{00000000-0005-0000-0000-0000A3630000}"/>
    <cellStyle name="Normal 13 15" xfId="6642" xr:uid="{00000000-0005-0000-0000-0000A4630000}"/>
    <cellStyle name="Normal 13 15 2" xfId="15831" xr:uid="{00000000-0005-0000-0000-0000A5630000}"/>
    <cellStyle name="Normal 13 15 2 2" xfId="29238" xr:uid="{00000000-0005-0000-0000-0000A6630000}"/>
    <cellStyle name="Normal 13 15 3" xfId="30965" xr:uid="{00000000-0005-0000-0000-0000A7630000}"/>
    <cellStyle name="Normal 13 16" xfId="6643" xr:uid="{00000000-0005-0000-0000-0000A8630000}"/>
    <cellStyle name="Normal 13 16 2" xfId="15848" xr:uid="{00000000-0005-0000-0000-0000A9630000}"/>
    <cellStyle name="Normal 13 16 2 2" xfId="29255" xr:uid="{00000000-0005-0000-0000-0000AA630000}"/>
    <cellStyle name="Normal 13 16 3" xfId="30966" xr:uid="{00000000-0005-0000-0000-0000AB630000}"/>
    <cellStyle name="Normal 13 17" xfId="17364" xr:uid="{00000000-0005-0000-0000-0000AC630000}"/>
    <cellStyle name="Normal 13 18" xfId="10077" xr:uid="{00000000-0005-0000-0000-0000AD630000}"/>
    <cellStyle name="Normal 13 18 2" xfId="24306" xr:uid="{00000000-0005-0000-0000-0000AE630000}"/>
    <cellStyle name="Normal 13 2" xfId="6644" xr:uid="{00000000-0005-0000-0000-0000AF630000}"/>
    <cellStyle name="Normal 13 2 10" xfId="6645" xr:uid="{00000000-0005-0000-0000-0000B0630000}"/>
    <cellStyle name="Normal 13 2 10 2" xfId="15905" xr:uid="{00000000-0005-0000-0000-0000B1630000}"/>
    <cellStyle name="Normal 13 2 10 2 2" xfId="29312" xr:uid="{00000000-0005-0000-0000-0000B2630000}"/>
    <cellStyle name="Normal 13 2 10 3" xfId="30968" xr:uid="{00000000-0005-0000-0000-0000B3630000}"/>
    <cellStyle name="Normal 13 2 11" xfId="10078" xr:uid="{00000000-0005-0000-0000-0000B4630000}"/>
    <cellStyle name="Normal 13 2 11 2" xfId="24307" xr:uid="{00000000-0005-0000-0000-0000B5630000}"/>
    <cellStyle name="Normal 13 2 12" xfId="30967" xr:uid="{00000000-0005-0000-0000-0000B6630000}"/>
    <cellStyle name="Normal 13 2 2" xfId="6646" xr:uid="{00000000-0005-0000-0000-0000B7630000}"/>
    <cellStyle name="Normal 13 2 2 10" xfId="30969" xr:uid="{00000000-0005-0000-0000-0000B8630000}"/>
    <cellStyle name="Normal 13 2 2 2" xfId="6647" xr:uid="{00000000-0005-0000-0000-0000B9630000}"/>
    <cellStyle name="Normal 13 2 2 2 2" xfId="6648" xr:uid="{00000000-0005-0000-0000-0000BA630000}"/>
    <cellStyle name="Normal 13 2 2 2 2 2" xfId="6649" xr:uid="{00000000-0005-0000-0000-0000BB630000}"/>
    <cellStyle name="Normal 13 2 2 2 2 2 2" xfId="6650" xr:uid="{00000000-0005-0000-0000-0000BC630000}"/>
    <cellStyle name="Normal 13 2 2 2 2 2 2 2" xfId="16964" xr:uid="{00000000-0005-0000-0000-0000BD630000}"/>
    <cellStyle name="Normal 13 2 2 2 2 2 2 2 2" xfId="30371" xr:uid="{00000000-0005-0000-0000-0000BE630000}"/>
    <cellStyle name="Normal 13 2 2 2 2 2 2 3" xfId="30973" xr:uid="{00000000-0005-0000-0000-0000BF630000}"/>
    <cellStyle name="Normal 13 2 2 2 2 2 3" xfId="11461" xr:uid="{00000000-0005-0000-0000-0000C0630000}"/>
    <cellStyle name="Normal 13 2 2 2 2 2 3 2" xfId="25293" xr:uid="{00000000-0005-0000-0000-0000C1630000}"/>
    <cellStyle name="Normal 13 2 2 2 2 2 4" xfId="30972" xr:uid="{00000000-0005-0000-0000-0000C2630000}"/>
    <cellStyle name="Normal 13 2 2 2 2 3" xfId="6651" xr:uid="{00000000-0005-0000-0000-0000C3630000}"/>
    <cellStyle name="Normal 13 2 2 2 2 3 2" xfId="12352" xr:uid="{00000000-0005-0000-0000-0000C4630000}"/>
    <cellStyle name="Normal 13 2 2 2 2 3 2 2" xfId="26064" xr:uid="{00000000-0005-0000-0000-0000C5630000}"/>
    <cellStyle name="Normal 13 2 2 2 2 3 3" xfId="30974" xr:uid="{00000000-0005-0000-0000-0000C6630000}"/>
    <cellStyle name="Normal 13 2 2 2 2 4" xfId="6652" xr:uid="{00000000-0005-0000-0000-0000C7630000}"/>
    <cellStyle name="Normal 13 2 2 2 2 4 2" xfId="13916" xr:uid="{00000000-0005-0000-0000-0000C8630000}"/>
    <cellStyle name="Normal 13 2 2 2 2 4 2 2" xfId="27465" xr:uid="{00000000-0005-0000-0000-0000C9630000}"/>
    <cellStyle name="Normal 13 2 2 2 2 4 3" xfId="30975" xr:uid="{00000000-0005-0000-0000-0000CA630000}"/>
    <cellStyle name="Normal 13 2 2 2 2 5" xfId="6653" xr:uid="{00000000-0005-0000-0000-0000CB630000}"/>
    <cellStyle name="Normal 13 2 2 2 2 5 2" xfId="14497" xr:uid="{00000000-0005-0000-0000-0000CC630000}"/>
    <cellStyle name="Normal 13 2 2 2 2 5 2 2" xfId="28046" xr:uid="{00000000-0005-0000-0000-0000CD630000}"/>
    <cellStyle name="Normal 13 2 2 2 2 5 3" xfId="30976" xr:uid="{00000000-0005-0000-0000-0000CE630000}"/>
    <cellStyle name="Normal 13 2 2 2 2 6" xfId="6654" xr:uid="{00000000-0005-0000-0000-0000CF630000}"/>
    <cellStyle name="Normal 13 2 2 2 2 6 2" xfId="16383" xr:uid="{00000000-0005-0000-0000-0000D0630000}"/>
    <cellStyle name="Normal 13 2 2 2 2 6 2 2" xfId="29790" xr:uid="{00000000-0005-0000-0000-0000D1630000}"/>
    <cellStyle name="Normal 13 2 2 2 2 6 3" xfId="30977" xr:uid="{00000000-0005-0000-0000-0000D2630000}"/>
    <cellStyle name="Normal 13 2 2 2 2 7" xfId="10081" xr:uid="{00000000-0005-0000-0000-0000D3630000}"/>
    <cellStyle name="Normal 13 2 2 2 2 7 2" xfId="24310" xr:uid="{00000000-0005-0000-0000-0000D4630000}"/>
    <cellStyle name="Normal 13 2 2 2 2 8" xfId="30971" xr:uid="{00000000-0005-0000-0000-0000D5630000}"/>
    <cellStyle name="Normal 13 2 2 2 3" xfId="6655" xr:uid="{00000000-0005-0000-0000-0000D6630000}"/>
    <cellStyle name="Normal 13 2 2 2 3 2" xfId="6656" xr:uid="{00000000-0005-0000-0000-0000D7630000}"/>
    <cellStyle name="Normal 13 2 2 2 3 2 2" xfId="16675" xr:uid="{00000000-0005-0000-0000-0000D8630000}"/>
    <cellStyle name="Normal 13 2 2 2 3 2 2 2" xfId="30082" xr:uid="{00000000-0005-0000-0000-0000D9630000}"/>
    <cellStyle name="Normal 13 2 2 2 3 2 3" xfId="30979" xr:uid="{00000000-0005-0000-0000-0000DA630000}"/>
    <cellStyle name="Normal 13 2 2 2 3 3" xfId="11460" xr:uid="{00000000-0005-0000-0000-0000DB630000}"/>
    <cellStyle name="Normal 13 2 2 2 3 3 2" xfId="25292" xr:uid="{00000000-0005-0000-0000-0000DC630000}"/>
    <cellStyle name="Normal 13 2 2 2 3 4" xfId="30978" xr:uid="{00000000-0005-0000-0000-0000DD630000}"/>
    <cellStyle name="Normal 13 2 2 2 4" xfId="6657" xr:uid="{00000000-0005-0000-0000-0000DE630000}"/>
    <cellStyle name="Normal 13 2 2 2 4 2" xfId="12052" xr:uid="{00000000-0005-0000-0000-0000DF630000}"/>
    <cellStyle name="Normal 13 2 2 2 4 2 2" xfId="25767" xr:uid="{00000000-0005-0000-0000-0000E0630000}"/>
    <cellStyle name="Normal 13 2 2 2 4 3" xfId="30980" xr:uid="{00000000-0005-0000-0000-0000E1630000}"/>
    <cellStyle name="Normal 13 2 2 2 5" xfId="6658" xr:uid="{00000000-0005-0000-0000-0000E2630000}"/>
    <cellStyle name="Normal 13 2 2 2 5 2" xfId="13627" xr:uid="{00000000-0005-0000-0000-0000E3630000}"/>
    <cellStyle name="Normal 13 2 2 2 5 2 2" xfId="27176" xr:uid="{00000000-0005-0000-0000-0000E4630000}"/>
    <cellStyle name="Normal 13 2 2 2 5 3" xfId="30981" xr:uid="{00000000-0005-0000-0000-0000E5630000}"/>
    <cellStyle name="Normal 13 2 2 2 6" xfId="6659" xr:uid="{00000000-0005-0000-0000-0000E6630000}"/>
    <cellStyle name="Normal 13 2 2 2 6 2" xfId="14208" xr:uid="{00000000-0005-0000-0000-0000E7630000}"/>
    <cellStyle name="Normal 13 2 2 2 6 2 2" xfId="27757" xr:uid="{00000000-0005-0000-0000-0000E8630000}"/>
    <cellStyle name="Normal 13 2 2 2 6 3" xfId="30982" xr:uid="{00000000-0005-0000-0000-0000E9630000}"/>
    <cellStyle name="Normal 13 2 2 2 7" xfId="6660" xr:uid="{00000000-0005-0000-0000-0000EA630000}"/>
    <cellStyle name="Normal 13 2 2 2 7 2" xfId="16094" xr:uid="{00000000-0005-0000-0000-0000EB630000}"/>
    <cellStyle name="Normal 13 2 2 2 7 2 2" xfId="29501" xr:uid="{00000000-0005-0000-0000-0000EC630000}"/>
    <cellStyle name="Normal 13 2 2 2 7 3" xfId="30983" xr:uid="{00000000-0005-0000-0000-0000ED630000}"/>
    <cellStyle name="Normal 13 2 2 2 8" xfId="10080" xr:uid="{00000000-0005-0000-0000-0000EE630000}"/>
    <cellStyle name="Normal 13 2 2 2 8 2" xfId="24309" xr:uid="{00000000-0005-0000-0000-0000EF630000}"/>
    <cellStyle name="Normal 13 2 2 2 9" xfId="30970" xr:uid="{00000000-0005-0000-0000-0000F0630000}"/>
    <cellStyle name="Normal 13 2 2 3" xfId="6661" xr:uid="{00000000-0005-0000-0000-0000F1630000}"/>
    <cellStyle name="Normal 13 2 2 3 2" xfId="6662" xr:uid="{00000000-0005-0000-0000-0000F2630000}"/>
    <cellStyle name="Normal 13 2 2 3 2 2" xfId="6663" xr:uid="{00000000-0005-0000-0000-0000F3630000}"/>
    <cellStyle name="Normal 13 2 2 3 2 2 2" xfId="16821" xr:uid="{00000000-0005-0000-0000-0000F4630000}"/>
    <cellStyle name="Normal 13 2 2 3 2 2 2 2" xfId="30228" xr:uid="{00000000-0005-0000-0000-0000F5630000}"/>
    <cellStyle name="Normal 13 2 2 3 2 2 3" xfId="30986" xr:uid="{00000000-0005-0000-0000-0000F6630000}"/>
    <cellStyle name="Normal 13 2 2 3 2 3" xfId="11462" xr:uid="{00000000-0005-0000-0000-0000F7630000}"/>
    <cellStyle name="Normal 13 2 2 3 2 3 2" xfId="25294" xr:uid="{00000000-0005-0000-0000-0000F8630000}"/>
    <cellStyle name="Normal 13 2 2 3 2 4" xfId="30985" xr:uid="{00000000-0005-0000-0000-0000F9630000}"/>
    <cellStyle name="Normal 13 2 2 3 3" xfId="6664" xr:uid="{00000000-0005-0000-0000-0000FA630000}"/>
    <cellStyle name="Normal 13 2 2 3 3 2" xfId="12209" xr:uid="{00000000-0005-0000-0000-0000FB630000}"/>
    <cellStyle name="Normal 13 2 2 3 3 2 2" xfId="25921" xr:uid="{00000000-0005-0000-0000-0000FC630000}"/>
    <cellStyle name="Normal 13 2 2 3 3 3" xfId="30987" xr:uid="{00000000-0005-0000-0000-0000FD630000}"/>
    <cellStyle name="Normal 13 2 2 3 4" xfId="6665" xr:uid="{00000000-0005-0000-0000-0000FE630000}"/>
    <cellStyle name="Normal 13 2 2 3 4 2" xfId="13773" xr:uid="{00000000-0005-0000-0000-0000FF630000}"/>
    <cellStyle name="Normal 13 2 2 3 4 2 2" xfId="27322" xr:uid="{00000000-0005-0000-0000-000000640000}"/>
    <cellStyle name="Normal 13 2 2 3 4 3" xfId="30988" xr:uid="{00000000-0005-0000-0000-000001640000}"/>
    <cellStyle name="Normal 13 2 2 3 5" xfId="6666" xr:uid="{00000000-0005-0000-0000-000002640000}"/>
    <cellStyle name="Normal 13 2 2 3 5 2" xfId="14354" xr:uid="{00000000-0005-0000-0000-000003640000}"/>
    <cellStyle name="Normal 13 2 2 3 5 2 2" xfId="27903" xr:uid="{00000000-0005-0000-0000-000004640000}"/>
    <cellStyle name="Normal 13 2 2 3 5 3" xfId="30989" xr:uid="{00000000-0005-0000-0000-000005640000}"/>
    <cellStyle name="Normal 13 2 2 3 6" xfId="6667" xr:uid="{00000000-0005-0000-0000-000006640000}"/>
    <cellStyle name="Normal 13 2 2 3 6 2" xfId="16240" xr:uid="{00000000-0005-0000-0000-000007640000}"/>
    <cellStyle name="Normal 13 2 2 3 6 2 2" xfId="29647" xr:uid="{00000000-0005-0000-0000-000008640000}"/>
    <cellStyle name="Normal 13 2 2 3 6 3" xfId="30990" xr:uid="{00000000-0005-0000-0000-000009640000}"/>
    <cellStyle name="Normal 13 2 2 3 7" xfId="10082" xr:uid="{00000000-0005-0000-0000-00000A640000}"/>
    <cellStyle name="Normal 13 2 2 3 7 2" xfId="24311" xr:uid="{00000000-0005-0000-0000-00000B640000}"/>
    <cellStyle name="Normal 13 2 2 3 8" xfId="30984" xr:uid="{00000000-0005-0000-0000-00000C640000}"/>
    <cellStyle name="Normal 13 2 2 4" xfId="6668" xr:uid="{00000000-0005-0000-0000-00000D640000}"/>
    <cellStyle name="Normal 13 2 2 4 2" xfId="6669" xr:uid="{00000000-0005-0000-0000-00000E640000}"/>
    <cellStyle name="Normal 13 2 2 4 2 2" xfId="17168" xr:uid="{00000000-0005-0000-0000-00000F640000}"/>
    <cellStyle name="Normal 13 2 2 4 2 2 2" xfId="30527" xr:uid="{00000000-0005-0000-0000-000010640000}"/>
    <cellStyle name="Normal 13 2 2 4 2 3" xfId="30992" xr:uid="{00000000-0005-0000-0000-000011640000}"/>
    <cellStyle name="Normal 13 2 2 4 3" xfId="11459" xr:uid="{00000000-0005-0000-0000-000012640000}"/>
    <cellStyle name="Normal 13 2 2 4 3 2" xfId="25291" xr:uid="{00000000-0005-0000-0000-000013640000}"/>
    <cellStyle name="Normal 13 2 2 4 4" xfId="30991" xr:uid="{00000000-0005-0000-0000-000014640000}"/>
    <cellStyle name="Normal 13 2 2 5" xfId="6670" xr:uid="{00000000-0005-0000-0000-000015640000}"/>
    <cellStyle name="Normal 13 2 2 5 2" xfId="6671" xr:uid="{00000000-0005-0000-0000-000016640000}"/>
    <cellStyle name="Normal 13 2 2 5 2 2" xfId="17257" xr:uid="{00000000-0005-0000-0000-000017640000}"/>
    <cellStyle name="Normal 13 2 2 5 2 2 2" xfId="30616" xr:uid="{00000000-0005-0000-0000-000018640000}"/>
    <cellStyle name="Normal 13 2 2 5 2 3" xfId="30994" xr:uid="{00000000-0005-0000-0000-000019640000}"/>
    <cellStyle name="Normal 13 2 2 5 3" xfId="11907" xr:uid="{00000000-0005-0000-0000-00001A640000}"/>
    <cellStyle name="Normal 13 2 2 5 3 2" xfId="25622" xr:uid="{00000000-0005-0000-0000-00001B640000}"/>
    <cellStyle name="Normal 13 2 2 5 4" xfId="30993" xr:uid="{00000000-0005-0000-0000-00001C640000}"/>
    <cellStyle name="Normal 13 2 2 6" xfId="6672" xr:uid="{00000000-0005-0000-0000-00001D640000}"/>
    <cellStyle name="Normal 13 2 2 6 2" xfId="6673" xr:uid="{00000000-0005-0000-0000-00001E640000}"/>
    <cellStyle name="Normal 13 2 2 6 2 2" xfId="16532" xr:uid="{00000000-0005-0000-0000-00001F640000}"/>
    <cellStyle name="Normal 13 2 2 6 2 2 2" xfId="29939" xr:uid="{00000000-0005-0000-0000-000020640000}"/>
    <cellStyle name="Normal 13 2 2 6 2 3" xfId="30996" xr:uid="{00000000-0005-0000-0000-000021640000}"/>
    <cellStyle name="Normal 13 2 2 6 3" xfId="13484" xr:uid="{00000000-0005-0000-0000-000022640000}"/>
    <cellStyle name="Normal 13 2 2 6 3 2" xfId="27033" xr:uid="{00000000-0005-0000-0000-000023640000}"/>
    <cellStyle name="Normal 13 2 2 6 4" xfId="30995" xr:uid="{00000000-0005-0000-0000-000024640000}"/>
    <cellStyle name="Normal 13 2 2 7" xfId="6674" xr:uid="{00000000-0005-0000-0000-000025640000}"/>
    <cellStyle name="Normal 13 2 2 7 2" xfId="14065" xr:uid="{00000000-0005-0000-0000-000026640000}"/>
    <cellStyle name="Normal 13 2 2 7 2 2" xfId="27614" xr:uid="{00000000-0005-0000-0000-000027640000}"/>
    <cellStyle name="Normal 13 2 2 7 3" xfId="30997" xr:uid="{00000000-0005-0000-0000-000028640000}"/>
    <cellStyle name="Normal 13 2 2 8" xfId="6675" xr:uid="{00000000-0005-0000-0000-000029640000}"/>
    <cellStyle name="Normal 13 2 2 8 2" xfId="15951" xr:uid="{00000000-0005-0000-0000-00002A640000}"/>
    <cellStyle name="Normal 13 2 2 8 2 2" xfId="29358" xr:uid="{00000000-0005-0000-0000-00002B640000}"/>
    <cellStyle name="Normal 13 2 2 8 3" xfId="30998" xr:uid="{00000000-0005-0000-0000-00002C640000}"/>
    <cellStyle name="Normal 13 2 2 9" xfId="10079" xr:uid="{00000000-0005-0000-0000-00002D640000}"/>
    <cellStyle name="Normal 13 2 2 9 2" xfId="24308" xr:uid="{00000000-0005-0000-0000-00002E640000}"/>
    <cellStyle name="Normal 13 2 3" xfId="6676" xr:uid="{00000000-0005-0000-0000-00002F640000}"/>
    <cellStyle name="Normal 13 2 3 2" xfId="6677" xr:uid="{00000000-0005-0000-0000-000030640000}"/>
    <cellStyle name="Normal 13 2 3 2 2" xfId="6678" xr:uid="{00000000-0005-0000-0000-000031640000}"/>
    <cellStyle name="Normal 13 2 3 2 2 2" xfId="6679" xr:uid="{00000000-0005-0000-0000-000032640000}"/>
    <cellStyle name="Normal 13 2 3 2 2 2 2" xfId="16918" xr:uid="{00000000-0005-0000-0000-000033640000}"/>
    <cellStyle name="Normal 13 2 3 2 2 2 2 2" xfId="30325" xr:uid="{00000000-0005-0000-0000-000034640000}"/>
    <cellStyle name="Normal 13 2 3 2 2 2 3" xfId="31002" xr:uid="{00000000-0005-0000-0000-000035640000}"/>
    <cellStyle name="Normal 13 2 3 2 2 3" xfId="11464" xr:uid="{00000000-0005-0000-0000-000036640000}"/>
    <cellStyle name="Normal 13 2 3 2 2 3 2" xfId="25296" xr:uid="{00000000-0005-0000-0000-000037640000}"/>
    <cellStyle name="Normal 13 2 3 2 2 4" xfId="31001" xr:uid="{00000000-0005-0000-0000-000038640000}"/>
    <cellStyle name="Normal 13 2 3 2 3" xfId="6680" xr:uid="{00000000-0005-0000-0000-000039640000}"/>
    <cellStyle name="Normal 13 2 3 2 3 2" xfId="12306" xr:uid="{00000000-0005-0000-0000-00003A640000}"/>
    <cellStyle name="Normal 13 2 3 2 3 2 2" xfId="26018" xr:uid="{00000000-0005-0000-0000-00003B640000}"/>
    <cellStyle name="Normal 13 2 3 2 3 3" xfId="31003" xr:uid="{00000000-0005-0000-0000-00003C640000}"/>
    <cellStyle name="Normal 13 2 3 2 4" xfId="6681" xr:uid="{00000000-0005-0000-0000-00003D640000}"/>
    <cellStyle name="Normal 13 2 3 2 4 2" xfId="13870" xr:uid="{00000000-0005-0000-0000-00003E640000}"/>
    <cellStyle name="Normal 13 2 3 2 4 2 2" xfId="27419" xr:uid="{00000000-0005-0000-0000-00003F640000}"/>
    <cellStyle name="Normal 13 2 3 2 4 3" xfId="31004" xr:uid="{00000000-0005-0000-0000-000040640000}"/>
    <cellStyle name="Normal 13 2 3 2 5" xfId="6682" xr:uid="{00000000-0005-0000-0000-000041640000}"/>
    <cellStyle name="Normal 13 2 3 2 5 2" xfId="14451" xr:uid="{00000000-0005-0000-0000-000042640000}"/>
    <cellStyle name="Normal 13 2 3 2 5 2 2" xfId="28000" xr:uid="{00000000-0005-0000-0000-000043640000}"/>
    <cellStyle name="Normal 13 2 3 2 5 3" xfId="31005" xr:uid="{00000000-0005-0000-0000-000044640000}"/>
    <cellStyle name="Normal 13 2 3 2 6" xfId="6683" xr:uid="{00000000-0005-0000-0000-000045640000}"/>
    <cellStyle name="Normal 13 2 3 2 6 2" xfId="16337" xr:uid="{00000000-0005-0000-0000-000046640000}"/>
    <cellStyle name="Normal 13 2 3 2 6 2 2" xfId="29744" xr:uid="{00000000-0005-0000-0000-000047640000}"/>
    <cellStyle name="Normal 13 2 3 2 6 3" xfId="31006" xr:uid="{00000000-0005-0000-0000-000048640000}"/>
    <cellStyle name="Normal 13 2 3 2 7" xfId="10084" xr:uid="{00000000-0005-0000-0000-000049640000}"/>
    <cellStyle name="Normal 13 2 3 2 7 2" xfId="24313" xr:uid="{00000000-0005-0000-0000-00004A640000}"/>
    <cellStyle name="Normal 13 2 3 2 8" xfId="31000" xr:uid="{00000000-0005-0000-0000-00004B640000}"/>
    <cellStyle name="Normal 13 2 3 3" xfId="6684" xr:uid="{00000000-0005-0000-0000-00004C640000}"/>
    <cellStyle name="Normal 13 2 3 3 2" xfId="6685" xr:uid="{00000000-0005-0000-0000-00004D640000}"/>
    <cellStyle name="Normal 13 2 3 3 2 2" xfId="16629" xr:uid="{00000000-0005-0000-0000-00004E640000}"/>
    <cellStyle name="Normal 13 2 3 3 2 2 2" xfId="30036" xr:uid="{00000000-0005-0000-0000-00004F640000}"/>
    <cellStyle name="Normal 13 2 3 3 2 3" xfId="31008" xr:uid="{00000000-0005-0000-0000-000050640000}"/>
    <cellStyle name="Normal 13 2 3 3 3" xfId="11463" xr:uid="{00000000-0005-0000-0000-000051640000}"/>
    <cellStyle name="Normal 13 2 3 3 3 2" xfId="25295" xr:uid="{00000000-0005-0000-0000-000052640000}"/>
    <cellStyle name="Normal 13 2 3 3 4" xfId="31007" xr:uid="{00000000-0005-0000-0000-000053640000}"/>
    <cellStyle name="Normal 13 2 3 4" xfId="6686" xr:uid="{00000000-0005-0000-0000-000054640000}"/>
    <cellStyle name="Normal 13 2 3 4 2" xfId="12006" xr:uid="{00000000-0005-0000-0000-000055640000}"/>
    <cellStyle name="Normal 13 2 3 4 2 2" xfId="25721" xr:uid="{00000000-0005-0000-0000-000056640000}"/>
    <cellStyle name="Normal 13 2 3 4 3" xfId="31009" xr:uid="{00000000-0005-0000-0000-000057640000}"/>
    <cellStyle name="Normal 13 2 3 5" xfId="6687" xr:uid="{00000000-0005-0000-0000-000058640000}"/>
    <cellStyle name="Normal 13 2 3 5 2" xfId="13581" xr:uid="{00000000-0005-0000-0000-000059640000}"/>
    <cellStyle name="Normal 13 2 3 5 2 2" xfId="27130" xr:uid="{00000000-0005-0000-0000-00005A640000}"/>
    <cellStyle name="Normal 13 2 3 5 3" xfId="31010" xr:uid="{00000000-0005-0000-0000-00005B640000}"/>
    <cellStyle name="Normal 13 2 3 6" xfId="6688" xr:uid="{00000000-0005-0000-0000-00005C640000}"/>
    <cellStyle name="Normal 13 2 3 6 2" xfId="14162" xr:uid="{00000000-0005-0000-0000-00005D640000}"/>
    <cellStyle name="Normal 13 2 3 6 2 2" xfId="27711" xr:uid="{00000000-0005-0000-0000-00005E640000}"/>
    <cellStyle name="Normal 13 2 3 6 3" xfId="31011" xr:uid="{00000000-0005-0000-0000-00005F640000}"/>
    <cellStyle name="Normal 13 2 3 7" xfId="6689" xr:uid="{00000000-0005-0000-0000-000060640000}"/>
    <cellStyle name="Normal 13 2 3 7 2" xfId="16048" xr:uid="{00000000-0005-0000-0000-000061640000}"/>
    <cellStyle name="Normal 13 2 3 7 2 2" xfId="29455" xr:uid="{00000000-0005-0000-0000-000062640000}"/>
    <cellStyle name="Normal 13 2 3 7 3" xfId="31012" xr:uid="{00000000-0005-0000-0000-000063640000}"/>
    <cellStyle name="Normal 13 2 3 8" xfId="10083" xr:uid="{00000000-0005-0000-0000-000064640000}"/>
    <cellStyle name="Normal 13 2 3 8 2" xfId="24312" xr:uid="{00000000-0005-0000-0000-000065640000}"/>
    <cellStyle name="Normal 13 2 3 9" xfId="30999" xr:uid="{00000000-0005-0000-0000-000066640000}"/>
    <cellStyle name="Normal 13 2 4" xfId="6690" xr:uid="{00000000-0005-0000-0000-000067640000}"/>
    <cellStyle name="Normal 13 2 4 2" xfId="6691" xr:uid="{00000000-0005-0000-0000-000068640000}"/>
    <cellStyle name="Normal 13 2 4 2 2" xfId="6692" xr:uid="{00000000-0005-0000-0000-000069640000}"/>
    <cellStyle name="Normal 13 2 4 2 2 2" xfId="16775" xr:uid="{00000000-0005-0000-0000-00006A640000}"/>
    <cellStyle name="Normal 13 2 4 2 2 2 2" xfId="30182" xr:uid="{00000000-0005-0000-0000-00006B640000}"/>
    <cellStyle name="Normal 13 2 4 2 2 3" xfId="31015" xr:uid="{00000000-0005-0000-0000-00006C640000}"/>
    <cellStyle name="Normal 13 2 4 2 3" xfId="11465" xr:uid="{00000000-0005-0000-0000-00006D640000}"/>
    <cellStyle name="Normal 13 2 4 2 3 2" xfId="25297" xr:uid="{00000000-0005-0000-0000-00006E640000}"/>
    <cellStyle name="Normal 13 2 4 2 4" xfId="31014" xr:uid="{00000000-0005-0000-0000-00006F640000}"/>
    <cellStyle name="Normal 13 2 4 3" xfId="6693" xr:uid="{00000000-0005-0000-0000-000070640000}"/>
    <cellStyle name="Normal 13 2 4 3 2" xfId="12163" xr:uid="{00000000-0005-0000-0000-000071640000}"/>
    <cellStyle name="Normal 13 2 4 3 2 2" xfId="25875" xr:uid="{00000000-0005-0000-0000-000072640000}"/>
    <cellStyle name="Normal 13 2 4 3 3" xfId="31016" xr:uid="{00000000-0005-0000-0000-000073640000}"/>
    <cellStyle name="Normal 13 2 4 4" xfId="6694" xr:uid="{00000000-0005-0000-0000-000074640000}"/>
    <cellStyle name="Normal 13 2 4 4 2" xfId="13727" xr:uid="{00000000-0005-0000-0000-000075640000}"/>
    <cellStyle name="Normal 13 2 4 4 2 2" xfId="27276" xr:uid="{00000000-0005-0000-0000-000076640000}"/>
    <cellStyle name="Normal 13 2 4 4 3" xfId="31017" xr:uid="{00000000-0005-0000-0000-000077640000}"/>
    <cellStyle name="Normal 13 2 4 5" xfId="6695" xr:uid="{00000000-0005-0000-0000-000078640000}"/>
    <cellStyle name="Normal 13 2 4 5 2" xfId="14308" xr:uid="{00000000-0005-0000-0000-000079640000}"/>
    <cellStyle name="Normal 13 2 4 5 2 2" xfId="27857" xr:uid="{00000000-0005-0000-0000-00007A640000}"/>
    <cellStyle name="Normal 13 2 4 5 3" xfId="31018" xr:uid="{00000000-0005-0000-0000-00007B640000}"/>
    <cellStyle name="Normal 13 2 4 6" xfId="6696" xr:uid="{00000000-0005-0000-0000-00007C640000}"/>
    <cellStyle name="Normal 13 2 4 6 2" xfId="16194" xr:uid="{00000000-0005-0000-0000-00007D640000}"/>
    <cellStyle name="Normal 13 2 4 6 2 2" xfId="29601" xr:uid="{00000000-0005-0000-0000-00007E640000}"/>
    <cellStyle name="Normal 13 2 4 6 3" xfId="31019" xr:uid="{00000000-0005-0000-0000-00007F640000}"/>
    <cellStyle name="Normal 13 2 4 7" xfId="10085" xr:uid="{00000000-0005-0000-0000-000080640000}"/>
    <cellStyle name="Normal 13 2 4 7 2" xfId="24314" xr:uid="{00000000-0005-0000-0000-000081640000}"/>
    <cellStyle name="Normal 13 2 4 8" xfId="31013" xr:uid="{00000000-0005-0000-0000-000082640000}"/>
    <cellStyle name="Normal 13 2 5" xfId="6697" xr:uid="{00000000-0005-0000-0000-000083640000}"/>
    <cellStyle name="Normal 13 2 5 2" xfId="6698" xr:uid="{00000000-0005-0000-0000-000084640000}"/>
    <cellStyle name="Normal 13 2 5 2 2" xfId="13229" xr:uid="{00000000-0005-0000-0000-000085640000}"/>
    <cellStyle name="Normal 13 2 5 2 2 2" xfId="26874" xr:uid="{00000000-0005-0000-0000-000086640000}"/>
    <cellStyle name="Normal 13 2 5 2 3" xfId="31021" xr:uid="{00000000-0005-0000-0000-000087640000}"/>
    <cellStyle name="Normal 13 2 5 3" xfId="6699" xr:uid="{00000000-0005-0000-0000-000088640000}"/>
    <cellStyle name="Normal 13 2 5 3 2" xfId="15680" xr:uid="{00000000-0005-0000-0000-000089640000}"/>
    <cellStyle name="Normal 13 2 5 3 2 2" xfId="29166" xr:uid="{00000000-0005-0000-0000-00008A640000}"/>
    <cellStyle name="Normal 13 2 5 3 3" xfId="31022" xr:uid="{00000000-0005-0000-0000-00008B640000}"/>
    <cellStyle name="Normal 13 2 5 4" xfId="6700" xr:uid="{00000000-0005-0000-0000-00008C640000}"/>
    <cellStyle name="Normal 13 2 5 4 2" xfId="17026" xr:uid="{00000000-0005-0000-0000-00008D640000}"/>
    <cellStyle name="Normal 13 2 5 4 2 2" xfId="30429" xr:uid="{00000000-0005-0000-0000-00008E640000}"/>
    <cellStyle name="Normal 13 2 5 4 3" xfId="31023" xr:uid="{00000000-0005-0000-0000-00008F640000}"/>
    <cellStyle name="Normal 13 2 5 5" xfId="10531" xr:uid="{00000000-0005-0000-0000-000090640000}"/>
    <cellStyle name="Normal 13 2 5 5 2" xfId="24473" xr:uid="{00000000-0005-0000-0000-000091640000}"/>
    <cellStyle name="Normal 13 2 5 6" xfId="31020" xr:uid="{00000000-0005-0000-0000-000092640000}"/>
    <cellStyle name="Normal 13 2 6" xfId="6701" xr:uid="{00000000-0005-0000-0000-000093640000}"/>
    <cellStyle name="Normal 13 2 6 2" xfId="6702" xr:uid="{00000000-0005-0000-0000-000094640000}"/>
    <cellStyle name="Normal 13 2 6 2 2" xfId="13230" xr:uid="{00000000-0005-0000-0000-000095640000}"/>
    <cellStyle name="Normal 13 2 6 2 2 2" xfId="26875" xr:uid="{00000000-0005-0000-0000-000096640000}"/>
    <cellStyle name="Normal 13 2 6 2 3" xfId="31025" xr:uid="{00000000-0005-0000-0000-000097640000}"/>
    <cellStyle name="Normal 13 2 6 3" xfId="6703" xr:uid="{00000000-0005-0000-0000-000098640000}"/>
    <cellStyle name="Normal 13 2 6 3 2" xfId="15681" xr:uid="{00000000-0005-0000-0000-000099640000}"/>
    <cellStyle name="Normal 13 2 6 3 2 2" xfId="29167" xr:uid="{00000000-0005-0000-0000-00009A640000}"/>
    <cellStyle name="Normal 13 2 6 3 3" xfId="31026" xr:uid="{00000000-0005-0000-0000-00009B640000}"/>
    <cellStyle name="Normal 13 2 6 4" xfId="6704" xr:uid="{00000000-0005-0000-0000-00009C640000}"/>
    <cellStyle name="Normal 13 2 6 4 2" xfId="17122" xr:uid="{00000000-0005-0000-0000-00009D640000}"/>
    <cellStyle name="Normal 13 2 6 4 2 2" xfId="30481" xr:uid="{00000000-0005-0000-0000-00009E640000}"/>
    <cellStyle name="Normal 13 2 6 4 3" xfId="31027" xr:uid="{00000000-0005-0000-0000-00009F640000}"/>
    <cellStyle name="Normal 13 2 6 5" xfId="11458" xr:uid="{00000000-0005-0000-0000-0000A0640000}"/>
    <cellStyle name="Normal 13 2 6 5 2" xfId="25290" xr:uid="{00000000-0005-0000-0000-0000A1640000}"/>
    <cellStyle name="Normal 13 2 6 6" xfId="31024" xr:uid="{00000000-0005-0000-0000-0000A2640000}"/>
    <cellStyle name="Normal 13 2 7" xfId="6705" xr:uid="{00000000-0005-0000-0000-0000A3640000}"/>
    <cellStyle name="Normal 13 2 7 2" xfId="6706" xr:uid="{00000000-0005-0000-0000-0000A4640000}"/>
    <cellStyle name="Normal 13 2 7 2 2" xfId="17211" xr:uid="{00000000-0005-0000-0000-0000A5640000}"/>
    <cellStyle name="Normal 13 2 7 2 2 2" xfId="30570" xr:uid="{00000000-0005-0000-0000-0000A6640000}"/>
    <cellStyle name="Normal 13 2 7 2 3" xfId="31029" xr:uid="{00000000-0005-0000-0000-0000A7640000}"/>
    <cellStyle name="Normal 13 2 7 3" xfId="11848" xr:uid="{00000000-0005-0000-0000-0000A8640000}"/>
    <cellStyle name="Normal 13 2 7 3 2" xfId="25563" xr:uid="{00000000-0005-0000-0000-0000A9640000}"/>
    <cellStyle name="Normal 13 2 7 4" xfId="31028" xr:uid="{00000000-0005-0000-0000-0000AA640000}"/>
    <cellStyle name="Normal 13 2 8" xfId="6707" xr:uid="{00000000-0005-0000-0000-0000AB640000}"/>
    <cellStyle name="Normal 13 2 8 2" xfId="6708" xr:uid="{00000000-0005-0000-0000-0000AC640000}"/>
    <cellStyle name="Normal 13 2 8 2 2" xfId="16486" xr:uid="{00000000-0005-0000-0000-0000AD640000}"/>
    <cellStyle name="Normal 13 2 8 2 2 2" xfId="29893" xr:uid="{00000000-0005-0000-0000-0000AE640000}"/>
    <cellStyle name="Normal 13 2 8 2 3" xfId="31031" xr:uid="{00000000-0005-0000-0000-0000AF640000}"/>
    <cellStyle name="Normal 13 2 8 3" xfId="13438" xr:uid="{00000000-0005-0000-0000-0000B0640000}"/>
    <cellStyle name="Normal 13 2 8 3 2" xfId="26987" xr:uid="{00000000-0005-0000-0000-0000B1640000}"/>
    <cellStyle name="Normal 13 2 8 4" xfId="31030" xr:uid="{00000000-0005-0000-0000-0000B2640000}"/>
    <cellStyle name="Normal 13 2 9" xfId="6709" xr:uid="{00000000-0005-0000-0000-0000B3640000}"/>
    <cellStyle name="Normal 13 2 9 2" xfId="14019" xr:uid="{00000000-0005-0000-0000-0000B4640000}"/>
    <cellStyle name="Normal 13 2 9 2 2" xfId="27568" xr:uid="{00000000-0005-0000-0000-0000B5640000}"/>
    <cellStyle name="Normal 13 2 9 3" xfId="31032" xr:uid="{00000000-0005-0000-0000-0000B6640000}"/>
    <cellStyle name="Normal 13 3" xfId="6710" xr:uid="{00000000-0005-0000-0000-0000B7640000}"/>
    <cellStyle name="Normal 13 3 10" xfId="31033" xr:uid="{00000000-0005-0000-0000-0000B8640000}"/>
    <cellStyle name="Normal 13 3 2" xfId="6711" xr:uid="{00000000-0005-0000-0000-0000B9640000}"/>
    <cellStyle name="Normal 13 3 2 2" xfId="6712" xr:uid="{00000000-0005-0000-0000-0000BA640000}"/>
    <cellStyle name="Normal 13 3 2 2 2" xfId="6713" xr:uid="{00000000-0005-0000-0000-0000BB640000}"/>
    <cellStyle name="Normal 13 3 2 2 2 2" xfId="6714" xr:uid="{00000000-0005-0000-0000-0000BC640000}"/>
    <cellStyle name="Normal 13 3 2 2 2 2 2" xfId="16941" xr:uid="{00000000-0005-0000-0000-0000BD640000}"/>
    <cellStyle name="Normal 13 3 2 2 2 2 2 2" xfId="30348" xr:uid="{00000000-0005-0000-0000-0000BE640000}"/>
    <cellStyle name="Normal 13 3 2 2 2 2 3" xfId="31037" xr:uid="{00000000-0005-0000-0000-0000BF640000}"/>
    <cellStyle name="Normal 13 3 2 2 2 3" xfId="11468" xr:uid="{00000000-0005-0000-0000-0000C0640000}"/>
    <cellStyle name="Normal 13 3 2 2 2 3 2" xfId="25300" xr:uid="{00000000-0005-0000-0000-0000C1640000}"/>
    <cellStyle name="Normal 13 3 2 2 2 4" xfId="31036" xr:uid="{00000000-0005-0000-0000-0000C2640000}"/>
    <cellStyle name="Normal 13 3 2 2 3" xfId="6715" xr:uid="{00000000-0005-0000-0000-0000C3640000}"/>
    <cellStyle name="Normal 13 3 2 2 3 2" xfId="12329" xr:uid="{00000000-0005-0000-0000-0000C4640000}"/>
    <cellStyle name="Normal 13 3 2 2 3 2 2" xfId="26041" xr:uid="{00000000-0005-0000-0000-0000C5640000}"/>
    <cellStyle name="Normal 13 3 2 2 3 3" xfId="31038" xr:uid="{00000000-0005-0000-0000-0000C6640000}"/>
    <cellStyle name="Normal 13 3 2 2 4" xfId="6716" xr:uid="{00000000-0005-0000-0000-0000C7640000}"/>
    <cellStyle name="Normal 13 3 2 2 4 2" xfId="13893" xr:uid="{00000000-0005-0000-0000-0000C8640000}"/>
    <cellStyle name="Normal 13 3 2 2 4 2 2" xfId="27442" xr:uid="{00000000-0005-0000-0000-0000C9640000}"/>
    <cellStyle name="Normal 13 3 2 2 4 3" xfId="31039" xr:uid="{00000000-0005-0000-0000-0000CA640000}"/>
    <cellStyle name="Normal 13 3 2 2 5" xfId="6717" xr:uid="{00000000-0005-0000-0000-0000CB640000}"/>
    <cellStyle name="Normal 13 3 2 2 5 2" xfId="14474" xr:uid="{00000000-0005-0000-0000-0000CC640000}"/>
    <cellStyle name="Normal 13 3 2 2 5 2 2" xfId="28023" xr:uid="{00000000-0005-0000-0000-0000CD640000}"/>
    <cellStyle name="Normal 13 3 2 2 5 3" xfId="31040" xr:uid="{00000000-0005-0000-0000-0000CE640000}"/>
    <cellStyle name="Normal 13 3 2 2 6" xfId="6718" xr:uid="{00000000-0005-0000-0000-0000CF640000}"/>
    <cellStyle name="Normal 13 3 2 2 6 2" xfId="16360" xr:uid="{00000000-0005-0000-0000-0000D0640000}"/>
    <cellStyle name="Normal 13 3 2 2 6 2 2" xfId="29767" xr:uid="{00000000-0005-0000-0000-0000D1640000}"/>
    <cellStyle name="Normal 13 3 2 2 6 3" xfId="31041" xr:uid="{00000000-0005-0000-0000-0000D2640000}"/>
    <cellStyle name="Normal 13 3 2 2 7" xfId="10088" xr:uid="{00000000-0005-0000-0000-0000D3640000}"/>
    <cellStyle name="Normal 13 3 2 2 7 2" xfId="24317" xr:uid="{00000000-0005-0000-0000-0000D4640000}"/>
    <cellStyle name="Normal 13 3 2 2 8" xfId="31035" xr:uid="{00000000-0005-0000-0000-0000D5640000}"/>
    <cellStyle name="Normal 13 3 2 3" xfId="6719" xr:uid="{00000000-0005-0000-0000-0000D6640000}"/>
    <cellStyle name="Normal 13 3 2 3 2" xfId="6720" xr:uid="{00000000-0005-0000-0000-0000D7640000}"/>
    <cellStyle name="Normal 13 3 2 3 2 2" xfId="16652" xr:uid="{00000000-0005-0000-0000-0000D8640000}"/>
    <cellStyle name="Normal 13 3 2 3 2 2 2" xfId="30059" xr:uid="{00000000-0005-0000-0000-0000D9640000}"/>
    <cellStyle name="Normal 13 3 2 3 2 3" xfId="31043" xr:uid="{00000000-0005-0000-0000-0000DA640000}"/>
    <cellStyle name="Normal 13 3 2 3 3" xfId="11467" xr:uid="{00000000-0005-0000-0000-0000DB640000}"/>
    <cellStyle name="Normal 13 3 2 3 3 2" xfId="25299" xr:uid="{00000000-0005-0000-0000-0000DC640000}"/>
    <cellStyle name="Normal 13 3 2 3 4" xfId="31042" xr:uid="{00000000-0005-0000-0000-0000DD640000}"/>
    <cellStyle name="Normal 13 3 2 4" xfId="6721" xr:uid="{00000000-0005-0000-0000-0000DE640000}"/>
    <cellStyle name="Normal 13 3 2 4 2" xfId="12029" xr:uid="{00000000-0005-0000-0000-0000DF640000}"/>
    <cellStyle name="Normal 13 3 2 4 2 2" xfId="25744" xr:uid="{00000000-0005-0000-0000-0000E0640000}"/>
    <cellStyle name="Normal 13 3 2 4 3" xfId="31044" xr:uid="{00000000-0005-0000-0000-0000E1640000}"/>
    <cellStyle name="Normal 13 3 2 5" xfId="6722" xr:uid="{00000000-0005-0000-0000-0000E2640000}"/>
    <cellStyle name="Normal 13 3 2 5 2" xfId="13604" xr:uid="{00000000-0005-0000-0000-0000E3640000}"/>
    <cellStyle name="Normal 13 3 2 5 2 2" xfId="27153" xr:uid="{00000000-0005-0000-0000-0000E4640000}"/>
    <cellStyle name="Normal 13 3 2 5 3" xfId="31045" xr:uid="{00000000-0005-0000-0000-0000E5640000}"/>
    <cellStyle name="Normal 13 3 2 6" xfId="6723" xr:uid="{00000000-0005-0000-0000-0000E6640000}"/>
    <cellStyle name="Normal 13 3 2 6 2" xfId="14185" xr:uid="{00000000-0005-0000-0000-0000E7640000}"/>
    <cellStyle name="Normal 13 3 2 6 2 2" xfId="27734" xr:uid="{00000000-0005-0000-0000-0000E8640000}"/>
    <cellStyle name="Normal 13 3 2 6 3" xfId="31046" xr:uid="{00000000-0005-0000-0000-0000E9640000}"/>
    <cellStyle name="Normal 13 3 2 7" xfId="6724" xr:uid="{00000000-0005-0000-0000-0000EA640000}"/>
    <cellStyle name="Normal 13 3 2 7 2" xfId="16071" xr:uid="{00000000-0005-0000-0000-0000EB640000}"/>
    <cellStyle name="Normal 13 3 2 7 2 2" xfId="29478" xr:uid="{00000000-0005-0000-0000-0000EC640000}"/>
    <cellStyle name="Normal 13 3 2 7 3" xfId="31047" xr:uid="{00000000-0005-0000-0000-0000ED640000}"/>
    <cellStyle name="Normal 13 3 2 8" xfId="10087" xr:uid="{00000000-0005-0000-0000-0000EE640000}"/>
    <cellStyle name="Normal 13 3 2 8 2" xfId="24316" xr:uid="{00000000-0005-0000-0000-0000EF640000}"/>
    <cellStyle name="Normal 13 3 2 9" xfId="31034" xr:uid="{00000000-0005-0000-0000-0000F0640000}"/>
    <cellStyle name="Normal 13 3 3" xfId="6725" xr:uid="{00000000-0005-0000-0000-0000F1640000}"/>
    <cellStyle name="Normal 13 3 3 2" xfId="6726" xr:uid="{00000000-0005-0000-0000-0000F2640000}"/>
    <cellStyle name="Normal 13 3 3 2 2" xfId="6727" xr:uid="{00000000-0005-0000-0000-0000F3640000}"/>
    <cellStyle name="Normal 13 3 3 2 2 2" xfId="16798" xr:uid="{00000000-0005-0000-0000-0000F4640000}"/>
    <cellStyle name="Normal 13 3 3 2 2 2 2" xfId="30205" xr:uid="{00000000-0005-0000-0000-0000F5640000}"/>
    <cellStyle name="Normal 13 3 3 2 2 3" xfId="31050" xr:uid="{00000000-0005-0000-0000-0000F6640000}"/>
    <cellStyle name="Normal 13 3 3 2 3" xfId="11469" xr:uid="{00000000-0005-0000-0000-0000F7640000}"/>
    <cellStyle name="Normal 13 3 3 2 3 2" xfId="25301" xr:uid="{00000000-0005-0000-0000-0000F8640000}"/>
    <cellStyle name="Normal 13 3 3 2 4" xfId="31049" xr:uid="{00000000-0005-0000-0000-0000F9640000}"/>
    <cellStyle name="Normal 13 3 3 3" xfId="6728" xr:uid="{00000000-0005-0000-0000-0000FA640000}"/>
    <cellStyle name="Normal 13 3 3 3 2" xfId="12186" xr:uid="{00000000-0005-0000-0000-0000FB640000}"/>
    <cellStyle name="Normal 13 3 3 3 2 2" xfId="25898" xr:uid="{00000000-0005-0000-0000-0000FC640000}"/>
    <cellStyle name="Normal 13 3 3 3 3" xfId="31051" xr:uid="{00000000-0005-0000-0000-0000FD640000}"/>
    <cellStyle name="Normal 13 3 3 4" xfId="6729" xr:uid="{00000000-0005-0000-0000-0000FE640000}"/>
    <cellStyle name="Normal 13 3 3 4 2" xfId="13750" xr:uid="{00000000-0005-0000-0000-0000FF640000}"/>
    <cellStyle name="Normal 13 3 3 4 2 2" xfId="27299" xr:uid="{00000000-0005-0000-0000-000000650000}"/>
    <cellStyle name="Normal 13 3 3 4 3" xfId="31052" xr:uid="{00000000-0005-0000-0000-000001650000}"/>
    <cellStyle name="Normal 13 3 3 5" xfId="6730" xr:uid="{00000000-0005-0000-0000-000002650000}"/>
    <cellStyle name="Normal 13 3 3 5 2" xfId="14331" xr:uid="{00000000-0005-0000-0000-000003650000}"/>
    <cellStyle name="Normal 13 3 3 5 2 2" xfId="27880" xr:uid="{00000000-0005-0000-0000-000004650000}"/>
    <cellStyle name="Normal 13 3 3 5 3" xfId="31053" xr:uid="{00000000-0005-0000-0000-000005650000}"/>
    <cellStyle name="Normal 13 3 3 6" xfId="6731" xr:uid="{00000000-0005-0000-0000-000006650000}"/>
    <cellStyle name="Normal 13 3 3 6 2" xfId="16217" xr:uid="{00000000-0005-0000-0000-000007650000}"/>
    <cellStyle name="Normal 13 3 3 6 2 2" xfId="29624" xr:uid="{00000000-0005-0000-0000-000008650000}"/>
    <cellStyle name="Normal 13 3 3 6 3" xfId="31054" xr:uid="{00000000-0005-0000-0000-000009650000}"/>
    <cellStyle name="Normal 13 3 3 7" xfId="10089" xr:uid="{00000000-0005-0000-0000-00000A650000}"/>
    <cellStyle name="Normal 13 3 3 7 2" xfId="24318" xr:uid="{00000000-0005-0000-0000-00000B650000}"/>
    <cellStyle name="Normal 13 3 3 8" xfId="31048" xr:uid="{00000000-0005-0000-0000-00000C650000}"/>
    <cellStyle name="Normal 13 3 4" xfId="6732" xr:uid="{00000000-0005-0000-0000-00000D650000}"/>
    <cellStyle name="Normal 13 3 4 2" xfId="6733" xr:uid="{00000000-0005-0000-0000-00000E650000}"/>
    <cellStyle name="Normal 13 3 4 2 2" xfId="17145" xr:uid="{00000000-0005-0000-0000-00000F650000}"/>
    <cellStyle name="Normal 13 3 4 2 2 2" xfId="30504" xr:uid="{00000000-0005-0000-0000-000010650000}"/>
    <cellStyle name="Normal 13 3 4 2 3" xfId="31056" xr:uid="{00000000-0005-0000-0000-000011650000}"/>
    <cellStyle name="Normal 13 3 4 3" xfId="11466" xr:uid="{00000000-0005-0000-0000-000012650000}"/>
    <cellStyle name="Normal 13 3 4 3 2" xfId="25298" xr:uid="{00000000-0005-0000-0000-000013650000}"/>
    <cellStyle name="Normal 13 3 4 4" xfId="31055" xr:uid="{00000000-0005-0000-0000-000014650000}"/>
    <cellStyle name="Normal 13 3 5" xfId="6734" xr:uid="{00000000-0005-0000-0000-000015650000}"/>
    <cellStyle name="Normal 13 3 5 2" xfId="6735" xr:uid="{00000000-0005-0000-0000-000016650000}"/>
    <cellStyle name="Normal 13 3 5 2 2" xfId="17234" xr:uid="{00000000-0005-0000-0000-000017650000}"/>
    <cellStyle name="Normal 13 3 5 2 2 2" xfId="30593" xr:uid="{00000000-0005-0000-0000-000018650000}"/>
    <cellStyle name="Normal 13 3 5 2 3" xfId="31058" xr:uid="{00000000-0005-0000-0000-000019650000}"/>
    <cellStyle name="Normal 13 3 5 3" xfId="11884" xr:uid="{00000000-0005-0000-0000-00001A650000}"/>
    <cellStyle name="Normal 13 3 5 3 2" xfId="25599" xr:uid="{00000000-0005-0000-0000-00001B650000}"/>
    <cellStyle name="Normal 13 3 5 4" xfId="31057" xr:uid="{00000000-0005-0000-0000-00001C650000}"/>
    <cellStyle name="Normal 13 3 6" xfId="6736" xr:uid="{00000000-0005-0000-0000-00001D650000}"/>
    <cellStyle name="Normal 13 3 6 2" xfId="6737" xr:uid="{00000000-0005-0000-0000-00001E650000}"/>
    <cellStyle name="Normal 13 3 6 2 2" xfId="16509" xr:uid="{00000000-0005-0000-0000-00001F650000}"/>
    <cellStyle name="Normal 13 3 6 2 2 2" xfId="29916" xr:uid="{00000000-0005-0000-0000-000020650000}"/>
    <cellStyle name="Normal 13 3 6 2 3" xfId="31060" xr:uid="{00000000-0005-0000-0000-000021650000}"/>
    <cellStyle name="Normal 13 3 6 3" xfId="13461" xr:uid="{00000000-0005-0000-0000-000022650000}"/>
    <cellStyle name="Normal 13 3 6 3 2" xfId="27010" xr:uid="{00000000-0005-0000-0000-000023650000}"/>
    <cellStyle name="Normal 13 3 6 4" xfId="31059" xr:uid="{00000000-0005-0000-0000-000024650000}"/>
    <cellStyle name="Normal 13 3 7" xfId="6738" xr:uid="{00000000-0005-0000-0000-000025650000}"/>
    <cellStyle name="Normal 13 3 7 2" xfId="14042" xr:uid="{00000000-0005-0000-0000-000026650000}"/>
    <cellStyle name="Normal 13 3 7 2 2" xfId="27591" xr:uid="{00000000-0005-0000-0000-000027650000}"/>
    <cellStyle name="Normal 13 3 7 3" xfId="31061" xr:uid="{00000000-0005-0000-0000-000028650000}"/>
    <cellStyle name="Normal 13 3 8" xfId="6739" xr:uid="{00000000-0005-0000-0000-000029650000}"/>
    <cellStyle name="Normal 13 3 8 2" xfId="15928" xr:uid="{00000000-0005-0000-0000-00002A650000}"/>
    <cellStyle name="Normal 13 3 8 2 2" xfId="29335" xr:uid="{00000000-0005-0000-0000-00002B650000}"/>
    <cellStyle name="Normal 13 3 8 3" xfId="31062" xr:uid="{00000000-0005-0000-0000-00002C650000}"/>
    <cellStyle name="Normal 13 3 9" xfId="10086" xr:uid="{00000000-0005-0000-0000-00002D650000}"/>
    <cellStyle name="Normal 13 3 9 2" xfId="24315" xr:uid="{00000000-0005-0000-0000-00002E650000}"/>
    <cellStyle name="Normal 13 4" xfId="6740" xr:uid="{00000000-0005-0000-0000-00002F650000}"/>
    <cellStyle name="Normal 13 4 10" xfId="31063" xr:uid="{00000000-0005-0000-0000-000030650000}"/>
    <cellStyle name="Normal 13 4 2" xfId="6741" xr:uid="{00000000-0005-0000-0000-000031650000}"/>
    <cellStyle name="Normal 13 4 2 2" xfId="6742" xr:uid="{00000000-0005-0000-0000-000032650000}"/>
    <cellStyle name="Normal 13 4 2 2 2" xfId="6743" xr:uid="{00000000-0005-0000-0000-000033650000}"/>
    <cellStyle name="Normal 13 4 2 2 2 2" xfId="6744" xr:uid="{00000000-0005-0000-0000-000034650000}"/>
    <cellStyle name="Normal 13 4 2 2 2 2 2" xfId="16895" xr:uid="{00000000-0005-0000-0000-000035650000}"/>
    <cellStyle name="Normal 13 4 2 2 2 2 2 2" xfId="30302" xr:uid="{00000000-0005-0000-0000-000036650000}"/>
    <cellStyle name="Normal 13 4 2 2 2 2 3" xfId="31067" xr:uid="{00000000-0005-0000-0000-000037650000}"/>
    <cellStyle name="Normal 13 4 2 2 2 3" xfId="11472" xr:uid="{00000000-0005-0000-0000-000038650000}"/>
    <cellStyle name="Normal 13 4 2 2 2 3 2" xfId="25304" xr:uid="{00000000-0005-0000-0000-000039650000}"/>
    <cellStyle name="Normal 13 4 2 2 2 4" xfId="31066" xr:uid="{00000000-0005-0000-0000-00003A650000}"/>
    <cellStyle name="Normal 13 4 2 2 3" xfId="6745" xr:uid="{00000000-0005-0000-0000-00003B650000}"/>
    <cellStyle name="Normal 13 4 2 2 3 2" xfId="12283" xr:uid="{00000000-0005-0000-0000-00003C650000}"/>
    <cellStyle name="Normal 13 4 2 2 3 2 2" xfId="25995" xr:uid="{00000000-0005-0000-0000-00003D650000}"/>
    <cellStyle name="Normal 13 4 2 2 3 3" xfId="31068" xr:uid="{00000000-0005-0000-0000-00003E650000}"/>
    <cellStyle name="Normal 13 4 2 2 4" xfId="6746" xr:uid="{00000000-0005-0000-0000-00003F650000}"/>
    <cellStyle name="Normal 13 4 2 2 4 2" xfId="13847" xr:uid="{00000000-0005-0000-0000-000040650000}"/>
    <cellStyle name="Normal 13 4 2 2 4 2 2" xfId="27396" xr:uid="{00000000-0005-0000-0000-000041650000}"/>
    <cellStyle name="Normal 13 4 2 2 4 3" xfId="31069" xr:uid="{00000000-0005-0000-0000-000042650000}"/>
    <cellStyle name="Normal 13 4 2 2 5" xfId="6747" xr:uid="{00000000-0005-0000-0000-000043650000}"/>
    <cellStyle name="Normal 13 4 2 2 5 2" xfId="14428" xr:uid="{00000000-0005-0000-0000-000044650000}"/>
    <cellStyle name="Normal 13 4 2 2 5 2 2" xfId="27977" xr:uid="{00000000-0005-0000-0000-000045650000}"/>
    <cellStyle name="Normal 13 4 2 2 5 3" xfId="31070" xr:uid="{00000000-0005-0000-0000-000046650000}"/>
    <cellStyle name="Normal 13 4 2 2 6" xfId="6748" xr:uid="{00000000-0005-0000-0000-000047650000}"/>
    <cellStyle name="Normal 13 4 2 2 6 2" xfId="16314" xr:uid="{00000000-0005-0000-0000-000048650000}"/>
    <cellStyle name="Normal 13 4 2 2 6 2 2" xfId="29721" xr:uid="{00000000-0005-0000-0000-000049650000}"/>
    <cellStyle name="Normal 13 4 2 2 6 3" xfId="31071" xr:uid="{00000000-0005-0000-0000-00004A650000}"/>
    <cellStyle name="Normal 13 4 2 2 7" xfId="10092" xr:uid="{00000000-0005-0000-0000-00004B650000}"/>
    <cellStyle name="Normal 13 4 2 2 7 2" xfId="24321" xr:uid="{00000000-0005-0000-0000-00004C650000}"/>
    <cellStyle name="Normal 13 4 2 2 8" xfId="31065" xr:uid="{00000000-0005-0000-0000-00004D650000}"/>
    <cellStyle name="Normal 13 4 2 3" xfId="6749" xr:uid="{00000000-0005-0000-0000-00004E650000}"/>
    <cellStyle name="Normal 13 4 2 3 2" xfId="6750" xr:uid="{00000000-0005-0000-0000-00004F650000}"/>
    <cellStyle name="Normal 13 4 2 3 2 2" xfId="16606" xr:uid="{00000000-0005-0000-0000-000050650000}"/>
    <cellStyle name="Normal 13 4 2 3 2 2 2" xfId="30013" xr:uid="{00000000-0005-0000-0000-000051650000}"/>
    <cellStyle name="Normal 13 4 2 3 2 3" xfId="31073" xr:uid="{00000000-0005-0000-0000-000052650000}"/>
    <cellStyle name="Normal 13 4 2 3 3" xfId="11471" xr:uid="{00000000-0005-0000-0000-000053650000}"/>
    <cellStyle name="Normal 13 4 2 3 3 2" xfId="25303" xr:uid="{00000000-0005-0000-0000-000054650000}"/>
    <cellStyle name="Normal 13 4 2 3 4" xfId="31072" xr:uid="{00000000-0005-0000-0000-000055650000}"/>
    <cellStyle name="Normal 13 4 2 4" xfId="6751" xr:uid="{00000000-0005-0000-0000-000056650000}"/>
    <cellStyle name="Normal 13 4 2 4 2" xfId="11983" xr:uid="{00000000-0005-0000-0000-000057650000}"/>
    <cellStyle name="Normal 13 4 2 4 2 2" xfId="25698" xr:uid="{00000000-0005-0000-0000-000058650000}"/>
    <cellStyle name="Normal 13 4 2 4 3" xfId="31074" xr:uid="{00000000-0005-0000-0000-000059650000}"/>
    <cellStyle name="Normal 13 4 2 5" xfId="6752" xr:uid="{00000000-0005-0000-0000-00005A650000}"/>
    <cellStyle name="Normal 13 4 2 5 2" xfId="13558" xr:uid="{00000000-0005-0000-0000-00005B650000}"/>
    <cellStyle name="Normal 13 4 2 5 2 2" xfId="27107" xr:uid="{00000000-0005-0000-0000-00005C650000}"/>
    <cellStyle name="Normal 13 4 2 5 3" xfId="31075" xr:uid="{00000000-0005-0000-0000-00005D650000}"/>
    <cellStyle name="Normal 13 4 2 6" xfId="6753" xr:uid="{00000000-0005-0000-0000-00005E650000}"/>
    <cellStyle name="Normal 13 4 2 6 2" xfId="14139" xr:uid="{00000000-0005-0000-0000-00005F650000}"/>
    <cellStyle name="Normal 13 4 2 6 2 2" xfId="27688" xr:uid="{00000000-0005-0000-0000-000060650000}"/>
    <cellStyle name="Normal 13 4 2 6 3" xfId="31076" xr:uid="{00000000-0005-0000-0000-000061650000}"/>
    <cellStyle name="Normal 13 4 2 7" xfId="6754" xr:uid="{00000000-0005-0000-0000-000062650000}"/>
    <cellStyle name="Normal 13 4 2 7 2" xfId="16025" xr:uid="{00000000-0005-0000-0000-000063650000}"/>
    <cellStyle name="Normal 13 4 2 7 2 2" xfId="29432" xr:uid="{00000000-0005-0000-0000-000064650000}"/>
    <cellStyle name="Normal 13 4 2 7 3" xfId="31077" xr:uid="{00000000-0005-0000-0000-000065650000}"/>
    <cellStyle name="Normal 13 4 2 8" xfId="10091" xr:uid="{00000000-0005-0000-0000-000066650000}"/>
    <cellStyle name="Normal 13 4 2 8 2" xfId="24320" xr:uid="{00000000-0005-0000-0000-000067650000}"/>
    <cellStyle name="Normal 13 4 2 9" xfId="31064" xr:uid="{00000000-0005-0000-0000-000068650000}"/>
    <cellStyle name="Normal 13 4 3" xfId="6755" xr:uid="{00000000-0005-0000-0000-000069650000}"/>
    <cellStyle name="Normal 13 4 3 2" xfId="6756" xr:uid="{00000000-0005-0000-0000-00006A650000}"/>
    <cellStyle name="Normal 13 4 3 2 2" xfId="6757" xr:uid="{00000000-0005-0000-0000-00006B650000}"/>
    <cellStyle name="Normal 13 4 3 2 2 2" xfId="16755" xr:uid="{00000000-0005-0000-0000-00006C650000}"/>
    <cellStyle name="Normal 13 4 3 2 2 2 2" xfId="30162" xr:uid="{00000000-0005-0000-0000-00006D650000}"/>
    <cellStyle name="Normal 13 4 3 2 2 3" xfId="31080" xr:uid="{00000000-0005-0000-0000-00006E650000}"/>
    <cellStyle name="Normal 13 4 3 2 3" xfId="11473" xr:uid="{00000000-0005-0000-0000-00006F650000}"/>
    <cellStyle name="Normal 13 4 3 2 3 2" xfId="25305" xr:uid="{00000000-0005-0000-0000-000070650000}"/>
    <cellStyle name="Normal 13 4 3 2 4" xfId="31079" xr:uid="{00000000-0005-0000-0000-000071650000}"/>
    <cellStyle name="Normal 13 4 3 3" xfId="6758" xr:uid="{00000000-0005-0000-0000-000072650000}"/>
    <cellStyle name="Normal 13 4 3 3 2" xfId="12143" xr:uid="{00000000-0005-0000-0000-000073650000}"/>
    <cellStyle name="Normal 13 4 3 3 2 2" xfId="25855" xr:uid="{00000000-0005-0000-0000-000074650000}"/>
    <cellStyle name="Normal 13 4 3 3 3" xfId="31081" xr:uid="{00000000-0005-0000-0000-000075650000}"/>
    <cellStyle name="Normal 13 4 3 4" xfId="6759" xr:uid="{00000000-0005-0000-0000-000076650000}"/>
    <cellStyle name="Normal 13 4 3 4 2" xfId="13707" xr:uid="{00000000-0005-0000-0000-000077650000}"/>
    <cellStyle name="Normal 13 4 3 4 2 2" xfId="27256" xr:uid="{00000000-0005-0000-0000-000078650000}"/>
    <cellStyle name="Normal 13 4 3 4 3" xfId="31082" xr:uid="{00000000-0005-0000-0000-000079650000}"/>
    <cellStyle name="Normal 13 4 3 5" xfId="6760" xr:uid="{00000000-0005-0000-0000-00007A650000}"/>
    <cellStyle name="Normal 13 4 3 5 2" xfId="14288" xr:uid="{00000000-0005-0000-0000-00007B650000}"/>
    <cellStyle name="Normal 13 4 3 5 2 2" xfId="27837" xr:uid="{00000000-0005-0000-0000-00007C650000}"/>
    <cellStyle name="Normal 13 4 3 5 3" xfId="31083" xr:uid="{00000000-0005-0000-0000-00007D650000}"/>
    <cellStyle name="Normal 13 4 3 6" xfId="6761" xr:uid="{00000000-0005-0000-0000-00007E650000}"/>
    <cellStyle name="Normal 13 4 3 6 2" xfId="16174" xr:uid="{00000000-0005-0000-0000-00007F650000}"/>
    <cellStyle name="Normal 13 4 3 6 2 2" xfId="29581" xr:uid="{00000000-0005-0000-0000-000080650000}"/>
    <cellStyle name="Normal 13 4 3 6 3" xfId="31084" xr:uid="{00000000-0005-0000-0000-000081650000}"/>
    <cellStyle name="Normal 13 4 3 7" xfId="10093" xr:uid="{00000000-0005-0000-0000-000082650000}"/>
    <cellStyle name="Normal 13 4 3 7 2" xfId="24322" xr:uid="{00000000-0005-0000-0000-000083650000}"/>
    <cellStyle name="Normal 13 4 3 8" xfId="31078" xr:uid="{00000000-0005-0000-0000-000084650000}"/>
    <cellStyle name="Normal 13 4 4" xfId="6762" xr:uid="{00000000-0005-0000-0000-000085650000}"/>
    <cellStyle name="Normal 13 4 4 2" xfId="6763" xr:uid="{00000000-0005-0000-0000-000086650000}"/>
    <cellStyle name="Normal 13 4 4 2 2" xfId="16463" xr:uid="{00000000-0005-0000-0000-000087650000}"/>
    <cellStyle name="Normal 13 4 4 2 2 2" xfId="29870" xr:uid="{00000000-0005-0000-0000-000088650000}"/>
    <cellStyle name="Normal 13 4 4 2 3" xfId="31086" xr:uid="{00000000-0005-0000-0000-000089650000}"/>
    <cellStyle name="Normal 13 4 4 3" xfId="11470" xr:uid="{00000000-0005-0000-0000-00008A650000}"/>
    <cellStyle name="Normal 13 4 4 3 2" xfId="25302" xr:uid="{00000000-0005-0000-0000-00008B650000}"/>
    <cellStyle name="Normal 13 4 4 4" xfId="31085" xr:uid="{00000000-0005-0000-0000-00008C650000}"/>
    <cellStyle name="Normal 13 4 5" xfId="6764" xr:uid="{00000000-0005-0000-0000-00008D650000}"/>
    <cellStyle name="Normal 13 4 5 2" xfId="11814" xr:uid="{00000000-0005-0000-0000-00008E650000}"/>
    <cellStyle name="Normal 13 4 5 2 2" xfId="25529" xr:uid="{00000000-0005-0000-0000-00008F650000}"/>
    <cellStyle name="Normal 13 4 5 3" xfId="31087" xr:uid="{00000000-0005-0000-0000-000090650000}"/>
    <cellStyle name="Normal 13 4 6" xfId="6765" xr:uid="{00000000-0005-0000-0000-000091650000}"/>
    <cellStyle name="Normal 13 4 6 2" xfId="13415" xr:uid="{00000000-0005-0000-0000-000092650000}"/>
    <cellStyle name="Normal 13 4 6 2 2" xfId="26964" xr:uid="{00000000-0005-0000-0000-000093650000}"/>
    <cellStyle name="Normal 13 4 6 3" xfId="31088" xr:uid="{00000000-0005-0000-0000-000094650000}"/>
    <cellStyle name="Normal 13 4 7" xfId="6766" xr:uid="{00000000-0005-0000-0000-000095650000}"/>
    <cellStyle name="Normal 13 4 7 2" xfId="13996" xr:uid="{00000000-0005-0000-0000-000096650000}"/>
    <cellStyle name="Normal 13 4 7 2 2" xfId="27545" xr:uid="{00000000-0005-0000-0000-000097650000}"/>
    <cellStyle name="Normal 13 4 7 3" xfId="31089" xr:uid="{00000000-0005-0000-0000-000098650000}"/>
    <cellStyle name="Normal 13 4 8" xfId="6767" xr:uid="{00000000-0005-0000-0000-000099650000}"/>
    <cellStyle name="Normal 13 4 8 2" xfId="15882" xr:uid="{00000000-0005-0000-0000-00009A650000}"/>
    <cellStyle name="Normal 13 4 8 2 2" xfId="29289" xr:uid="{00000000-0005-0000-0000-00009B650000}"/>
    <cellStyle name="Normal 13 4 8 3" xfId="31090" xr:uid="{00000000-0005-0000-0000-00009C650000}"/>
    <cellStyle name="Normal 13 4 9" xfId="10090" xr:uid="{00000000-0005-0000-0000-00009D650000}"/>
    <cellStyle name="Normal 13 4 9 2" xfId="24319" xr:uid="{00000000-0005-0000-0000-00009E650000}"/>
    <cellStyle name="Normal 13 4 9 3" xfId="33038" xr:uid="{D9196887-E422-48BF-A1FC-A31C6394C038}"/>
    <cellStyle name="Normal 13 5" xfId="6768" xr:uid="{00000000-0005-0000-0000-00009F650000}"/>
    <cellStyle name="Normal 13 5 10" xfId="31091" xr:uid="{00000000-0005-0000-0000-0000A0650000}"/>
    <cellStyle name="Normal 13 5 2" xfId="6769" xr:uid="{00000000-0005-0000-0000-0000A1650000}"/>
    <cellStyle name="Normal 13 5 2 2" xfId="6770" xr:uid="{00000000-0005-0000-0000-0000A2650000}"/>
    <cellStyle name="Normal 13 5 2 2 2" xfId="6771" xr:uid="{00000000-0005-0000-0000-0000A3650000}"/>
    <cellStyle name="Normal 13 5 2 2 2 2" xfId="6772" xr:uid="{00000000-0005-0000-0000-0000A4650000}"/>
    <cellStyle name="Normal 13 5 2 2 2 2 2" xfId="16878" xr:uid="{00000000-0005-0000-0000-0000A5650000}"/>
    <cellStyle name="Normal 13 5 2 2 2 2 2 2" xfId="30285" xr:uid="{00000000-0005-0000-0000-0000A6650000}"/>
    <cellStyle name="Normal 13 5 2 2 2 2 3" xfId="31095" xr:uid="{00000000-0005-0000-0000-0000A7650000}"/>
    <cellStyle name="Normal 13 5 2 2 2 3" xfId="11476" xr:uid="{00000000-0005-0000-0000-0000A8650000}"/>
    <cellStyle name="Normal 13 5 2 2 2 3 2" xfId="25308" xr:uid="{00000000-0005-0000-0000-0000A9650000}"/>
    <cellStyle name="Normal 13 5 2 2 2 4" xfId="31094" xr:uid="{00000000-0005-0000-0000-0000AA650000}"/>
    <cellStyle name="Normal 13 5 2 2 3" xfId="6773" xr:uid="{00000000-0005-0000-0000-0000AB650000}"/>
    <cellStyle name="Normal 13 5 2 2 3 2" xfId="12266" xr:uid="{00000000-0005-0000-0000-0000AC650000}"/>
    <cellStyle name="Normal 13 5 2 2 3 2 2" xfId="25978" xr:uid="{00000000-0005-0000-0000-0000AD650000}"/>
    <cellStyle name="Normal 13 5 2 2 3 3" xfId="31096" xr:uid="{00000000-0005-0000-0000-0000AE650000}"/>
    <cellStyle name="Normal 13 5 2 2 4" xfId="6774" xr:uid="{00000000-0005-0000-0000-0000AF650000}"/>
    <cellStyle name="Normal 13 5 2 2 4 2" xfId="13830" xr:uid="{00000000-0005-0000-0000-0000B0650000}"/>
    <cellStyle name="Normal 13 5 2 2 4 2 2" xfId="27379" xr:uid="{00000000-0005-0000-0000-0000B1650000}"/>
    <cellStyle name="Normal 13 5 2 2 4 3" xfId="31097" xr:uid="{00000000-0005-0000-0000-0000B2650000}"/>
    <cellStyle name="Normal 13 5 2 2 5" xfId="6775" xr:uid="{00000000-0005-0000-0000-0000B3650000}"/>
    <cellStyle name="Normal 13 5 2 2 5 2" xfId="14411" xr:uid="{00000000-0005-0000-0000-0000B4650000}"/>
    <cellStyle name="Normal 13 5 2 2 5 2 2" xfId="27960" xr:uid="{00000000-0005-0000-0000-0000B5650000}"/>
    <cellStyle name="Normal 13 5 2 2 5 3" xfId="31098" xr:uid="{00000000-0005-0000-0000-0000B6650000}"/>
    <cellStyle name="Normal 13 5 2 2 6" xfId="6776" xr:uid="{00000000-0005-0000-0000-0000B7650000}"/>
    <cellStyle name="Normal 13 5 2 2 6 2" xfId="16297" xr:uid="{00000000-0005-0000-0000-0000B8650000}"/>
    <cellStyle name="Normal 13 5 2 2 6 2 2" xfId="29704" xr:uid="{00000000-0005-0000-0000-0000B9650000}"/>
    <cellStyle name="Normal 13 5 2 2 6 3" xfId="31099" xr:uid="{00000000-0005-0000-0000-0000BA650000}"/>
    <cellStyle name="Normal 13 5 2 2 7" xfId="10096" xr:uid="{00000000-0005-0000-0000-0000BB650000}"/>
    <cellStyle name="Normal 13 5 2 2 7 2" xfId="24325" xr:uid="{00000000-0005-0000-0000-0000BC650000}"/>
    <cellStyle name="Normal 13 5 2 2 8" xfId="31093" xr:uid="{00000000-0005-0000-0000-0000BD650000}"/>
    <cellStyle name="Normal 13 5 2 3" xfId="6777" xr:uid="{00000000-0005-0000-0000-0000BE650000}"/>
    <cellStyle name="Normal 13 5 2 3 2" xfId="6778" xr:uid="{00000000-0005-0000-0000-0000BF650000}"/>
    <cellStyle name="Normal 13 5 2 3 2 2" xfId="16589" xr:uid="{00000000-0005-0000-0000-0000C0650000}"/>
    <cellStyle name="Normal 13 5 2 3 2 2 2" xfId="29996" xr:uid="{00000000-0005-0000-0000-0000C1650000}"/>
    <cellStyle name="Normal 13 5 2 3 2 3" xfId="31101" xr:uid="{00000000-0005-0000-0000-0000C2650000}"/>
    <cellStyle name="Normal 13 5 2 3 3" xfId="11475" xr:uid="{00000000-0005-0000-0000-0000C3650000}"/>
    <cellStyle name="Normal 13 5 2 3 3 2" xfId="25307" xr:uid="{00000000-0005-0000-0000-0000C4650000}"/>
    <cellStyle name="Normal 13 5 2 3 4" xfId="31100" xr:uid="{00000000-0005-0000-0000-0000C5650000}"/>
    <cellStyle name="Normal 13 5 2 4" xfId="6779" xr:uid="{00000000-0005-0000-0000-0000C6650000}"/>
    <cellStyle name="Normal 13 5 2 4 2" xfId="11966" xr:uid="{00000000-0005-0000-0000-0000C7650000}"/>
    <cellStyle name="Normal 13 5 2 4 2 2" xfId="25681" xr:uid="{00000000-0005-0000-0000-0000C8650000}"/>
    <cellStyle name="Normal 13 5 2 4 3" xfId="31102" xr:uid="{00000000-0005-0000-0000-0000C9650000}"/>
    <cellStyle name="Normal 13 5 2 5" xfId="6780" xr:uid="{00000000-0005-0000-0000-0000CA650000}"/>
    <cellStyle name="Normal 13 5 2 5 2" xfId="13541" xr:uid="{00000000-0005-0000-0000-0000CB650000}"/>
    <cellStyle name="Normal 13 5 2 5 2 2" xfId="27090" xr:uid="{00000000-0005-0000-0000-0000CC650000}"/>
    <cellStyle name="Normal 13 5 2 5 3" xfId="31103" xr:uid="{00000000-0005-0000-0000-0000CD650000}"/>
    <cellStyle name="Normal 13 5 2 6" xfId="6781" xr:uid="{00000000-0005-0000-0000-0000CE650000}"/>
    <cellStyle name="Normal 13 5 2 6 2" xfId="14122" xr:uid="{00000000-0005-0000-0000-0000CF650000}"/>
    <cellStyle name="Normal 13 5 2 6 2 2" xfId="27671" xr:uid="{00000000-0005-0000-0000-0000D0650000}"/>
    <cellStyle name="Normal 13 5 2 6 3" xfId="31104" xr:uid="{00000000-0005-0000-0000-0000D1650000}"/>
    <cellStyle name="Normal 13 5 2 7" xfId="6782" xr:uid="{00000000-0005-0000-0000-0000D2650000}"/>
    <cellStyle name="Normal 13 5 2 7 2" xfId="16008" xr:uid="{00000000-0005-0000-0000-0000D3650000}"/>
    <cellStyle name="Normal 13 5 2 7 2 2" xfId="29415" xr:uid="{00000000-0005-0000-0000-0000D4650000}"/>
    <cellStyle name="Normal 13 5 2 7 3" xfId="31105" xr:uid="{00000000-0005-0000-0000-0000D5650000}"/>
    <cellStyle name="Normal 13 5 2 8" xfId="10095" xr:uid="{00000000-0005-0000-0000-0000D6650000}"/>
    <cellStyle name="Normal 13 5 2 8 2" xfId="24324" xr:uid="{00000000-0005-0000-0000-0000D7650000}"/>
    <cellStyle name="Normal 13 5 2 9" xfId="31092" xr:uid="{00000000-0005-0000-0000-0000D8650000}"/>
    <cellStyle name="Normal 13 5 3" xfId="6783" xr:uid="{00000000-0005-0000-0000-0000D9650000}"/>
    <cellStyle name="Normal 13 5 3 2" xfId="6784" xr:uid="{00000000-0005-0000-0000-0000DA650000}"/>
    <cellStyle name="Normal 13 5 3 2 2" xfId="6785" xr:uid="{00000000-0005-0000-0000-0000DB650000}"/>
    <cellStyle name="Normal 13 5 3 2 2 2" xfId="16738" xr:uid="{00000000-0005-0000-0000-0000DC650000}"/>
    <cellStyle name="Normal 13 5 3 2 2 2 2" xfId="30145" xr:uid="{00000000-0005-0000-0000-0000DD650000}"/>
    <cellStyle name="Normal 13 5 3 2 2 3" xfId="31108" xr:uid="{00000000-0005-0000-0000-0000DE650000}"/>
    <cellStyle name="Normal 13 5 3 2 3" xfId="11477" xr:uid="{00000000-0005-0000-0000-0000DF650000}"/>
    <cellStyle name="Normal 13 5 3 2 3 2" xfId="25309" xr:uid="{00000000-0005-0000-0000-0000E0650000}"/>
    <cellStyle name="Normal 13 5 3 2 4" xfId="31107" xr:uid="{00000000-0005-0000-0000-0000E1650000}"/>
    <cellStyle name="Normal 13 5 3 3" xfId="6786" xr:uid="{00000000-0005-0000-0000-0000E2650000}"/>
    <cellStyle name="Normal 13 5 3 3 2" xfId="12126" xr:uid="{00000000-0005-0000-0000-0000E3650000}"/>
    <cellStyle name="Normal 13 5 3 3 2 2" xfId="25838" xr:uid="{00000000-0005-0000-0000-0000E4650000}"/>
    <cellStyle name="Normal 13 5 3 3 3" xfId="31109" xr:uid="{00000000-0005-0000-0000-0000E5650000}"/>
    <cellStyle name="Normal 13 5 3 4" xfId="6787" xr:uid="{00000000-0005-0000-0000-0000E6650000}"/>
    <cellStyle name="Normal 13 5 3 4 2" xfId="13690" xr:uid="{00000000-0005-0000-0000-0000E7650000}"/>
    <cellStyle name="Normal 13 5 3 4 2 2" xfId="27239" xr:uid="{00000000-0005-0000-0000-0000E8650000}"/>
    <cellStyle name="Normal 13 5 3 4 3" xfId="31110" xr:uid="{00000000-0005-0000-0000-0000E9650000}"/>
    <cellStyle name="Normal 13 5 3 5" xfId="6788" xr:uid="{00000000-0005-0000-0000-0000EA650000}"/>
    <cellStyle name="Normal 13 5 3 5 2" xfId="14271" xr:uid="{00000000-0005-0000-0000-0000EB650000}"/>
    <cellStyle name="Normal 13 5 3 5 2 2" xfId="27820" xr:uid="{00000000-0005-0000-0000-0000EC650000}"/>
    <cellStyle name="Normal 13 5 3 5 3" xfId="31111" xr:uid="{00000000-0005-0000-0000-0000ED650000}"/>
    <cellStyle name="Normal 13 5 3 6" xfId="6789" xr:uid="{00000000-0005-0000-0000-0000EE650000}"/>
    <cellStyle name="Normal 13 5 3 6 2" xfId="16157" xr:uid="{00000000-0005-0000-0000-0000EF650000}"/>
    <cellStyle name="Normal 13 5 3 6 2 2" xfId="29564" xr:uid="{00000000-0005-0000-0000-0000F0650000}"/>
    <cellStyle name="Normal 13 5 3 6 3" xfId="31112" xr:uid="{00000000-0005-0000-0000-0000F1650000}"/>
    <cellStyle name="Normal 13 5 3 7" xfId="10097" xr:uid="{00000000-0005-0000-0000-0000F2650000}"/>
    <cellStyle name="Normal 13 5 3 7 2" xfId="24326" xr:uid="{00000000-0005-0000-0000-0000F3650000}"/>
    <cellStyle name="Normal 13 5 3 8" xfId="31106" xr:uid="{00000000-0005-0000-0000-0000F4650000}"/>
    <cellStyle name="Normal 13 5 4" xfId="6790" xr:uid="{00000000-0005-0000-0000-0000F5650000}"/>
    <cellStyle name="Normal 13 5 4 2" xfId="6791" xr:uid="{00000000-0005-0000-0000-0000F6650000}"/>
    <cellStyle name="Normal 13 5 4 2 2" xfId="16446" xr:uid="{00000000-0005-0000-0000-0000F7650000}"/>
    <cellStyle name="Normal 13 5 4 2 2 2" xfId="29853" xr:uid="{00000000-0005-0000-0000-0000F8650000}"/>
    <cellStyle name="Normal 13 5 4 2 3" xfId="31114" xr:uid="{00000000-0005-0000-0000-0000F9650000}"/>
    <cellStyle name="Normal 13 5 4 3" xfId="11474" xr:uid="{00000000-0005-0000-0000-0000FA650000}"/>
    <cellStyle name="Normal 13 5 4 3 2" xfId="25306" xr:uid="{00000000-0005-0000-0000-0000FB650000}"/>
    <cellStyle name="Normal 13 5 4 4" xfId="31113" xr:uid="{00000000-0005-0000-0000-0000FC650000}"/>
    <cellStyle name="Normal 13 5 5" xfId="6792" xr:uid="{00000000-0005-0000-0000-0000FD650000}"/>
    <cellStyle name="Normal 13 5 5 2" xfId="11797" xr:uid="{00000000-0005-0000-0000-0000FE650000}"/>
    <cellStyle name="Normal 13 5 5 2 2" xfId="25512" xr:uid="{00000000-0005-0000-0000-0000FF650000}"/>
    <cellStyle name="Normal 13 5 5 3" xfId="31115" xr:uid="{00000000-0005-0000-0000-000000660000}"/>
    <cellStyle name="Normal 13 5 6" xfId="6793" xr:uid="{00000000-0005-0000-0000-000001660000}"/>
    <cellStyle name="Normal 13 5 6 2" xfId="13398" xr:uid="{00000000-0005-0000-0000-000002660000}"/>
    <cellStyle name="Normal 13 5 6 2 2" xfId="26947" xr:uid="{00000000-0005-0000-0000-000003660000}"/>
    <cellStyle name="Normal 13 5 6 3" xfId="31116" xr:uid="{00000000-0005-0000-0000-000004660000}"/>
    <cellStyle name="Normal 13 5 7" xfId="6794" xr:uid="{00000000-0005-0000-0000-000005660000}"/>
    <cellStyle name="Normal 13 5 7 2" xfId="13979" xr:uid="{00000000-0005-0000-0000-000006660000}"/>
    <cellStyle name="Normal 13 5 7 2 2" xfId="27528" xr:uid="{00000000-0005-0000-0000-000007660000}"/>
    <cellStyle name="Normal 13 5 7 3" xfId="31117" xr:uid="{00000000-0005-0000-0000-000008660000}"/>
    <cellStyle name="Normal 13 5 8" xfId="6795" xr:uid="{00000000-0005-0000-0000-000009660000}"/>
    <cellStyle name="Normal 13 5 8 2" xfId="15865" xr:uid="{00000000-0005-0000-0000-00000A660000}"/>
    <cellStyle name="Normal 13 5 8 2 2" xfId="29272" xr:uid="{00000000-0005-0000-0000-00000B660000}"/>
    <cellStyle name="Normal 13 5 8 3" xfId="31118" xr:uid="{00000000-0005-0000-0000-00000C660000}"/>
    <cellStyle name="Normal 13 5 9" xfId="10094" xr:uid="{00000000-0005-0000-0000-00000D660000}"/>
    <cellStyle name="Normal 13 5 9 2" xfId="24323" xr:uid="{00000000-0005-0000-0000-00000E660000}"/>
    <cellStyle name="Normal 13 6" xfId="6796" xr:uid="{00000000-0005-0000-0000-00000F660000}"/>
    <cellStyle name="Normal 13 6 10" xfId="31119" xr:uid="{00000000-0005-0000-0000-000010660000}"/>
    <cellStyle name="Normal 13 6 2" xfId="6797" xr:uid="{00000000-0005-0000-0000-000011660000}"/>
    <cellStyle name="Normal 13 6 2 2" xfId="6798" xr:uid="{00000000-0005-0000-0000-000012660000}"/>
    <cellStyle name="Normal 13 6 2 2 2" xfId="6799" xr:uid="{00000000-0005-0000-0000-000013660000}"/>
    <cellStyle name="Normal 13 6 2 2 2 2" xfId="6800" xr:uid="{00000000-0005-0000-0000-000014660000}"/>
    <cellStyle name="Normal 13 6 2 2 2 2 2" xfId="16984" xr:uid="{00000000-0005-0000-0000-000015660000}"/>
    <cellStyle name="Normal 13 6 2 2 2 2 2 2" xfId="30391" xr:uid="{00000000-0005-0000-0000-000016660000}"/>
    <cellStyle name="Normal 13 6 2 2 2 2 3" xfId="31123" xr:uid="{00000000-0005-0000-0000-000017660000}"/>
    <cellStyle name="Normal 13 6 2 2 2 3" xfId="11480" xr:uid="{00000000-0005-0000-0000-000018660000}"/>
    <cellStyle name="Normal 13 6 2 2 2 3 2" xfId="25312" xr:uid="{00000000-0005-0000-0000-000019660000}"/>
    <cellStyle name="Normal 13 6 2 2 2 4" xfId="31122" xr:uid="{00000000-0005-0000-0000-00001A660000}"/>
    <cellStyle name="Normal 13 6 2 2 3" xfId="6801" xr:uid="{00000000-0005-0000-0000-00001B660000}"/>
    <cellStyle name="Normal 13 6 2 2 3 2" xfId="12372" xr:uid="{00000000-0005-0000-0000-00001C660000}"/>
    <cellStyle name="Normal 13 6 2 2 3 2 2" xfId="26084" xr:uid="{00000000-0005-0000-0000-00001D660000}"/>
    <cellStyle name="Normal 13 6 2 2 3 3" xfId="31124" xr:uid="{00000000-0005-0000-0000-00001E660000}"/>
    <cellStyle name="Normal 13 6 2 2 4" xfId="6802" xr:uid="{00000000-0005-0000-0000-00001F660000}"/>
    <cellStyle name="Normal 13 6 2 2 4 2" xfId="13936" xr:uid="{00000000-0005-0000-0000-000020660000}"/>
    <cellStyle name="Normal 13 6 2 2 4 2 2" xfId="27485" xr:uid="{00000000-0005-0000-0000-000021660000}"/>
    <cellStyle name="Normal 13 6 2 2 4 3" xfId="31125" xr:uid="{00000000-0005-0000-0000-000022660000}"/>
    <cellStyle name="Normal 13 6 2 2 5" xfId="6803" xr:uid="{00000000-0005-0000-0000-000023660000}"/>
    <cellStyle name="Normal 13 6 2 2 5 2" xfId="14517" xr:uid="{00000000-0005-0000-0000-000024660000}"/>
    <cellStyle name="Normal 13 6 2 2 5 2 2" xfId="28066" xr:uid="{00000000-0005-0000-0000-000025660000}"/>
    <cellStyle name="Normal 13 6 2 2 5 3" xfId="31126" xr:uid="{00000000-0005-0000-0000-000026660000}"/>
    <cellStyle name="Normal 13 6 2 2 6" xfId="6804" xr:uid="{00000000-0005-0000-0000-000027660000}"/>
    <cellStyle name="Normal 13 6 2 2 6 2" xfId="16403" xr:uid="{00000000-0005-0000-0000-000028660000}"/>
    <cellStyle name="Normal 13 6 2 2 6 2 2" xfId="29810" xr:uid="{00000000-0005-0000-0000-000029660000}"/>
    <cellStyle name="Normal 13 6 2 2 6 3" xfId="31127" xr:uid="{00000000-0005-0000-0000-00002A660000}"/>
    <cellStyle name="Normal 13 6 2 2 7" xfId="10100" xr:uid="{00000000-0005-0000-0000-00002B660000}"/>
    <cellStyle name="Normal 13 6 2 2 7 2" xfId="24329" xr:uid="{00000000-0005-0000-0000-00002C660000}"/>
    <cellStyle name="Normal 13 6 2 2 8" xfId="31121" xr:uid="{00000000-0005-0000-0000-00002D660000}"/>
    <cellStyle name="Normal 13 6 2 3" xfId="6805" xr:uid="{00000000-0005-0000-0000-00002E660000}"/>
    <cellStyle name="Normal 13 6 2 3 2" xfId="6806" xr:uid="{00000000-0005-0000-0000-00002F660000}"/>
    <cellStyle name="Normal 13 6 2 3 2 2" xfId="16695" xr:uid="{00000000-0005-0000-0000-000030660000}"/>
    <cellStyle name="Normal 13 6 2 3 2 2 2" xfId="30102" xr:uid="{00000000-0005-0000-0000-000031660000}"/>
    <cellStyle name="Normal 13 6 2 3 2 3" xfId="31129" xr:uid="{00000000-0005-0000-0000-000032660000}"/>
    <cellStyle name="Normal 13 6 2 3 3" xfId="11479" xr:uid="{00000000-0005-0000-0000-000033660000}"/>
    <cellStyle name="Normal 13 6 2 3 3 2" xfId="25311" xr:uid="{00000000-0005-0000-0000-000034660000}"/>
    <cellStyle name="Normal 13 6 2 3 4" xfId="31128" xr:uid="{00000000-0005-0000-0000-000035660000}"/>
    <cellStyle name="Normal 13 6 2 4" xfId="6807" xr:uid="{00000000-0005-0000-0000-000036660000}"/>
    <cellStyle name="Normal 13 6 2 4 2" xfId="12072" xr:uid="{00000000-0005-0000-0000-000037660000}"/>
    <cellStyle name="Normal 13 6 2 4 2 2" xfId="25787" xr:uid="{00000000-0005-0000-0000-000038660000}"/>
    <cellStyle name="Normal 13 6 2 4 3" xfId="31130" xr:uid="{00000000-0005-0000-0000-000039660000}"/>
    <cellStyle name="Normal 13 6 2 5" xfId="6808" xr:uid="{00000000-0005-0000-0000-00003A660000}"/>
    <cellStyle name="Normal 13 6 2 5 2" xfId="13647" xr:uid="{00000000-0005-0000-0000-00003B660000}"/>
    <cellStyle name="Normal 13 6 2 5 2 2" xfId="27196" xr:uid="{00000000-0005-0000-0000-00003C660000}"/>
    <cellStyle name="Normal 13 6 2 5 3" xfId="31131" xr:uid="{00000000-0005-0000-0000-00003D660000}"/>
    <cellStyle name="Normal 13 6 2 6" xfId="6809" xr:uid="{00000000-0005-0000-0000-00003E660000}"/>
    <cellStyle name="Normal 13 6 2 6 2" xfId="14228" xr:uid="{00000000-0005-0000-0000-00003F660000}"/>
    <cellStyle name="Normal 13 6 2 6 2 2" xfId="27777" xr:uid="{00000000-0005-0000-0000-000040660000}"/>
    <cellStyle name="Normal 13 6 2 6 3" xfId="31132" xr:uid="{00000000-0005-0000-0000-000041660000}"/>
    <cellStyle name="Normal 13 6 2 7" xfId="6810" xr:uid="{00000000-0005-0000-0000-000042660000}"/>
    <cellStyle name="Normal 13 6 2 7 2" xfId="16114" xr:uid="{00000000-0005-0000-0000-000043660000}"/>
    <cellStyle name="Normal 13 6 2 7 2 2" xfId="29521" xr:uid="{00000000-0005-0000-0000-000044660000}"/>
    <cellStyle name="Normal 13 6 2 7 3" xfId="31133" xr:uid="{00000000-0005-0000-0000-000045660000}"/>
    <cellStyle name="Normal 13 6 2 8" xfId="10099" xr:uid="{00000000-0005-0000-0000-000046660000}"/>
    <cellStyle name="Normal 13 6 2 8 2" xfId="24328" xr:uid="{00000000-0005-0000-0000-000047660000}"/>
    <cellStyle name="Normal 13 6 2 9" xfId="31120" xr:uid="{00000000-0005-0000-0000-000048660000}"/>
    <cellStyle name="Normal 13 6 3" xfId="6811" xr:uid="{00000000-0005-0000-0000-000049660000}"/>
    <cellStyle name="Normal 13 6 3 2" xfId="6812" xr:uid="{00000000-0005-0000-0000-00004A660000}"/>
    <cellStyle name="Normal 13 6 3 2 2" xfId="6813" xr:uid="{00000000-0005-0000-0000-00004B660000}"/>
    <cellStyle name="Normal 13 6 3 2 2 2" xfId="16841" xr:uid="{00000000-0005-0000-0000-00004C660000}"/>
    <cellStyle name="Normal 13 6 3 2 2 2 2" xfId="30248" xr:uid="{00000000-0005-0000-0000-00004D660000}"/>
    <cellStyle name="Normal 13 6 3 2 2 3" xfId="31136" xr:uid="{00000000-0005-0000-0000-00004E660000}"/>
    <cellStyle name="Normal 13 6 3 2 3" xfId="11481" xr:uid="{00000000-0005-0000-0000-00004F660000}"/>
    <cellStyle name="Normal 13 6 3 2 3 2" xfId="25313" xr:uid="{00000000-0005-0000-0000-000050660000}"/>
    <cellStyle name="Normal 13 6 3 2 4" xfId="31135" xr:uid="{00000000-0005-0000-0000-000051660000}"/>
    <cellStyle name="Normal 13 6 3 3" xfId="6814" xr:uid="{00000000-0005-0000-0000-000052660000}"/>
    <cellStyle name="Normal 13 6 3 3 2" xfId="12229" xr:uid="{00000000-0005-0000-0000-000053660000}"/>
    <cellStyle name="Normal 13 6 3 3 2 2" xfId="25941" xr:uid="{00000000-0005-0000-0000-000054660000}"/>
    <cellStyle name="Normal 13 6 3 3 3" xfId="31137" xr:uid="{00000000-0005-0000-0000-000055660000}"/>
    <cellStyle name="Normal 13 6 3 4" xfId="6815" xr:uid="{00000000-0005-0000-0000-000056660000}"/>
    <cellStyle name="Normal 13 6 3 4 2" xfId="13793" xr:uid="{00000000-0005-0000-0000-000057660000}"/>
    <cellStyle name="Normal 13 6 3 4 2 2" xfId="27342" xr:uid="{00000000-0005-0000-0000-000058660000}"/>
    <cellStyle name="Normal 13 6 3 4 3" xfId="31138" xr:uid="{00000000-0005-0000-0000-000059660000}"/>
    <cellStyle name="Normal 13 6 3 5" xfId="6816" xr:uid="{00000000-0005-0000-0000-00005A660000}"/>
    <cellStyle name="Normal 13 6 3 5 2" xfId="14374" xr:uid="{00000000-0005-0000-0000-00005B660000}"/>
    <cellStyle name="Normal 13 6 3 5 2 2" xfId="27923" xr:uid="{00000000-0005-0000-0000-00005C660000}"/>
    <cellStyle name="Normal 13 6 3 5 3" xfId="31139" xr:uid="{00000000-0005-0000-0000-00005D660000}"/>
    <cellStyle name="Normal 13 6 3 6" xfId="6817" xr:uid="{00000000-0005-0000-0000-00005E660000}"/>
    <cellStyle name="Normal 13 6 3 6 2" xfId="16260" xr:uid="{00000000-0005-0000-0000-00005F660000}"/>
    <cellStyle name="Normal 13 6 3 6 2 2" xfId="29667" xr:uid="{00000000-0005-0000-0000-000060660000}"/>
    <cellStyle name="Normal 13 6 3 6 3" xfId="31140" xr:uid="{00000000-0005-0000-0000-000061660000}"/>
    <cellStyle name="Normal 13 6 3 7" xfId="10101" xr:uid="{00000000-0005-0000-0000-000062660000}"/>
    <cellStyle name="Normal 13 6 3 7 2" xfId="24330" xr:uid="{00000000-0005-0000-0000-000063660000}"/>
    <cellStyle name="Normal 13 6 3 8" xfId="31134" xr:uid="{00000000-0005-0000-0000-000064660000}"/>
    <cellStyle name="Normal 13 6 4" xfId="6818" xr:uid="{00000000-0005-0000-0000-000065660000}"/>
    <cellStyle name="Normal 13 6 4 2" xfId="6819" xr:uid="{00000000-0005-0000-0000-000066660000}"/>
    <cellStyle name="Normal 13 6 4 2 2" xfId="16552" xr:uid="{00000000-0005-0000-0000-000067660000}"/>
    <cellStyle name="Normal 13 6 4 2 2 2" xfId="29959" xr:uid="{00000000-0005-0000-0000-000068660000}"/>
    <cellStyle name="Normal 13 6 4 2 3" xfId="31142" xr:uid="{00000000-0005-0000-0000-000069660000}"/>
    <cellStyle name="Normal 13 6 4 3" xfId="11478" xr:uid="{00000000-0005-0000-0000-00006A660000}"/>
    <cellStyle name="Normal 13 6 4 3 2" xfId="25310" xr:uid="{00000000-0005-0000-0000-00006B660000}"/>
    <cellStyle name="Normal 13 6 4 4" xfId="31141" xr:uid="{00000000-0005-0000-0000-00006C660000}"/>
    <cellStyle name="Normal 13 6 5" xfId="6820" xr:uid="{00000000-0005-0000-0000-00006D660000}"/>
    <cellStyle name="Normal 13 6 5 2" xfId="11927" xr:uid="{00000000-0005-0000-0000-00006E660000}"/>
    <cellStyle name="Normal 13 6 5 2 2" xfId="25642" xr:uid="{00000000-0005-0000-0000-00006F660000}"/>
    <cellStyle name="Normal 13 6 5 3" xfId="31143" xr:uid="{00000000-0005-0000-0000-000070660000}"/>
    <cellStyle name="Normal 13 6 6" xfId="6821" xr:uid="{00000000-0005-0000-0000-000071660000}"/>
    <cellStyle name="Normal 13 6 6 2" xfId="13504" xr:uid="{00000000-0005-0000-0000-000072660000}"/>
    <cellStyle name="Normal 13 6 6 2 2" xfId="27053" xr:uid="{00000000-0005-0000-0000-000073660000}"/>
    <cellStyle name="Normal 13 6 6 3" xfId="31144" xr:uid="{00000000-0005-0000-0000-000074660000}"/>
    <cellStyle name="Normal 13 6 7" xfId="6822" xr:uid="{00000000-0005-0000-0000-000075660000}"/>
    <cellStyle name="Normal 13 6 7 2" xfId="14085" xr:uid="{00000000-0005-0000-0000-000076660000}"/>
    <cellStyle name="Normal 13 6 7 2 2" xfId="27634" xr:uid="{00000000-0005-0000-0000-000077660000}"/>
    <cellStyle name="Normal 13 6 7 3" xfId="31145" xr:uid="{00000000-0005-0000-0000-000078660000}"/>
    <cellStyle name="Normal 13 6 8" xfId="6823" xr:uid="{00000000-0005-0000-0000-000079660000}"/>
    <cellStyle name="Normal 13 6 8 2" xfId="15971" xr:uid="{00000000-0005-0000-0000-00007A660000}"/>
    <cellStyle name="Normal 13 6 8 2 2" xfId="29378" xr:uid="{00000000-0005-0000-0000-00007B660000}"/>
    <cellStyle name="Normal 13 6 8 3" xfId="31146" xr:uid="{00000000-0005-0000-0000-00007C660000}"/>
    <cellStyle name="Normal 13 6 9" xfId="10098" xr:uid="{00000000-0005-0000-0000-00007D660000}"/>
    <cellStyle name="Normal 13 6 9 2" xfId="24327" xr:uid="{00000000-0005-0000-0000-00007E660000}"/>
    <cellStyle name="Normal 13 7" xfId="6824" xr:uid="{00000000-0005-0000-0000-00007F660000}"/>
    <cellStyle name="Normal 13 7 2" xfId="6825" xr:uid="{00000000-0005-0000-0000-000080660000}"/>
    <cellStyle name="Normal 13 7 2 2" xfId="6826" xr:uid="{00000000-0005-0000-0000-000081660000}"/>
    <cellStyle name="Normal 13 7 2 2 2" xfId="6827" xr:uid="{00000000-0005-0000-0000-000082660000}"/>
    <cellStyle name="Normal 13 7 2 2 2 2" xfId="16861" xr:uid="{00000000-0005-0000-0000-000083660000}"/>
    <cellStyle name="Normal 13 7 2 2 2 2 2" xfId="30268" xr:uid="{00000000-0005-0000-0000-000084660000}"/>
    <cellStyle name="Normal 13 7 2 2 2 3" xfId="31150" xr:uid="{00000000-0005-0000-0000-000085660000}"/>
    <cellStyle name="Normal 13 7 2 2 3" xfId="11483" xr:uid="{00000000-0005-0000-0000-000086660000}"/>
    <cellStyle name="Normal 13 7 2 2 3 2" xfId="25315" xr:uid="{00000000-0005-0000-0000-000087660000}"/>
    <cellStyle name="Normal 13 7 2 2 4" xfId="31149" xr:uid="{00000000-0005-0000-0000-000088660000}"/>
    <cellStyle name="Normal 13 7 2 3" xfId="6828" xr:uid="{00000000-0005-0000-0000-000089660000}"/>
    <cellStyle name="Normal 13 7 2 3 2" xfId="12249" xr:uid="{00000000-0005-0000-0000-00008A660000}"/>
    <cellStyle name="Normal 13 7 2 3 2 2" xfId="25961" xr:uid="{00000000-0005-0000-0000-00008B660000}"/>
    <cellStyle name="Normal 13 7 2 3 3" xfId="31151" xr:uid="{00000000-0005-0000-0000-00008C660000}"/>
    <cellStyle name="Normal 13 7 2 4" xfId="6829" xr:uid="{00000000-0005-0000-0000-00008D660000}"/>
    <cellStyle name="Normal 13 7 2 4 2" xfId="13813" xr:uid="{00000000-0005-0000-0000-00008E660000}"/>
    <cellStyle name="Normal 13 7 2 4 2 2" xfId="27362" xr:uid="{00000000-0005-0000-0000-00008F660000}"/>
    <cellStyle name="Normal 13 7 2 4 3" xfId="31152" xr:uid="{00000000-0005-0000-0000-000090660000}"/>
    <cellStyle name="Normal 13 7 2 5" xfId="6830" xr:uid="{00000000-0005-0000-0000-000091660000}"/>
    <cellStyle name="Normal 13 7 2 5 2" xfId="14394" xr:uid="{00000000-0005-0000-0000-000092660000}"/>
    <cellStyle name="Normal 13 7 2 5 2 2" xfId="27943" xr:uid="{00000000-0005-0000-0000-000093660000}"/>
    <cellStyle name="Normal 13 7 2 5 3" xfId="31153" xr:uid="{00000000-0005-0000-0000-000094660000}"/>
    <cellStyle name="Normal 13 7 2 6" xfId="6831" xr:uid="{00000000-0005-0000-0000-000095660000}"/>
    <cellStyle name="Normal 13 7 2 6 2" xfId="16280" xr:uid="{00000000-0005-0000-0000-000096660000}"/>
    <cellStyle name="Normal 13 7 2 6 2 2" xfId="29687" xr:uid="{00000000-0005-0000-0000-000097660000}"/>
    <cellStyle name="Normal 13 7 2 6 3" xfId="31154" xr:uid="{00000000-0005-0000-0000-000098660000}"/>
    <cellStyle name="Normal 13 7 2 7" xfId="10103" xr:uid="{00000000-0005-0000-0000-000099660000}"/>
    <cellStyle name="Normal 13 7 2 7 2" xfId="24332" xr:uid="{00000000-0005-0000-0000-00009A660000}"/>
    <cellStyle name="Normal 13 7 2 8" xfId="31148" xr:uid="{00000000-0005-0000-0000-00009B660000}"/>
    <cellStyle name="Normal 13 7 3" xfId="6832" xr:uid="{00000000-0005-0000-0000-00009C660000}"/>
    <cellStyle name="Normal 13 7 3 2" xfId="6833" xr:uid="{00000000-0005-0000-0000-00009D660000}"/>
    <cellStyle name="Normal 13 7 3 2 2" xfId="16572" xr:uid="{00000000-0005-0000-0000-00009E660000}"/>
    <cellStyle name="Normal 13 7 3 2 2 2" xfId="29979" xr:uid="{00000000-0005-0000-0000-00009F660000}"/>
    <cellStyle name="Normal 13 7 3 2 3" xfId="31156" xr:uid="{00000000-0005-0000-0000-0000A0660000}"/>
    <cellStyle name="Normal 13 7 3 3" xfId="11482" xr:uid="{00000000-0005-0000-0000-0000A1660000}"/>
    <cellStyle name="Normal 13 7 3 3 2" xfId="25314" xr:uid="{00000000-0005-0000-0000-0000A2660000}"/>
    <cellStyle name="Normal 13 7 3 4" xfId="31155" xr:uid="{00000000-0005-0000-0000-0000A3660000}"/>
    <cellStyle name="Normal 13 7 4" xfId="6834" xr:uid="{00000000-0005-0000-0000-0000A4660000}"/>
    <cellStyle name="Normal 13 7 4 2" xfId="11949" xr:uid="{00000000-0005-0000-0000-0000A5660000}"/>
    <cellStyle name="Normal 13 7 4 2 2" xfId="25664" xr:uid="{00000000-0005-0000-0000-0000A6660000}"/>
    <cellStyle name="Normal 13 7 4 3" xfId="31157" xr:uid="{00000000-0005-0000-0000-0000A7660000}"/>
    <cellStyle name="Normal 13 7 5" xfId="6835" xr:uid="{00000000-0005-0000-0000-0000A8660000}"/>
    <cellStyle name="Normal 13 7 5 2" xfId="13524" xr:uid="{00000000-0005-0000-0000-0000A9660000}"/>
    <cellStyle name="Normal 13 7 5 2 2" xfId="27073" xr:uid="{00000000-0005-0000-0000-0000AA660000}"/>
    <cellStyle name="Normal 13 7 5 3" xfId="31158" xr:uid="{00000000-0005-0000-0000-0000AB660000}"/>
    <cellStyle name="Normal 13 7 6" xfId="6836" xr:uid="{00000000-0005-0000-0000-0000AC660000}"/>
    <cellStyle name="Normal 13 7 6 2" xfId="14105" xr:uid="{00000000-0005-0000-0000-0000AD660000}"/>
    <cellStyle name="Normal 13 7 6 2 2" xfId="27654" xr:uid="{00000000-0005-0000-0000-0000AE660000}"/>
    <cellStyle name="Normal 13 7 6 3" xfId="31159" xr:uid="{00000000-0005-0000-0000-0000AF660000}"/>
    <cellStyle name="Normal 13 7 7" xfId="6837" xr:uid="{00000000-0005-0000-0000-0000B0660000}"/>
    <cellStyle name="Normal 13 7 7 2" xfId="15991" xr:uid="{00000000-0005-0000-0000-0000B1660000}"/>
    <cellStyle name="Normal 13 7 7 2 2" xfId="29398" xr:uid="{00000000-0005-0000-0000-0000B2660000}"/>
    <cellStyle name="Normal 13 7 7 3" xfId="31160" xr:uid="{00000000-0005-0000-0000-0000B3660000}"/>
    <cellStyle name="Normal 13 7 8" xfId="10102" xr:uid="{00000000-0005-0000-0000-0000B4660000}"/>
    <cellStyle name="Normal 13 7 8 2" xfId="24331" xr:uid="{00000000-0005-0000-0000-0000B5660000}"/>
    <cellStyle name="Normal 13 7 9" xfId="31147" xr:uid="{00000000-0005-0000-0000-0000B6660000}"/>
    <cellStyle name="Normal 13 8" xfId="6838" xr:uid="{00000000-0005-0000-0000-0000B7660000}"/>
    <cellStyle name="Normal 13 8 2" xfId="6839" xr:uid="{00000000-0005-0000-0000-0000B8660000}"/>
    <cellStyle name="Normal 13 8 2 2" xfId="6840" xr:uid="{00000000-0005-0000-0000-0000B9660000}"/>
    <cellStyle name="Normal 13 8 2 2 2" xfId="16717" xr:uid="{00000000-0005-0000-0000-0000BA660000}"/>
    <cellStyle name="Normal 13 8 2 2 2 2" xfId="30124" xr:uid="{00000000-0005-0000-0000-0000BB660000}"/>
    <cellStyle name="Normal 13 8 2 2 3" xfId="31163" xr:uid="{00000000-0005-0000-0000-0000BC660000}"/>
    <cellStyle name="Normal 13 8 2 3" xfId="11484" xr:uid="{00000000-0005-0000-0000-0000BD660000}"/>
    <cellStyle name="Normal 13 8 2 3 2" xfId="25316" xr:uid="{00000000-0005-0000-0000-0000BE660000}"/>
    <cellStyle name="Normal 13 8 2 4" xfId="31162" xr:uid="{00000000-0005-0000-0000-0000BF660000}"/>
    <cellStyle name="Normal 13 8 3" xfId="6841" xr:uid="{00000000-0005-0000-0000-0000C0660000}"/>
    <cellStyle name="Normal 13 8 3 2" xfId="12102" xr:uid="{00000000-0005-0000-0000-0000C1660000}"/>
    <cellStyle name="Normal 13 8 3 2 2" xfId="25814" xr:uid="{00000000-0005-0000-0000-0000C2660000}"/>
    <cellStyle name="Normal 13 8 3 3" xfId="31164" xr:uid="{00000000-0005-0000-0000-0000C3660000}"/>
    <cellStyle name="Normal 13 8 4" xfId="6842" xr:uid="{00000000-0005-0000-0000-0000C4660000}"/>
    <cellStyle name="Normal 13 8 4 2" xfId="13669" xr:uid="{00000000-0005-0000-0000-0000C5660000}"/>
    <cellStyle name="Normal 13 8 4 2 2" xfId="27218" xr:uid="{00000000-0005-0000-0000-0000C6660000}"/>
    <cellStyle name="Normal 13 8 4 3" xfId="31165" xr:uid="{00000000-0005-0000-0000-0000C7660000}"/>
    <cellStyle name="Normal 13 8 5" xfId="6843" xr:uid="{00000000-0005-0000-0000-0000C8660000}"/>
    <cellStyle name="Normal 13 8 5 2" xfId="14250" xr:uid="{00000000-0005-0000-0000-0000C9660000}"/>
    <cellStyle name="Normal 13 8 5 2 2" xfId="27799" xr:uid="{00000000-0005-0000-0000-0000CA660000}"/>
    <cellStyle name="Normal 13 8 5 3" xfId="31166" xr:uid="{00000000-0005-0000-0000-0000CB660000}"/>
    <cellStyle name="Normal 13 8 6" xfId="6844" xr:uid="{00000000-0005-0000-0000-0000CC660000}"/>
    <cellStyle name="Normal 13 8 6 2" xfId="16136" xr:uid="{00000000-0005-0000-0000-0000CD660000}"/>
    <cellStyle name="Normal 13 8 6 2 2" xfId="29543" xr:uid="{00000000-0005-0000-0000-0000CE660000}"/>
    <cellStyle name="Normal 13 8 6 3" xfId="31167" xr:uid="{00000000-0005-0000-0000-0000CF660000}"/>
    <cellStyle name="Normal 13 8 7" xfId="10104" xr:uid="{00000000-0005-0000-0000-0000D0660000}"/>
    <cellStyle name="Normal 13 8 7 2" xfId="24333" xr:uid="{00000000-0005-0000-0000-0000D1660000}"/>
    <cellStyle name="Normal 13 8 8" xfId="31161" xr:uid="{00000000-0005-0000-0000-0000D2660000}"/>
    <cellStyle name="Normal 13 9" xfId="6845" xr:uid="{00000000-0005-0000-0000-0000D3660000}"/>
    <cellStyle name="Normal 13 9 2" xfId="6846" xr:uid="{00000000-0005-0000-0000-0000D4660000}"/>
    <cellStyle name="Normal 13 9 2 2" xfId="11713" xr:uid="{00000000-0005-0000-0000-0000D5660000}"/>
    <cellStyle name="Normal 13 9 2 2 2" xfId="25433" xr:uid="{00000000-0005-0000-0000-0000D6660000}"/>
    <cellStyle name="Normal 13 9 2 3" xfId="31169" xr:uid="{00000000-0005-0000-0000-0000D7660000}"/>
    <cellStyle name="Normal 13 9 3" xfId="6847" xr:uid="{00000000-0005-0000-0000-0000D8660000}"/>
    <cellStyle name="Normal 13 9 3 2" xfId="13231" xr:uid="{00000000-0005-0000-0000-0000D9660000}"/>
    <cellStyle name="Normal 13 9 3 2 2" xfId="26876" xr:uid="{00000000-0005-0000-0000-0000DA660000}"/>
    <cellStyle name="Normal 13 9 3 3" xfId="31170" xr:uid="{00000000-0005-0000-0000-0000DB660000}"/>
    <cellStyle name="Normal 13 9 4" xfId="6848" xr:uid="{00000000-0005-0000-0000-0000DC660000}"/>
    <cellStyle name="Normal 13 9 4 2" xfId="15682" xr:uid="{00000000-0005-0000-0000-0000DD660000}"/>
    <cellStyle name="Normal 13 9 4 2 2" xfId="29168" xr:uid="{00000000-0005-0000-0000-0000DE660000}"/>
    <cellStyle name="Normal 13 9 4 3" xfId="31171" xr:uid="{00000000-0005-0000-0000-0000DF660000}"/>
    <cellStyle name="Normal 13 9 5" xfId="6849" xr:uid="{00000000-0005-0000-0000-0000E0660000}"/>
    <cellStyle name="Normal 13 9 5 2" xfId="17025" xr:uid="{00000000-0005-0000-0000-0000E1660000}"/>
    <cellStyle name="Normal 13 9 5 2 2" xfId="30428" xr:uid="{00000000-0005-0000-0000-0000E2660000}"/>
    <cellStyle name="Normal 13 9 5 3" xfId="31172" xr:uid="{00000000-0005-0000-0000-0000E3660000}"/>
    <cellStyle name="Normal 13 9 6" xfId="10486" xr:uid="{00000000-0005-0000-0000-0000E4660000}"/>
    <cellStyle name="Normal 13 9 6 2" xfId="24437" xr:uid="{00000000-0005-0000-0000-0000E5660000}"/>
    <cellStyle name="Normal 13 9 7" xfId="31168" xr:uid="{00000000-0005-0000-0000-0000E6660000}"/>
    <cellStyle name="Normal 14" xfId="6850" xr:uid="{00000000-0005-0000-0000-0000E7660000}"/>
    <cellStyle name="Normal 14 10" xfId="6851" xr:uid="{00000000-0005-0000-0000-0000E8660000}"/>
    <cellStyle name="Normal 14 10 2" xfId="6852" xr:uid="{00000000-0005-0000-0000-0000E9660000}"/>
    <cellStyle name="Normal 14 10 2 2" xfId="17280" xr:uid="{00000000-0005-0000-0000-0000EA660000}"/>
    <cellStyle name="Normal 14 10 2 2 2" xfId="30639" xr:uid="{00000000-0005-0000-0000-0000EB660000}"/>
    <cellStyle name="Normal 14 10 2 3" xfId="31175" xr:uid="{00000000-0005-0000-0000-0000EC660000}"/>
    <cellStyle name="Normal 14 10 3" xfId="13999" xr:uid="{00000000-0005-0000-0000-0000ED660000}"/>
    <cellStyle name="Normal 14 10 3 2" xfId="27548" xr:uid="{00000000-0005-0000-0000-0000EE660000}"/>
    <cellStyle name="Normal 14 10 4" xfId="31174" xr:uid="{00000000-0005-0000-0000-0000EF660000}"/>
    <cellStyle name="Normal 14 11" xfId="6853" xr:uid="{00000000-0005-0000-0000-0000F0660000}"/>
    <cellStyle name="Normal 14 11 2" xfId="16466" xr:uid="{00000000-0005-0000-0000-0000F1660000}"/>
    <cellStyle name="Normal 14 11 2 2" xfId="29873" xr:uid="{00000000-0005-0000-0000-0000F2660000}"/>
    <cellStyle name="Normal 14 11 3" xfId="31176" xr:uid="{00000000-0005-0000-0000-0000F3660000}"/>
    <cellStyle name="Normal 14 12" xfId="6854" xr:uid="{00000000-0005-0000-0000-0000F4660000}"/>
    <cellStyle name="Normal 14 12 2" xfId="15885" xr:uid="{00000000-0005-0000-0000-0000F5660000}"/>
    <cellStyle name="Normal 14 12 2 2" xfId="29292" xr:uid="{00000000-0005-0000-0000-0000F6660000}"/>
    <cellStyle name="Normal 14 12 3" xfId="31177" xr:uid="{00000000-0005-0000-0000-0000F7660000}"/>
    <cellStyle name="Normal 14 13" xfId="10105" xr:uid="{00000000-0005-0000-0000-0000F8660000}"/>
    <cellStyle name="Normal 14 14" xfId="31173" xr:uid="{00000000-0005-0000-0000-0000F9660000}"/>
    <cellStyle name="Normal 14 2" xfId="6855" xr:uid="{00000000-0005-0000-0000-0000FA660000}"/>
    <cellStyle name="Normal 14 2 10" xfId="10106" xr:uid="{00000000-0005-0000-0000-0000FB660000}"/>
    <cellStyle name="Normal 14 2 10 2" xfId="24334" xr:uid="{00000000-0005-0000-0000-0000FC660000}"/>
    <cellStyle name="Normal 14 2 11" xfId="31178" xr:uid="{00000000-0005-0000-0000-0000FD660000}"/>
    <cellStyle name="Normal 14 2 2" xfId="6856" xr:uid="{00000000-0005-0000-0000-0000FE660000}"/>
    <cellStyle name="Normal 14 2 2 10" xfId="31179" xr:uid="{00000000-0005-0000-0000-0000FF660000}"/>
    <cellStyle name="Normal 14 2 2 2" xfId="6857" xr:uid="{00000000-0005-0000-0000-000000670000}"/>
    <cellStyle name="Normal 14 2 2 2 2" xfId="6858" xr:uid="{00000000-0005-0000-0000-000001670000}"/>
    <cellStyle name="Normal 14 2 2 2 2 2" xfId="6859" xr:uid="{00000000-0005-0000-0000-000002670000}"/>
    <cellStyle name="Normal 14 2 2 2 2 2 2" xfId="6860" xr:uid="{00000000-0005-0000-0000-000003670000}"/>
    <cellStyle name="Normal 14 2 2 2 2 2 2 2" xfId="16967" xr:uid="{00000000-0005-0000-0000-000004670000}"/>
    <cellStyle name="Normal 14 2 2 2 2 2 2 2 2" xfId="30374" xr:uid="{00000000-0005-0000-0000-000005670000}"/>
    <cellStyle name="Normal 14 2 2 2 2 2 2 3" xfId="31183" xr:uid="{00000000-0005-0000-0000-000006670000}"/>
    <cellStyle name="Normal 14 2 2 2 2 2 3" xfId="11488" xr:uid="{00000000-0005-0000-0000-000007670000}"/>
    <cellStyle name="Normal 14 2 2 2 2 2 3 2" xfId="25320" xr:uid="{00000000-0005-0000-0000-000008670000}"/>
    <cellStyle name="Normal 14 2 2 2 2 2 4" xfId="31182" xr:uid="{00000000-0005-0000-0000-000009670000}"/>
    <cellStyle name="Normal 14 2 2 2 2 3" xfId="6861" xr:uid="{00000000-0005-0000-0000-00000A670000}"/>
    <cellStyle name="Normal 14 2 2 2 2 3 2" xfId="12355" xr:uid="{00000000-0005-0000-0000-00000B670000}"/>
    <cellStyle name="Normal 14 2 2 2 2 3 2 2" xfId="26067" xr:uid="{00000000-0005-0000-0000-00000C670000}"/>
    <cellStyle name="Normal 14 2 2 2 2 3 3" xfId="31184" xr:uid="{00000000-0005-0000-0000-00000D670000}"/>
    <cellStyle name="Normal 14 2 2 2 2 4" xfId="6862" xr:uid="{00000000-0005-0000-0000-00000E670000}"/>
    <cellStyle name="Normal 14 2 2 2 2 4 2" xfId="13919" xr:uid="{00000000-0005-0000-0000-00000F670000}"/>
    <cellStyle name="Normal 14 2 2 2 2 4 2 2" xfId="27468" xr:uid="{00000000-0005-0000-0000-000010670000}"/>
    <cellStyle name="Normal 14 2 2 2 2 4 3" xfId="31185" xr:uid="{00000000-0005-0000-0000-000011670000}"/>
    <cellStyle name="Normal 14 2 2 2 2 5" xfId="6863" xr:uid="{00000000-0005-0000-0000-000012670000}"/>
    <cellStyle name="Normal 14 2 2 2 2 5 2" xfId="14500" xr:uid="{00000000-0005-0000-0000-000013670000}"/>
    <cellStyle name="Normal 14 2 2 2 2 5 2 2" xfId="28049" xr:uid="{00000000-0005-0000-0000-000014670000}"/>
    <cellStyle name="Normal 14 2 2 2 2 5 3" xfId="31186" xr:uid="{00000000-0005-0000-0000-000015670000}"/>
    <cellStyle name="Normal 14 2 2 2 2 6" xfId="6864" xr:uid="{00000000-0005-0000-0000-000016670000}"/>
    <cellStyle name="Normal 14 2 2 2 2 6 2" xfId="16386" xr:uid="{00000000-0005-0000-0000-000017670000}"/>
    <cellStyle name="Normal 14 2 2 2 2 6 2 2" xfId="29793" xr:uid="{00000000-0005-0000-0000-000018670000}"/>
    <cellStyle name="Normal 14 2 2 2 2 6 3" xfId="31187" xr:uid="{00000000-0005-0000-0000-000019670000}"/>
    <cellStyle name="Normal 14 2 2 2 2 7" xfId="10109" xr:uid="{00000000-0005-0000-0000-00001A670000}"/>
    <cellStyle name="Normal 14 2 2 2 2 7 2" xfId="24337" xr:uid="{00000000-0005-0000-0000-00001B670000}"/>
    <cellStyle name="Normal 14 2 2 2 2 8" xfId="31181" xr:uid="{00000000-0005-0000-0000-00001C670000}"/>
    <cellStyle name="Normal 14 2 2 2 3" xfId="6865" xr:uid="{00000000-0005-0000-0000-00001D670000}"/>
    <cellStyle name="Normal 14 2 2 2 3 2" xfId="6866" xr:uid="{00000000-0005-0000-0000-00001E670000}"/>
    <cellStyle name="Normal 14 2 2 2 3 2 2" xfId="16678" xr:uid="{00000000-0005-0000-0000-00001F670000}"/>
    <cellStyle name="Normal 14 2 2 2 3 2 2 2" xfId="30085" xr:uid="{00000000-0005-0000-0000-000020670000}"/>
    <cellStyle name="Normal 14 2 2 2 3 2 3" xfId="31189" xr:uid="{00000000-0005-0000-0000-000021670000}"/>
    <cellStyle name="Normal 14 2 2 2 3 3" xfId="11487" xr:uid="{00000000-0005-0000-0000-000022670000}"/>
    <cellStyle name="Normal 14 2 2 2 3 3 2" xfId="25319" xr:uid="{00000000-0005-0000-0000-000023670000}"/>
    <cellStyle name="Normal 14 2 2 2 3 4" xfId="31188" xr:uid="{00000000-0005-0000-0000-000024670000}"/>
    <cellStyle name="Normal 14 2 2 2 4" xfId="6867" xr:uid="{00000000-0005-0000-0000-000025670000}"/>
    <cellStyle name="Normal 14 2 2 2 4 2" xfId="12055" xr:uid="{00000000-0005-0000-0000-000026670000}"/>
    <cellStyle name="Normal 14 2 2 2 4 2 2" xfId="25770" xr:uid="{00000000-0005-0000-0000-000027670000}"/>
    <cellStyle name="Normal 14 2 2 2 4 3" xfId="31190" xr:uid="{00000000-0005-0000-0000-000028670000}"/>
    <cellStyle name="Normal 14 2 2 2 5" xfId="6868" xr:uid="{00000000-0005-0000-0000-000029670000}"/>
    <cellStyle name="Normal 14 2 2 2 5 2" xfId="13630" xr:uid="{00000000-0005-0000-0000-00002A670000}"/>
    <cellStyle name="Normal 14 2 2 2 5 2 2" xfId="27179" xr:uid="{00000000-0005-0000-0000-00002B670000}"/>
    <cellStyle name="Normal 14 2 2 2 5 3" xfId="31191" xr:uid="{00000000-0005-0000-0000-00002C670000}"/>
    <cellStyle name="Normal 14 2 2 2 6" xfId="6869" xr:uid="{00000000-0005-0000-0000-00002D670000}"/>
    <cellStyle name="Normal 14 2 2 2 6 2" xfId="14211" xr:uid="{00000000-0005-0000-0000-00002E670000}"/>
    <cellStyle name="Normal 14 2 2 2 6 2 2" xfId="27760" xr:uid="{00000000-0005-0000-0000-00002F670000}"/>
    <cellStyle name="Normal 14 2 2 2 6 3" xfId="31192" xr:uid="{00000000-0005-0000-0000-000030670000}"/>
    <cellStyle name="Normal 14 2 2 2 7" xfId="6870" xr:uid="{00000000-0005-0000-0000-000031670000}"/>
    <cellStyle name="Normal 14 2 2 2 7 2" xfId="16097" xr:uid="{00000000-0005-0000-0000-000032670000}"/>
    <cellStyle name="Normal 14 2 2 2 7 2 2" xfId="29504" xr:uid="{00000000-0005-0000-0000-000033670000}"/>
    <cellStyle name="Normal 14 2 2 2 7 3" xfId="31193" xr:uid="{00000000-0005-0000-0000-000034670000}"/>
    <cellStyle name="Normal 14 2 2 2 8" xfId="10108" xr:uid="{00000000-0005-0000-0000-000035670000}"/>
    <cellStyle name="Normal 14 2 2 2 8 2" xfId="24336" xr:uid="{00000000-0005-0000-0000-000036670000}"/>
    <cellStyle name="Normal 14 2 2 2 9" xfId="31180" xr:uid="{00000000-0005-0000-0000-000037670000}"/>
    <cellStyle name="Normal 14 2 2 3" xfId="6871" xr:uid="{00000000-0005-0000-0000-000038670000}"/>
    <cellStyle name="Normal 14 2 2 3 2" xfId="6872" xr:uid="{00000000-0005-0000-0000-000039670000}"/>
    <cellStyle name="Normal 14 2 2 3 2 2" xfId="6873" xr:uid="{00000000-0005-0000-0000-00003A670000}"/>
    <cellStyle name="Normal 14 2 2 3 2 2 2" xfId="16824" xr:uid="{00000000-0005-0000-0000-00003B670000}"/>
    <cellStyle name="Normal 14 2 2 3 2 2 2 2" xfId="30231" xr:uid="{00000000-0005-0000-0000-00003C670000}"/>
    <cellStyle name="Normal 14 2 2 3 2 2 3" xfId="31196" xr:uid="{00000000-0005-0000-0000-00003D670000}"/>
    <cellStyle name="Normal 14 2 2 3 2 3" xfId="11489" xr:uid="{00000000-0005-0000-0000-00003E670000}"/>
    <cellStyle name="Normal 14 2 2 3 2 3 2" xfId="25321" xr:uid="{00000000-0005-0000-0000-00003F670000}"/>
    <cellStyle name="Normal 14 2 2 3 2 4" xfId="31195" xr:uid="{00000000-0005-0000-0000-000040670000}"/>
    <cellStyle name="Normal 14 2 2 3 3" xfId="6874" xr:uid="{00000000-0005-0000-0000-000041670000}"/>
    <cellStyle name="Normal 14 2 2 3 3 2" xfId="12212" xr:uid="{00000000-0005-0000-0000-000042670000}"/>
    <cellStyle name="Normal 14 2 2 3 3 2 2" xfId="25924" xr:uid="{00000000-0005-0000-0000-000043670000}"/>
    <cellStyle name="Normal 14 2 2 3 3 3" xfId="31197" xr:uid="{00000000-0005-0000-0000-000044670000}"/>
    <cellStyle name="Normal 14 2 2 3 4" xfId="6875" xr:uid="{00000000-0005-0000-0000-000045670000}"/>
    <cellStyle name="Normal 14 2 2 3 4 2" xfId="13776" xr:uid="{00000000-0005-0000-0000-000046670000}"/>
    <cellStyle name="Normal 14 2 2 3 4 2 2" xfId="27325" xr:uid="{00000000-0005-0000-0000-000047670000}"/>
    <cellStyle name="Normal 14 2 2 3 4 3" xfId="31198" xr:uid="{00000000-0005-0000-0000-000048670000}"/>
    <cellStyle name="Normal 14 2 2 3 5" xfId="6876" xr:uid="{00000000-0005-0000-0000-000049670000}"/>
    <cellStyle name="Normal 14 2 2 3 5 2" xfId="14357" xr:uid="{00000000-0005-0000-0000-00004A670000}"/>
    <cellStyle name="Normal 14 2 2 3 5 2 2" xfId="27906" xr:uid="{00000000-0005-0000-0000-00004B670000}"/>
    <cellStyle name="Normal 14 2 2 3 5 3" xfId="31199" xr:uid="{00000000-0005-0000-0000-00004C670000}"/>
    <cellStyle name="Normal 14 2 2 3 6" xfId="6877" xr:uid="{00000000-0005-0000-0000-00004D670000}"/>
    <cellStyle name="Normal 14 2 2 3 6 2" xfId="16243" xr:uid="{00000000-0005-0000-0000-00004E670000}"/>
    <cellStyle name="Normal 14 2 2 3 6 2 2" xfId="29650" xr:uid="{00000000-0005-0000-0000-00004F670000}"/>
    <cellStyle name="Normal 14 2 2 3 6 3" xfId="31200" xr:uid="{00000000-0005-0000-0000-000050670000}"/>
    <cellStyle name="Normal 14 2 2 3 7" xfId="10110" xr:uid="{00000000-0005-0000-0000-000051670000}"/>
    <cellStyle name="Normal 14 2 2 3 7 2" xfId="24338" xr:uid="{00000000-0005-0000-0000-000052670000}"/>
    <cellStyle name="Normal 14 2 2 3 8" xfId="31194" xr:uid="{00000000-0005-0000-0000-000053670000}"/>
    <cellStyle name="Normal 14 2 2 4" xfId="6878" xr:uid="{00000000-0005-0000-0000-000054670000}"/>
    <cellStyle name="Normal 14 2 2 4 2" xfId="6879" xr:uid="{00000000-0005-0000-0000-000055670000}"/>
    <cellStyle name="Normal 14 2 2 4 2 2" xfId="17171" xr:uid="{00000000-0005-0000-0000-000056670000}"/>
    <cellStyle name="Normal 14 2 2 4 2 2 2" xfId="30530" xr:uid="{00000000-0005-0000-0000-000057670000}"/>
    <cellStyle name="Normal 14 2 2 4 2 3" xfId="31202" xr:uid="{00000000-0005-0000-0000-000058670000}"/>
    <cellStyle name="Normal 14 2 2 4 3" xfId="11486" xr:uid="{00000000-0005-0000-0000-000059670000}"/>
    <cellStyle name="Normal 14 2 2 4 3 2" xfId="25318" xr:uid="{00000000-0005-0000-0000-00005A670000}"/>
    <cellStyle name="Normal 14 2 2 4 4" xfId="31201" xr:uid="{00000000-0005-0000-0000-00005B670000}"/>
    <cellStyle name="Normal 14 2 2 5" xfId="6880" xr:uid="{00000000-0005-0000-0000-00005C670000}"/>
    <cellStyle name="Normal 14 2 2 5 2" xfId="6881" xr:uid="{00000000-0005-0000-0000-00005D670000}"/>
    <cellStyle name="Normal 14 2 2 5 2 2" xfId="17260" xr:uid="{00000000-0005-0000-0000-00005E670000}"/>
    <cellStyle name="Normal 14 2 2 5 2 2 2" xfId="30619" xr:uid="{00000000-0005-0000-0000-00005F670000}"/>
    <cellStyle name="Normal 14 2 2 5 2 3" xfId="31204" xr:uid="{00000000-0005-0000-0000-000060670000}"/>
    <cellStyle name="Normal 14 2 2 5 3" xfId="11910" xr:uid="{00000000-0005-0000-0000-000061670000}"/>
    <cellStyle name="Normal 14 2 2 5 3 2" xfId="25625" xr:uid="{00000000-0005-0000-0000-000062670000}"/>
    <cellStyle name="Normal 14 2 2 5 4" xfId="31203" xr:uid="{00000000-0005-0000-0000-000063670000}"/>
    <cellStyle name="Normal 14 2 2 6" xfId="6882" xr:uid="{00000000-0005-0000-0000-000064670000}"/>
    <cellStyle name="Normal 14 2 2 6 2" xfId="6883" xr:uid="{00000000-0005-0000-0000-000065670000}"/>
    <cellStyle name="Normal 14 2 2 6 2 2" xfId="16535" xr:uid="{00000000-0005-0000-0000-000066670000}"/>
    <cellStyle name="Normal 14 2 2 6 2 2 2" xfId="29942" xr:uid="{00000000-0005-0000-0000-000067670000}"/>
    <cellStyle name="Normal 14 2 2 6 2 3" xfId="31206" xr:uid="{00000000-0005-0000-0000-000068670000}"/>
    <cellStyle name="Normal 14 2 2 6 3" xfId="13487" xr:uid="{00000000-0005-0000-0000-000069670000}"/>
    <cellStyle name="Normal 14 2 2 6 3 2" xfId="27036" xr:uid="{00000000-0005-0000-0000-00006A670000}"/>
    <cellStyle name="Normal 14 2 2 6 4" xfId="31205" xr:uid="{00000000-0005-0000-0000-00006B670000}"/>
    <cellStyle name="Normal 14 2 2 7" xfId="6884" xr:uid="{00000000-0005-0000-0000-00006C670000}"/>
    <cellStyle name="Normal 14 2 2 7 2" xfId="14068" xr:uid="{00000000-0005-0000-0000-00006D670000}"/>
    <cellStyle name="Normal 14 2 2 7 2 2" xfId="27617" xr:uid="{00000000-0005-0000-0000-00006E670000}"/>
    <cellStyle name="Normal 14 2 2 7 3" xfId="31207" xr:uid="{00000000-0005-0000-0000-00006F670000}"/>
    <cellStyle name="Normal 14 2 2 8" xfId="6885" xr:uid="{00000000-0005-0000-0000-000070670000}"/>
    <cellStyle name="Normal 14 2 2 8 2" xfId="15954" xr:uid="{00000000-0005-0000-0000-000071670000}"/>
    <cellStyle name="Normal 14 2 2 8 2 2" xfId="29361" xr:uid="{00000000-0005-0000-0000-000072670000}"/>
    <cellStyle name="Normal 14 2 2 8 3" xfId="31208" xr:uid="{00000000-0005-0000-0000-000073670000}"/>
    <cellStyle name="Normal 14 2 2 9" xfId="10107" xr:uid="{00000000-0005-0000-0000-000074670000}"/>
    <cellStyle name="Normal 14 2 2 9 2" xfId="24335" xr:uid="{00000000-0005-0000-0000-000075670000}"/>
    <cellStyle name="Normal 14 2 3" xfId="6886" xr:uid="{00000000-0005-0000-0000-000076670000}"/>
    <cellStyle name="Normal 14 2 3 2" xfId="6887" xr:uid="{00000000-0005-0000-0000-000077670000}"/>
    <cellStyle name="Normal 14 2 3 2 2" xfId="6888" xr:uid="{00000000-0005-0000-0000-000078670000}"/>
    <cellStyle name="Normal 14 2 3 2 2 2" xfId="6889" xr:uid="{00000000-0005-0000-0000-000079670000}"/>
    <cellStyle name="Normal 14 2 3 2 2 2 2" xfId="16921" xr:uid="{00000000-0005-0000-0000-00007A670000}"/>
    <cellStyle name="Normal 14 2 3 2 2 2 2 2" xfId="30328" xr:uid="{00000000-0005-0000-0000-00007B670000}"/>
    <cellStyle name="Normal 14 2 3 2 2 2 3" xfId="31212" xr:uid="{00000000-0005-0000-0000-00007C670000}"/>
    <cellStyle name="Normal 14 2 3 2 2 3" xfId="11491" xr:uid="{00000000-0005-0000-0000-00007D670000}"/>
    <cellStyle name="Normal 14 2 3 2 2 3 2" xfId="25323" xr:uid="{00000000-0005-0000-0000-00007E670000}"/>
    <cellStyle name="Normal 14 2 3 2 2 4" xfId="31211" xr:uid="{00000000-0005-0000-0000-00007F670000}"/>
    <cellStyle name="Normal 14 2 3 2 3" xfId="6890" xr:uid="{00000000-0005-0000-0000-000080670000}"/>
    <cellStyle name="Normal 14 2 3 2 3 2" xfId="12309" xr:uid="{00000000-0005-0000-0000-000081670000}"/>
    <cellStyle name="Normal 14 2 3 2 3 2 2" xfId="26021" xr:uid="{00000000-0005-0000-0000-000082670000}"/>
    <cellStyle name="Normal 14 2 3 2 3 3" xfId="31213" xr:uid="{00000000-0005-0000-0000-000083670000}"/>
    <cellStyle name="Normal 14 2 3 2 4" xfId="6891" xr:uid="{00000000-0005-0000-0000-000084670000}"/>
    <cellStyle name="Normal 14 2 3 2 4 2" xfId="13873" xr:uid="{00000000-0005-0000-0000-000085670000}"/>
    <cellStyle name="Normal 14 2 3 2 4 2 2" xfId="27422" xr:uid="{00000000-0005-0000-0000-000086670000}"/>
    <cellStyle name="Normal 14 2 3 2 4 3" xfId="31214" xr:uid="{00000000-0005-0000-0000-000087670000}"/>
    <cellStyle name="Normal 14 2 3 2 5" xfId="6892" xr:uid="{00000000-0005-0000-0000-000088670000}"/>
    <cellStyle name="Normal 14 2 3 2 5 2" xfId="14454" xr:uid="{00000000-0005-0000-0000-000089670000}"/>
    <cellStyle name="Normal 14 2 3 2 5 2 2" xfId="28003" xr:uid="{00000000-0005-0000-0000-00008A670000}"/>
    <cellStyle name="Normal 14 2 3 2 5 3" xfId="31215" xr:uid="{00000000-0005-0000-0000-00008B670000}"/>
    <cellStyle name="Normal 14 2 3 2 6" xfId="6893" xr:uid="{00000000-0005-0000-0000-00008C670000}"/>
    <cellStyle name="Normal 14 2 3 2 6 2" xfId="16340" xr:uid="{00000000-0005-0000-0000-00008D670000}"/>
    <cellStyle name="Normal 14 2 3 2 6 2 2" xfId="29747" xr:uid="{00000000-0005-0000-0000-00008E670000}"/>
    <cellStyle name="Normal 14 2 3 2 6 3" xfId="31216" xr:uid="{00000000-0005-0000-0000-00008F670000}"/>
    <cellStyle name="Normal 14 2 3 2 7" xfId="10112" xr:uid="{00000000-0005-0000-0000-000090670000}"/>
    <cellStyle name="Normal 14 2 3 2 7 2" xfId="24340" xr:uid="{00000000-0005-0000-0000-000091670000}"/>
    <cellStyle name="Normal 14 2 3 2 8" xfId="31210" xr:uid="{00000000-0005-0000-0000-000092670000}"/>
    <cellStyle name="Normal 14 2 3 3" xfId="6894" xr:uid="{00000000-0005-0000-0000-000093670000}"/>
    <cellStyle name="Normal 14 2 3 3 2" xfId="6895" xr:uid="{00000000-0005-0000-0000-000094670000}"/>
    <cellStyle name="Normal 14 2 3 3 2 2" xfId="16632" xr:uid="{00000000-0005-0000-0000-000095670000}"/>
    <cellStyle name="Normal 14 2 3 3 2 2 2" xfId="30039" xr:uid="{00000000-0005-0000-0000-000096670000}"/>
    <cellStyle name="Normal 14 2 3 3 2 3" xfId="31218" xr:uid="{00000000-0005-0000-0000-000097670000}"/>
    <cellStyle name="Normal 14 2 3 3 3" xfId="11490" xr:uid="{00000000-0005-0000-0000-000098670000}"/>
    <cellStyle name="Normal 14 2 3 3 3 2" xfId="25322" xr:uid="{00000000-0005-0000-0000-000099670000}"/>
    <cellStyle name="Normal 14 2 3 3 4" xfId="31217" xr:uid="{00000000-0005-0000-0000-00009A670000}"/>
    <cellStyle name="Normal 14 2 3 4" xfId="6896" xr:uid="{00000000-0005-0000-0000-00009B670000}"/>
    <cellStyle name="Normal 14 2 3 4 2" xfId="12009" xr:uid="{00000000-0005-0000-0000-00009C670000}"/>
    <cellStyle name="Normal 14 2 3 4 2 2" xfId="25724" xr:uid="{00000000-0005-0000-0000-00009D670000}"/>
    <cellStyle name="Normal 14 2 3 4 3" xfId="31219" xr:uid="{00000000-0005-0000-0000-00009E670000}"/>
    <cellStyle name="Normal 14 2 3 5" xfId="6897" xr:uid="{00000000-0005-0000-0000-00009F670000}"/>
    <cellStyle name="Normal 14 2 3 5 2" xfId="13584" xr:uid="{00000000-0005-0000-0000-0000A0670000}"/>
    <cellStyle name="Normal 14 2 3 5 2 2" xfId="27133" xr:uid="{00000000-0005-0000-0000-0000A1670000}"/>
    <cellStyle name="Normal 14 2 3 5 3" xfId="31220" xr:uid="{00000000-0005-0000-0000-0000A2670000}"/>
    <cellStyle name="Normal 14 2 3 6" xfId="6898" xr:uid="{00000000-0005-0000-0000-0000A3670000}"/>
    <cellStyle name="Normal 14 2 3 6 2" xfId="14165" xr:uid="{00000000-0005-0000-0000-0000A4670000}"/>
    <cellStyle name="Normal 14 2 3 6 2 2" xfId="27714" xr:uid="{00000000-0005-0000-0000-0000A5670000}"/>
    <cellStyle name="Normal 14 2 3 6 3" xfId="31221" xr:uid="{00000000-0005-0000-0000-0000A6670000}"/>
    <cellStyle name="Normal 14 2 3 7" xfId="6899" xr:uid="{00000000-0005-0000-0000-0000A7670000}"/>
    <cellStyle name="Normal 14 2 3 7 2" xfId="16051" xr:uid="{00000000-0005-0000-0000-0000A8670000}"/>
    <cellStyle name="Normal 14 2 3 7 2 2" xfId="29458" xr:uid="{00000000-0005-0000-0000-0000A9670000}"/>
    <cellStyle name="Normal 14 2 3 7 3" xfId="31222" xr:uid="{00000000-0005-0000-0000-0000AA670000}"/>
    <cellStyle name="Normal 14 2 3 8" xfId="10111" xr:uid="{00000000-0005-0000-0000-0000AB670000}"/>
    <cellStyle name="Normal 14 2 3 8 2" xfId="24339" xr:uid="{00000000-0005-0000-0000-0000AC670000}"/>
    <cellStyle name="Normal 14 2 3 9" xfId="31209" xr:uid="{00000000-0005-0000-0000-0000AD670000}"/>
    <cellStyle name="Normal 14 2 4" xfId="6900" xr:uid="{00000000-0005-0000-0000-0000AE670000}"/>
    <cellStyle name="Normal 14 2 4 2" xfId="6901" xr:uid="{00000000-0005-0000-0000-0000AF670000}"/>
    <cellStyle name="Normal 14 2 4 2 2" xfId="6902" xr:uid="{00000000-0005-0000-0000-0000B0670000}"/>
    <cellStyle name="Normal 14 2 4 2 2 2" xfId="16778" xr:uid="{00000000-0005-0000-0000-0000B1670000}"/>
    <cellStyle name="Normal 14 2 4 2 2 2 2" xfId="30185" xr:uid="{00000000-0005-0000-0000-0000B2670000}"/>
    <cellStyle name="Normal 14 2 4 2 2 3" xfId="31225" xr:uid="{00000000-0005-0000-0000-0000B3670000}"/>
    <cellStyle name="Normal 14 2 4 2 3" xfId="11492" xr:uid="{00000000-0005-0000-0000-0000B4670000}"/>
    <cellStyle name="Normal 14 2 4 2 3 2" xfId="25324" xr:uid="{00000000-0005-0000-0000-0000B5670000}"/>
    <cellStyle name="Normal 14 2 4 2 4" xfId="31224" xr:uid="{00000000-0005-0000-0000-0000B6670000}"/>
    <cellStyle name="Normal 14 2 4 3" xfId="6903" xr:uid="{00000000-0005-0000-0000-0000B7670000}"/>
    <cellStyle name="Normal 14 2 4 3 2" xfId="12166" xr:uid="{00000000-0005-0000-0000-0000B8670000}"/>
    <cellStyle name="Normal 14 2 4 3 2 2" xfId="25878" xr:uid="{00000000-0005-0000-0000-0000B9670000}"/>
    <cellStyle name="Normal 14 2 4 3 3" xfId="31226" xr:uid="{00000000-0005-0000-0000-0000BA670000}"/>
    <cellStyle name="Normal 14 2 4 4" xfId="6904" xr:uid="{00000000-0005-0000-0000-0000BB670000}"/>
    <cellStyle name="Normal 14 2 4 4 2" xfId="13730" xr:uid="{00000000-0005-0000-0000-0000BC670000}"/>
    <cellStyle name="Normal 14 2 4 4 2 2" xfId="27279" xr:uid="{00000000-0005-0000-0000-0000BD670000}"/>
    <cellStyle name="Normal 14 2 4 4 3" xfId="31227" xr:uid="{00000000-0005-0000-0000-0000BE670000}"/>
    <cellStyle name="Normal 14 2 4 5" xfId="6905" xr:uid="{00000000-0005-0000-0000-0000BF670000}"/>
    <cellStyle name="Normal 14 2 4 5 2" xfId="14311" xr:uid="{00000000-0005-0000-0000-0000C0670000}"/>
    <cellStyle name="Normal 14 2 4 5 2 2" xfId="27860" xr:uid="{00000000-0005-0000-0000-0000C1670000}"/>
    <cellStyle name="Normal 14 2 4 5 3" xfId="31228" xr:uid="{00000000-0005-0000-0000-0000C2670000}"/>
    <cellStyle name="Normal 14 2 4 6" xfId="6906" xr:uid="{00000000-0005-0000-0000-0000C3670000}"/>
    <cellStyle name="Normal 14 2 4 6 2" xfId="16197" xr:uid="{00000000-0005-0000-0000-0000C4670000}"/>
    <cellStyle name="Normal 14 2 4 6 2 2" xfId="29604" xr:uid="{00000000-0005-0000-0000-0000C5670000}"/>
    <cellStyle name="Normal 14 2 4 6 3" xfId="31229" xr:uid="{00000000-0005-0000-0000-0000C6670000}"/>
    <cellStyle name="Normal 14 2 4 7" xfId="10113" xr:uid="{00000000-0005-0000-0000-0000C7670000}"/>
    <cellStyle name="Normal 14 2 4 7 2" xfId="24341" xr:uid="{00000000-0005-0000-0000-0000C8670000}"/>
    <cellStyle name="Normal 14 2 4 8" xfId="31223" xr:uid="{00000000-0005-0000-0000-0000C9670000}"/>
    <cellStyle name="Normal 14 2 5" xfId="6907" xr:uid="{00000000-0005-0000-0000-0000CA670000}"/>
    <cellStyle name="Normal 14 2 5 2" xfId="6908" xr:uid="{00000000-0005-0000-0000-0000CB670000}"/>
    <cellStyle name="Normal 14 2 5 2 2" xfId="17125" xr:uid="{00000000-0005-0000-0000-0000CC670000}"/>
    <cellStyle name="Normal 14 2 5 2 2 2" xfId="30484" xr:uid="{00000000-0005-0000-0000-0000CD670000}"/>
    <cellStyle name="Normal 14 2 5 2 3" xfId="31231" xr:uid="{00000000-0005-0000-0000-0000CE670000}"/>
    <cellStyle name="Normal 14 2 5 3" xfId="11485" xr:uid="{00000000-0005-0000-0000-0000CF670000}"/>
    <cellStyle name="Normal 14 2 5 3 2" xfId="25317" xr:uid="{00000000-0005-0000-0000-0000D0670000}"/>
    <cellStyle name="Normal 14 2 5 4" xfId="31230" xr:uid="{00000000-0005-0000-0000-0000D1670000}"/>
    <cellStyle name="Normal 14 2 6" xfId="6909" xr:uid="{00000000-0005-0000-0000-0000D2670000}"/>
    <cellStyle name="Normal 14 2 6 2" xfId="6910" xr:uid="{00000000-0005-0000-0000-0000D3670000}"/>
    <cellStyle name="Normal 14 2 6 2 2" xfId="17214" xr:uid="{00000000-0005-0000-0000-0000D4670000}"/>
    <cellStyle name="Normal 14 2 6 2 2 2" xfId="30573" xr:uid="{00000000-0005-0000-0000-0000D5670000}"/>
    <cellStyle name="Normal 14 2 6 2 3" xfId="31233" xr:uid="{00000000-0005-0000-0000-0000D6670000}"/>
    <cellStyle name="Normal 14 2 6 3" xfId="11853" xr:uid="{00000000-0005-0000-0000-0000D7670000}"/>
    <cellStyle name="Normal 14 2 6 3 2" xfId="25568" xr:uid="{00000000-0005-0000-0000-0000D8670000}"/>
    <cellStyle name="Normal 14 2 6 4" xfId="31232" xr:uid="{00000000-0005-0000-0000-0000D9670000}"/>
    <cellStyle name="Normal 14 2 7" xfId="6911" xr:uid="{00000000-0005-0000-0000-0000DA670000}"/>
    <cellStyle name="Normal 14 2 7 2" xfId="6912" xr:uid="{00000000-0005-0000-0000-0000DB670000}"/>
    <cellStyle name="Normal 14 2 7 2 2" xfId="16489" xr:uid="{00000000-0005-0000-0000-0000DC670000}"/>
    <cellStyle name="Normal 14 2 7 2 2 2" xfId="29896" xr:uid="{00000000-0005-0000-0000-0000DD670000}"/>
    <cellStyle name="Normal 14 2 7 2 3" xfId="31235" xr:uid="{00000000-0005-0000-0000-0000DE670000}"/>
    <cellStyle name="Normal 14 2 7 3" xfId="13441" xr:uid="{00000000-0005-0000-0000-0000DF670000}"/>
    <cellStyle name="Normal 14 2 7 3 2" xfId="26990" xr:uid="{00000000-0005-0000-0000-0000E0670000}"/>
    <cellStyle name="Normal 14 2 7 4" xfId="31234" xr:uid="{00000000-0005-0000-0000-0000E1670000}"/>
    <cellStyle name="Normal 14 2 8" xfId="6913" xr:uid="{00000000-0005-0000-0000-0000E2670000}"/>
    <cellStyle name="Normal 14 2 8 2" xfId="14022" xr:uid="{00000000-0005-0000-0000-0000E3670000}"/>
    <cellStyle name="Normal 14 2 8 2 2" xfId="27571" xr:uid="{00000000-0005-0000-0000-0000E4670000}"/>
    <cellStyle name="Normal 14 2 8 3" xfId="31236" xr:uid="{00000000-0005-0000-0000-0000E5670000}"/>
    <cellStyle name="Normal 14 2 9" xfId="6914" xr:uid="{00000000-0005-0000-0000-0000E6670000}"/>
    <cellStyle name="Normal 14 2 9 2" xfId="15908" xr:uid="{00000000-0005-0000-0000-0000E7670000}"/>
    <cellStyle name="Normal 14 2 9 2 2" xfId="29315" xr:uid="{00000000-0005-0000-0000-0000E8670000}"/>
    <cellStyle name="Normal 14 2 9 3" xfId="31237" xr:uid="{00000000-0005-0000-0000-0000E9670000}"/>
    <cellStyle name="Normal 14 3" xfId="6915" xr:uid="{00000000-0005-0000-0000-0000EA670000}"/>
    <cellStyle name="Normal 14 3 10" xfId="31238" xr:uid="{00000000-0005-0000-0000-0000EB670000}"/>
    <cellStyle name="Normal 14 3 2" xfId="6916" xr:uid="{00000000-0005-0000-0000-0000EC670000}"/>
    <cellStyle name="Normal 14 3 2 2" xfId="6917" xr:uid="{00000000-0005-0000-0000-0000ED670000}"/>
    <cellStyle name="Normal 14 3 2 2 2" xfId="6918" xr:uid="{00000000-0005-0000-0000-0000EE670000}"/>
    <cellStyle name="Normal 14 3 2 2 2 2" xfId="6919" xr:uid="{00000000-0005-0000-0000-0000EF670000}"/>
    <cellStyle name="Normal 14 3 2 2 2 2 2" xfId="16944" xr:uid="{00000000-0005-0000-0000-0000F0670000}"/>
    <cellStyle name="Normal 14 3 2 2 2 2 2 2" xfId="30351" xr:uid="{00000000-0005-0000-0000-0000F1670000}"/>
    <cellStyle name="Normal 14 3 2 2 2 2 3" xfId="31242" xr:uid="{00000000-0005-0000-0000-0000F2670000}"/>
    <cellStyle name="Normal 14 3 2 2 2 3" xfId="11495" xr:uid="{00000000-0005-0000-0000-0000F3670000}"/>
    <cellStyle name="Normal 14 3 2 2 2 3 2" xfId="25327" xr:uid="{00000000-0005-0000-0000-0000F4670000}"/>
    <cellStyle name="Normal 14 3 2 2 2 4" xfId="31241" xr:uid="{00000000-0005-0000-0000-0000F5670000}"/>
    <cellStyle name="Normal 14 3 2 2 3" xfId="6920" xr:uid="{00000000-0005-0000-0000-0000F6670000}"/>
    <cellStyle name="Normal 14 3 2 2 3 2" xfId="12332" xr:uid="{00000000-0005-0000-0000-0000F7670000}"/>
    <cellStyle name="Normal 14 3 2 2 3 2 2" xfId="26044" xr:uid="{00000000-0005-0000-0000-0000F8670000}"/>
    <cellStyle name="Normal 14 3 2 2 3 3" xfId="31243" xr:uid="{00000000-0005-0000-0000-0000F9670000}"/>
    <cellStyle name="Normal 14 3 2 2 4" xfId="6921" xr:uid="{00000000-0005-0000-0000-0000FA670000}"/>
    <cellStyle name="Normal 14 3 2 2 4 2" xfId="13896" xr:uid="{00000000-0005-0000-0000-0000FB670000}"/>
    <cellStyle name="Normal 14 3 2 2 4 2 2" xfId="27445" xr:uid="{00000000-0005-0000-0000-0000FC670000}"/>
    <cellStyle name="Normal 14 3 2 2 4 3" xfId="31244" xr:uid="{00000000-0005-0000-0000-0000FD670000}"/>
    <cellStyle name="Normal 14 3 2 2 5" xfId="6922" xr:uid="{00000000-0005-0000-0000-0000FE670000}"/>
    <cellStyle name="Normal 14 3 2 2 5 2" xfId="14477" xr:uid="{00000000-0005-0000-0000-0000FF670000}"/>
    <cellStyle name="Normal 14 3 2 2 5 2 2" xfId="28026" xr:uid="{00000000-0005-0000-0000-000000680000}"/>
    <cellStyle name="Normal 14 3 2 2 5 3" xfId="31245" xr:uid="{00000000-0005-0000-0000-000001680000}"/>
    <cellStyle name="Normal 14 3 2 2 6" xfId="6923" xr:uid="{00000000-0005-0000-0000-000002680000}"/>
    <cellStyle name="Normal 14 3 2 2 6 2" xfId="16363" xr:uid="{00000000-0005-0000-0000-000003680000}"/>
    <cellStyle name="Normal 14 3 2 2 6 2 2" xfId="29770" xr:uid="{00000000-0005-0000-0000-000004680000}"/>
    <cellStyle name="Normal 14 3 2 2 6 3" xfId="31246" xr:uid="{00000000-0005-0000-0000-000005680000}"/>
    <cellStyle name="Normal 14 3 2 2 7" xfId="10116" xr:uid="{00000000-0005-0000-0000-000006680000}"/>
    <cellStyle name="Normal 14 3 2 2 7 2" xfId="24344" xr:uid="{00000000-0005-0000-0000-000007680000}"/>
    <cellStyle name="Normal 14 3 2 2 8" xfId="31240" xr:uid="{00000000-0005-0000-0000-000008680000}"/>
    <cellStyle name="Normal 14 3 2 3" xfId="6924" xr:uid="{00000000-0005-0000-0000-000009680000}"/>
    <cellStyle name="Normal 14 3 2 3 2" xfId="6925" xr:uid="{00000000-0005-0000-0000-00000A680000}"/>
    <cellStyle name="Normal 14 3 2 3 2 2" xfId="16655" xr:uid="{00000000-0005-0000-0000-00000B680000}"/>
    <cellStyle name="Normal 14 3 2 3 2 2 2" xfId="30062" xr:uid="{00000000-0005-0000-0000-00000C680000}"/>
    <cellStyle name="Normal 14 3 2 3 2 3" xfId="31248" xr:uid="{00000000-0005-0000-0000-00000D680000}"/>
    <cellStyle name="Normal 14 3 2 3 3" xfId="11494" xr:uid="{00000000-0005-0000-0000-00000E680000}"/>
    <cellStyle name="Normal 14 3 2 3 3 2" xfId="25326" xr:uid="{00000000-0005-0000-0000-00000F680000}"/>
    <cellStyle name="Normal 14 3 2 3 4" xfId="31247" xr:uid="{00000000-0005-0000-0000-000010680000}"/>
    <cellStyle name="Normal 14 3 2 4" xfId="6926" xr:uid="{00000000-0005-0000-0000-000011680000}"/>
    <cellStyle name="Normal 14 3 2 4 2" xfId="12032" xr:uid="{00000000-0005-0000-0000-000012680000}"/>
    <cellStyle name="Normal 14 3 2 4 2 2" xfId="25747" xr:uid="{00000000-0005-0000-0000-000013680000}"/>
    <cellStyle name="Normal 14 3 2 4 3" xfId="31249" xr:uid="{00000000-0005-0000-0000-000014680000}"/>
    <cellStyle name="Normal 14 3 2 5" xfId="6927" xr:uid="{00000000-0005-0000-0000-000015680000}"/>
    <cellStyle name="Normal 14 3 2 5 2" xfId="13607" xr:uid="{00000000-0005-0000-0000-000016680000}"/>
    <cellStyle name="Normal 14 3 2 5 2 2" xfId="27156" xr:uid="{00000000-0005-0000-0000-000017680000}"/>
    <cellStyle name="Normal 14 3 2 5 3" xfId="31250" xr:uid="{00000000-0005-0000-0000-000018680000}"/>
    <cellStyle name="Normal 14 3 2 6" xfId="6928" xr:uid="{00000000-0005-0000-0000-000019680000}"/>
    <cellStyle name="Normal 14 3 2 6 2" xfId="14188" xr:uid="{00000000-0005-0000-0000-00001A680000}"/>
    <cellStyle name="Normal 14 3 2 6 2 2" xfId="27737" xr:uid="{00000000-0005-0000-0000-00001B680000}"/>
    <cellStyle name="Normal 14 3 2 6 3" xfId="31251" xr:uid="{00000000-0005-0000-0000-00001C680000}"/>
    <cellStyle name="Normal 14 3 2 7" xfId="6929" xr:uid="{00000000-0005-0000-0000-00001D680000}"/>
    <cellStyle name="Normal 14 3 2 7 2" xfId="16074" xr:uid="{00000000-0005-0000-0000-00001E680000}"/>
    <cellStyle name="Normal 14 3 2 7 2 2" xfId="29481" xr:uid="{00000000-0005-0000-0000-00001F680000}"/>
    <cellStyle name="Normal 14 3 2 7 3" xfId="31252" xr:uid="{00000000-0005-0000-0000-000020680000}"/>
    <cellStyle name="Normal 14 3 2 8" xfId="10115" xr:uid="{00000000-0005-0000-0000-000021680000}"/>
    <cellStyle name="Normal 14 3 2 8 2" xfId="24343" xr:uid="{00000000-0005-0000-0000-000022680000}"/>
    <cellStyle name="Normal 14 3 2 9" xfId="31239" xr:uid="{00000000-0005-0000-0000-000023680000}"/>
    <cellStyle name="Normal 14 3 3" xfId="6930" xr:uid="{00000000-0005-0000-0000-000024680000}"/>
    <cellStyle name="Normal 14 3 3 2" xfId="6931" xr:uid="{00000000-0005-0000-0000-000025680000}"/>
    <cellStyle name="Normal 14 3 3 2 2" xfId="6932" xr:uid="{00000000-0005-0000-0000-000026680000}"/>
    <cellStyle name="Normal 14 3 3 2 2 2" xfId="16801" xr:uid="{00000000-0005-0000-0000-000027680000}"/>
    <cellStyle name="Normal 14 3 3 2 2 2 2" xfId="30208" xr:uid="{00000000-0005-0000-0000-000028680000}"/>
    <cellStyle name="Normal 14 3 3 2 2 3" xfId="31255" xr:uid="{00000000-0005-0000-0000-000029680000}"/>
    <cellStyle name="Normal 14 3 3 2 3" xfId="11496" xr:uid="{00000000-0005-0000-0000-00002A680000}"/>
    <cellStyle name="Normal 14 3 3 2 3 2" xfId="25328" xr:uid="{00000000-0005-0000-0000-00002B680000}"/>
    <cellStyle name="Normal 14 3 3 2 4" xfId="31254" xr:uid="{00000000-0005-0000-0000-00002C680000}"/>
    <cellStyle name="Normal 14 3 3 3" xfId="6933" xr:uid="{00000000-0005-0000-0000-00002D680000}"/>
    <cellStyle name="Normal 14 3 3 3 2" xfId="12189" xr:uid="{00000000-0005-0000-0000-00002E680000}"/>
    <cellStyle name="Normal 14 3 3 3 2 2" xfId="25901" xr:uid="{00000000-0005-0000-0000-00002F680000}"/>
    <cellStyle name="Normal 14 3 3 3 3" xfId="31256" xr:uid="{00000000-0005-0000-0000-000030680000}"/>
    <cellStyle name="Normal 14 3 3 4" xfId="6934" xr:uid="{00000000-0005-0000-0000-000031680000}"/>
    <cellStyle name="Normal 14 3 3 4 2" xfId="13753" xr:uid="{00000000-0005-0000-0000-000032680000}"/>
    <cellStyle name="Normal 14 3 3 4 2 2" xfId="27302" xr:uid="{00000000-0005-0000-0000-000033680000}"/>
    <cellStyle name="Normal 14 3 3 4 3" xfId="31257" xr:uid="{00000000-0005-0000-0000-000034680000}"/>
    <cellStyle name="Normal 14 3 3 5" xfId="6935" xr:uid="{00000000-0005-0000-0000-000035680000}"/>
    <cellStyle name="Normal 14 3 3 5 2" xfId="14334" xr:uid="{00000000-0005-0000-0000-000036680000}"/>
    <cellStyle name="Normal 14 3 3 5 2 2" xfId="27883" xr:uid="{00000000-0005-0000-0000-000037680000}"/>
    <cellStyle name="Normal 14 3 3 5 3" xfId="31258" xr:uid="{00000000-0005-0000-0000-000038680000}"/>
    <cellStyle name="Normal 14 3 3 6" xfId="6936" xr:uid="{00000000-0005-0000-0000-000039680000}"/>
    <cellStyle name="Normal 14 3 3 6 2" xfId="16220" xr:uid="{00000000-0005-0000-0000-00003A680000}"/>
    <cellStyle name="Normal 14 3 3 6 2 2" xfId="29627" xr:uid="{00000000-0005-0000-0000-00003B680000}"/>
    <cellStyle name="Normal 14 3 3 6 3" xfId="31259" xr:uid="{00000000-0005-0000-0000-00003C680000}"/>
    <cellStyle name="Normal 14 3 3 7" xfId="10117" xr:uid="{00000000-0005-0000-0000-00003D680000}"/>
    <cellStyle name="Normal 14 3 3 7 2" xfId="24345" xr:uid="{00000000-0005-0000-0000-00003E680000}"/>
    <cellStyle name="Normal 14 3 3 8" xfId="31253" xr:uid="{00000000-0005-0000-0000-00003F680000}"/>
    <cellStyle name="Normal 14 3 4" xfId="6937" xr:uid="{00000000-0005-0000-0000-000040680000}"/>
    <cellStyle name="Normal 14 3 4 2" xfId="6938" xr:uid="{00000000-0005-0000-0000-000041680000}"/>
    <cellStyle name="Normal 14 3 4 2 2" xfId="17148" xr:uid="{00000000-0005-0000-0000-000042680000}"/>
    <cellStyle name="Normal 14 3 4 2 2 2" xfId="30507" xr:uid="{00000000-0005-0000-0000-000043680000}"/>
    <cellStyle name="Normal 14 3 4 2 3" xfId="31261" xr:uid="{00000000-0005-0000-0000-000044680000}"/>
    <cellStyle name="Normal 14 3 4 3" xfId="11493" xr:uid="{00000000-0005-0000-0000-000045680000}"/>
    <cellStyle name="Normal 14 3 4 3 2" xfId="25325" xr:uid="{00000000-0005-0000-0000-000046680000}"/>
    <cellStyle name="Normal 14 3 4 4" xfId="31260" xr:uid="{00000000-0005-0000-0000-000047680000}"/>
    <cellStyle name="Normal 14 3 5" xfId="6939" xr:uid="{00000000-0005-0000-0000-000048680000}"/>
    <cellStyle name="Normal 14 3 5 2" xfId="6940" xr:uid="{00000000-0005-0000-0000-000049680000}"/>
    <cellStyle name="Normal 14 3 5 2 2" xfId="17237" xr:uid="{00000000-0005-0000-0000-00004A680000}"/>
    <cellStyle name="Normal 14 3 5 2 2 2" xfId="30596" xr:uid="{00000000-0005-0000-0000-00004B680000}"/>
    <cellStyle name="Normal 14 3 5 2 3" xfId="31263" xr:uid="{00000000-0005-0000-0000-00004C680000}"/>
    <cellStyle name="Normal 14 3 5 3" xfId="11887" xr:uid="{00000000-0005-0000-0000-00004D680000}"/>
    <cellStyle name="Normal 14 3 5 3 2" xfId="25602" xr:uid="{00000000-0005-0000-0000-00004E680000}"/>
    <cellStyle name="Normal 14 3 5 4" xfId="31262" xr:uid="{00000000-0005-0000-0000-00004F680000}"/>
    <cellStyle name="Normal 14 3 6" xfId="6941" xr:uid="{00000000-0005-0000-0000-000050680000}"/>
    <cellStyle name="Normal 14 3 6 2" xfId="6942" xr:uid="{00000000-0005-0000-0000-000051680000}"/>
    <cellStyle name="Normal 14 3 6 2 2" xfId="16512" xr:uid="{00000000-0005-0000-0000-000052680000}"/>
    <cellStyle name="Normal 14 3 6 2 2 2" xfId="29919" xr:uid="{00000000-0005-0000-0000-000053680000}"/>
    <cellStyle name="Normal 14 3 6 2 3" xfId="31265" xr:uid="{00000000-0005-0000-0000-000054680000}"/>
    <cellStyle name="Normal 14 3 6 3" xfId="13464" xr:uid="{00000000-0005-0000-0000-000055680000}"/>
    <cellStyle name="Normal 14 3 6 3 2" xfId="27013" xr:uid="{00000000-0005-0000-0000-000056680000}"/>
    <cellStyle name="Normal 14 3 6 4" xfId="31264" xr:uid="{00000000-0005-0000-0000-000057680000}"/>
    <cellStyle name="Normal 14 3 7" xfId="6943" xr:uid="{00000000-0005-0000-0000-000058680000}"/>
    <cellStyle name="Normal 14 3 7 2" xfId="14045" xr:uid="{00000000-0005-0000-0000-000059680000}"/>
    <cellStyle name="Normal 14 3 7 2 2" xfId="27594" xr:uid="{00000000-0005-0000-0000-00005A680000}"/>
    <cellStyle name="Normal 14 3 7 3" xfId="31266" xr:uid="{00000000-0005-0000-0000-00005B680000}"/>
    <cellStyle name="Normal 14 3 8" xfId="6944" xr:uid="{00000000-0005-0000-0000-00005C680000}"/>
    <cellStyle name="Normal 14 3 8 2" xfId="15931" xr:uid="{00000000-0005-0000-0000-00005D680000}"/>
    <cellStyle name="Normal 14 3 8 2 2" xfId="29338" xr:uid="{00000000-0005-0000-0000-00005E680000}"/>
    <cellStyle name="Normal 14 3 8 3" xfId="31267" xr:uid="{00000000-0005-0000-0000-00005F680000}"/>
    <cellStyle name="Normal 14 3 9" xfId="10114" xr:uid="{00000000-0005-0000-0000-000060680000}"/>
    <cellStyle name="Normal 14 3 9 2" xfId="24342" xr:uid="{00000000-0005-0000-0000-000061680000}"/>
    <cellStyle name="Normal 14 4" xfId="6945" xr:uid="{00000000-0005-0000-0000-000062680000}"/>
    <cellStyle name="Normal 14 4 10" xfId="31268" xr:uid="{00000000-0005-0000-0000-000063680000}"/>
    <cellStyle name="Normal 14 4 2" xfId="6946" xr:uid="{00000000-0005-0000-0000-000064680000}"/>
    <cellStyle name="Normal 14 4 2 2" xfId="6947" xr:uid="{00000000-0005-0000-0000-000065680000}"/>
    <cellStyle name="Normal 14 4 2 2 2" xfId="6948" xr:uid="{00000000-0005-0000-0000-000066680000}"/>
    <cellStyle name="Normal 14 4 2 2 2 2" xfId="6949" xr:uid="{00000000-0005-0000-0000-000067680000}"/>
    <cellStyle name="Normal 14 4 2 2 2 2 2" xfId="16987" xr:uid="{00000000-0005-0000-0000-000068680000}"/>
    <cellStyle name="Normal 14 4 2 2 2 2 2 2" xfId="30394" xr:uid="{00000000-0005-0000-0000-000069680000}"/>
    <cellStyle name="Normal 14 4 2 2 2 2 3" xfId="31272" xr:uid="{00000000-0005-0000-0000-00006A680000}"/>
    <cellStyle name="Normal 14 4 2 2 2 3" xfId="11499" xr:uid="{00000000-0005-0000-0000-00006B680000}"/>
    <cellStyle name="Normal 14 4 2 2 2 3 2" xfId="25331" xr:uid="{00000000-0005-0000-0000-00006C680000}"/>
    <cellStyle name="Normal 14 4 2 2 2 4" xfId="31271" xr:uid="{00000000-0005-0000-0000-00006D680000}"/>
    <cellStyle name="Normal 14 4 2 2 3" xfId="6950" xr:uid="{00000000-0005-0000-0000-00006E680000}"/>
    <cellStyle name="Normal 14 4 2 2 3 2" xfId="12375" xr:uid="{00000000-0005-0000-0000-00006F680000}"/>
    <cellStyle name="Normal 14 4 2 2 3 2 2" xfId="26087" xr:uid="{00000000-0005-0000-0000-000070680000}"/>
    <cellStyle name="Normal 14 4 2 2 3 3" xfId="31273" xr:uid="{00000000-0005-0000-0000-000071680000}"/>
    <cellStyle name="Normal 14 4 2 2 4" xfId="6951" xr:uid="{00000000-0005-0000-0000-000072680000}"/>
    <cellStyle name="Normal 14 4 2 2 4 2" xfId="13939" xr:uid="{00000000-0005-0000-0000-000073680000}"/>
    <cellStyle name="Normal 14 4 2 2 4 2 2" xfId="27488" xr:uid="{00000000-0005-0000-0000-000074680000}"/>
    <cellStyle name="Normal 14 4 2 2 4 3" xfId="31274" xr:uid="{00000000-0005-0000-0000-000075680000}"/>
    <cellStyle name="Normal 14 4 2 2 5" xfId="6952" xr:uid="{00000000-0005-0000-0000-000076680000}"/>
    <cellStyle name="Normal 14 4 2 2 5 2" xfId="14520" xr:uid="{00000000-0005-0000-0000-000077680000}"/>
    <cellStyle name="Normal 14 4 2 2 5 2 2" xfId="28069" xr:uid="{00000000-0005-0000-0000-000078680000}"/>
    <cellStyle name="Normal 14 4 2 2 5 3" xfId="31275" xr:uid="{00000000-0005-0000-0000-000079680000}"/>
    <cellStyle name="Normal 14 4 2 2 6" xfId="6953" xr:uid="{00000000-0005-0000-0000-00007A680000}"/>
    <cellStyle name="Normal 14 4 2 2 6 2" xfId="16406" xr:uid="{00000000-0005-0000-0000-00007B680000}"/>
    <cellStyle name="Normal 14 4 2 2 6 2 2" xfId="29813" xr:uid="{00000000-0005-0000-0000-00007C680000}"/>
    <cellStyle name="Normal 14 4 2 2 6 3" xfId="31276" xr:uid="{00000000-0005-0000-0000-00007D680000}"/>
    <cellStyle name="Normal 14 4 2 2 7" xfId="10120" xr:uid="{00000000-0005-0000-0000-00007E680000}"/>
    <cellStyle name="Normal 14 4 2 2 7 2" xfId="24348" xr:uid="{00000000-0005-0000-0000-00007F680000}"/>
    <cellStyle name="Normal 14 4 2 2 8" xfId="31270" xr:uid="{00000000-0005-0000-0000-000080680000}"/>
    <cellStyle name="Normal 14 4 2 3" xfId="6954" xr:uid="{00000000-0005-0000-0000-000081680000}"/>
    <cellStyle name="Normal 14 4 2 3 2" xfId="6955" xr:uid="{00000000-0005-0000-0000-000082680000}"/>
    <cellStyle name="Normal 14 4 2 3 2 2" xfId="16698" xr:uid="{00000000-0005-0000-0000-000083680000}"/>
    <cellStyle name="Normal 14 4 2 3 2 2 2" xfId="30105" xr:uid="{00000000-0005-0000-0000-000084680000}"/>
    <cellStyle name="Normal 14 4 2 3 2 3" xfId="31278" xr:uid="{00000000-0005-0000-0000-000085680000}"/>
    <cellStyle name="Normal 14 4 2 3 3" xfId="11498" xr:uid="{00000000-0005-0000-0000-000086680000}"/>
    <cellStyle name="Normal 14 4 2 3 3 2" xfId="25330" xr:uid="{00000000-0005-0000-0000-000087680000}"/>
    <cellStyle name="Normal 14 4 2 3 4" xfId="31277" xr:uid="{00000000-0005-0000-0000-000088680000}"/>
    <cellStyle name="Normal 14 4 2 4" xfId="6956" xr:uid="{00000000-0005-0000-0000-000089680000}"/>
    <cellStyle name="Normal 14 4 2 4 2" xfId="12075" xr:uid="{00000000-0005-0000-0000-00008A680000}"/>
    <cellStyle name="Normal 14 4 2 4 2 2" xfId="25790" xr:uid="{00000000-0005-0000-0000-00008B680000}"/>
    <cellStyle name="Normal 14 4 2 4 3" xfId="31279" xr:uid="{00000000-0005-0000-0000-00008C680000}"/>
    <cellStyle name="Normal 14 4 2 5" xfId="6957" xr:uid="{00000000-0005-0000-0000-00008D680000}"/>
    <cellStyle name="Normal 14 4 2 5 2" xfId="13650" xr:uid="{00000000-0005-0000-0000-00008E680000}"/>
    <cellStyle name="Normal 14 4 2 5 2 2" xfId="27199" xr:uid="{00000000-0005-0000-0000-00008F680000}"/>
    <cellStyle name="Normal 14 4 2 5 3" xfId="31280" xr:uid="{00000000-0005-0000-0000-000090680000}"/>
    <cellStyle name="Normal 14 4 2 6" xfId="6958" xr:uid="{00000000-0005-0000-0000-000091680000}"/>
    <cellStyle name="Normal 14 4 2 6 2" xfId="14231" xr:uid="{00000000-0005-0000-0000-000092680000}"/>
    <cellStyle name="Normal 14 4 2 6 2 2" xfId="27780" xr:uid="{00000000-0005-0000-0000-000093680000}"/>
    <cellStyle name="Normal 14 4 2 6 3" xfId="31281" xr:uid="{00000000-0005-0000-0000-000094680000}"/>
    <cellStyle name="Normal 14 4 2 7" xfId="6959" xr:uid="{00000000-0005-0000-0000-000095680000}"/>
    <cellStyle name="Normal 14 4 2 7 2" xfId="16117" xr:uid="{00000000-0005-0000-0000-000096680000}"/>
    <cellStyle name="Normal 14 4 2 7 2 2" xfId="29524" xr:uid="{00000000-0005-0000-0000-000097680000}"/>
    <cellStyle name="Normal 14 4 2 7 3" xfId="31282" xr:uid="{00000000-0005-0000-0000-000098680000}"/>
    <cellStyle name="Normal 14 4 2 8" xfId="10119" xr:uid="{00000000-0005-0000-0000-000099680000}"/>
    <cellStyle name="Normal 14 4 2 8 2" xfId="24347" xr:uid="{00000000-0005-0000-0000-00009A680000}"/>
    <cellStyle name="Normal 14 4 2 9" xfId="31269" xr:uid="{00000000-0005-0000-0000-00009B680000}"/>
    <cellStyle name="Normal 14 4 3" xfId="6960" xr:uid="{00000000-0005-0000-0000-00009C680000}"/>
    <cellStyle name="Normal 14 4 3 2" xfId="6961" xr:uid="{00000000-0005-0000-0000-00009D680000}"/>
    <cellStyle name="Normal 14 4 3 2 2" xfId="6962" xr:uid="{00000000-0005-0000-0000-00009E680000}"/>
    <cellStyle name="Normal 14 4 3 2 2 2" xfId="16844" xr:uid="{00000000-0005-0000-0000-00009F680000}"/>
    <cellStyle name="Normal 14 4 3 2 2 2 2" xfId="30251" xr:uid="{00000000-0005-0000-0000-0000A0680000}"/>
    <cellStyle name="Normal 14 4 3 2 2 3" xfId="31285" xr:uid="{00000000-0005-0000-0000-0000A1680000}"/>
    <cellStyle name="Normal 14 4 3 2 3" xfId="11500" xr:uid="{00000000-0005-0000-0000-0000A2680000}"/>
    <cellStyle name="Normal 14 4 3 2 3 2" xfId="25332" xr:uid="{00000000-0005-0000-0000-0000A3680000}"/>
    <cellStyle name="Normal 14 4 3 2 4" xfId="31284" xr:uid="{00000000-0005-0000-0000-0000A4680000}"/>
    <cellStyle name="Normal 14 4 3 3" xfId="6963" xr:uid="{00000000-0005-0000-0000-0000A5680000}"/>
    <cellStyle name="Normal 14 4 3 3 2" xfId="12232" xr:uid="{00000000-0005-0000-0000-0000A6680000}"/>
    <cellStyle name="Normal 14 4 3 3 2 2" xfId="25944" xr:uid="{00000000-0005-0000-0000-0000A7680000}"/>
    <cellStyle name="Normal 14 4 3 3 3" xfId="31286" xr:uid="{00000000-0005-0000-0000-0000A8680000}"/>
    <cellStyle name="Normal 14 4 3 4" xfId="6964" xr:uid="{00000000-0005-0000-0000-0000A9680000}"/>
    <cellStyle name="Normal 14 4 3 4 2" xfId="13796" xr:uid="{00000000-0005-0000-0000-0000AA680000}"/>
    <cellStyle name="Normal 14 4 3 4 2 2" xfId="27345" xr:uid="{00000000-0005-0000-0000-0000AB680000}"/>
    <cellStyle name="Normal 14 4 3 4 3" xfId="31287" xr:uid="{00000000-0005-0000-0000-0000AC680000}"/>
    <cellStyle name="Normal 14 4 3 5" xfId="6965" xr:uid="{00000000-0005-0000-0000-0000AD680000}"/>
    <cellStyle name="Normal 14 4 3 5 2" xfId="14377" xr:uid="{00000000-0005-0000-0000-0000AE680000}"/>
    <cellStyle name="Normal 14 4 3 5 2 2" xfId="27926" xr:uid="{00000000-0005-0000-0000-0000AF680000}"/>
    <cellStyle name="Normal 14 4 3 5 3" xfId="31288" xr:uid="{00000000-0005-0000-0000-0000B0680000}"/>
    <cellStyle name="Normal 14 4 3 6" xfId="6966" xr:uid="{00000000-0005-0000-0000-0000B1680000}"/>
    <cellStyle name="Normal 14 4 3 6 2" xfId="16263" xr:uid="{00000000-0005-0000-0000-0000B2680000}"/>
    <cellStyle name="Normal 14 4 3 6 2 2" xfId="29670" xr:uid="{00000000-0005-0000-0000-0000B3680000}"/>
    <cellStyle name="Normal 14 4 3 6 3" xfId="31289" xr:uid="{00000000-0005-0000-0000-0000B4680000}"/>
    <cellStyle name="Normal 14 4 3 7" xfId="10121" xr:uid="{00000000-0005-0000-0000-0000B5680000}"/>
    <cellStyle name="Normal 14 4 3 7 2" xfId="24349" xr:uid="{00000000-0005-0000-0000-0000B6680000}"/>
    <cellStyle name="Normal 14 4 3 8" xfId="31283" xr:uid="{00000000-0005-0000-0000-0000B7680000}"/>
    <cellStyle name="Normal 14 4 4" xfId="6967" xr:uid="{00000000-0005-0000-0000-0000B8680000}"/>
    <cellStyle name="Normal 14 4 4 2" xfId="6968" xr:uid="{00000000-0005-0000-0000-0000B9680000}"/>
    <cellStyle name="Normal 14 4 4 2 2" xfId="16555" xr:uid="{00000000-0005-0000-0000-0000BA680000}"/>
    <cellStyle name="Normal 14 4 4 2 2 2" xfId="29962" xr:uid="{00000000-0005-0000-0000-0000BB680000}"/>
    <cellStyle name="Normal 14 4 4 2 3" xfId="31291" xr:uid="{00000000-0005-0000-0000-0000BC680000}"/>
    <cellStyle name="Normal 14 4 4 3" xfId="11497" xr:uid="{00000000-0005-0000-0000-0000BD680000}"/>
    <cellStyle name="Normal 14 4 4 3 2" xfId="25329" xr:uid="{00000000-0005-0000-0000-0000BE680000}"/>
    <cellStyle name="Normal 14 4 4 4" xfId="31290" xr:uid="{00000000-0005-0000-0000-0000BF680000}"/>
    <cellStyle name="Normal 14 4 5" xfId="6969" xr:uid="{00000000-0005-0000-0000-0000C0680000}"/>
    <cellStyle name="Normal 14 4 5 2" xfId="11930" xr:uid="{00000000-0005-0000-0000-0000C1680000}"/>
    <cellStyle name="Normal 14 4 5 2 2" xfId="25645" xr:uid="{00000000-0005-0000-0000-0000C2680000}"/>
    <cellStyle name="Normal 14 4 5 3" xfId="31292" xr:uid="{00000000-0005-0000-0000-0000C3680000}"/>
    <cellStyle name="Normal 14 4 6" xfId="6970" xr:uid="{00000000-0005-0000-0000-0000C4680000}"/>
    <cellStyle name="Normal 14 4 6 2" xfId="13507" xr:uid="{00000000-0005-0000-0000-0000C5680000}"/>
    <cellStyle name="Normal 14 4 6 2 2" xfId="27056" xr:uid="{00000000-0005-0000-0000-0000C6680000}"/>
    <cellStyle name="Normal 14 4 6 3" xfId="31293" xr:uid="{00000000-0005-0000-0000-0000C7680000}"/>
    <cellStyle name="Normal 14 4 7" xfId="6971" xr:uid="{00000000-0005-0000-0000-0000C8680000}"/>
    <cellStyle name="Normal 14 4 7 2" xfId="14088" xr:uid="{00000000-0005-0000-0000-0000C9680000}"/>
    <cellStyle name="Normal 14 4 7 2 2" xfId="27637" xr:uid="{00000000-0005-0000-0000-0000CA680000}"/>
    <cellStyle name="Normal 14 4 7 3" xfId="31294" xr:uid="{00000000-0005-0000-0000-0000CB680000}"/>
    <cellStyle name="Normal 14 4 8" xfId="6972" xr:uid="{00000000-0005-0000-0000-0000CC680000}"/>
    <cellStyle name="Normal 14 4 8 2" xfId="15974" xr:uid="{00000000-0005-0000-0000-0000CD680000}"/>
    <cellStyle name="Normal 14 4 8 2 2" xfId="29381" xr:uid="{00000000-0005-0000-0000-0000CE680000}"/>
    <cellStyle name="Normal 14 4 8 3" xfId="31295" xr:uid="{00000000-0005-0000-0000-0000CF680000}"/>
    <cellStyle name="Normal 14 4 9" xfId="10118" xr:uid="{00000000-0005-0000-0000-0000D0680000}"/>
    <cellStyle name="Normal 14 4 9 2" xfId="24346" xr:uid="{00000000-0005-0000-0000-0000D1680000}"/>
    <cellStyle name="Normal 14 5" xfId="6973" xr:uid="{00000000-0005-0000-0000-0000D2680000}"/>
    <cellStyle name="Normal 14 5 2" xfId="6974" xr:uid="{00000000-0005-0000-0000-0000D3680000}"/>
    <cellStyle name="Normal 14 5 2 2" xfId="6975" xr:uid="{00000000-0005-0000-0000-0000D4680000}"/>
    <cellStyle name="Normal 14 5 2 2 2" xfId="6976" xr:uid="{00000000-0005-0000-0000-0000D5680000}"/>
    <cellStyle name="Normal 14 5 2 2 2 2" xfId="16898" xr:uid="{00000000-0005-0000-0000-0000D6680000}"/>
    <cellStyle name="Normal 14 5 2 2 2 2 2" xfId="30305" xr:uid="{00000000-0005-0000-0000-0000D7680000}"/>
    <cellStyle name="Normal 14 5 2 2 2 3" xfId="31299" xr:uid="{00000000-0005-0000-0000-0000D8680000}"/>
    <cellStyle name="Normal 14 5 2 2 3" xfId="11502" xr:uid="{00000000-0005-0000-0000-0000D9680000}"/>
    <cellStyle name="Normal 14 5 2 2 3 2" xfId="25334" xr:uid="{00000000-0005-0000-0000-0000DA680000}"/>
    <cellStyle name="Normal 14 5 2 2 4" xfId="31298" xr:uid="{00000000-0005-0000-0000-0000DB680000}"/>
    <cellStyle name="Normal 14 5 2 3" xfId="6977" xr:uid="{00000000-0005-0000-0000-0000DC680000}"/>
    <cellStyle name="Normal 14 5 2 3 2" xfId="12286" xr:uid="{00000000-0005-0000-0000-0000DD680000}"/>
    <cellStyle name="Normal 14 5 2 3 2 2" xfId="25998" xr:uid="{00000000-0005-0000-0000-0000DE680000}"/>
    <cellStyle name="Normal 14 5 2 3 3" xfId="31300" xr:uid="{00000000-0005-0000-0000-0000DF680000}"/>
    <cellStyle name="Normal 14 5 2 4" xfId="6978" xr:uid="{00000000-0005-0000-0000-0000E0680000}"/>
    <cellStyle name="Normal 14 5 2 4 2" xfId="13850" xr:uid="{00000000-0005-0000-0000-0000E1680000}"/>
    <cellStyle name="Normal 14 5 2 4 2 2" xfId="27399" xr:uid="{00000000-0005-0000-0000-0000E2680000}"/>
    <cellStyle name="Normal 14 5 2 4 3" xfId="31301" xr:uid="{00000000-0005-0000-0000-0000E3680000}"/>
    <cellStyle name="Normal 14 5 2 5" xfId="6979" xr:uid="{00000000-0005-0000-0000-0000E4680000}"/>
    <cellStyle name="Normal 14 5 2 5 2" xfId="14431" xr:uid="{00000000-0005-0000-0000-0000E5680000}"/>
    <cellStyle name="Normal 14 5 2 5 2 2" xfId="27980" xr:uid="{00000000-0005-0000-0000-0000E6680000}"/>
    <cellStyle name="Normal 14 5 2 5 3" xfId="31302" xr:uid="{00000000-0005-0000-0000-0000E7680000}"/>
    <cellStyle name="Normal 14 5 2 6" xfId="6980" xr:uid="{00000000-0005-0000-0000-0000E8680000}"/>
    <cellStyle name="Normal 14 5 2 6 2" xfId="16317" xr:uid="{00000000-0005-0000-0000-0000E9680000}"/>
    <cellStyle name="Normal 14 5 2 6 2 2" xfId="29724" xr:uid="{00000000-0005-0000-0000-0000EA680000}"/>
    <cellStyle name="Normal 14 5 2 6 3" xfId="31303" xr:uid="{00000000-0005-0000-0000-0000EB680000}"/>
    <cellStyle name="Normal 14 5 2 7" xfId="10123" xr:uid="{00000000-0005-0000-0000-0000EC680000}"/>
    <cellStyle name="Normal 14 5 2 7 2" xfId="24351" xr:uid="{00000000-0005-0000-0000-0000ED680000}"/>
    <cellStyle name="Normal 14 5 2 8" xfId="31297" xr:uid="{00000000-0005-0000-0000-0000EE680000}"/>
    <cellStyle name="Normal 14 5 3" xfId="6981" xr:uid="{00000000-0005-0000-0000-0000EF680000}"/>
    <cellStyle name="Normal 14 5 3 2" xfId="6982" xr:uid="{00000000-0005-0000-0000-0000F0680000}"/>
    <cellStyle name="Normal 14 5 3 2 2" xfId="16609" xr:uid="{00000000-0005-0000-0000-0000F1680000}"/>
    <cellStyle name="Normal 14 5 3 2 2 2" xfId="30016" xr:uid="{00000000-0005-0000-0000-0000F2680000}"/>
    <cellStyle name="Normal 14 5 3 2 3" xfId="31305" xr:uid="{00000000-0005-0000-0000-0000F3680000}"/>
    <cellStyle name="Normal 14 5 3 3" xfId="11501" xr:uid="{00000000-0005-0000-0000-0000F4680000}"/>
    <cellStyle name="Normal 14 5 3 3 2" xfId="25333" xr:uid="{00000000-0005-0000-0000-0000F5680000}"/>
    <cellStyle name="Normal 14 5 3 4" xfId="31304" xr:uid="{00000000-0005-0000-0000-0000F6680000}"/>
    <cellStyle name="Normal 14 5 4" xfId="6983" xr:uid="{00000000-0005-0000-0000-0000F7680000}"/>
    <cellStyle name="Normal 14 5 4 2" xfId="11986" xr:uid="{00000000-0005-0000-0000-0000F8680000}"/>
    <cellStyle name="Normal 14 5 4 2 2" xfId="25701" xr:uid="{00000000-0005-0000-0000-0000F9680000}"/>
    <cellStyle name="Normal 14 5 4 3" xfId="31306" xr:uid="{00000000-0005-0000-0000-0000FA680000}"/>
    <cellStyle name="Normal 14 5 5" xfId="6984" xr:uid="{00000000-0005-0000-0000-0000FB680000}"/>
    <cellStyle name="Normal 14 5 5 2" xfId="13561" xr:uid="{00000000-0005-0000-0000-0000FC680000}"/>
    <cellStyle name="Normal 14 5 5 2 2" xfId="27110" xr:uid="{00000000-0005-0000-0000-0000FD680000}"/>
    <cellStyle name="Normal 14 5 5 3" xfId="31307" xr:uid="{00000000-0005-0000-0000-0000FE680000}"/>
    <cellStyle name="Normal 14 5 6" xfId="6985" xr:uid="{00000000-0005-0000-0000-0000FF680000}"/>
    <cellStyle name="Normal 14 5 6 2" xfId="14142" xr:uid="{00000000-0005-0000-0000-000000690000}"/>
    <cellStyle name="Normal 14 5 6 2 2" xfId="27691" xr:uid="{00000000-0005-0000-0000-000001690000}"/>
    <cellStyle name="Normal 14 5 6 3" xfId="31308" xr:uid="{00000000-0005-0000-0000-000002690000}"/>
    <cellStyle name="Normal 14 5 7" xfId="6986" xr:uid="{00000000-0005-0000-0000-000003690000}"/>
    <cellStyle name="Normal 14 5 7 2" xfId="16028" xr:uid="{00000000-0005-0000-0000-000004690000}"/>
    <cellStyle name="Normal 14 5 7 2 2" xfId="29435" xr:uid="{00000000-0005-0000-0000-000005690000}"/>
    <cellStyle name="Normal 14 5 7 3" xfId="31309" xr:uid="{00000000-0005-0000-0000-000006690000}"/>
    <cellStyle name="Normal 14 5 8" xfId="10122" xr:uid="{00000000-0005-0000-0000-000007690000}"/>
    <cellStyle name="Normal 14 5 8 2" xfId="24350" xr:uid="{00000000-0005-0000-0000-000008690000}"/>
    <cellStyle name="Normal 14 5 9" xfId="31296" xr:uid="{00000000-0005-0000-0000-000009690000}"/>
    <cellStyle name="Normal 14 6" xfId="6987" xr:uid="{00000000-0005-0000-0000-00000A690000}"/>
    <cellStyle name="Normal 14 6 2" xfId="6988" xr:uid="{00000000-0005-0000-0000-00000B690000}"/>
    <cellStyle name="Normal 14 6 2 2" xfId="6989" xr:uid="{00000000-0005-0000-0000-00000C690000}"/>
    <cellStyle name="Normal 14 6 2 2 2" xfId="16721" xr:uid="{00000000-0005-0000-0000-00000D690000}"/>
    <cellStyle name="Normal 14 6 2 2 2 2" xfId="30128" xr:uid="{00000000-0005-0000-0000-00000E690000}"/>
    <cellStyle name="Normal 14 6 2 2 3" xfId="31312" xr:uid="{00000000-0005-0000-0000-00000F690000}"/>
    <cellStyle name="Normal 14 6 2 3" xfId="11503" xr:uid="{00000000-0005-0000-0000-000010690000}"/>
    <cellStyle name="Normal 14 6 2 3 2" xfId="25335" xr:uid="{00000000-0005-0000-0000-000011690000}"/>
    <cellStyle name="Normal 14 6 2 4" xfId="31311" xr:uid="{00000000-0005-0000-0000-000012690000}"/>
    <cellStyle name="Normal 14 6 3" xfId="6990" xr:uid="{00000000-0005-0000-0000-000013690000}"/>
    <cellStyle name="Normal 14 6 3 2" xfId="12109" xr:uid="{00000000-0005-0000-0000-000014690000}"/>
    <cellStyle name="Normal 14 6 3 2 2" xfId="25821" xr:uid="{00000000-0005-0000-0000-000015690000}"/>
    <cellStyle name="Normal 14 6 3 3" xfId="31313" xr:uid="{00000000-0005-0000-0000-000016690000}"/>
    <cellStyle name="Normal 14 6 4" xfId="6991" xr:uid="{00000000-0005-0000-0000-000017690000}"/>
    <cellStyle name="Normal 14 6 4 2" xfId="13673" xr:uid="{00000000-0005-0000-0000-000018690000}"/>
    <cellStyle name="Normal 14 6 4 2 2" xfId="27222" xr:uid="{00000000-0005-0000-0000-000019690000}"/>
    <cellStyle name="Normal 14 6 4 3" xfId="31314" xr:uid="{00000000-0005-0000-0000-00001A690000}"/>
    <cellStyle name="Normal 14 6 5" xfId="6992" xr:uid="{00000000-0005-0000-0000-00001B690000}"/>
    <cellStyle name="Normal 14 6 5 2" xfId="14254" xr:uid="{00000000-0005-0000-0000-00001C690000}"/>
    <cellStyle name="Normal 14 6 5 2 2" xfId="27803" xr:uid="{00000000-0005-0000-0000-00001D690000}"/>
    <cellStyle name="Normal 14 6 5 3" xfId="31315" xr:uid="{00000000-0005-0000-0000-00001E690000}"/>
    <cellStyle name="Normal 14 6 6" xfId="6993" xr:uid="{00000000-0005-0000-0000-00001F690000}"/>
    <cellStyle name="Normal 14 6 6 2" xfId="16140" xr:uid="{00000000-0005-0000-0000-000020690000}"/>
    <cellStyle name="Normal 14 6 6 2 2" xfId="29547" xr:uid="{00000000-0005-0000-0000-000021690000}"/>
    <cellStyle name="Normal 14 6 6 3" xfId="31316" xr:uid="{00000000-0005-0000-0000-000022690000}"/>
    <cellStyle name="Normal 14 6 7" xfId="10124" xr:uid="{00000000-0005-0000-0000-000023690000}"/>
    <cellStyle name="Normal 14 6 7 2" xfId="24352" xr:uid="{00000000-0005-0000-0000-000024690000}"/>
    <cellStyle name="Normal 14 6 8" xfId="31310" xr:uid="{00000000-0005-0000-0000-000025690000}"/>
    <cellStyle name="Normal 14 7" xfId="6994" xr:uid="{00000000-0005-0000-0000-000026690000}"/>
    <cellStyle name="Normal 14 7 2" xfId="6995" xr:uid="{00000000-0005-0000-0000-000027690000}"/>
    <cellStyle name="Normal 14 7 2 2" xfId="17027" xr:uid="{00000000-0005-0000-0000-000028690000}"/>
    <cellStyle name="Normal 14 7 2 2 2" xfId="30430" xr:uid="{00000000-0005-0000-0000-000029690000}"/>
    <cellStyle name="Normal 14 7 2 3" xfId="31318" xr:uid="{00000000-0005-0000-0000-00002A690000}"/>
    <cellStyle name="Normal 14 7 3" xfId="10125" xr:uid="{00000000-0005-0000-0000-00002B690000}"/>
    <cellStyle name="Normal 14 7 4" xfId="31317" xr:uid="{00000000-0005-0000-0000-00002C690000}"/>
    <cellStyle name="Normal 14 8" xfId="6996" xr:uid="{00000000-0005-0000-0000-00002D690000}"/>
    <cellStyle name="Normal 14 8 2" xfId="6997" xr:uid="{00000000-0005-0000-0000-00002E690000}"/>
    <cellStyle name="Normal 14 8 2 2" xfId="13232" xr:uid="{00000000-0005-0000-0000-00002F690000}"/>
    <cellStyle name="Normal 14 8 2 3" xfId="31320" xr:uid="{00000000-0005-0000-0000-000030690000}"/>
    <cellStyle name="Normal 14 8 3" xfId="6998" xr:uid="{00000000-0005-0000-0000-000031690000}"/>
    <cellStyle name="Normal 14 8 3 2" xfId="17102" xr:uid="{00000000-0005-0000-0000-000032690000}"/>
    <cellStyle name="Normal 14 8 3 2 2" xfId="30461" xr:uid="{00000000-0005-0000-0000-000033690000}"/>
    <cellStyle name="Normal 14 8 3 3" xfId="31321" xr:uid="{00000000-0005-0000-0000-000034690000}"/>
    <cellStyle name="Normal 14 8 4" xfId="11817" xr:uid="{00000000-0005-0000-0000-000035690000}"/>
    <cellStyle name="Normal 14 8 4 2" xfId="25532" xr:uid="{00000000-0005-0000-0000-000036690000}"/>
    <cellStyle name="Normal 14 8 5" xfId="31319" xr:uid="{00000000-0005-0000-0000-000037690000}"/>
    <cellStyle name="Normal 14 9" xfId="6999" xr:uid="{00000000-0005-0000-0000-000038690000}"/>
    <cellStyle name="Normal 14 9 2" xfId="7000" xr:uid="{00000000-0005-0000-0000-000039690000}"/>
    <cellStyle name="Normal 14 9 2 2" xfId="17191" xr:uid="{00000000-0005-0000-0000-00003A690000}"/>
    <cellStyle name="Normal 14 9 2 2 2" xfId="30550" xr:uid="{00000000-0005-0000-0000-00003B690000}"/>
    <cellStyle name="Normal 14 9 2 3" xfId="31323" xr:uid="{00000000-0005-0000-0000-00003C690000}"/>
    <cellStyle name="Normal 14 9 3" xfId="13418" xr:uid="{00000000-0005-0000-0000-00003D690000}"/>
    <cellStyle name="Normal 14 9 3 2" xfId="26967" xr:uid="{00000000-0005-0000-0000-00003E690000}"/>
    <cellStyle name="Normal 14 9 4" xfId="31322" xr:uid="{00000000-0005-0000-0000-00003F690000}"/>
    <cellStyle name="Normal 15" xfId="7001" xr:uid="{00000000-0005-0000-0000-000040690000}"/>
    <cellStyle name="Normal 15 10" xfId="7002" xr:uid="{00000000-0005-0000-0000-000041690000}"/>
    <cellStyle name="Normal 15 10 2" xfId="7003" xr:uid="{00000000-0005-0000-0000-000042690000}"/>
    <cellStyle name="Normal 15 10 2 2" xfId="17282" xr:uid="{00000000-0005-0000-0000-000043690000}"/>
    <cellStyle name="Normal 15 10 2 2 2" xfId="30641" xr:uid="{00000000-0005-0000-0000-000044690000}"/>
    <cellStyle name="Normal 15 10 2 3" xfId="31325" xr:uid="{00000000-0005-0000-0000-000045690000}"/>
    <cellStyle name="Normal 15 10 3" xfId="13420" xr:uid="{00000000-0005-0000-0000-000046690000}"/>
    <cellStyle name="Normal 15 10 3 2" xfId="26969" xr:uid="{00000000-0005-0000-0000-000047690000}"/>
    <cellStyle name="Normal 15 10 4" xfId="31324" xr:uid="{00000000-0005-0000-0000-000048690000}"/>
    <cellStyle name="Normal 15 11" xfId="7004" xr:uid="{00000000-0005-0000-0000-000049690000}"/>
    <cellStyle name="Normal 15 11 2" xfId="7005" xr:uid="{00000000-0005-0000-0000-00004A690000}"/>
    <cellStyle name="Normal 15 11 2 2" xfId="16468" xr:uid="{00000000-0005-0000-0000-00004B690000}"/>
    <cellStyle name="Normal 15 11 2 2 2" xfId="29875" xr:uid="{00000000-0005-0000-0000-00004C690000}"/>
    <cellStyle name="Normal 15 11 2 3" xfId="31327" xr:uid="{00000000-0005-0000-0000-00004D690000}"/>
    <cellStyle name="Normal 15 11 3" xfId="14001" xr:uid="{00000000-0005-0000-0000-00004E690000}"/>
    <cellStyle name="Normal 15 11 3 2" xfId="27550" xr:uid="{00000000-0005-0000-0000-00004F690000}"/>
    <cellStyle name="Normal 15 11 4" xfId="31326" xr:uid="{00000000-0005-0000-0000-000050690000}"/>
    <cellStyle name="Normal 15 12" xfId="7006" xr:uid="{00000000-0005-0000-0000-000051690000}"/>
    <cellStyle name="Normal 15 12 2" xfId="15887" xr:uid="{00000000-0005-0000-0000-000052690000}"/>
    <cellStyle name="Normal 15 12 2 2" xfId="29294" xr:uid="{00000000-0005-0000-0000-000053690000}"/>
    <cellStyle name="Normal 15 12 3" xfId="31328" xr:uid="{00000000-0005-0000-0000-000054690000}"/>
    <cellStyle name="Normal 15 13" xfId="10126" xr:uid="{00000000-0005-0000-0000-000055690000}"/>
    <cellStyle name="Normal 15 2" xfId="7007" xr:uid="{00000000-0005-0000-0000-000056690000}"/>
    <cellStyle name="Normal 15 2 10" xfId="10127" xr:uid="{00000000-0005-0000-0000-000057690000}"/>
    <cellStyle name="Normal 15 2 10 2" xfId="24353" xr:uid="{00000000-0005-0000-0000-000058690000}"/>
    <cellStyle name="Normal 15 2 2" xfId="7008" xr:uid="{00000000-0005-0000-0000-000059690000}"/>
    <cellStyle name="Normal 15 2 2 10" xfId="31329" xr:uid="{00000000-0005-0000-0000-00005A690000}"/>
    <cellStyle name="Normal 15 2 2 2" xfId="7009" xr:uid="{00000000-0005-0000-0000-00005B690000}"/>
    <cellStyle name="Normal 15 2 2 2 2" xfId="7010" xr:uid="{00000000-0005-0000-0000-00005C690000}"/>
    <cellStyle name="Normal 15 2 2 2 2 2" xfId="7011" xr:uid="{00000000-0005-0000-0000-00005D690000}"/>
    <cellStyle name="Normal 15 2 2 2 2 2 2" xfId="7012" xr:uid="{00000000-0005-0000-0000-00005E690000}"/>
    <cellStyle name="Normal 15 2 2 2 2 2 2 2" xfId="16969" xr:uid="{00000000-0005-0000-0000-00005F690000}"/>
    <cellStyle name="Normal 15 2 2 2 2 2 2 2 2" xfId="30376" xr:uid="{00000000-0005-0000-0000-000060690000}"/>
    <cellStyle name="Normal 15 2 2 2 2 2 2 3" xfId="31333" xr:uid="{00000000-0005-0000-0000-000061690000}"/>
    <cellStyle name="Normal 15 2 2 2 2 2 3" xfId="11507" xr:uid="{00000000-0005-0000-0000-000062690000}"/>
    <cellStyle name="Normal 15 2 2 2 2 2 3 2" xfId="25339" xr:uid="{00000000-0005-0000-0000-000063690000}"/>
    <cellStyle name="Normal 15 2 2 2 2 2 4" xfId="31332" xr:uid="{00000000-0005-0000-0000-000064690000}"/>
    <cellStyle name="Normal 15 2 2 2 2 3" xfId="7013" xr:uid="{00000000-0005-0000-0000-000065690000}"/>
    <cellStyle name="Normal 15 2 2 2 2 3 2" xfId="12357" xr:uid="{00000000-0005-0000-0000-000066690000}"/>
    <cellStyle name="Normal 15 2 2 2 2 3 2 2" xfId="26069" xr:uid="{00000000-0005-0000-0000-000067690000}"/>
    <cellStyle name="Normal 15 2 2 2 2 3 3" xfId="31334" xr:uid="{00000000-0005-0000-0000-000068690000}"/>
    <cellStyle name="Normal 15 2 2 2 2 4" xfId="7014" xr:uid="{00000000-0005-0000-0000-000069690000}"/>
    <cellStyle name="Normal 15 2 2 2 2 4 2" xfId="13921" xr:uid="{00000000-0005-0000-0000-00006A690000}"/>
    <cellStyle name="Normal 15 2 2 2 2 4 2 2" xfId="27470" xr:uid="{00000000-0005-0000-0000-00006B690000}"/>
    <cellStyle name="Normal 15 2 2 2 2 4 3" xfId="31335" xr:uid="{00000000-0005-0000-0000-00006C690000}"/>
    <cellStyle name="Normal 15 2 2 2 2 5" xfId="7015" xr:uid="{00000000-0005-0000-0000-00006D690000}"/>
    <cellStyle name="Normal 15 2 2 2 2 5 2" xfId="14502" xr:uid="{00000000-0005-0000-0000-00006E690000}"/>
    <cellStyle name="Normal 15 2 2 2 2 5 2 2" xfId="28051" xr:uid="{00000000-0005-0000-0000-00006F690000}"/>
    <cellStyle name="Normal 15 2 2 2 2 5 3" xfId="31336" xr:uid="{00000000-0005-0000-0000-000070690000}"/>
    <cellStyle name="Normal 15 2 2 2 2 6" xfId="7016" xr:uid="{00000000-0005-0000-0000-000071690000}"/>
    <cellStyle name="Normal 15 2 2 2 2 6 2" xfId="16388" xr:uid="{00000000-0005-0000-0000-000072690000}"/>
    <cellStyle name="Normal 15 2 2 2 2 6 2 2" xfId="29795" xr:uid="{00000000-0005-0000-0000-000073690000}"/>
    <cellStyle name="Normal 15 2 2 2 2 6 3" xfId="31337" xr:uid="{00000000-0005-0000-0000-000074690000}"/>
    <cellStyle name="Normal 15 2 2 2 2 7" xfId="10130" xr:uid="{00000000-0005-0000-0000-000075690000}"/>
    <cellStyle name="Normal 15 2 2 2 2 7 2" xfId="24356" xr:uid="{00000000-0005-0000-0000-000076690000}"/>
    <cellStyle name="Normal 15 2 2 2 2 8" xfId="31331" xr:uid="{00000000-0005-0000-0000-000077690000}"/>
    <cellStyle name="Normal 15 2 2 2 3" xfId="7017" xr:uid="{00000000-0005-0000-0000-000078690000}"/>
    <cellStyle name="Normal 15 2 2 2 3 2" xfId="7018" xr:uid="{00000000-0005-0000-0000-000079690000}"/>
    <cellStyle name="Normal 15 2 2 2 3 2 2" xfId="16680" xr:uid="{00000000-0005-0000-0000-00007A690000}"/>
    <cellStyle name="Normal 15 2 2 2 3 2 2 2" xfId="30087" xr:uid="{00000000-0005-0000-0000-00007B690000}"/>
    <cellStyle name="Normal 15 2 2 2 3 2 3" xfId="31339" xr:uid="{00000000-0005-0000-0000-00007C690000}"/>
    <cellStyle name="Normal 15 2 2 2 3 3" xfId="11506" xr:uid="{00000000-0005-0000-0000-00007D690000}"/>
    <cellStyle name="Normal 15 2 2 2 3 3 2" xfId="25338" xr:uid="{00000000-0005-0000-0000-00007E690000}"/>
    <cellStyle name="Normal 15 2 2 2 3 4" xfId="31338" xr:uid="{00000000-0005-0000-0000-00007F690000}"/>
    <cellStyle name="Normal 15 2 2 2 4" xfId="7019" xr:uid="{00000000-0005-0000-0000-000080690000}"/>
    <cellStyle name="Normal 15 2 2 2 4 2" xfId="12057" xr:uid="{00000000-0005-0000-0000-000081690000}"/>
    <cellStyle name="Normal 15 2 2 2 4 2 2" xfId="25772" xr:uid="{00000000-0005-0000-0000-000082690000}"/>
    <cellStyle name="Normal 15 2 2 2 4 3" xfId="31340" xr:uid="{00000000-0005-0000-0000-000083690000}"/>
    <cellStyle name="Normal 15 2 2 2 5" xfId="7020" xr:uid="{00000000-0005-0000-0000-000084690000}"/>
    <cellStyle name="Normal 15 2 2 2 5 2" xfId="13632" xr:uid="{00000000-0005-0000-0000-000085690000}"/>
    <cellStyle name="Normal 15 2 2 2 5 2 2" xfId="27181" xr:uid="{00000000-0005-0000-0000-000086690000}"/>
    <cellStyle name="Normal 15 2 2 2 5 3" xfId="31341" xr:uid="{00000000-0005-0000-0000-000087690000}"/>
    <cellStyle name="Normal 15 2 2 2 6" xfId="7021" xr:uid="{00000000-0005-0000-0000-000088690000}"/>
    <cellStyle name="Normal 15 2 2 2 6 2" xfId="14213" xr:uid="{00000000-0005-0000-0000-000089690000}"/>
    <cellStyle name="Normal 15 2 2 2 6 2 2" xfId="27762" xr:uid="{00000000-0005-0000-0000-00008A690000}"/>
    <cellStyle name="Normal 15 2 2 2 6 3" xfId="31342" xr:uid="{00000000-0005-0000-0000-00008B690000}"/>
    <cellStyle name="Normal 15 2 2 2 7" xfId="7022" xr:uid="{00000000-0005-0000-0000-00008C690000}"/>
    <cellStyle name="Normal 15 2 2 2 7 2" xfId="16099" xr:uid="{00000000-0005-0000-0000-00008D690000}"/>
    <cellStyle name="Normal 15 2 2 2 7 2 2" xfId="29506" xr:uid="{00000000-0005-0000-0000-00008E690000}"/>
    <cellStyle name="Normal 15 2 2 2 7 3" xfId="31343" xr:uid="{00000000-0005-0000-0000-00008F690000}"/>
    <cellStyle name="Normal 15 2 2 2 8" xfId="10129" xr:uid="{00000000-0005-0000-0000-000090690000}"/>
    <cellStyle name="Normal 15 2 2 2 8 2" xfId="24355" xr:uid="{00000000-0005-0000-0000-000091690000}"/>
    <cellStyle name="Normal 15 2 2 2 9" xfId="31330" xr:uid="{00000000-0005-0000-0000-000092690000}"/>
    <cellStyle name="Normal 15 2 2 3" xfId="7023" xr:uid="{00000000-0005-0000-0000-000093690000}"/>
    <cellStyle name="Normal 15 2 2 3 2" xfId="7024" xr:uid="{00000000-0005-0000-0000-000094690000}"/>
    <cellStyle name="Normal 15 2 2 3 2 2" xfId="7025" xr:uid="{00000000-0005-0000-0000-000095690000}"/>
    <cellStyle name="Normal 15 2 2 3 2 2 2" xfId="16826" xr:uid="{00000000-0005-0000-0000-000096690000}"/>
    <cellStyle name="Normal 15 2 2 3 2 2 2 2" xfId="30233" xr:uid="{00000000-0005-0000-0000-000097690000}"/>
    <cellStyle name="Normal 15 2 2 3 2 2 3" xfId="31346" xr:uid="{00000000-0005-0000-0000-000098690000}"/>
    <cellStyle name="Normal 15 2 2 3 2 3" xfId="11508" xr:uid="{00000000-0005-0000-0000-000099690000}"/>
    <cellStyle name="Normal 15 2 2 3 2 3 2" xfId="25340" xr:uid="{00000000-0005-0000-0000-00009A690000}"/>
    <cellStyle name="Normal 15 2 2 3 2 4" xfId="31345" xr:uid="{00000000-0005-0000-0000-00009B690000}"/>
    <cellStyle name="Normal 15 2 2 3 3" xfId="7026" xr:uid="{00000000-0005-0000-0000-00009C690000}"/>
    <cellStyle name="Normal 15 2 2 3 3 2" xfId="12214" xr:uid="{00000000-0005-0000-0000-00009D690000}"/>
    <cellStyle name="Normal 15 2 2 3 3 2 2" xfId="25926" xr:uid="{00000000-0005-0000-0000-00009E690000}"/>
    <cellStyle name="Normal 15 2 2 3 3 3" xfId="31347" xr:uid="{00000000-0005-0000-0000-00009F690000}"/>
    <cellStyle name="Normal 15 2 2 3 4" xfId="7027" xr:uid="{00000000-0005-0000-0000-0000A0690000}"/>
    <cellStyle name="Normal 15 2 2 3 4 2" xfId="13778" xr:uid="{00000000-0005-0000-0000-0000A1690000}"/>
    <cellStyle name="Normal 15 2 2 3 4 2 2" xfId="27327" xr:uid="{00000000-0005-0000-0000-0000A2690000}"/>
    <cellStyle name="Normal 15 2 2 3 4 3" xfId="31348" xr:uid="{00000000-0005-0000-0000-0000A3690000}"/>
    <cellStyle name="Normal 15 2 2 3 5" xfId="7028" xr:uid="{00000000-0005-0000-0000-0000A4690000}"/>
    <cellStyle name="Normal 15 2 2 3 5 2" xfId="14359" xr:uid="{00000000-0005-0000-0000-0000A5690000}"/>
    <cellStyle name="Normal 15 2 2 3 5 2 2" xfId="27908" xr:uid="{00000000-0005-0000-0000-0000A6690000}"/>
    <cellStyle name="Normal 15 2 2 3 5 3" xfId="31349" xr:uid="{00000000-0005-0000-0000-0000A7690000}"/>
    <cellStyle name="Normal 15 2 2 3 6" xfId="7029" xr:uid="{00000000-0005-0000-0000-0000A8690000}"/>
    <cellStyle name="Normal 15 2 2 3 6 2" xfId="16245" xr:uid="{00000000-0005-0000-0000-0000A9690000}"/>
    <cellStyle name="Normal 15 2 2 3 6 2 2" xfId="29652" xr:uid="{00000000-0005-0000-0000-0000AA690000}"/>
    <cellStyle name="Normal 15 2 2 3 6 3" xfId="31350" xr:uid="{00000000-0005-0000-0000-0000AB690000}"/>
    <cellStyle name="Normal 15 2 2 3 7" xfId="10131" xr:uid="{00000000-0005-0000-0000-0000AC690000}"/>
    <cellStyle name="Normal 15 2 2 3 7 2" xfId="24357" xr:uid="{00000000-0005-0000-0000-0000AD690000}"/>
    <cellStyle name="Normal 15 2 2 3 8" xfId="31344" xr:uid="{00000000-0005-0000-0000-0000AE690000}"/>
    <cellStyle name="Normal 15 2 2 4" xfId="7030" xr:uid="{00000000-0005-0000-0000-0000AF690000}"/>
    <cellStyle name="Normal 15 2 2 4 2" xfId="7031" xr:uid="{00000000-0005-0000-0000-0000B0690000}"/>
    <cellStyle name="Normal 15 2 2 4 2 2" xfId="17173" xr:uid="{00000000-0005-0000-0000-0000B1690000}"/>
    <cellStyle name="Normal 15 2 2 4 2 2 2" xfId="30532" xr:uid="{00000000-0005-0000-0000-0000B2690000}"/>
    <cellStyle name="Normal 15 2 2 4 2 3" xfId="31352" xr:uid="{00000000-0005-0000-0000-0000B3690000}"/>
    <cellStyle name="Normal 15 2 2 4 3" xfId="11505" xr:uid="{00000000-0005-0000-0000-0000B4690000}"/>
    <cellStyle name="Normal 15 2 2 4 3 2" xfId="25337" xr:uid="{00000000-0005-0000-0000-0000B5690000}"/>
    <cellStyle name="Normal 15 2 2 4 4" xfId="31351" xr:uid="{00000000-0005-0000-0000-0000B6690000}"/>
    <cellStyle name="Normal 15 2 2 5" xfId="7032" xr:uid="{00000000-0005-0000-0000-0000B7690000}"/>
    <cellStyle name="Normal 15 2 2 5 2" xfId="7033" xr:uid="{00000000-0005-0000-0000-0000B8690000}"/>
    <cellStyle name="Normal 15 2 2 5 2 2" xfId="17262" xr:uid="{00000000-0005-0000-0000-0000B9690000}"/>
    <cellStyle name="Normal 15 2 2 5 2 2 2" xfId="30621" xr:uid="{00000000-0005-0000-0000-0000BA690000}"/>
    <cellStyle name="Normal 15 2 2 5 2 3" xfId="31354" xr:uid="{00000000-0005-0000-0000-0000BB690000}"/>
    <cellStyle name="Normal 15 2 2 5 3" xfId="11912" xr:uid="{00000000-0005-0000-0000-0000BC690000}"/>
    <cellStyle name="Normal 15 2 2 5 3 2" xfId="25627" xr:uid="{00000000-0005-0000-0000-0000BD690000}"/>
    <cellStyle name="Normal 15 2 2 5 4" xfId="31353" xr:uid="{00000000-0005-0000-0000-0000BE690000}"/>
    <cellStyle name="Normal 15 2 2 6" xfId="7034" xr:uid="{00000000-0005-0000-0000-0000BF690000}"/>
    <cellStyle name="Normal 15 2 2 6 2" xfId="7035" xr:uid="{00000000-0005-0000-0000-0000C0690000}"/>
    <cellStyle name="Normal 15 2 2 6 2 2" xfId="16537" xr:uid="{00000000-0005-0000-0000-0000C1690000}"/>
    <cellStyle name="Normal 15 2 2 6 2 2 2" xfId="29944" xr:uid="{00000000-0005-0000-0000-0000C2690000}"/>
    <cellStyle name="Normal 15 2 2 6 2 3" xfId="31356" xr:uid="{00000000-0005-0000-0000-0000C3690000}"/>
    <cellStyle name="Normal 15 2 2 6 3" xfId="13489" xr:uid="{00000000-0005-0000-0000-0000C4690000}"/>
    <cellStyle name="Normal 15 2 2 6 3 2" xfId="27038" xr:uid="{00000000-0005-0000-0000-0000C5690000}"/>
    <cellStyle name="Normal 15 2 2 6 4" xfId="31355" xr:uid="{00000000-0005-0000-0000-0000C6690000}"/>
    <cellStyle name="Normal 15 2 2 7" xfId="7036" xr:uid="{00000000-0005-0000-0000-0000C7690000}"/>
    <cellStyle name="Normal 15 2 2 7 2" xfId="14070" xr:uid="{00000000-0005-0000-0000-0000C8690000}"/>
    <cellStyle name="Normal 15 2 2 7 2 2" xfId="27619" xr:uid="{00000000-0005-0000-0000-0000C9690000}"/>
    <cellStyle name="Normal 15 2 2 7 3" xfId="31357" xr:uid="{00000000-0005-0000-0000-0000CA690000}"/>
    <cellStyle name="Normal 15 2 2 8" xfId="7037" xr:uid="{00000000-0005-0000-0000-0000CB690000}"/>
    <cellStyle name="Normal 15 2 2 8 2" xfId="15956" xr:uid="{00000000-0005-0000-0000-0000CC690000}"/>
    <cellStyle name="Normal 15 2 2 8 2 2" xfId="29363" xr:uid="{00000000-0005-0000-0000-0000CD690000}"/>
    <cellStyle name="Normal 15 2 2 8 3" xfId="31358" xr:uid="{00000000-0005-0000-0000-0000CE690000}"/>
    <cellStyle name="Normal 15 2 2 9" xfId="10128" xr:uid="{00000000-0005-0000-0000-0000CF690000}"/>
    <cellStyle name="Normal 15 2 2 9 2" xfId="24354" xr:uid="{00000000-0005-0000-0000-0000D0690000}"/>
    <cellStyle name="Normal 15 2 3" xfId="7038" xr:uid="{00000000-0005-0000-0000-0000D1690000}"/>
    <cellStyle name="Normal 15 2 3 2" xfId="7039" xr:uid="{00000000-0005-0000-0000-0000D2690000}"/>
    <cellStyle name="Normal 15 2 3 2 2" xfId="7040" xr:uid="{00000000-0005-0000-0000-0000D3690000}"/>
    <cellStyle name="Normal 15 2 3 2 2 2" xfId="7041" xr:uid="{00000000-0005-0000-0000-0000D4690000}"/>
    <cellStyle name="Normal 15 2 3 2 2 2 2" xfId="16923" xr:uid="{00000000-0005-0000-0000-0000D5690000}"/>
    <cellStyle name="Normal 15 2 3 2 2 2 2 2" xfId="30330" xr:uid="{00000000-0005-0000-0000-0000D6690000}"/>
    <cellStyle name="Normal 15 2 3 2 2 2 3" xfId="31362" xr:uid="{00000000-0005-0000-0000-0000D7690000}"/>
    <cellStyle name="Normal 15 2 3 2 2 3" xfId="11510" xr:uid="{00000000-0005-0000-0000-0000D8690000}"/>
    <cellStyle name="Normal 15 2 3 2 2 3 2" xfId="25342" xr:uid="{00000000-0005-0000-0000-0000D9690000}"/>
    <cellStyle name="Normal 15 2 3 2 2 4" xfId="31361" xr:uid="{00000000-0005-0000-0000-0000DA690000}"/>
    <cellStyle name="Normal 15 2 3 2 3" xfId="7042" xr:uid="{00000000-0005-0000-0000-0000DB690000}"/>
    <cellStyle name="Normal 15 2 3 2 3 2" xfId="12311" xr:uid="{00000000-0005-0000-0000-0000DC690000}"/>
    <cellStyle name="Normal 15 2 3 2 3 2 2" xfId="26023" xr:uid="{00000000-0005-0000-0000-0000DD690000}"/>
    <cellStyle name="Normal 15 2 3 2 3 3" xfId="31363" xr:uid="{00000000-0005-0000-0000-0000DE690000}"/>
    <cellStyle name="Normal 15 2 3 2 4" xfId="7043" xr:uid="{00000000-0005-0000-0000-0000DF690000}"/>
    <cellStyle name="Normal 15 2 3 2 4 2" xfId="13875" xr:uid="{00000000-0005-0000-0000-0000E0690000}"/>
    <cellStyle name="Normal 15 2 3 2 4 2 2" xfId="27424" xr:uid="{00000000-0005-0000-0000-0000E1690000}"/>
    <cellStyle name="Normal 15 2 3 2 4 3" xfId="31364" xr:uid="{00000000-0005-0000-0000-0000E2690000}"/>
    <cellStyle name="Normal 15 2 3 2 5" xfId="7044" xr:uid="{00000000-0005-0000-0000-0000E3690000}"/>
    <cellStyle name="Normal 15 2 3 2 5 2" xfId="14456" xr:uid="{00000000-0005-0000-0000-0000E4690000}"/>
    <cellStyle name="Normal 15 2 3 2 5 2 2" xfId="28005" xr:uid="{00000000-0005-0000-0000-0000E5690000}"/>
    <cellStyle name="Normal 15 2 3 2 5 3" xfId="31365" xr:uid="{00000000-0005-0000-0000-0000E6690000}"/>
    <cellStyle name="Normal 15 2 3 2 6" xfId="7045" xr:uid="{00000000-0005-0000-0000-0000E7690000}"/>
    <cellStyle name="Normal 15 2 3 2 6 2" xfId="16342" xr:uid="{00000000-0005-0000-0000-0000E8690000}"/>
    <cellStyle name="Normal 15 2 3 2 6 2 2" xfId="29749" xr:uid="{00000000-0005-0000-0000-0000E9690000}"/>
    <cellStyle name="Normal 15 2 3 2 6 3" xfId="31366" xr:uid="{00000000-0005-0000-0000-0000EA690000}"/>
    <cellStyle name="Normal 15 2 3 2 7" xfId="10133" xr:uid="{00000000-0005-0000-0000-0000EB690000}"/>
    <cellStyle name="Normal 15 2 3 2 7 2" xfId="24359" xr:uid="{00000000-0005-0000-0000-0000EC690000}"/>
    <cellStyle name="Normal 15 2 3 2 8" xfId="31360" xr:uid="{00000000-0005-0000-0000-0000ED690000}"/>
    <cellStyle name="Normal 15 2 3 3" xfId="7046" xr:uid="{00000000-0005-0000-0000-0000EE690000}"/>
    <cellStyle name="Normal 15 2 3 3 2" xfId="7047" xr:uid="{00000000-0005-0000-0000-0000EF690000}"/>
    <cellStyle name="Normal 15 2 3 3 2 2" xfId="16634" xr:uid="{00000000-0005-0000-0000-0000F0690000}"/>
    <cellStyle name="Normal 15 2 3 3 2 2 2" xfId="30041" xr:uid="{00000000-0005-0000-0000-0000F1690000}"/>
    <cellStyle name="Normal 15 2 3 3 2 3" xfId="31368" xr:uid="{00000000-0005-0000-0000-0000F2690000}"/>
    <cellStyle name="Normal 15 2 3 3 3" xfId="11509" xr:uid="{00000000-0005-0000-0000-0000F3690000}"/>
    <cellStyle name="Normal 15 2 3 3 3 2" xfId="25341" xr:uid="{00000000-0005-0000-0000-0000F4690000}"/>
    <cellStyle name="Normal 15 2 3 3 4" xfId="31367" xr:uid="{00000000-0005-0000-0000-0000F5690000}"/>
    <cellStyle name="Normal 15 2 3 4" xfId="7048" xr:uid="{00000000-0005-0000-0000-0000F6690000}"/>
    <cellStyle name="Normal 15 2 3 4 2" xfId="12011" xr:uid="{00000000-0005-0000-0000-0000F7690000}"/>
    <cellStyle name="Normal 15 2 3 4 2 2" xfId="25726" xr:uid="{00000000-0005-0000-0000-0000F8690000}"/>
    <cellStyle name="Normal 15 2 3 4 3" xfId="31369" xr:uid="{00000000-0005-0000-0000-0000F9690000}"/>
    <cellStyle name="Normal 15 2 3 5" xfId="7049" xr:uid="{00000000-0005-0000-0000-0000FA690000}"/>
    <cellStyle name="Normal 15 2 3 5 2" xfId="13586" xr:uid="{00000000-0005-0000-0000-0000FB690000}"/>
    <cellStyle name="Normal 15 2 3 5 2 2" xfId="27135" xr:uid="{00000000-0005-0000-0000-0000FC690000}"/>
    <cellStyle name="Normal 15 2 3 5 3" xfId="31370" xr:uid="{00000000-0005-0000-0000-0000FD690000}"/>
    <cellStyle name="Normal 15 2 3 6" xfId="7050" xr:uid="{00000000-0005-0000-0000-0000FE690000}"/>
    <cellStyle name="Normal 15 2 3 6 2" xfId="14167" xr:uid="{00000000-0005-0000-0000-0000FF690000}"/>
    <cellStyle name="Normal 15 2 3 6 2 2" xfId="27716" xr:uid="{00000000-0005-0000-0000-0000006A0000}"/>
    <cellStyle name="Normal 15 2 3 6 3" xfId="31371" xr:uid="{00000000-0005-0000-0000-0000016A0000}"/>
    <cellStyle name="Normal 15 2 3 7" xfId="7051" xr:uid="{00000000-0005-0000-0000-0000026A0000}"/>
    <cellStyle name="Normal 15 2 3 7 2" xfId="16053" xr:uid="{00000000-0005-0000-0000-0000036A0000}"/>
    <cellStyle name="Normal 15 2 3 7 2 2" xfId="29460" xr:uid="{00000000-0005-0000-0000-0000046A0000}"/>
    <cellStyle name="Normal 15 2 3 7 3" xfId="31372" xr:uid="{00000000-0005-0000-0000-0000056A0000}"/>
    <cellStyle name="Normal 15 2 3 8" xfId="10132" xr:uid="{00000000-0005-0000-0000-0000066A0000}"/>
    <cellStyle name="Normal 15 2 3 8 2" xfId="24358" xr:uid="{00000000-0005-0000-0000-0000076A0000}"/>
    <cellStyle name="Normal 15 2 3 9" xfId="31359" xr:uid="{00000000-0005-0000-0000-0000086A0000}"/>
    <cellStyle name="Normal 15 2 4" xfId="7052" xr:uid="{00000000-0005-0000-0000-0000096A0000}"/>
    <cellStyle name="Normal 15 2 4 2" xfId="7053" xr:uid="{00000000-0005-0000-0000-00000A6A0000}"/>
    <cellStyle name="Normal 15 2 4 2 2" xfId="7054" xr:uid="{00000000-0005-0000-0000-00000B6A0000}"/>
    <cellStyle name="Normal 15 2 4 2 2 2" xfId="16780" xr:uid="{00000000-0005-0000-0000-00000C6A0000}"/>
    <cellStyle name="Normal 15 2 4 2 2 2 2" xfId="30187" xr:uid="{00000000-0005-0000-0000-00000D6A0000}"/>
    <cellStyle name="Normal 15 2 4 2 2 3" xfId="31375" xr:uid="{00000000-0005-0000-0000-00000E6A0000}"/>
    <cellStyle name="Normal 15 2 4 2 3" xfId="11511" xr:uid="{00000000-0005-0000-0000-00000F6A0000}"/>
    <cellStyle name="Normal 15 2 4 2 3 2" xfId="25343" xr:uid="{00000000-0005-0000-0000-0000106A0000}"/>
    <cellStyle name="Normal 15 2 4 2 4" xfId="31374" xr:uid="{00000000-0005-0000-0000-0000116A0000}"/>
    <cellStyle name="Normal 15 2 4 3" xfId="7055" xr:uid="{00000000-0005-0000-0000-0000126A0000}"/>
    <cellStyle name="Normal 15 2 4 3 2" xfId="12168" xr:uid="{00000000-0005-0000-0000-0000136A0000}"/>
    <cellStyle name="Normal 15 2 4 3 2 2" xfId="25880" xr:uid="{00000000-0005-0000-0000-0000146A0000}"/>
    <cellStyle name="Normal 15 2 4 3 3" xfId="31376" xr:uid="{00000000-0005-0000-0000-0000156A0000}"/>
    <cellStyle name="Normal 15 2 4 4" xfId="7056" xr:uid="{00000000-0005-0000-0000-0000166A0000}"/>
    <cellStyle name="Normal 15 2 4 4 2" xfId="13732" xr:uid="{00000000-0005-0000-0000-0000176A0000}"/>
    <cellStyle name="Normal 15 2 4 4 2 2" xfId="27281" xr:uid="{00000000-0005-0000-0000-0000186A0000}"/>
    <cellStyle name="Normal 15 2 4 4 3" xfId="31377" xr:uid="{00000000-0005-0000-0000-0000196A0000}"/>
    <cellStyle name="Normal 15 2 4 5" xfId="7057" xr:uid="{00000000-0005-0000-0000-00001A6A0000}"/>
    <cellStyle name="Normal 15 2 4 5 2" xfId="14313" xr:uid="{00000000-0005-0000-0000-00001B6A0000}"/>
    <cellStyle name="Normal 15 2 4 5 2 2" xfId="27862" xr:uid="{00000000-0005-0000-0000-00001C6A0000}"/>
    <cellStyle name="Normal 15 2 4 5 3" xfId="31378" xr:uid="{00000000-0005-0000-0000-00001D6A0000}"/>
    <cellStyle name="Normal 15 2 4 6" xfId="7058" xr:uid="{00000000-0005-0000-0000-00001E6A0000}"/>
    <cellStyle name="Normal 15 2 4 6 2" xfId="16199" xr:uid="{00000000-0005-0000-0000-00001F6A0000}"/>
    <cellStyle name="Normal 15 2 4 6 2 2" xfId="29606" xr:uid="{00000000-0005-0000-0000-0000206A0000}"/>
    <cellStyle name="Normal 15 2 4 6 3" xfId="31379" xr:uid="{00000000-0005-0000-0000-0000216A0000}"/>
    <cellStyle name="Normal 15 2 4 7" xfId="10134" xr:uid="{00000000-0005-0000-0000-0000226A0000}"/>
    <cellStyle name="Normal 15 2 4 7 2" xfId="24360" xr:uid="{00000000-0005-0000-0000-0000236A0000}"/>
    <cellStyle name="Normal 15 2 4 8" xfId="31373" xr:uid="{00000000-0005-0000-0000-0000246A0000}"/>
    <cellStyle name="Normal 15 2 5" xfId="7059" xr:uid="{00000000-0005-0000-0000-0000256A0000}"/>
    <cellStyle name="Normal 15 2 5 2" xfId="7060" xr:uid="{00000000-0005-0000-0000-0000266A0000}"/>
    <cellStyle name="Normal 15 2 5 2 2" xfId="17028" xr:uid="{00000000-0005-0000-0000-0000276A0000}"/>
    <cellStyle name="Normal 15 2 5 3" xfId="11504" xr:uid="{00000000-0005-0000-0000-0000286A0000}"/>
    <cellStyle name="Normal 15 2 5 3 2" xfId="25336" xr:uid="{00000000-0005-0000-0000-0000296A0000}"/>
    <cellStyle name="Normal 15 2 6" xfId="7061" xr:uid="{00000000-0005-0000-0000-00002A6A0000}"/>
    <cellStyle name="Normal 15 2 6 2" xfId="7062" xr:uid="{00000000-0005-0000-0000-00002B6A0000}"/>
    <cellStyle name="Normal 15 2 6 2 2" xfId="17127" xr:uid="{00000000-0005-0000-0000-00002C6A0000}"/>
    <cellStyle name="Normal 15 2 6 2 2 2" xfId="30486" xr:uid="{00000000-0005-0000-0000-00002D6A0000}"/>
    <cellStyle name="Normal 15 2 6 2 3" xfId="31381" xr:uid="{00000000-0005-0000-0000-00002E6A0000}"/>
    <cellStyle name="Normal 15 2 6 3" xfId="11856" xr:uid="{00000000-0005-0000-0000-00002F6A0000}"/>
    <cellStyle name="Normal 15 2 6 3 2" xfId="25571" xr:uid="{00000000-0005-0000-0000-0000306A0000}"/>
    <cellStyle name="Normal 15 2 6 4" xfId="31380" xr:uid="{00000000-0005-0000-0000-0000316A0000}"/>
    <cellStyle name="Normal 15 2 7" xfId="7063" xr:uid="{00000000-0005-0000-0000-0000326A0000}"/>
    <cellStyle name="Normal 15 2 7 2" xfId="7064" xr:uid="{00000000-0005-0000-0000-0000336A0000}"/>
    <cellStyle name="Normal 15 2 7 2 2" xfId="17216" xr:uid="{00000000-0005-0000-0000-0000346A0000}"/>
    <cellStyle name="Normal 15 2 7 2 2 2" xfId="30575" xr:uid="{00000000-0005-0000-0000-0000356A0000}"/>
    <cellStyle name="Normal 15 2 7 2 3" xfId="31383" xr:uid="{00000000-0005-0000-0000-0000366A0000}"/>
    <cellStyle name="Normal 15 2 7 3" xfId="13443" xr:uid="{00000000-0005-0000-0000-0000376A0000}"/>
    <cellStyle name="Normal 15 2 7 3 2" xfId="26992" xr:uid="{00000000-0005-0000-0000-0000386A0000}"/>
    <cellStyle name="Normal 15 2 7 4" xfId="31382" xr:uid="{00000000-0005-0000-0000-0000396A0000}"/>
    <cellStyle name="Normal 15 2 8" xfId="7065" xr:uid="{00000000-0005-0000-0000-00003A6A0000}"/>
    <cellStyle name="Normal 15 2 8 2" xfId="7066" xr:uid="{00000000-0005-0000-0000-00003B6A0000}"/>
    <cellStyle name="Normal 15 2 8 2 2" xfId="16491" xr:uid="{00000000-0005-0000-0000-00003C6A0000}"/>
    <cellStyle name="Normal 15 2 8 2 2 2" xfId="29898" xr:uid="{00000000-0005-0000-0000-00003D6A0000}"/>
    <cellStyle name="Normal 15 2 8 2 3" xfId="31385" xr:uid="{00000000-0005-0000-0000-00003E6A0000}"/>
    <cellStyle name="Normal 15 2 8 3" xfId="14024" xr:uid="{00000000-0005-0000-0000-00003F6A0000}"/>
    <cellStyle name="Normal 15 2 8 3 2" xfId="27573" xr:uid="{00000000-0005-0000-0000-0000406A0000}"/>
    <cellStyle name="Normal 15 2 8 4" xfId="31384" xr:uid="{00000000-0005-0000-0000-0000416A0000}"/>
    <cellStyle name="Normal 15 2 9" xfId="7067" xr:uid="{00000000-0005-0000-0000-0000426A0000}"/>
    <cellStyle name="Normal 15 2 9 2" xfId="15910" xr:uid="{00000000-0005-0000-0000-0000436A0000}"/>
    <cellStyle name="Normal 15 2 9 2 2" xfId="29317" xr:uid="{00000000-0005-0000-0000-0000446A0000}"/>
    <cellStyle name="Normal 15 2 9 3" xfId="31386" xr:uid="{00000000-0005-0000-0000-0000456A0000}"/>
    <cellStyle name="Normal 15 3" xfId="7068" xr:uid="{00000000-0005-0000-0000-0000466A0000}"/>
    <cellStyle name="Normal 15 3 2" xfId="7069" xr:uid="{00000000-0005-0000-0000-0000476A0000}"/>
    <cellStyle name="Normal 15 3 2 2" xfId="10136" xr:uid="{00000000-0005-0000-0000-0000486A0000}"/>
    <cellStyle name="Normal 15 3 3" xfId="10135" xr:uid="{00000000-0005-0000-0000-0000496A0000}"/>
    <cellStyle name="Normal 15 4" xfId="7070" xr:uid="{00000000-0005-0000-0000-00004A6A0000}"/>
    <cellStyle name="Normal 15 4 10" xfId="31387" xr:uid="{00000000-0005-0000-0000-00004B6A0000}"/>
    <cellStyle name="Normal 15 4 2" xfId="7071" xr:uid="{00000000-0005-0000-0000-00004C6A0000}"/>
    <cellStyle name="Normal 15 4 2 2" xfId="7072" xr:uid="{00000000-0005-0000-0000-00004D6A0000}"/>
    <cellStyle name="Normal 15 4 2 2 2" xfId="7073" xr:uid="{00000000-0005-0000-0000-00004E6A0000}"/>
    <cellStyle name="Normal 15 4 2 2 2 2" xfId="7074" xr:uid="{00000000-0005-0000-0000-00004F6A0000}"/>
    <cellStyle name="Normal 15 4 2 2 2 2 2" xfId="16946" xr:uid="{00000000-0005-0000-0000-0000506A0000}"/>
    <cellStyle name="Normal 15 4 2 2 2 2 2 2" xfId="30353" xr:uid="{00000000-0005-0000-0000-0000516A0000}"/>
    <cellStyle name="Normal 15 4 2 2 2 2 3" xfId="31391" xr:uid="{00000000-0005-0000-0000-0000526A0000}"/>
    <cellStyle name="Normal 15 4 2 2 2 3" xfId="11514" xr:uid="{00000000-0005-0000-0000-0000536A0000}"/>
    <cellStyle name="Normal 15 4 2 2 2 3 2" xfId="25346" xr:uid="{00000000-0005-0000-0000-0000546A0000}"/>
    <cellStyle name="Normal 15 4 2 2 2 4" xfId="31390" xr:uid="{00000000-0005-0000-0000-0000556A0000}"/>
    <cellStyle name="Normal 15 4 2 2 3" xfId="7075" xr:uid="{00000000-0005-0000-0000-0000566A0000}"/>
    <cellStyle name="Normal 15 4 2 2 3 2" xfId="12334" xr:uid="{00000000-0005-0000-0000-0000576A0000}"/>
    <cellStyle name="Normal 15 4 2 2 3 2 2" xfId="26046" xr:uid="{00000000-0005-0000-0000-0000586A0000}"/>
    <cellStyle name="Normal 15 4 2 2 3 3" xfId="31392" xr:uid="{00000000-0005-0000-0000-0000596A0000}"/>
    <cellStyle name="Normal 15 4 2 2 4" xfId="7076" xr:uid="{00000000-0005-0000-0000-00005A6A0000}"/>
    <cellStyle name="Normal 15 4 2 2 4 2" xfId="13898" xr:uid="{00000000-0005-0000-0000-00005B6A0000}"/>
    <cellStyle name="Normal 15 4 2 2 4 2 2" xfId="27447" xr:uid="{00000000-0005-0000-0000-00005C6A0000}"/>
    <cellStyle name="Normal 15 4 2 2 4 3" xfId="31393" xr:uid="{00000000-0005-0000-0000-00005D6A0000}"/>
    <cellStyle name="Normal 15 4 2 2 5" xfId="7077" xr:uid="{00000000-0005-0000-0000-00005E6A0000}"/>
    <cellStyle name="Normal 15 4 2 2 5 2" xfId="14479" xr:uid="{00000000-0005-0000-0000-00005F6A0000}"/>
    <cellStyle name="Normal 15 4 2 2 5 2 2" xfId="28028" xr:uid="{00000000-0005-0000-0000-0000606A0000}"/>
    <cellStyle name="Normal 15 4 2 2 5 3" xfId="31394" xr:uid="{00000000-0005-0000-0000-0000616A0000}"/>
    <cellStyle name="Normal 15 4 2 2 6" xfId="7078" xr:uid="{00000000-0005-0000-0000-0000626A0000}"/>
    <cellStyle name="Normal 15 4 2 2 6 2" xfId="16365" xr:uid="{00000000-0005-0000-0000-0000636A0000}"/>
    <cellStyle name="Normal 15 4 2 2 6 2 2" xfId="29772" xr:uid="{00000000-0005-0000-0000-0000646A0000}"/>
    <cellStyle name="Normal 15 4 2 2 6 3" xfId="31395" xr:uid="{00000000-0005-0000-0000-0000656A0000}"/>
    <cellStyle name="Normal 15 4 2 2 7" xfId="10139" xr:uid="{00000000-0005-0000-0000-0000666A0000}"/>
    <cellStyle name="Normal 15 4 2 2 7 2" xfId="24363" xr:uid="{00000000-0005-0000-0000-0000676A0000}"/>
    <cellStyle name="Normal 15 4 2 2 8" xfId="31389" xr:uid="{00000000-0005-0000-0000-0000686A0000}"/>
    <cellStyle name="Normal 15 4 2 3" xfId="7079" xr:uid="{00000000-0005-0000-0000-0000696A0000}"/>
    <cellStyle name="Normal 15 4 2 3 2" xfId="7080" xr:uid="{00000000-0005-0000-0000-00006A6A0000}"/>
    <cellStyle name="Normal 15 4 2 3 2 2" xfId="16657" xr:uid="{00000000-0005-0000-0000-00006B6A0000}"/>
    <cellStyle name="Normal 15 4 2 3 2 2 2" xfId="30064" xr:uid="{00000000-0005-0000-0000-00006C6A0000}"/>
    <cellStyle name="Normal 15 4 2 3 2 3" xfId="31397" xr:uid="{00000000-0005-0000-0000-00006D6A0000}"/>
    <cellStyle name="Normal 15 4 2 3 3" xfId="11513" xr:uid="{00000000-0005-0000-0000-00006E6A0000}"/>
    <cellStyle name="Normal 15 4 2 3 3 2" xfId="25345" xr:uid="{00000000-0005-0000-0000-00006F6A0000}"/>
    <cellStyle name="Normal 15 4 2 3 4" xfId="31396" xr:uid="{00000000-0005-0000-0000-0000706A0000}"/>
    <cellStyle name="Normal 15 4 2 4" xfId="7081" xr:uid="{00000000-0005-0000-0000-0000716A0000}"/>
    <cellStyle name="Normal 15 4 2 4 2" xfId="12034" xr:uid="{00000000-0005-0000-0000-0000726A0000}"/>
    <cellStyle name="Normal 15 4 2 4 2 2" xfId="25749" xr:uid="{00000000-0005-0000-0000-0000736A0000}"/>
    <cellStyle name="Normal 15 4 2 4 3" xfId="31398" xr:uid="{00000000-0005-0000-0000-0000746A0000}"/>
    <cellStyle name="Normal 15 4 2 5" xfId="7082" xr:uid="{00000000-0005-0000-0000-0000756A0000}"/>
    <cellStyle name="Normal 15 4 2 5 2" xfId="13609" xr:uid="{00000000-0005-0000-0000-0000766A0000}"/>
    <cellStyle name="Normal 15 4 2 5 2 2" xfId="27158" xr:uid="{00000000-0005-0000-0000-0000776A0000}"/>
    <cellStyle name="Normal 15 4 2 5 3" xfId="31399" xr:uid="{00000000-0005-0000-0000-0000786A0000}"/>
    <cellStyle name="Normal 15 4 2 6" xfId="7083" xr:uid="{00000000-0005-0000-0000-0000796A0000}"/>
    <cellStyle name="Normal 15 4 2 6 2" xfId="14190" xr:uid="{00000000-0005-0000-0000-00007A6A0000}"/>
    <cellStyle name="Normal 15 4 2 6 2 2" xfId="27739" xr:uid="{00000000-0005-0000-0000-00007B6A0000}"/>
    <cellStyle name="Normal 15 4 2 6 3" xfId="31400" xr:uid="{00000000-0005-0000-0000-00007C6A0000}"/>
    <cellStyle name="Normal 15 4 2 7" xfId="7084" xr:uid="{00000000-0005-0000-0000-00007D6A0000}"/>
    <cellStyle name="Normal 15 4 2 7 2" xfId="16076" xr:uid="{00000000-0005-0000-0000-00007E6A0000}"/>
    <cellStyle name="Normal 15 4 2 7 2 2" xfId="29483" xr:uid="{00000000-0005-0000-0000-00007F6A0000}"/>
    <cellStyle name="Normal 15 4 2 7 3" xfId="31401" xr:uid="{00000000-0005-0000-0000-0000806A0000}"/>
    <cellStyle name="Normal 15 4 2 8" xfId="10138" xr:uid="{00000000-0005-0000-0000-0000816A0000}"/>
    <cellStyle name="Normal 15 4 2 8 2" xfId="24362" xr:uid="{00000000-0005-0000-0000-0000826A0000}"/>
    <cellStyle name="Normal 15 4 2 9" xfId="31388" xr:uid="{00000000-0005-0000-0000-0000836A0000}"/>
    <cellStyle name="Normal 15 4 3" xfId="7085" xr:uid="{00000000-0005-0000-0000-0000846A0000}"/>
    <cellStyle name="Normal 15 4 3 2" xfId="7086" xr:uid="{00000000-0005-0000-0000-0000856A0000}"/>
    <cellStyle name="Normal 15 4 3 2 2" xfId="7087" xr:uid="{00000000-0005-0000-0000-0000866A0000}"/>
    <cellStyle name="Normal 15 4 3 2 2 2" xfId="16803" xr:uid="{00000000-0005-0000-0000-0000876A0000}"/>
    <cellStyle name="Normal 15 4 3 2 2 2 2" xfId="30210" xr:uid="{00000000-0005-0000-0000-0000886A0000}"/>
    <cellStyle name="Normal 15 4 3 2 2 3" xfId="31404" xr:uid="{00000000-0005-0000-0000-0000896A0000}"/>
    <cellStyle name="Normal 15 4 3 2 3" xfId="11515" xr:uid="{00000000-0005-0000-0000-00008A6A0000}"/>
    <cellStyle name="Normal 15 4 3 2 3 2" xfId="25347" xr:uid="{00000000-0005-0000-0000-00008B6A0000}"/>
    <cellStyle name="Normal 15 4 3 2 4" xfId="31403" xr:uid="{00000000-0005-0000-0000-00008C6A0000}"/>
    <cellStyle name="Normal 15 4 3 3" xfId="7088" xr:uid="{00000000-0005-0000-0000-00008D6A0000}"/>
    <cellStyle name="Normal 15 4 3 3 2" xfId="12191" xr:uid="{00000000-0005-0000-0000-00008E6A0000}"/>
    <cellStyle name="Normal 15 4 3 3 2 2" xfId="25903" xr:uid="{00000000-0005-0000-0000-00008F6A0000}"/>
    <cellStyle name="Normal 15 4 3 3 3" xfId="31405" xr:uid="{00000000-0005-0000-0000-0000906A0000}"/>
    <cellStyle name="Normal 15 4 3 4" xfId="7089" xr:uid="{00000000-0005-0000-0000-0000916A0000}"/>
    <cellStyle name="Normal 15 4 3 4 2" xfId="13755" xr:uid="{00000000-0005-0000-0000-0000926A0000}"/>
    <cellStyle name="Normal 15 4 3 4 2 2" xfId="27304" xr:uid="{00000000-0005-0000-0000-0000936A0000}"/>
    <cellStyle name="Normal 15 4 3 4 3" xfId="31406" xr:uid="{00000000-0005-0000-0000-0000946A0000}"/>
    <cellStyle name="Normal 15 4 3 5" xfId="7090" xr:uid="{00000000-0005-0000-0000-0000956A0000}"/>
    <cellStyle name="Normal 15 4 3 5 2" xfId="14336" xr:uid="{00000000-0005-0000-0000-0000966A0000}"/>
    <cellStyle name="Normal 15 4 3 5 2 2" xfId="27885" xr:uid="{00000000-0005-0000-0000-0000976A0000}"/>
    <cellStyle name="Normal 15 4 3 5 3" xfId="31407" xr:uid="{00000000-0005-0000-0000-0000986A0000}"/>
    <cellStyle name="Normal 15 4 3 6" xfId="7091" xr:uid="{00000000-0005-0000-0000-0000996A0000}"/>
    <cellStyle name="Normal 15 4 3 6 2" xfId="16222" xr:uid="{00000000-0005-0000-0000-00009A6A0000}"/>
    <cellStyle name="Normal 15 4 3 6 2 2" xfId="29629" xr:uid="{00000000-0005-0000-0000-00009B6A0000}"/>
    <cellStyle name="Normal 15 4 3 6 3" xfId="31408" xr:uid="{00000000-0005-0000-0000-00009C6A0000}"/>
    <cellStyle name="Normal 15 4 3 7" xfId="10140" xr:uid="{00000000-0005-0000-0000-00009D6A0000}"/>
    <cellStyle name="Normal 15 4 3 7 2" xfId="24364" xr:uid="{00000000-0005-0000-0000-00009E6A0000}"/>
    <cellStyle name="Normal 15 4 3 8" xfId="31402" xr:uid="{00000000-0005-0000-0000-00009F6A0000}"/>
    <cellStyle name="Normal 15 4 4" xfId="7092" xr:uid="{00000000-0005-0000-0000-0000A06A0000}"/>
    <cellStyle name="Normal 15 4 4 2" xfId="7093" xr:uid="{00000000-0005-0000-0000-0000A16A0000}"/>
    <cellStyle name="Normal 15 4 4 2 2" xfId="17150" xr:uid="{00000000-0005-0000-0000-0000A26A0000}"/>
    <cellStyle name="Normal 15 4 4 2 2 2" xfId="30509" xr:uid="{00000000-0005-0000-0000-0000A36A0000}"/>
    <cellStyle name="Normal 15 4 4 2 3" xfId="31410" xr:uid="{00000000-0005-0000-0000-0000A46A0000}"/>
    <cellStyle name="Normal 15 4 4 3" xfId="11512" xr:uid="{00000000-0005-0000-0000-0000A56A0000}"/>
    <cellStyle name="Normal 15 4 4 3 2" xfId="25344" xr:uid="{00000000-0005-0000-0000-0000A66A0000}"/>
    <cellStyle name="Normal 15 4 4 4" xfId="31409" xr:uid="{00000000-0005-0000-0000-0000A76A0000}"/>
    <cellStyle name="Normal 15 4 5" xfId="7094" xr:uid="{00000000-0005-0000-0000-0000A86A0000}"/>
    <cellStyle name="Normal 15 4 5 2" xfId="7095" xr:uid="{00000000-0005-0000-0000-0000A96A0000}"/>
    <cellStyle name="Normal 15 4 5 2 2" xfId="17239" xr:uid="{00000000-0005-0000-0000-0000AA6A0000}"/>
    <cellStyle name="Normal 15 4 5 2 2 2" xfId="30598" xr:uid="{00000000-0005-0000-0000-0000AB6A0000}"/>
    <cellStyle name="Normal 15 4 5 2 3" xfId="31412" xr:uid="{00000000-0005-0000-0000-0000AC6A0000}"/>
    <cellStyle name="Normal 15 4 5 3" xfId="11889" xr:uid="{00000000-0005-0000-0000-0000AD6A0000}"/>
    <cellStyle name="Normal 15 4 5 3 2" xfId="25604" xr:uid="{00000000-0005-0000-0000-0000AE6A0000}"/>
    <cellStyle name="Normal 15 4 5 4" xfId="31411" xr:uid="{00000000-0005-0000-0000-0000AF6A0000}"/>
    <cellStyle name="Normal 15 4 6" xfId="7096" xr:uid="{00000000-0005-0000-0000-0000B06A0000}"/>
    <cellStyle name="Normal 15 4 6 2" xfId="7097" xr:uid="{00000000-0005-0000-0000-0000B16A0000}"/>
    <cellStyle name="Normal 15 4 6 2 2" xfId="16514" xr:uid="{00000000-0005-0000-0000-0000B26A0000}"/>
    <cellStyle name="Normal 15 4 6 2 2 2" xfId="29921" xr:uid="{00000000-0005-0000-0000-0000B36A0000}"/>
    <cellStyle name="Normal 15 4 6 2 3" xfId="31414" xr:uid="{00000000-0005-0000-0000-0000B46A0000}"/>
    <cellStyle name="Normal 15 4 6 3" xfId="13466" xr:uid="{00000000-0005-0000-0000-0000B56A0000}"/>
    <cellStyle name="Normal 15 4 6 3 2" xfId="27015" xr:uid="{00000000-0005-0000-0000-0000B66A0000}"/>
    <cellStyle name="Normal 15 4 6 4" xfId="31413" xr:uid="{00000000-0005-0000-0000-0000B76A0000}"/>
    <cellStyle name="Normal 15 4 7" xfId="7098" xr:uid="{00000000-0005-0000-0000-0000B86A0000}"/>
    <cellStyle name="Normal 15 4 7 2" xfId="14047" xr:uid="{00000000-0005-0000-0000-0000B96A0000}"/>
    <cellStyle name="Normal 15 4 7 2 2" xfId="27596" xr:uid="{00000000-0005-0000-0000-0000BA6A0000}"/>
    <cellStyle name="Normal 15 4 7 3" xfId="31415" xr:uid="{00000000-0005-0000-0000-0000BB6A0000}"/>
    <cellStyle name="Normal 15 4 8" xfId="7099" xr:uid="{00000000-0005-0000-0000-0000BC6A0000}"/>
    <cellStyle name="Normal 15 4 8 2" xfId="15933" xr:uid="{00000000-0005-0000-0000-0000BD6A0000}"/>
    <cellStyle name="Normal 15 4 8 2 2" xfId="29340" xr:uid="{00000000-0005-0000-0000-0000BE6A0000}"/>
    <cellStyle name="Normal 15 4 8 3" xfId="31416" xr:uid="{00000000-0005-0000-0000-0000BF6A0000}"/>
    <cellStyle name="Normal 15 4 9" xfId="10137" xr:uid="{00000000-0005-0000-0000-0000C06A0000}"/>
    <cellStyle name="Normal 15 4 9 2" xfId="24361" xr:uid="{00000000-0005-0000-0000-0000C16A0000}"/>
    <cellStyle name="Normal 15 5" xfId="7100" xr:uid="{00000000-0005-0000-0000-0000C26A0000}"/>
    <cellStyle name="Normal 15 5 10" xfId="31417" xr:uid="{00000000-0005-0000-0000-0000C36A0000}"/>
    <cellStyle name="Normal 15 5 2" xfId="7101" xr:uid="{00000000-0005-0000-0000-0000C46A0000}"/>
    <cellStyle name="Normal 15 5 2 2" xfId="7102" xr:uid="{00000000-0005-0000-0000-0000C56A0000}"/>
    <cellStyle name="Normal 15 5 2 2 2" xfId="7103" xr:uid="{00000000-0005-0000-0000-0000C66A0000}"/>
    <cellStyle name="Normal 15 5 2 2 2 2" xfId="7104" xr:uid="{00000000-0005-0000-0000-0000C76A0000}"/>
    <cellStyle name="Normal 15 5 2 2 2 2 2" xfId="16989" xr:uid="{00000000-0005-0000-0000-0000C86A0000}"/>
    <cellStyle name="Normal 15 5 2 2 2 2 2 2" xfId="30396" xr:uid="{00000000-0005-0000-0000-0000C96A0000}"/>
    <cellStyle name="Normal 15 5 2 2 2 2 3" xfId="31421" xr:uid="{00000000-0005-0000-0000-0000CA6A0000}"/>
    <cellStyle name="Normal 15 5 2 2 2 3" xfId="11518" xr:uid="{00000000-0005-0000-0000-0000CB6A0000}"/>
    <cellStyle name="Normal 15 5 2 2 2 3 2" xfId="25350" xr:uid="{00000000-0005-0000-0000-0000CC6A0000}"/>
    <cellStyle name="Normal 15 5 2 2 2 4" xfId="31420" xr:uid="{00000000-0005-0000-0000-0000CD6A0000}"/>
    <cellStyle name="Normal 15 5 2 2 3" xfId="7105" xr:uid="{00000000-0005-0000-0000-0000CE6A0000}"/>
    <cellStyle name="Normal 15 5 2 2 3 2" xfId="12377" xr:uid="{00000000-0005-0000-0000-0000CF6A0000}"/>
    <cellStyle name="Normal 15 5 2 2 3 2 2" xfId="26089" xr:uid="{00000000-0005-0000-0000-0000D06A0000}"/>
    <cellStyle name="Normal 15 5 2 2 3 3" xfId="31422" xr:uid="{00000000-0005-0000-0000-0000D16A0000}"/>
    <cellStyle name="Normal 15 5 2 2 4" xfId="7106" xr:uid="{00000000-0005-0000-0000-0000D26A0000}"/>
    <cellStyle name="Normal 15 5 2 2 4 2" xfId="13941" xr:uid="{00000000-0005-0000-0000-0000D36A0000}"/>
    <cellStyle name="Normal 15 5 2 2 4 2 2" xfId="27490" xr:uid="{00000000-0005-0000-0000-0000D46A0000}"/>
    <cellStyle name="Normal 15 5 2 2 4 3" xfId="31423" xr:uid="{00000000-0005-0000-0000-0000D56A0000}"/>
    <cellStyle name="Normal 15 5 2 2 5" xfId="7107" xr:uid="{00000000-0005-0000-0000-0000D66A0000}"/>
    <cellStyle name="Normal 15 5 2 2 5 2" xfId="14522" xr:uid="{00000000-0005-0000-0000-0000D76A0000}"/>
    <cellStyle name="Normal 15 5 2 2 5 2 2" xfId="28071" xr:uid="{00000000-0005-0000-0000-0000D86A0000}"/>
    <cellStyle name="Normal 15 5 2 2 5 3" xfId="31424" xr:uid="{00000000-0005-0000-0000-0000D96A0000}"/>
    <cellStyle name="Normal 15 5 2 2 6" xfId="7108" xr:uid="{00000000-0005-0000-0000-0000DA6A0000}"/>
    <cellStyle name="Normal 15 5 2 2 6 2" xfId="16408" xr:uid="{00000000-0005-0000-0000-0000DB6A0000}"/>
    <cellStyle name="Normal 15 5 2 2 6 2 2" xfId="29815" xr:uid="{00000000-0005-0000-0000-0000DC6A0000}"/>
    <cellStyle name="Normal 15 5 2 2 6 3" xfId="31425" xr:uid="{00000000-0005-0000-0000-0000DD6A0000}"/>
    <cellStyle name="Normal 15 5 2 2 7" xfId="10143" xr:uid="{00000000-0005-0000-0000-0000DE6A0000}"/>
    <cellStyle name="Normal 15 5 2 2 7 2" xfId="24367" xr:uid="{00000000-0005-0000-0000-0000DF6A0000}"/>
    <cellStyle name="Normal 15 5 2 2 8" xfId="31419" xr:uid="{00000000-0005-0000-0000-0000E06A0000}"/>
    <cellStyle name="Normal 15 5 2 3" xfId="7109" xr:uid="{00000000-0005-0000-0000-0000E16A0000}"/>
    <cellStyle name="Normal 15 5 2 3 2" xfId="7110" xr:uid="{00000000-0005-0000-0000-0000E26A0000}"/>
    <cellStyle name="Normal 15 5 2 3 2 2" xfId="16700" xr:uid="{00000000-0005-0000-0000-0000E36A0000}"/>
    <cellStyle name="Normal 15 5 2 3 2 2 2" xfId="30107" xr:uid="{00000000-0005-0000-0000-0000E46A0000}"/>
    <cellStyle name="Normal 15 5 2 3 2 3" xfId="31427" xr:uid="{00000000-0005-0000-0000-0000E56A0000}"/>
    <cellStyle name="Normal 15 5 2 3 3" xfId="11517" xr:uid="{00000000-0005-0000-0000-0000E66A0000}"/>
    <cellStyle name="Normal 15 5 2 3 3 2" xfId="25349" xr:uid="{00000000-0005-0000-0000-0000E76A0000}"/>
    <cellStyle name="Normal 15 5 2 3 4" xfId="31426" xr:uid="{00000000-0005-0000-0000-0000E86A0000}"/>
    <cellStyle name="Normal 15 5 2 4" xfId="7111" xr:uid="{00000000-0005-0000-0000-0000E96A0000}"/>
    <cellStyle name="Normal 15 5 2 4 2" xfId="12077" xr:uid="{00000000-0005-0000-0000-0000EA6A0000}"/>
    <cellStyle name="Normal 15 5 2 4 2 2" xfId="25792" xr:uid="{00000000-0005-0000-0000-0000EB6A0000}"/>
    <cellStyle name="Normal 15 5 2 4 3" xfId="31428" xr:uid="{00000000-0005-0000-0000-0000EC6A0000}"/>
    <cellStyle name="Normal 15 5 2 5" xfId="7112" xr:uid="{00000000-0005-0000-0000-0000ED6A0000}"/>
    <cellStyle name="Normal 15 5 2 5 2" xfId="13652" xr:uid="{00000000-0005-0000-0000-0000EE6A0000}"/>
    <cellStyle name="Normal 15 5 2 5 2 2" xfId="27201" xr:uid="{00000000-0005-0000-0000-0000EF6A0000}"/>
    <cellStyle name="Normal 15 5 2 5 3" xfId="31429" xr:uid="{00000000-0005-0000-0000-0000F06A0000}"/>
    <cellStyle name="Normal 15 5 2 6" xfId="7113" xr:uid="{00000000-0005-0000-0000-0000F16A0000}"/>
    <cellStyle name="Normal 15 5 2 6 2" xfId="14233" xr:uid="{00000000-0005-0000-0000-0000F26A0000}"/>
    <cellStyle name="Normal 15 5 2 6 2 2" xfId="27782" xr:uid="{00000000-0005-0000-0000-0000F36A0000}"/>
    <cellStyle name="Normal 15 5 2 6 3" xfId="31430" xr:uid="{00000000-0005-0000-0000-0000F46A0000}"/>
    <cellStyle name="Normal 15 5 2 7" xfId="7114" xr:uid="{00000000-0005-0000-0000-0000F56A0000}"/>
    <cellStyle name="Normal 15 5 2 7 2" xfId="16119" xr:uid="{00000000-0005-0000-0000-0000F66A0000}"/>
    <cellStyle name="Normal 15 5 2 7 2 2" xfId="29526" xr:uid="{00000000-0005-0000-0000-0000F76A0000}"/>
    <cellStyle name="Normal 15 5 2 7 3" xfId="31431" xr:uid="{00000000-0005-0000-0000-0000F86A0000}"/>
    <cellStyle name="Normal 15 5 2 8" xfId="10142" xr:uid="{00000000-0005-0000-0000-0000F96A0000}"/>
    <cellStyle name="Normal 15 5 2 8 2" xfId="24366" xr:uid="{00000000-0005-0000-0000-0000FA6A0000}"/>
    <cellStyle name="Normal 15 5 2 9" xfId="31418" xr:uid="{00000000-0005-0000-0000-0000FB6A0000}"/>
    <cellStyle name="Normal 15 5 3" xfId="7115" xr:uid="{00000000-0005-0000-0000-0000FC6A0000}"/>
    <cellStyle name="Normal 15 5 3 2" xfId="7116" xr:uid="{00000000-0005-0000-0000-0000FD6A0000}"/>
    <cellStyle name="Normal 15 5 3 2 2" xfId="7117" xr:uid="{00000000-0005-0000-0000-0000FE6A0000}"/>
    <cellStyle name="Normal 15 5 3 2 2 2" xfId="16846" xr:uid="{00000000-0005-0000-0000-0000FF6A0000}"/>
    <cellStyle name="Normal 15 5 3 2 2 2 2" xfId="30253" xr:uid="{00000000-0005-0000-0000-0000006B0000}"/>
    <cellStyle name="Normal 15 5 3 2 2 3" xfId="31434" xr:uid="{00000000-0005-0000-0000-0000016B0000}"/>
    <cellStyle name="Normal 15 5 3 2 3" xfId="11519" xr:uid="{00000000-0005-0000-0000-0000026B0000}"/>
    <cellStyle name="Normal 15 5 3 2 3 2" xfId="25351" xr:uid="{00000000-0005-0000-0000-0000036B0000}"/>
    <cellStyle name="Normal 15 5 3 2 4" xfId="31433" xr:uid="{00000000-0005-0000-0000-0000046B0000}"/>
    <cellStyle name="Normal 15 5 3 3" xfId="7118" xr:uid="{00000000-0005-0000-0000-0000056B0000}"/>
    <cellStyle name="Normal 15 5 3 3 2" xfId="12234" xr:uid="{00000000-0005-0000-0000-0000066B0000}"/>
    <cellStyle name="Normal 15 5 3 3 2 2" xfId="25946" xr:uid="{00000000-0005-0000-0000-0000076B0000}"/>
    <cellStyle name="Normal 15 5 3 3 3" xfId="31435" xr:uid="{00000000-0005-0000-0000-0000086B0000}"/>
    <cellStyle name="Normal 15 5 3 4" xfId="7119" xr:uid="{00000000-0005-0000-0000-0000096B0000}"/>
    <cellStyle name="Normal 15 5 3 4 2" xfId="13798" xr:uid="{00000000-0005-0000-0000-00000A6B0000}"/>
    <cellStyle name="Normal 15 5 3 4 2 2" xfId="27347" xr:uid="{00000000-0005-0000-0000-00000B6B0000}"/>
    <cellStyle name="Normal 15 5 3 4 3" xfId="31436" xr:uid="{00000000-0005-0000-0000-00000C6B0000}"/>
    <cellStyle name="Normal 15 5 3 5" xfId="7120" xr:uid="{00000000-0005-0000-0000-00000D6B0000}"/>
    <cellStyle name="Normal 15 5 3 5 2" xfId="14379" xr:uid="{00000000-0005-0000-0000-00000E6B0000}"/>
    <cellStyle name="Normal 15 5 3 5 2 2" xfId="27928" xr:uid="{00000000-0005-0000-0000-00000F6B0000}"/>
    <cellStyle name="Normal 15 5 3 5 3" xfId="31437" xr:uid="{00000000-0005-0000-0000-0000106B0000}"/>
    <cellStyle name="Normal 15 5 3 6" xfId="7121" xr:uid="{00000000-0005-0000-0000-0000116B0000}"/>
    <cellStyle name="Normal 15 5 3 6 2" xfId="16265" xr:uid="{00000000-0005-0000-0000-0000126B0000}"/>
    <cellStyle name="Normal 15 5 3 6 2 2" xfId="29672" xr:uid="{00000000-0005-0000-0000-0000136B0000}"/>
    <cellStyle name="Normal 15 5 3 6 3" xfId="31438" xr:uid="{00000000-0005-0000-0000-0000146B0000}"/>
    <cellStyle name="Normal 15 5 3 7" xfId="10144" xr:uid="{00000000-0005-0000-0000-0000156B0000}"/>
    <cellStyle name="Normal 15 5 3 7 2" xfId="24368" xr:uid="{00000000-0005-0000-0000-0000166B0000}"/>
    <cellStyle name="Normal 15 5 3 8" xfId="31432" xr:uid="{00000000-0005-0000-0000-0000176B0000}"/>
    <cellStyle name="Normal 15 5 4" xfId="7122" xr:uid="{00000000-0005-0000-0000-0000186B0000}"/>
    <cellStyle name="Normal 15 5 4 2" xfId="7123" xr:uid="{00000000-0005-0000-0000-0000196B0000}"/>
    <cellStyle name="Normal 15 5 4 2 2" xfId="16557" xr:uid="{00000000-0005-0000-0000-00001A6B0000}"/>
    <cellStyle name="Normal 15 5 4 2 2 2" xfId="29964" xr:uid="{00000000-0005-0000-0000-00001B6B0000}"/>
    <cellStyle name="Normal 15 5 4 2 3" xfId="31440" xr:uid="{00000000-0005-0000-0000-00001C6B0000}"/>
    <cellStyle name="Normal 15 5 4 3" xfId="11516" xr:uid="{00000000-0005-0000-0000-00001D6B0000}"/>
    <cellStyle name="Normal 15 5 4 3 2" xfId="25348" xr:uid="{00000000-0005-0000-0000-00001E6B0000}"/>
    <cellStyle name="Normal 15 5 4 4" xfId="31439" xr:uid="{00000000-0005-0000-0000-00001F6B0000}"/>
    <cellStyle name="Normal 15 5 5" xfId="7124" xr:uid="{00000000-0005-0000-0000-0000206B0000}"/>
    <cellStyle name="Normal 15 5 5 2" xfId="11932" xr:uid="{00000000-0005-0000-0000-0000216B0000}"/>
    <cellStyle name="Normal 15 5 5 2 2" xfId="25647" xr:uid="{00000000-0005-0000-0000-0000226B0000}"/>
    <cellStyle name="Normal 15 5 5 3" xfId="31441" xr:uid="{00000000-0005-0000-0000-0000236B0000}"/>
    <cellStyle name="Normal 15 5 6" xfId="7125" xr:uid="{00000000-0005-0000-0000-0000246B0000}"/>
    <cellStyle name="Normal 15 5 6 2" xfId="13509" xr:uid="{00000000-0005-0000-0000-0000256B0000}"/>
    <cellStyle name="Normal 15 5 6 2 2" xfId="27058" xr:uid="{00000000-0005-0000-0000-0000266B0000}"/>
    <cellStyle name="Normal 15 5 6 3" xfId="31442" xr:uid="{00000000-0005-0000-0000-0000276B0000}"/>
    <cellStyle name="Normal 15 5 7" xfId="7126" xr:uid="{00000000-0005-0000-0000-0000286B0000}"/>
    <cellStyle name="Normal 15 5 7 2" xfId="14090" xr:uid="{00000000-0005-0000-0000-0000296B0000}"/>
    <cellStyle name="Normal 15 5 7 2 2" xfId="27639" xr:uid="{00000000-0005-0000-0000-00002A6B0000}"/>
    <cellStyle name="Normal 15 5 7 3" xfId="31443" xr:uid="{00000000-0005-0000-0000-00002B6B0000}"/>
    <cellStyle name="Normal 15 5 8" xfId="7127" xr:uid="{00000000-0005-0000-0000-00002C6B0000}"/>
    <cellStyle name="Normal 15 5 8 2" xfId="15976" xr:uid="{00000000-0005-0000-0000-00002D6B0000}"/>
    <cellStyle name="Normal 15 5 8 2 2" xfId="29383" xr:uid="{00000000-0005-0000-0000-00002E6B0000}"/>
    <cellStyle name="Normal 15 5 8 3" xfId="31444" xr:uid="{00000000-0005-0000-0000-00002F6B0000}"/>
    <cellStyle name="Normal 15 5 9" xfId="10141" xr:uid="{00000000-0005-0000-0000-0000306B0000}"/>
    <cellStyle name="Normal 15 5 9 2" xfId="24365" xr:uid="{00000000-0005-0000-0000-0000316B0000}"/>
    <cellStyle name="Normal 15 6" xfId="7128" xr:uid="{00000000-0005-0000-0000-0000326B0000}"/>
    <cellStyle name="Normal 15 6 2" xfId="7129" xr:uid="{00000000-0005-0000-0000-0000336B0000}"/>
    <cellStyle name="Normal 15 6 2 2" xfId="7130" xr:uid="{00000000-0005-0000-0000-0000346B0000}"/>
    <cellStyle name="Normal 15 6 2 2 2" xfId="7131" xr:uid="{00000000-0005-0000-0000-0000356B0000}"/>
    <cellStyle name="Normal 15 6 2 2 2 2" xfId="16900" xr:uid="{00000000-0005-0000-0000-0000366B0000}"/>
    <cellStyle name="Normal 15 6 2 2 2 2 2" xfId="30307" xr:uid="{00000000-0005-0000-0000-0000376B0000}"/>
    <cellStyle name="Normal 15 6 2 2 2 3" xfId="31448" xr:uid="{00000000-0005-0000-0000-0000386B0000}"/>
    <cellStyle name="Normal 15 6 2 2 3" xfId="11521" xr:uid="{00000000-0005-0000-0000-0000396B0000}"/>
    <cellStyle name="Normal 15 6 2 2 3 2" xfId="25353" xr:uid="{00000000-0005-0000-0000-00003A6B0000}"/>
    <cellStyle name="Normal 15 6 2 2 4" xfId="31447" xr:uid="{00000000-0005-0000-0000-00003B6B0000}"/>
    <cellStyle name="Normal 15 6 2 3" xfId="7132" xr:uid="{00000000-0005-0000-0000-00003C6B0000}"/>
    <cellStyle name="Normal 15 6 2 3 2" xfId="12288" xr:uid="{00000000-0005-0000-0000-00003D6B0000}"/>
    <cellStyle name="Normal 15 6 2 3 2 2" xfId="26000" xr:uid="{00000000-0005-0000-0000-00003E6B0000}"/>
    <cellStyle name="Normal 15 6 2 3 3" xfId="31449" xr:uid="{00000000-0005-0000-0000-00003F6B0000}"/>
    <cellStyle name="Normal 15 6 2 4" xfId="7133" xr:uid="{00000000-0005-0000-0000-0000406B0000}"/>
    <cellStyle name="Normal 15 6 2 4 2" xfId="13852" xr:uid="{00000000-0005-0000-0000-0000416B0000}"/>
    <cellStyle name="Normal 15 6 2 4 2 2" xfId="27401" xr:uid="{00000000-0005-0000-0000-0000426B0000}"/>
    <cellStyle name="Normal 15 6 2 4 3" xfId="31450" xr:uid="{00000000-0005-0000-0000-0000436B0000}"/>
    <cellStyle name="Normal 15 6 2 5" xfId="7134" xr:uid="{00000000-0005-0000-0000-0000446B0000}"/>
    <cellStyle name="Normal 15 6 2 5 2" xfId="14433" xr:uid="{00000000-0005-0000-0000-0000456B0000}"/>
    <cellStyle name="Normal 15 6 2 5 2 2" xfId="27982" xr:uid="{00000000-0005-0000-0000-0000466B0000}"/>
    <cellStyle name="Normal 15 6 2 5 3" xfId="31451" xr:uid="{00000000-0005-0000-0000-0000476B0000}"/>
    <cellStyle name="Normal 15 6 2 6" xfId="7135" xr:uid="{00000000-0005-0000-0000-0000486B0000}"/>
    <cellStyle name="Normal 15 6 2 6 2" xfId="16319" xr:uid="{00000000-0005-0000-0000-0000496B0000}"/>
    <cellStyle name="Normal 15 6 2 6 2 2" xfId="29726" xr:uid="{00000000-0005-0000-0000-00004A6B0000}"/>
    <cellStyle name="Normal 15 6 2 6 3" xfId="31452" xr:uid="{00000000-0005-0000-0000-00004B6B0000}"/>
    <cellStyle name="Normal 15 6 2 7" xfId="10146" xr:uid="{00000000-0005-0000-0000-00004C6B0000}"/>
    <cellStyle name="Normal 15 6 2 7 2" xfId="24370" xr:uid="{00000000-0005-0000-0000-00004D6B0000}"/>
    <cellStyle name="Normal 15 6 2 8" xfId="31446" xr:uid="{00000000-0005-0000-0000-00004E6B0000}"/>
    <cellStyle name="Normal 15 6 3" xfId="7136" xr:uid="{00000000-0005-0000-0000-00004F6B0000}"/>
    <cellStyle name="Normal 15 6 3 2" xfId="7137" xr:uid="{00000000-0005-0000-0000-0000506B0000}"/>
    <cellStyle name="Normal 15 6 3 2 2" xfId="16611" xr:uid="{00000000-0005-0000-0000-0000516B0000}"/>
    <cellStyle name="Normal 15 6 3 2 2 2" xfId="30018" xr:uid="{00000000-0005-0000-0000-0000526B0000}"/>
    <cellStyle name="Normal 15 6 3 2 3" xfId="31454" xr:uid="{00000000-0005-0000-0000-0000536B0000}"/>
    <cellStyle name="Normal 15 6 3 3" xfId="11520" xr:uid="{00000000-0005-0000-0000-0000546B0000}"/>
    <cellStyle name="Normal 15 6 3 3 2" xfId="25352" xr:uid="{00000000-0005-0000-0000-0000556B0000}"/>
    <cellStyle name="Normal 15 6 3 4" xfId="31453" xr:uid="{00000000-0005-0000-0000-0000566B0000}"/>
    <cellStyle name="Normal 15 6 4" xfId="7138" xr:uid="{00000000-0005-0000-0000-0000576B0000}"/>
    <cellStyle name="Normal 15 6 4 2" xfId="11988" xr:uid="{00000000-0005-0000-0000-0000586B0000}"/>
    <cellStyle name="Normal 15 6 4 2 2" xfId="25703" xr:uid="{00000000-0005-0000-0000-0000596B0000}"/>
    <cellStyle name="Normal 15 6 4 3" xfId="31455" xr:uid="{00000000-0005-0000-0000-00005A6B0000}"/>
    <cellStyle name="Normal 15 6 5" xfId="7139" xr:uid="{00000000-0005-0000-0000-00005B6B0000}"/>
    <cellStyle name="Normal 15 6 5 2" xfId="13563" xr:uid="{00000000-0005-0000-0000-00005C6B0000}"/>
    <cellStyle name="Normal 15 6 5 2 2" xfId="27112" xr:uid="{00000000-0005-0000-0000-00005D6B0000}"/>
    <cellStyle name="Normal 15 6 5 3" xfId="31456" xr:uid="{00000000-0005-0000-0000-00005E6B0000}"/>
    <cellStyle name="Normal 15 6 6" xfId="7140" xr:uid="{00000000-0005-0000-0000-00005F6B0000}"/>
    <cellStyle name="Normal 15 6 6 2" xfId="14144" xr:uid="{00000000-0005-0000-0000-0000606B0000}"/>
    <cellStyle name="Normal 15 6 6 2 2" xfId="27693" xr:uid="{00000000-0005-0000-0000-0000616B0000}"/>
    <cellStyle name="Normal 15 6 6 3" xfId="31457" xr:uid="{00000000-0005-0000-0000-0000626B0000}"/>
    <cellStyle name="Normal 15 6 7" xfId="7141" xr:uid="{00000000-0005-0000-0000-0000636B0000}"/>
    <cellStyle name="Normal 15 6 7 2" xfId="16030" xr:uid="{00000000-0005-0000-0000-0000646B0000}"/>
    <cellStyle name="Normal 15 6 7 2 2" xfId="29437" xr:uid="{00000000-0005-0000-0000-0000656B0000}"/>
    <cellStyle name="Normal 15 6 7 3" xfId="31458" xr:uid="{00000000-0005-0000-0000-0000666B0000}"/>
    <cellStyle name="Normal 15 6 8" xfId="10145" xr:uid="{00000000-0005-0000-0000-0000676B0000}"/>
    <cellStyle name="Normal 15 6 8 2" xfId="24369" xr:uid="{00000000-0005-0000-0000-0000686B0000}"/>
    <cellStyle name="Normal 15 6 9" xfId="31445" xr:uid="{00000000-0005-0000-0000-0000696B0000}"/>
    <cellStyle name="Normal 15 7" xfId="7142" xr:uid="{00000000-0005-0000-0000-00006A6B0000}"/>
    <cellStyle name="Normal 15 7 2" xfId="7143" xr:uid="{00000000-0005-0000-0000-00006B6B0000}"/>
    <cellStyle name="Normal 15 7 2 2" xfId="7144" xr:uid="{00000000-0005-0000-0000-00006C6B0000}"/>
    <cellStyle name="Normal 15 7 2 2 2" xfId="16723" xr:uid="{00000000-0005-0000-0000-00006D6B0000}"/>
    <cellStyle name="Normal 15 7 2 2 2 2" xfId="30130" xr:uid="{00000000-0005-0000-0000-00006E6B0000}"/>
    <cellStyle name="Normal 15 7 2 2 3" xfId="31461" xr:uid="{00000000-0005-0000-0000-00006F6B0000}"/>
    <cellStyle name="Normal 15 7 2 3" xfId="11522" xr:uid="{00000000-0005-0000-0000-0000706B0000}"/>
    <cellStyle name="Normal 15 7 2 3 2" xfId="25354" xr:uid="{00000000-0005-0000-0000-0000716B0000}"/>
    <cellStyle name="Normal 15 7 2 4" xfId="31460" xr:uid="{00000000-0005-0000-0000-0000726B0000}"/>
    <cellStyle name="Normal 15 7 3" xfId="7145" xr:uid="{00000000-0005-0000-0000-0000736B0000}"/>
    <cellStyle name="Normal 15 7 3 2" xfId="12111" xr:uid="{00000000-0005-0000-0000-0000746B0000}"/>
    <cellStyle name="Normal 15 7 3 2 2" xfId="25823" xr:uid="{00000000-0005-0000-0000-0000756B0000}"/>
    <cellStyle name="Normal 15 7 3 3" xfId="31462" xr:uid="{00000000-0005-0000-0000-0000766B0000}"/>
    <cellStyle name="Normal 15 7 4" xfId="7146" xr:uid="{00000000-0005-0000-0000-0000776B0000}"/>
    <cellStyle name="Normal 15 7 4 2" xfId="13675" xr:uid="{00000000-0005-0000-0000-0000786B0000}"/>
    <cellStyle name="Normal 15 7 4 2 2" xfId="27224" xr:uid="{00000000-0005-0000-0000-0000796B0000}"/>
    <cellStyle name="Normal 15 7 4 3" xfId="31463" xr:uid="{00000000-0005-0000-0000-00007A6B0000}"/>
    <cellStyle name="Normal 15 7 5" xfId="7147" xr:uid="{00000000-0005-0000-0000-00007B6B0000}"/>
    <cellStyle name="Normal 15 7 5 2" xfId="14256" xr:uid="{00000000-0005-0000-0000-00007C6B0000}"/>
    <cellStyle name="Normal 15 7 5 2 2" xfId="27805" xr:uid="{00000000-0005-0000-0000-00007D6B0000}"/>
    <cellStyle name="Normal 15 7 5 3" xfId="31464" xr:uid="{00000000-0005-0000-0000-00007E6B0000}"/>
    <cellStyle name="Normal 15 7 6" xfId="7148" xr:uid="{00000000-0005-0000-0000-00007F6B0000}"/>
    <cellStyle name="Normal 15 7 6 2" xfId="16142" xr:uid="{00000000-0005-0000-0000-0000806B0000}"/>
    <cellStyle name="Normal 15 7 6 2 2" xfId="29549" xr:uid="{00000000-0005-0000-0000-0000816B0000}"/>
    <cellStyle name="Normal 15 7 6 3" xfId="31465" xr:uid="{00000000-0005-0000-0000-0000826B0000}"/>
    <cellStyle name="Normal 15 7 7" xfId="10147" xr:uid="{00000000-0005-0000-0000-0000836B0000}"/>
    <cellStyle name="Normal 15 7 7 2" xfId="24371" xr:uid="{00000000-0005-0000-0000-0000846B0000}"/>
    <cellStyle name="Normal 15 7 8" xfId="31459" xr:uid="{00000000-0005-0000-0000-0000856B0000}"/>
    <cellStyle name="Normal 15 8" xfId="7149" xr:uid="{00000000-0005-0000-0000-0000866B0000}"/>
    <cellStyle name="Normal 15 8 2" xfId="7150" xr:uid="{00000000-0005-0000-0000-0000876B0000}"/>
    <cellStyle name="Normal 15 8 2 2" xfId="11523" xr:uid="{00000000-0005-0000-0000-0000886B0000}"/>
    <cellStyle name="Normal 15 8 2 2 2" xfId="25355" xr:uid="{00000000-0005-0000-0000-0000896B0000}"/>
    <cellStyle name="Normal 15 8 2 3" xfId="31467" xr:uid="{00000000-0005-0000-0000-00008A6B0000}"/>
    <cellStyle name="Normal 15 8 3" xfId="7151" xr:uid="{00000000-0005-0000-0000-00008B6B0000}"/>
    <cellStyle name="Normal 15 8 3 2" xfId="13233" xr:uid="{00000000-0005-0000-0000-00008C6B0000}"/>
    <cellStyle name="Normal 15 8 3 2 2" xfId="26877" xr:uid="{00000000-0005-0000-0000-00008D6B0000}"/>
    <cellStyle name="Normal 15 8 3 3" xfId="31468" xr:uid="{00000000-0005-0000-0000-00008E6B0000}"/>
    <cellStyle name="Normal 15 8 4" xfId="7152" xr:uid="{00000000-0005-0000-0000-00008F6B0000}"/>
    <cellStyle name="Normal 15 8 4 2" xfId="15683" xr:uid="{00000000-0005-0000-0000-0000906B0000}"/>
    <cellStyle name="Normal 15 8 4 2 2" xfId="29169" xr:uid="{00000000-0005-0000-0000-0000916B0000}"/>
    <cellStyle name="Normal 15 8 4 3" xfId="31469" xr:uid="{00000000-0005-0000-0000-0000926B0000}"/>
    <cellStyle name="Normal 15 8 5" xfId="7153" xr:uid="{00000000-0005-0000-0000-0000936B0000}"/>
    <cellStyle name="Normal 15 8 5 2" xfId="17104" xr:uid="{00000000-0005-0000-0000-0000946B0000}"/>
    <cellStyle name="Normal 15 8 5 2 2" xfId="30463" xr:uid="{00000000-0005-0000-0000-0000956B0000}"/>
    <cellStyle name="Normal 15 8 5 3" xfId="31470" xr:uid="{00000000-0005-0000-0000-0000966B0000}"/>
    <cellStyle name="Normal 15 8 6" xfId="10148" xr:uid="{00000000-0005-0000-0000-0000976B0000}"/>
    <cellStyle name="Normal 15 8 6 2" xfId="24372" xr:uid="{00000000-0005-0000-0000-0000986B0000}"/>
    <cellStyle name="Normal 15 8 7" xfId="31466" xr:uid="{00000000-0005-0000-0000-0000996B0000}"/>
    <cellStyle name="Normal 15 9" xfId="7154" xr:uid="{00000000-0005-0000-0000-00009A6B0000}"/>
    <cellStyle name="Normal 15 9 2" xfId="7155" xr:uid="{00000000-0005-0000-0000-00009B6B0000}"/>
    <cellStyle name="Normal 15 9 2 2" xfId="13234" xr:uid="{00000000-0005-0000-0000-00009C6B0000}"/>
    <cellStyle name="Normal 15 9 2 3" xfId="31472" xr:uid="{00000000-0005-0000-0000-00009D6B0000}"/>
    <cellStyle name="Normal 15 9 3" xfId="7156" xr:uid="{00000000-0005-0000-0000-00009E6B0000}"/>
    <cellStyle name="Normal 15 9 3 2" xfId="17193" xr:uid="{00000000-0005-0000-0000-00009F6B0000}"/>
    <cellStyle name="Normal 15 9 3 2 2" xfId="30552" xr:uid="{00000000-0005-0000-0000-0000A06B0000}"/>
    <cellStyle name="Normal 15 9 3 3" xfId="31473" xr:uid="{00000000-0005-0000-0000-0000A16B0000}"/>
    <cellStyle name="Normal 15 9 4" xfId="11819" xr:uid="{00000000-0005-0000-0000-0000A26B0000}"/>
    <cellStyle name="Normal 15 9 4 2" xfId="25534" xr:uid="{00000000-0005-0000-0000-0000A36B0000}"/>
    <cellStyle name="Normal 15 9 5" xfId="31471" xr:uid="{00000000-0005-0000-0000-0000A46B0000}"/>
    <cellStyle name="Normal 16" xfId="7157" xr:uid="{00000000-0005-0000-0000-0000A56B0000}"/>
    <cellStyle name="Normal 16 10" xfId="10149" xr:uid="{00000000-0005-0000-0000-0000A66B0000}"/>
    <cellStyle name="Normal 16 10 2" xfId="24373" xr:uid="{00000000-0005-0000-0000-0000A76B0000}"/>
    <cellStyle name="Normal 16 11" xfId="31474" xr:uid="{00000000-0005-0000-0000-0000A86B0000}"/>
    <cellStyle name="Normal 16 2" xfId="7158" xr:uid="{00000000-0005-0000-0000-0000A96B0000}"/>
    <cellStyle name="Normal 16 2 10" xfId="31475" xr:uid="{00000000-0005-0000-0000-0000AA6B0000}"/>
    <cellStyle name="Normal 16 2 2" xfId="7159" xr:uid="{00000000-0005-0000-0000-0000AB6B0000}"/>
    <cellStyle name="Normal 16 2 2 2" xfId="7160" xr:uid="{00000000-0005-0000-0000-0000AC6B0000}"/>
    <cellStyle name="Normal 16 2 2 2 2" xfId="7161" xr:uid="{00000000-0005-0000-0000-0000AD6B0000}"/>
    <cellStyle name="Normal 16 2 2 2 2 2" xfId="7162" xr:uid="{00000000-0005-0000-0000-0000AE6B0000}"/>
    <cellStyle name="Normal 16 2 2 2 2 2 2" xfId="16947" xr:uid="{00000000-0005-0000-0000-0000AF6B0000}"/>
    <cellStyle name="Normal 16 2 2 2 2 2 2 2" xfId="30354" xr:uid="{00000000-0005-0000-0000-0000B06B0000}"/>
    <cellStyle name="Normal 16 2 2 2 2 2 3" xfId="31479" xr:uid="{00000000-0005-0000-0000-0000B16B0000}"/>
    <cellStyle name="Normal 16 2 2 2 2 3" xfId="11527" xr:uid="{00000000-0005-0000-0000-0000B26B0000}"/>
    <cellStyle name="Normal 16 2 2 2 2 3 2" xfId="25359" xr:uid="{00000000-0005-0000-0000-0000B36B0000}"/>
    <cellStyle name="Normal 16 2 2 2 2 4" xfId="31478" xr:uid="{00000000-0005-0000-0000-0000B46B0000}"/>
    <cellStyle name="Normal 16 2 2 2 3" xfId="7163" xr:uid="{00000000-0005-0000-0000-0000B56B0000}"/>
    <cellStyle name="Normal 16 2 2 2 3 2" xfId="12335" xr:uid="{00000000-0005-0000-0000-0000B66B0000}"/>
    <cellStyle name="Normal 16 2 2 2 3 2 2" xfId="26047" xr:uid="{00000000-0005-0000-0000-0000B76B0000}"/>
    <cellStyle name="Normal 16 2 2 2 3 3" xfId="31480" xr:uid="{00000000-0005-0000-0000-0000B86B0000}"/>
    <cellStyle name="Normal 16 2 2 2 4" xfId="7164" xr:uid="{00000000-0005-0000-0000-0000B96B0000}"/>
    <cellStyle name="Normal 16 2 2 2 4 2" xfId="13899" xr:uid="{00000000-0005-0000-0000-0000BA6B0000}"/>
    <cellStyle name="Normal 16 2 2 2 4 2 2" xfId="27448" xr:uid="{00000000-0005-0000-0000-0000BB6B0000}"/>
    <cellStyle name="Normal 16 2 2 2 4 3" xfId="31481" xr:uid="{00000000-0005-0000-0000-0000BC6B0000}"/>
    <cellStyle name="Normal 16 2 2 2 5" xfId="7165" xr:uid="{00000000-0005-0000-0000-0000BD6B0000}"/>
    <cellStyle name="Normal 16 2 2 2 5 2" xfId="14480" xr:uid="{00000000-0005-0000-0000-0000BE6B0000}"/>
    <cellStyle name="Normal 16 2 2 2 5 2 2" xfId="28029" xr:uid="{00000000-0005-0000-0000-0000BF6B0000}"/>
    <cellStyle name="Normal 16 2 2 2 5 3" xfId="31482" xr:uid="{00000000-0005-0000-0000-0000C06B0000}"/>
    <cellStyle name="Normal 16 2 2 2 6" xfId="7166" xr:uid="{00000000-0005-0000-0000-0000C16B0000}"/>
    <cellStyle name="Normal 16 2 2 2 6 2" xfId="16366" xr:uid="{00000000-0005-0000-0000-0000C26B0000}"/>
    <cellStyle name="Normal 16 2 2 2 6 2 2" xfId="29773" xr:uid="{00000000-0005-0000-0000-0000C36B0000}"/>
    <cellStyle name="Normal 16 2 2 2 6 3" xfId="31483" xr:uid="{00000000-0005-0000-0000-0000C46B0000}"/>
    <cellStyle name="Normal 16 2 2 2 7" xfId="10152" xr:uid="{00000000-0005-0000-0000-0000C56B0000}"/>
    <cellStyle name="Normal 16 2 2 2 7 2" xfId="24376" xr:uid="{00000000-0005-0000-0000-0000C66B0000}"/>
    <cellStyle name="Normal 16 2 2 2 8" xfId="31477" xr:uid="{00000000-0005-0000-0000-0000C76B0000}"/>
    <cellStyle name="Normal 16 2 2 3" xfId="7167" xr:uid="{00000000-0005-0000-0000-0000C86B0000}"/>
    <cellStyle name="Normal 16 2 2 3 2" xfId="7168" xr:uid="{00000000-0005-0000-0000-0000C96B0000}"/>
    <cellStyle name="Normal 16 2 2 3 2 2" xfId="16658" xr:uid="{00000000-0005-0000-0000-0000CA6B0000}"/>
    <cellStyle name="Normal 16 2 2 3 2 2 2" xfId="30065" xr:uid="{00000000-0005-0000-0000-0000CB6B0000}"/>
    <cellStyle name="Normal 16 2 2 3 2 3" xfId="31485" xr:uid="{00000000-0005-0000-0000-0000CC6B0000}"/>
    <cellStyle name="Normal 16 2 2 3 3" xfId="11526" xr:uid="{00000000-0005-0000-0000-0000CD6B0000}"/>
    <cellStyle name="Normal 16 2 2 3 3 2" xfId="25358" xr:uid="{00000000-0005-0000-0000-0000CE6B0000}"/>
    <cellStyle name="Normal 16 2 2 3 4" xfId="31484" xr:uid="{00000000-0005-0000-0000-0000CF6B0000}"/>
    <cellStyle name="Normal 16 2 2 4" xfId="7169" xr:uid="{00000000-0005-0000-0000-0000D06B0000}"/>
    <cellStyle name="Normal 16 2 2 4 2" xfId="12035" xr:uid="{00000000-0005-0000-0000-0000D16B0000}"/>
    <cellStyle name="Normal 16 2 2 4 2 2" xfId="25750" xr:uid="{00000000-0005-0000-0000-0000D26B0000}"/>
    <cellStyle name="Normal 16 2 2 4 3" xfId="31486" xr:uid="{00000000-0005-0000-0000-0000D36B0000}"/>
    <cellStyle name="Normal 16 2 2 5" xfId="7170" xr:uid="{00000000-0005-0000-0000-0000D46B0000}"/>
    <cellStyle name="Normal 16 2 2 5 2" xfId="13610" xr:uid="{00000000-0005-0000-0000-0000D56B0000}"/>
    <cellStyle name="Normal 16 2 2 5 2 2" xfId="27159" xr:uid="{00000000-0005-0000-0000-0000D66B0000}"/>
    <cellStyle name="Normal 16 2 2 5 3" xfId="31487" xr:uid="{00000000-0005-0000-0000-0000D76B0000}"/>
    <cellStyle name="Normal 16 2 2 6" xfId="7171" xr:uid="{00000000-0005-0000-0000-0000D86B0000}"/>
    <cellStyle name="Normal 16 2 2 6 2" xfId="14191" xr:uid="{00000000-0005-0000-0000-0000D96B0000}"/>
    <cellStyle name="Normal 16 2 2 6 2 2" xfId="27740" xr:uid="{00000000-0005-0000-0000-0000DA6B0000}"/>
    <cellStyle name="Normal 16 2 2 6 3" xfId="31488" xr:uid="{00000000-0005-0000-0000-0000DB6B0000}"/>
    <cellStyle name="Normal 16 2 2 7" xfId="7172" xr:uid="{00000000-0005-0000-0000-0000DC6B0000}"/>
    <cellStyle name="Normal 16 2 2 7 2" xfId="16077" xr:uid="{00000000-0005-0000-0000-0000DD6B0000}"/>
    <cellStyle name="Normal 16 2 2 7 2 2" xfId="29484" xr:uid="{00000000-0005-0000-0000-0000DE6B0000}"/>
    <cellStyle name="Normal 16 2 2 7 3" xfId="31489" xr:uid="{00000000-0005-0000-0000-0000DF6B0000}"/>
    <cellStyle name="Normal 16 2 2 8" xfId="10151" xr:uid="{00000000-0005-0000-0000-0000E06B0000}"/>
    <cellStyle name="Normal 16 2 2 8 2" xfId="24375" xr:uid="{00000000-0005-0000-0000-0000E16B0000}"/>
    <cellStyle name="Normal 16 2 2 9" xfId="31476" xr:uid="{00000000-0005-0000-0000-0000E26B0000}"/>
    <cellStyle name="Normal 16 2 3" xfId="7173" xr:uid="{00000000-0005-0000-0000-0000E36B0000}"/>
    <cellStyle name="Normal 16 2 3 2" xfId="7174" xr:uid="{00000000-0005-0000-0000-0000E46B0000}"/>
    <cellStyle name="Normal 16 2 3 2 2" xfId="7175" xr:uid="{00000000-0005-0000-0000-0000E56B0000}"/>
    <cellStyle name="Normal 16 2 3 2 2 2" xfId="16804" xr:uid="{00000000-0005-0000-0000-0000E66B0000}"/>
    <cellStyle name="Normal 16 2 3 2 2 2 2" xfId="30211" xr:uid="{00000000-0005-0000-0000-0000E76B0000}"/>
    <cellStyle name="Normal 16 2 3 2 2 3" xfId="31492" xr:uid="{00000000-0005-0000-0000-0000E86B0000}"/>
    <cellStyle name="Normal 16 2 3 2 3" xfId="11528" xr:uid="{00000000-0005-0000-0000-0000E96B0000}"/>
    <cellStyle name="Normal 16 2 3 2 3 2" xfId="25360" xr:uid="{00000000-0005-0000-0000-0000EA6B0000}"/>
    <cellStyle name="Normal 16 2 3 2 4" xfId="31491" xr:uid="{00000000-0005-0000-0000-0000EB6B0000}"/>
    <cellStyle name="Normal 16 2 3 3" xfId="7176" xr:uid="{00000000-0005-0000-0000-0000EC6B0000}"/>
    <cellStyle name="Normal 16 2 3 3 2" xfId="12192" xr:uid="{00000000-0005-0000-0000-0000ED6B0000}"/>
    <cellStyle name="Normal 16 2 3 3 2 2" xfId="25904" xr:uid="{00000000-0005-0000-0000-0000EE6B0000}"/>
    <cellStyle name="Normal 16 2 3 3 3" xfId="31493" xr:uid="{00000000-0005-0000-0000-0000EF6B0000}"/>
    <cellStyle name="Normal 16 2 3 4" xfId="7177" xr:uid="{00000000-0005-0000-0000-0000F06B0000}"/>
    <cellStyle name="Normal 16 2 3 4 2" xfId="13756" xr:uid="{00000000-0005-0000-0000-0000F16B0000}"/>
    <cellStyle name="Normal 16 2 3 4 2 2" xfId="27305" xr:uid="{00000000-0005-0000-0000-0000F26B0000}"/>
    <cellStyle name="Normal 16 2 3 4 3" xfId="31494" xr:uid="{00000000-0005-0000-0000-0000F36B0000}"/>
    <cellStyle name="Normal 16 2 3 5" xfId="7178" xr:uid="{00000000-0005-0000-0000-0000F46B0000}"/>
    <cellStyle name="Normal 16 2 3 5 2" xfId="14337" xr:uid="{00000000-0005-0000-0000-0000F56B0000}"/>
    <cellStyle name="Normal 16 2 3 5 2 2" xfId="27886" xr:uid="{00000000-0005-0000-0000-0000F66B0000}"/>
    <cellStyle name="Normal 16 2 3 5 3" xfId="31495" xr:uid="{00000000-0005-0000-0000-0000F76B0000}"/>
    <cellStyle name="Normal 16 2 3 6" xfId="7179" xr:uid="{00000000-0005-0000-0000-0000F86B0000}"/>
    <cellStyle name="Normal 16 2 3 6 2" xfId="16223" xr:uid="{00000000-0005-0000-0000-0000F96B0000}"/>
    <cellStyle name="Normal 16 2 3 6 2 2" xfId="29630" xr:uid="{00000000-0005-0000-0000-0000FA6B0000}"/>
    <cellStyle name="Normal 16 2 3 6 3" xfId="31496" xr:uid="{00000000-0005-0000-0000-0000FB6B0000}"/>
    <cellStyle name="Normal 16 2 3 7" xfId="10153" xr:uid="{00000000-0005-0000-0000-0000FC6B0000}"/>
    <cellStyle name="Normal 16 2 3 7 2" xfId="24377" xr:uid="{00000000-0005-0000-0000-0000FD6B0000}"/>
    <cellStyle name="Normal 16 2 3 8" xfId="31490" xr:uid="{00000000-0005-0000-0000-0000FE6B0000}"/>
    <cellStyle name="Normal 16 2 4" xfId="7180" xr:uid="{00000000-0005-0000-0000-0000FF6B0000}"/>
    <cellStyle name="Normal 16 2 4 2" xfId="7181" xr:uid="{00000000-0005-0000-0000-0000006C0000}"/>
    <cellStyle name="Normal 16 2 4 2 2" xfId="17151" xr:uid="{00000000-0005-0000-0000-0000016C0000}"/>
    <cellStyle name="Normal 16 2 4 2 2 2" xfId="30510" xr:uid="{00000000-0005-0000-0000-0000026C0000}"/>
    <cellStyle name="Normal 16 2 4 2 3" xfId="31498" xr:uid="{00000000-0005-0000-0000-0000036C0000}"/>
    <cellStyle name="Normal 16 2 4 3" xfId="11525" xr:uid="{00000000-0005-0000-0000-0000046C0000}"/>
    <cellStyle name="Normal 16 2 4 3 2" xfId="25357" xr:uid="{00000000-0005-0000-0000-0000056C0000}"/>
    <cellStyle name="Normal 16 2 4 4" xfId="31497" xr:uid="{00000000-0005-0000-0000-0000066C0000}"/>
    <cellStyle name="Normal 16 2 5" xfId="7182" xr:uid="{00000000-0005-0000-0000-0000076C0000}"/>
    <cellStyle name="Normal 16 2 5 2" xfId="7183" xr:uid="{00000000-0005-0000-0000-0000086C0000}"/>
    <cellStyle name="Normal 16 2 5 2 2" xfId="17240" xr:uid="{00000000-0005-0000-0000-0000096C0000}"/>
    <cellStyle name="Normal 16 2 5 2 2 2" xfId="30599" xr:uid="{00000000-0005-0000-0000-00000A6C0000}"/>
    <cellStyle name="Normal 16 2 5 2 3" xfId="31500" xr:uid="{00000000-0005-0000-0000-00000B6C0000}"/>
    <cellStyle name="Normal 16 2 5 3" xfId="11890" xr:uid="{00000000-0005-0000-0000-00000C6C0000}"/>
    <cellStyle name="Normal 16 2 5 3 2" xfId="25605" xr:uid="{00000000-0005-0000-0000-00000D6C0000}"/>
    <cellStyle name="Normal 16 2 5 4" xfId="31499" xr:uid="{00000000-0005-0000-0000-00000E6C0000}"/>
    <cellStyle name="Normal 16 2 6" xfId="7184" xr:uid="{00000000-0005-0000-0000-00000F6C0000}"/>
    <cellStyle name="Normal 16 2 6 2" xfId="7185" xr:uid="{00000000-0005-0000-0000-0000106C0000}"/>
    <cellStyle name="Normal 16 2 6 2 2" xfId="16515" xr:uid="{00000000-0005-0000-0000-0000116C0000}"/>
    <cellStyle name="Normal 16 2 6 2 2 2" xfId="29922" xr:uid="{00000000-0005-0000-0000-0000126C0000}"/>
    <cellStyle name="Normal 16 2 6 2 3" xfId="31502" xr:uid="{00000000-0005-0000-0000-0000136C0000}"/>
    <cellStyle name="Normal 16 2 6 3" xfId="13467" xr:uid="{00000000-0005-0000-0000-0000146C0000}"/>
    <cellStyle name="Normal 16 2 6 3 2" xfId="27016" xr:uid="{00000000-0005-0000-0000-0000156C0000}"/>
    <cellStyle name="Normal 16 2 6 4" xfId="31501" xr:uid="{00000000-0005-0000-0000-0000166C0000}"/>
    <cellStyle name="Normal 16 2 7" xfId="7186" xr:uid="{00000000-0005-0000-0000-0000176C0000}"/>
    <cellStyle name="Normal 16 2 7 2" xfId="14048" xr:uid="{00000000-0005-0000-0000-0000186C0000}"/>
    <cellStyle name="Normal 16 2 7 2 2" xfId="27597" xr:uid="{00000000-0005-0000-0000-0000196C0000}"/>
    <cellStyle name="Normal 16 2 7 3" xfId="31503" xr:uid="{00000000-0005-0000-0000-00001A6C0000}"/>
    <cellStyle name="Normal 16 2 8" xfId="7187" xr:uid="{00000000-0005-0000-0000-00001B6C0000}"/>
    <cellStyle name="Normal 16 2 8 2" xfId="15934" xr:uid="{00000000-0005-0000-0000-00001C6C0000}"/>
    <cellStyle name="Normal 16 2 8 2 2" xfId="29341" xr:uid="{00000000-0005-0000-0000-00001D6C0000}"/>
    <cellStyle name="Normal 16 2 8 3" xfId="31504" xr:uid="{00000000-0005-0000-0000-00001E6C0000}"/>
    <cellStyle name="Normal 16 2 9" xfId="10150" xr:uid="{00000000-0005-0000-0000-00001F6C0000}"/>
    <cellStyle name="Normal 16 2 9 2" xfId="24374" xr:uid="{00000000-0005-0000-0000-0000206C0000}"/>
    <cellStyle name="Normal 16 3" xfId="7188" xr:uid="{00000000-0005-0000-0000-0000216C0000}"/>
    <cellStyle name="Normal 16 3 2" xfId="7189" xr:uid="{00000000-0005-0000-0000-0000226C0000}"/>
    <cellStyle name="Normal 16 3 2 2" xfId="7190" xr:uid="{00000000-0005-0000-0000-0000236C0000}"/>
    <cellStyle name="Normal 16 3 2 2 2" xfId="7191" xr:uid="{00000000-0005-0000-0000-0000246C0000}"/>
    <cellStyle name="Normal 16 3 2 2 2 2" xfId="16901" xr:uid="{00000000-0005-0000-0000-0000256C0000}"/>
    <cellStyle name="Normal 16 3 2 2 2 2 2" xfId="30308" xr:uid="{00000000-0005-0000-0000-0000266C0000}"/>
    <cellStyle name="Normal 16 3 2 2 2 3" xfId="31508" xr:uid="{00000000-0005-0000-0000-0000276C0000}"/>
    <cellStyle name="Normal 16 3 2 2 3" xfId="11530" xr:uid="{00000000-0005-0000-0000-0000286C0000}"/>
    <cellStyle name="Normal 16 3 2 2 3 2" xfId="25362" xr:uid="{00000000-0005-0000-0000-0000296C0000}"/>
    <cellStyle name="Normal 16 3 2 2 4" xfId="31507" xr:uid="{00000000-0005-0000-0000-00002A6C0000}"/>
    <cellStyle name="Normal 16 3 2 3" xfId="7192" xr:uid="{00000000-0005-0000-0000-00002B6C0000}"/>
    <cellStyle name="Normal 16 3 2 3 2" xfId="12289" xr:uid="{00000000-0005-0000-0000-00002C6C0000}"/>
    <cellStyle name="Normal 16 3 2 3 2 2" xfId="26001" xr:uid="{00000000-0005-0000-0000-00002D6C0000}"/>
    <cellStyle name="Normal 16 3 2 3 3" xfId="31509" xr:uid="{00000000-0005-0000-0000-00002E6C0000}"/>
    <cellStyle name="Normal 16 3 2 4" xfId="7193" xr:uid="{00000000-0005-0000-0000-00002F6C0000}"/>
    <cellStyle name="Normal 16 3 2 4 2" xfId="13853" xr:uid="{00000000-0005-0000-0000-0000306C0000}"/>
    <cellStyle name="Normal 16 3 2 4 2 2" xfId="27402" xr:uid="{00000000-0005-0000-0000-0000316C0000}"/>
    <cellStyle name="Normal 16 3 2 4 3" xfId="31510" xr:uid="{00000000-0005-0000-0000-0000326C0000}"/>
    <cellStyle name="Normal 16 3 2 5" xfId="7194" xr:uid="{00000000-0005-0000-0000-0000336C0000}"/>
    <cellStyle name="Normal 16 3 2 5 2" xfId="14434" xr:uid="{00000000-0005-0000-0000-0000346C0000}"/>
    <cellStyle name="Normal 16 3 2 5 2 2" xfId="27983" xr:uid="{00000000-0005-0000-0000-0000356C0000}"/>
    <cellStyle name="Normal 16 3 2 5 3" xfId="31511" xr:uid="{00000000-0005-0000-0000-0000366C0000}"/>
    <cellStyle name="Normal 16 3 2 6" xfId="7195" xr:uid="{00000000-0005-0000-0000-0000376C0000}"/>
    <cellStyle name="Normal 16 3 2 6 2" xfId="16320" xr:uid="{00000000-0005-0000-0000-0000386C0000}"/>
    <cellStyle name="Normal 16 3 2 6 2 2" xfId="29727" xr:uid="{00000000-0005-0000-0000-0000396C0000}"/>
    <cellStyle name="Normal 16 3 2 6 3" xfId="31512" xr:uid="{00000000-0005-0000-0000-00003A6C0000}"/>
    <cellStyle name="Normal 16 3 2 7" xfId="10155" xr:uid="{00000000-0005-0000-0000-00003B6C0000}"/>
    <cellStyle name="Normal 16 3 2 7 2" xfId="24379" xr:uid="{00000000-0005-0000-0000-00003C6C0000}"/>
    <cellStyle name="Normal 16 3 2 8" xfId="31506" xr:uid="{00000000-0005-0000-0000-00003D6C0000}"/>
    <cellStyle name="Normal 16 3 3" xfId="7196" xr:uid="{00000000-0005-0000-0000-00003E6C0000}"/>
    <cellStyle name="Normal 16 3 3 2" xfId="7197" xr:uid="{00000000-0005-0000-0000-00003F6C0000}"/>
    <cellStyle name="Normal 16 3 3 2 2" xfId="16612" xr:uid="{00000000-0005-0000-0000-0000406C0000}"/>
    <cellStyle name="Normal 16 3 3 2 2 2" xfId="30019" xr:uid="{00000000-0005-0000-0000-0000416C0000}"/>
    <cellStyle name="Normal 16 3 3 2 3" xfId="31514" xr:uid="{00000000-0005-0000-0000-0000426C0000}"/>
    <cellStyle name="Normal 16 3 3 3" xfId="11529" xr:uid="{00000000-0005-0000-0000-0000436C0000}"/>
    <cellStyle name="Normal 16 3 3 3 2" xfId="25361" xr:uid="{00000000-0005-0000-0000-0000446C0000}"/>
    <cellStyle name="Normal 16 3 3 4" xfId="31513" xr:uid="{00000000-0005-0000-0000-0000456C0000}"/>
    <cellStyle name="Normal 16 3 4" xfId="7198" xr:uid="{00000000-0005-0000-0000-0000466C0000}"/>
    <cellStyle name="Normal 16 3 4 2" xfId="11989" xr:uid="{00000000-0005-0000-0000-0000476C0000}"/>
    <cellStyle name="Normal 16 3 4 2 2" xfId="25704" xr:uid="{00000000-0005-0000-0000-0000486C0000}"/>
    <cellStyle name="Normal 16 3 4 3" xfId="31515" xr:uid="{00000000-0005-0000-0000-0000496C0000}"/>
    <cellStyle name="Normal 16 3 5" xfId="7199" xr:uid="{00000000-0005-0000-0000-00004A6C0000}"/>
    <cellStyle name="Normal 16 3 5 2" xfId="13564" xr:uid="{00000000-0005-0000-0000-00004B6C0000}"/>
    <cellStyle name="Normal 16 3 5 2 2" xfId="27113" xr:uid="{00000000-0005-0000-0000-00004C6C0000}"/>
    <cellStyle name="Normal 16 3 5 3" xfId="31516" xr:uid="{00000000-0005-0000-0000-00004D6C0000}"/>
    <cellStyle name="Normal 16 3 6" xfId="7200" xr:uid="{00000000-0005-0000-0000-00004E6C0000}"/>
    <cellStyle name="Normal 16 3 6 2" xfId="14145" xr:uid="{00000000-0005-0000-0000-00004F6C0000}"/>
    <cellStyle name="Normal 16 3 6 2 2" xfId="27694" xr:uid="{00000000-0005-0000-0000-0000506C0000}"/>
    <cellStyle name="Normal 16 3 6 3" xfId="31517" xr:uid="{00000000-0005-0000-0000-0000516C0000}"/>
    <cellStyle name="Normal 16 3 7" xfId="7201" xr:uid="{00000000-0005-0000-0000-0000526C0000}"/>
    <cellStyle name="Normal 16 3 7 2" xfId="16031" xr:uid="{00000000-0005-0000-0000-0000536C0000}"/>
    <cellStyle name="Normal 16 3 7 2 2" xfId="29438" xr:uid="{00000000-0005-0000-0000-0000546C0000}"/>
    <cellStyle name="Normal 16 3 7 3" xfId="31518" xr:uid="{00000000-0005-0000-0000-0000556C0000}"/>
    <cellStyle name="Normal 16 3 8" xfId="10154" xr:uid="{00000000-0005-0000-0000-0000566C0000}"/>
    <cellStyle name="Normal 16 3 8 2" xfId="24378" xr:uid="{00000000-0005-0000-0000-0000576C0000}"/>
    <cellStyle name="Normal 16 3 9" xfId="31505" xr:uid="{00000000-0005-0000-0000-0000586C0000}"/>
    <cellStyle name="Normal 16 4" xfId="7202" xr:uid="{00000000-0005-0000-0000-0000596C0000}"/>
    <cellStyle name="Normal 16 4 2" xfId="7203" xr:uid="{00000000-0005-0000-0000-00005A6C0000}"/>
    <cellStyle name="Normal 16 4 2 2" xfId="7204" xr:uid="{00000000-0005-0000-0000-00005B6C0000}"/>
    <cellStyle name="Normal 16 4 2 2 2" xfId="16758" xr:uid="{00000000-0005-0000-0000-00005C6C0000}"/>
    <cellStyle name="Normal 16 4 2 2 2 2" xfId="30165" xr:uid="{00000000-0005-0000-0000-00005D6C0000}"/>
    <cellStyle name="Normal 16 4 2 2 3" xfId="31521" xr:uid="{00000000-0005-0000-0000-00005E6C0000}"/>
    <cellStyle name="Normal 16 4 2 3" xfId="11531" xr:uid="{00000000-0005-0000-0000-00005F6C0000}"/>
    <cellStyle name="Normal 16 4 2 3 2" xfId="25363" xr:uid="{00000000-0005-0000-0000-0000606C0000}"/>
    <cellStyle name="Normal 16 4 2 4" xfId="31520" xr:uid="{00000000-0005-0000-0000-0000616C0000}"/>
    <cellStyle name="Normal 16 4 3" xfId="7205" xr:uid="{00000000-0005-0000-0000-0000626C0000}"/>
    <cellStyle name="Normal 16 4 3 2" xfId="12146" xr:uid="{00000000-0005-0000-0000-0000636C0000}"/>
    <cellStyle name="Normal 16 4 3 2 2" xfId="25858" xr:uid="{00000000-0005-0000-0000-0000646C0000}"/>
    <cellStyle name="Normal 16 4 3 3" xfId="31522" xr:uid="{00000000-0005-0000-0000-0000656C0000}"/>
    <cellStyle name="Normal 16 4 4" xfId="7206" xr:uid="{00000000-0005-0000-0000-0000666C0000}"/>
    <cellStyle name="Normal 16 4 4 2" xfId="13710" xr:uid="{00000000-0005-0000-0000-0000676C0000}"/>
    <cellStyle name="Normal 16 4 4 2 2" xfId="27259" xr:uid="{00000000-0005-0000-0000-0000686C0000}"/>
    <cellStyle name="Normal 16 4 4 3" xfId="31523" xr:uid="{00000000-0005-0000-0000-0000696C0000}"/>
    <cellStyle name="Normal 16 4 5" xfId="7207" xr:uid="{00000000-0005-0000-0000-00006A6C0000}"/>
    <cellStyle name="Normal 16 4 5 2" xfId="14291" xr:uid="{00000000-0005-0000-0000-00006B6C0000}"/>
    <cellStyle name="Normal 16 4 5 2 2" xfId="27840" xr:uid="{00000000-0005-0000-0000-00006C6C0000}"/>
    <cellStyle name="Normal 16 4 5 3" xfId="31524" xr:uid="{00000000-0005-0000-0000-00006D6C0000}"/>
    <cellStyle name="Normal 16 4 6" xfId="7208" xr:uid="{00000000-0005-0000-0000-00006E6C0000}"/>
    <cellStyle name="Normal 16 4 6 2" xfId="16177" xr:uid="{00000000-0005-0000-0000-00006F6C0000}"/>
    <cellStyle name="Normal 16 4 6 2 2" xfId="29584" xr:uid="{00000000-0005-0000-0000-0000706C0000}"/>
    <cellStyle name="Normal 16 4 6 3" xfId="31525" xr:uid="{00000000-0005-0000-0000-0000716C0000}"/>
    <cellStyle name="Normal 16 4 7" xfId="10156" xr:uid="{00000000-0005-0000-0000-0000726C0000}"/>
    <cellStyle name="Normal 16 4 7 2" xfId="24380" xr:uid="{00000000-0005-0000-0000-0000736C0000}"/>
    <cellStyle name="Normal 16 4 8" xfId="31519" xr:uid="{00000000-0005-0000-0000-0000746C0000}"/>
    <cellStyle name="Normal 16 5" xfId="7209" xr:uid="{00000000-0005-0000-0000-0000756C0000}"/>
    <cellStyle name="Normal 16 5 2" xfId="7210" xr:uid="{00000000-0005-0000-0000-0000766C0000}"/>
    <cellStyle name="Normal 16 5 2 2" xfId="17105" xr:uid="{00000000-0005-0000-0000-0000776C0000}"/>
    <cellStyle name="Normal 16 5 2 2 2" xfId="30464" xr:uid="{00000000-0005-0000-0000-0000786C0000}"/>
    <cellStyle name="Normal 16 5 2 3" xfId="31527" xr:uid="{00000000-0005-0000-0000-0000796C0000}"/>
    <cellStyle name="Normal 16 5 3" xfId="11524" xr:uid="{00000000-0005-0000-0000-00007A6C0000}"/>
    <cellStyle name="Normal 16 5 3 2" xfId="25356" xr:uid="{00000000-0005-0000-0000-00007B6C0000}"/>
    <cellStyle name="Normal 16 5 4" xfId="31526" xr:uid="{00000000-0005-0000-0000-00007C6C0000}"/>
    <cellStyle name="Normal 16 6" xfId="7211" xr:uid="{00000000-0005-0000-0000-00007D6C0000}"/>
    <cellStyle name="Normal 16 6 2" xfId="7212" xr:uid="{00000000-0005-0000-0000-00007E6C0000}"/>
    <cellStyle name="Normal 16 6 2 2" xfId="17194" xr:uid="{00000000-0005-0000-0000-00007F6C0000}"/>
    <cellStyle name="Normal 16 6 2 2 2" xfId="30553" xr:uid="{00000000-0005-0000-0000-0000806C0000}"/>
    <cellStyle name="Normal 16 6 2 3" xfId="31529" xr:uid="{00000000-0005-0000-0000-0000816C0000}"/>
    <cellStyle name="Normal 16 6 3" xfId="11820" xr:uid="{00000000-0005-0000-0000-0000826C0000}"/>
    <cellStyle name="Normal 16 6 3 2" xfId="25535" xr:uid="{00000000-0005-0000-0000-0000836C0000}"/>
    <cellStyle name="Normal 16 6 4" xfId="31528" xr:uid="{00000000-0005-0000-0000-0000846C0000}"/>
    <cellStyle name="Normal 16 7" xfId="7213" xr:uid="{00000000-0005-0000-0000-0000856C0000}"/>
    <cellStyle name="Normal 16 7 2" xfId="7214" xr:uid="{00000000-0005-0000-0000-0000866C0000}"/>
    <cellStyle name="Normal 16 7 2 2" xfId="16469" xr:uid="{00000000-0005-0000-0000-0000876C0000}"/>
    <cellStyle name="Normal 16 7 2 2 2" xfId="29876" xr:uid="{00000000-0005-0000-0000-0000886C0000}"/>
    <cellStyle name="Normal 16 7 2 3" xfId="31531" xr:uid="{00000000-0005-0000-0000-0000896C0000}"/>
    <cellStyle name="Normal 16 7 3" xfId="13421" xr:uid="{00000000-0005-0000-0000-00008A6C0000}"/>
    <cellStyle name="Normal 16 7 3 2" xfId="26970" xr:uid="{00000000-0005-0000-0000-00008B6C0000}"/>
    <cellStyle name="Normal 16 7 4" xfId="31530" xr:uid="{00000000-0005-0000-0000-00008C6C0000}"/>
    <cellStyle name="Normal 16 8" xfId="7215" xr:uid="{00000000-0005-0000-0000-00008D6C0000}"/>
    <cellStyle name="Normal 16 8 2" xfId="14002" xr:uid="{00000000-0005-0000-0000-00008E6C0000}"/>
    <cellStyle name="Normal 16 8 2 2" xfId="27551" xr:uid="{00000000-0005-0000-0000-00008F6C0000}"/>
    <cellStyle name="Normal 16 8 3" xfId="31532" xr:uid="{00000000-0005-0000-0000-0000906C0000}"/>
    <cellStyle name="Normal 16 9" xfId="7216" xr:uid="{00000000-0005-0000-0000-0000916C0000}"/>
    <cellStyle name="Normal 16 9 2" xfId="15888" xr:uid="{00000000-0005-0000-0000-0000926C0000}"/>
    <cellStyle name="Normal 16 9 2 2" xfId="29295" xr:uid="{00000000-0005-0000-0000-0000936C0000}"/>
    <cellStyle name="Normal 16 9 3" xfId="31533" xr:uid="{00000000-0005-0000-0000-0000946C0000}"/>
    <cellStyle name="Normal 17" xfId="7217" xr:uid="{00000000-0005-0000-0000-0000956C0000}"/>
    <cellStyle name="Normal 17 2" xfId="7218" xr:uid="{00000000-0005-0000-0000-0000966C0000}"/>
    <cellStyle name="Normal 17 2 2" xfId="10158" xr:uid="{00000000-0005-0000-0000-0000976C0000}"/>
    <cellStyle name="Normal 17 3" xfId="10157" xr:uid="{00000000-0005-0000-0000-0000986C0000}"/>
    <cellStyle name="Normal 18" xfId="7219" xr:uid="{00000000-0005-0000-0000-0000996C0000}"/>
    <cellStyle name="Normal 18 2" xfId="7220" xr:uid="{00000000-0005-0000-0000-00009A6C0000}"/>
    <cellStyle name="Normal 18 2 2" xfId="10160" xr:uid="{00000000-0005-0000-0000-00009B6C0000}"/>
    <cellStyle name="Normal 18 3" xfId="10159" xr:uid="{00000000-0005-0000-0000-00009C6C0000}"/>
    <cellStyle name="Normal 19" xfId="7221" xr:uid="{00000000-0005-0000-0000-00009D6C0000}"/>
    <cellStyle name="Normal 19 10" xfId="31534" xr:uid="{00000000-0005-0000-0000-00009E6C0000}"/>
    <cellStyle name="Normal 19 2" xfId="7222" xr:uid="{00000000-0005-0000-0000-00009F6C0000}"/>
    <cellStyle name="Normal 19 2 2" xfId="7223" xr:uid="{00000000-0005-0000-0000-0000A06C0000}"/>
    <cellStyle name="Normal 19 2 2 2" xfId="7224" xr:uid="{00000000-0005-0000-0000-0000A16C0000}"/>
    <cellStyle name="Normal 19 2 2 2 2" xfId="7225" xr:uid="{00000000-0005-0000-0000-0000A26C0000}"/>
    <cellStyle name="Normal 19 2 2 2 2 2" xfId="16924" xr:uid="{00000000-0005-0000-0000-0000A36C0000}"/>
    <cellStyle name="Normal 19 2 2 2 2 2 2" xfId="30331" xr:uid="{00000000-0005-0000-0000-0000A46C0000}"/>
    <cellStyle name="Normal 19 2 2 2 2 3" xfId="31538" xr:uid="{00000000-0005-0000-0000-0000A56C0000}"/>
    <cellStyle name="Normal 19 2 2 2 3" xfId="11534" xr:uid="{00000000-0005-0000-0000-0000A66C0000}"/>
    <cellStyle name="Normal 19 2 2 2 3 2" xfId="25366" xr:uid="{00000000-0005-0000-0000-0000A76C0000}"/>
    <cellStyle name="Normal 19 2 2 2 4" xfId="31537" xr:uid="{00000000-0005-0000-0000-0000A86C0000}"/>
    <cellStyle name="Normal 19 2 2 3" xfId="7226" xr:uid="{00000000-0005-0000-0000-0000A96C0000}"/>
    <cellStyle name="Normal 19 2 2 3 2" xfId="12312" xr:uid="{00000000-0005-0000-0000-0000AA6C0000}"/>
    <cellStyle name="Normal 19 2 2 3 2 2" xfId="26024" xr:uid="{00000000-0005-0000-0000-0000AB6C0000}"/>
    <cellStyle name="Normal 19 2 2 3 3" xfId="31539" xr:uid="{00000000-0005-0000-0000-0000AC6C0000}"/>
    <cellStyle name="Normal 19 2 2 4" xfId="7227" xr:uid="{00000000-0005-0000-0000-0000AD6C0000}"/>
    <cellStyle name="Normal 19 2 2 4 2" xfId="13876" xr:uid="{00000000-0005-0000-0000-0000AE6C0000}"/>
    <cellStyle name="Normal 19 2 2 4 2 2" xfId="27425" xr:uid="{00000000-0005-0000-0000-0000AF6C0000}"/>
    <cellStyle name="Normal 19 2 2 4 3" xfId="31540" xr:uid="{00000000-0005-0000-0000-0000B06C0000}"/>
    <cellStyle name="Normal 19 2 2 5" xfId="7228" xr:uid="{00000000-0005-0000-0000-0000B16C0000}"/>
    <cellStyle name="Normal 19 2 2 5 2" xfId="14457" xr:uid="{00000000-0005-0000-0000-0000B26C0000}"/>
    <cellStyle name="Normal 19 2 2 5 2 2" xfId="28006" xr:uid="{00000000-0005-0000-0000-0000B36C0000}"/>
    <cellStyle name="Normal 19 2 2 5 3" xfId="31541" xr:uid="{00000000-0005-0000-0000-0000B46C0000}"/>
    <cellStyle name="Normal 19 2 2 6" xfId="7229" xr:uid="{00000000-0005-0000-0000-0000B56C0000}"/>
    <cellStyle name="Normal 19 2 2 6 2" xfId="16343" xr:uid="{00000000-0005-0000-0000-0000B66C0000}"/>
    <cellStyle name="Normal 19 2 2 6 2 2" xfId="29750" xr:uid="{00000000-0005-0000-0000-0000B76C0000}"/>
    <cellStyle name="Normal 19 2 2 6 3" xfId="31542" xr:uid="{00000000-0005-0000-0000-0000B86C0000}"/>
    <cellStyle name="Normal 19 2 2 7" xfId="10163" xr:uid="{00000000-0005-0000-0000-0000B96C0000}"/>
    <cellStyle name="Normal 19 2 2 7 2" xfId="24383" xr:uid="{00000000-0005-0000-0000-0000BA6C0000}"/>
    <cellStyle name="Normal 19 2 2 8" xfId="31536" xr:uid="{00000000-0005-0000-0000-0000BB6C0000}"/>
    <cellStyle name="Normal 19 2 3" xfId="7230" xr:uid="{00000000-0005-0000-0000-0000BC6C0000}"/>
    <cellStyle name="Normal 19 2 3 2" xfId="7231" xr:uid="{00000000-0005-0000-0000-0000BD6C0000}"/>
    <cellStyle name="Normal 19 2 3 2 2" xfId="16635" xr:uid="{00000000-0005-0000-0000-0000BE6C0000}"/>
    <cellStyle name="Normal 19 2 3 2 2 2" xfId="30042" xr:uid="{00000000-0005-0000-0000-0000BF6C0000}"/>
    <cellStyle name="Normal 19 2 3 2 3" xfId="31544" xr:uid="{00000000-0005-0000-0000-0000C06C0000}"/>
    <cellStyle name="Normal 19 2 3 3" xfId="11533" xr:uid="{00000000-0005-0000-0000-0000C16C0000}"/>
    <cellStyle name="Normal 19 2 3 3 2" xfId="25365" xr:uid="{00000000-0005-0000-0000-0000C26C0000}"/>
    <cellStyle name="Normal 19 2 3 4" xfId="31543" xr:uid="{00000000-0005-0000-0000-0000C36C0000}"/>
    <cellStyle name="Normal 19 2 4" xfId="7232" xr:uid="{00000000-0005-0000-0000-0000C46C0000}"/>
    <cellStyle name="Normal 19 2 4 2" xfId="12012" xr:uid="{00000000-0005-0000-0000-0000C56C0000}"/>
    <cellStyle name="Normal 19 2 4 2 2" xfId="25727" xr:uid="{00000000-0005-0000-0000-0000C66C0000}"/>
    <cellStyle name="Normal 19 2 4 3" xfId="31545" xr:uid="{00000000-0005-0000-0000-0000C76C0000}"/>
    <cellStyle name="Normal 19 2 5" xfId="7233" xr:uid="{00000000-0005-0000-0000-0000C86C0000}"/>
    <cellStyle name="Normal 19 2 5 2" xfId="13587" xr:uid="{00000000-0005-0000-0000-0000C96C0000}"/>
    <cellStyle name="Normal 19 2 5 2 2" xfId="27136" xr:uid="{00000000-0005-0000-0000-0000CA6C0000}"/>
    <cellStyle name="Normal 19 2 5 3" xfId="31546" xr:uid="{00000000-0005-0000-0000-0000CB6C0000}"/>
    <cellStyle name="Normal 19 2 6" xfId="7234" xr:uid="{00000000-0005-0000-0000-0000CC6C0000}"/>
    <cellStyle name="Normal 19 2 6 2" xfId="14168" xr:uid="{00000000-0005-0000-0000-0000CD6C0000}"/>
    <cellStyle name="Normal 19 2 6 2 2" xfId="27717" xr:uid="{00000000-0005-0000-0000-0000CE6C0000}"/>
    <cellStyle name="Normal 19 2 6 3" xfId="31547" xr:uid="{00000000-0005-0000-0000-0000CF6C0000}"/>
    <cellStyle name="Normal 19 2 7" xfId="7235" xr:uid="{00000000-0005-0000-0000-0000D06C0000}"/>
    <cellStyle name="Normal 19 2 7 2" xfId="16054" xr:uid="{00000000-0005-0000-0000-0000D16C0000}"/>
    <cellStyle name="Normal 19 2 7 2 2" xfId="29461" xr:uid="{00000000-0005-0000-0000-0000D26C0000}"/>
    <cellStyle name="Normal 19 2 7 3" xfId="31548" xr:uid="{00000000-0005-0000-0000-0000D36C0000}"/>
    <cellStyle name="Normal 19 2 8" xfId="10162" xr:uid="{00000000-0005-0000-0000-0000D46C0000}"/>
    <cellStyle name="Normal 19 2 8 2" xfId="24382" xr:uid="{00000000-0005-0000-0000-0000D56C0000}"/>
    <cellStyle name="Normal 19 2 9" xfId="31535" xr:uid="{00000000-0005-0000-0000-0000D66C0000}"/>
    <cellStyle name="Normal 19 3" xfId="7236" xr:uid="{00000000-0005-0000-0000-0000D76C0000}"/>
    <cellStyle name="Normal 19 3 2" xfId="7237" xr:uid="{00000000-0005-0000-0000-0000D86C0000}"/>
    <cellStyle name="Normal 19 3 2 2" xfId="7238" xr:uid="{00000000-0005-0000-0000-0000D96C0000}"/>
    <cellStyle name="Normal 19 3 2 2 2" xfId="16781" xr:uid="{00000000-0005-0000-0000-0000DA6C0000}"/>
    <cellStyle name="Normal 19 3 2 2 2 2" xfId="30188" xr:uid="{00000000-0005-0000-0000-0000DB6C0000}"/>
    <cellStyle name="Normal 19 3 2 2 3" xfId="31551" xr:uid="{00000000-0005-0000-0000-0000DC6C0000}"/>
    <cellStyle name="Normal 19 3 2 3" xfId="11535" xr:uid="{00000000-0005-0000-0000-0000DD6C0000}"/>
    <cellStyle name="Normal 19 3 2 3 2" xfId="25367" xr:uid="{00000000-0005-0000-0000-0000DE6C0000}"/>
    <cellStyle name="Normal 19 3 2 4" xfId="31550" xr:uid="{00000000-0005-0000-0000-0000DF6C0000}"/>
    <cellStyle name="Normal 19 3 3" xfId="7239" xr:uid="{00000000-0005-0000-0000-0000E06C0000}"/>
    <cellStyle name="Normal 19 3 3 2" xfId="12169" xr:uid="{00000000-0005-0000-0000-0000E16C0000}"/>
    <cellStyle name="Normal 19 3 3 2 2" xfId="25881" xr:uid="{00000000-0005-0000-0000-0000E26C0000}"/>
    <cellStyle name="Normal 19 3 3 3" xfId="31552" xr:uid="{00000000-0005-0000-0000-0000E36C0000}"/>
    <cellStyle name="Normal 19 3 4" xfId="7240" xr:uid="{00000000-0005-0000-0000-0000E46C0000}"/>
    <cellStyle name="Normal 19 3 4 2" xfId="13733" xr:uid="{00000000-0005-0000-0000-0000E56C0000}"/>
    <cellStyle name="Normal 19 3 4 2 2" xfId="27282" xr:uid="{00000000-0005-0000-0000-0000E66C0000}"/>
    <cellStyle name="Normal 19 3 4 3" xfId="31553" xr:uid="{00000000-0005-0000-0000-0000E76C0000}"/>
    <cellStyle name="Normal 19 3 5" xfId="7241" xr:uid="{00000000-0005-0000-0000-0000E86C0000}"/>
    <cellStyle name="Normal 19 3 5 2" xfId="14314" xr:uid="{00000000-0005-0000-0000-0000E96C0000}"/>
    <cellStyle name="Normal 19 3 5 2 2" xfId="27863" xr:uid="{00000000-0005-0000-0000-0000EA6C0000}"/>
    <cellStyle name="Normal 19 3 5 3" xfId="31554" xr:uid="{00000000-0005-0000-0000-0000EB6C0000}"/>
    <cellStyle name="Normal 19 3 6" xfId="7242" xr:uid="{00000000-0005-0000-0000-0000EC6C0000}"/>
    <cellStyle name="Normal 19 3 6 2" xfId="16200" xr:uid="{00000000-0005-0000-0000-0000ED6C0000}"/>
    <cellStyle name="Normal 19 3 6 2 2" xfId="29607" xr:uid="{00000000-0005-0000-0000-0000EE6C0000}"/>
    <cellStyle name="Normal 19 3 6 3" xfId="31555" xr:uid="{00000000-0005-0000-0000-0000EF6C0000}"/>
    <cellStyle name="Normal 19 3 7" xfId="10164" xr:uid="{00000000-0005-0000-0000-0000F06C0000}"/>
    <cellStyle name="Normal 19 3 7 2" xfId="24384" xr:uid="{00000000-0005-0000-0000-0000F16C0000}"/>
    <cellStyle name="Normal 19 3 8" xfId="31549" xr:uid="{00000000-0005-0000-0000-0000F26C0000}"/>
    <cellStyle name="Normal 19 4" xfId="7243" xr:uid="{00000000-0005-0000-0000-0000F36C0000}"/>
    <cellStyle name="Normal 19 4 2" xfId="7244" xr:uid="{00000000-0005-0000-0000-0000F46C0000}"/>
    <cellStyle name="Normal 19 4 2 2" xfId="17128" xr:uid="{00000000-0005-0000-0000-0000F56C0000}"/>
    <cellStyle name="Normal 19 4 2 2 2" xfId="30487" xr:uid="{00000000-0005-0000-0000-0000F66C0000}"/>
    <cellStyle name="Normal 19 4 2 3" xfId="31557" xr:uid="{00000000-0005-0000-0000-0000F76C0000}"/>
    <cellStyle name="Normal 19 4 3" xfId="11532" xr:uid="{00000000-0005-0000-0000-0000F86C0000}"/>
    <cellStyle name="Normal 19 4 3 2" xfId="25364" xr:uid="{00000000-0005-0000-0000-0000F96C0000}"/>
    <cellStyle name="Normal 19 4 4" xfId="31556" xr:uid="{00000000-0005-0000-0000-0000FA6C0000}"/>
    <cellStyle name="Normal 19 5" xfId="7245" xr:uid="{00000000-0005-0000-0000-0000FB6C0000}"/>
    <cellStyle name="Normal 19 5 2" xfId="7246" xr:uid="{00000000-0005-0000-0000-0000FC6C0000}"/>
    <cellStyle name="Normal 19 5 2 2" xfId="17217" xr:uid="{00000000-0005-0000-0000-0000FD6C0000}"/>
    <cellStyle name="Normal 19 5 2 2 2" xfId="30576" xr:uid="{00000000-0005-0000-0000-0000FE6C0000}"/>
    <cellStyle name="Normal 19 5 2 3" xfId="31559" xr:uid="{00000000-0005-0000-0000-0000FF6C0000}"/>
    <cellStyle name="Normal 19 5 3" xfId="11864" xr:uid="{00000000-0005-0000-0000-0000006D0000}"/>
    <cellStyle name="Normal 19 5 3 2" xfId="25579" xr:uid="{00000000-0005-0000-0000-0000016D0000}"/>
    <cellStyle name="Normal 19 5 4" xfId="31558" xr:uid="{00000000-0005-0000-0000-0000026D0000}"/>
    <cellStyle name="Normal 19 6" xfId="7247" xr:uid="{00000000-0005-0000-0000-0000036D0000}"/>
    <cellStyle name="Normal 19 6 2" xfId="7248" xr:uid="{00000000-0005-0000-0000-0000046D0000}"/>
    <cellStyle name="Normal 19 6 2 2" xfId="16492" xr:uid="{00000000-0005-0000-0000-0000056D0000}"/>
    <cellStyle name="Normal 19 6 2 2 2" xfId="29899" xr:uid="{00000000-0005-0000-0000-0000066D0000}"/>
    <cellStyle name="Normal 19 6 2 3" xfId="31561" xr:uid="{00000000-0005-0000-0000-0000076D0000}"/>
    <cellStyle name="Normal 19 6 3" xfId="13444" xr:uid="{00000000-0005-0000-0000-0000086D0000}"/>
    <cellStyle name="Normal 19 6 3 2" xfId="26993" xr:uid="{00000000-0005-0000-0000-0000096D0000}"/>
    <cellStyle name="Normal 19 6 4" xfId="31560" xr:uid="{00000000-0005-0000-0000-00000A6D0000}"/>
    <cellStyle name="Normal 19 7" xfId="7249" xr:uid="{00000000-0005-0000-0000-00000B6D0000}"/>
    <cellStyle name="Normal 19 7 2" xfId="14025" xr:uid="{00000000-0005-0000-0000-00000C6D0000}"/>
    <cellStyle name="Normal 19 7 2 2" xfId="27574" xr:uid="{00000000-0005-0000-0000-00000D6D0000}"/>
    <cellStyle name="Normal 19 7 3" xfId="31562" xr:uid="{00000000-0005-0000-0000-00000E6D0000}"/>
    <cellStyle name="Normal 19 8" xfId="7250" xr:uid="{00000000-0005-0000-0000-00000F6D0000}"/>
    <cellStyle name="Normal 19 8 2" xfId="15911" xr:uid="{00000000-0005-0000-0000-0000106D0000}"/>
    <cellStyle name="Normal 19 8 2 2" xfId="29318" xr:uid="{00000000-0005-0000-0000-0000116D0000}"/>
    <cellStyle name="Normal 19 8 3" xfId="31563" xr:uid="{00000000-0005-0000-0000-0000126D0000}"/>
    <cellStyle name="Normal 19 9" xfId="10161" xr:uid="{00000000-0005-0000-0000-0000136D0000}"/>
    <cellStyle name="Normal 19 9 2" xfId="24381" xr:uid="{00000000-0005-0000-0000-0000146D0000}"/>
    <cellStyle name="Normal 2" xfId="7251" xr:uid="{00000000-0005-0000-0000-0000156D0000}"/>
    <cellStyle name="Normal 2 2" xfId="7252" xr:uid="{00000000-0005-0000-0000-0000166D0000}"/>
    <cellStyle name="Normal 2 2 2" xfId="7253" xr:uid="{00000000-0005-0000-0000-0000176D0000}"/>
    <cellStyle name="Normal 2 2 2 10" xfId="32928" xr:uid="{00000000-0005-0000-0000-0000186D0000}"/>
    <cellStyle name="Normal 2 2 2 11" xfId="32987" xr:uid="{00000000-0005-0000-0000-0000196D0000}"/>
    <cellStyle name="Normal 2 2 2 2" xfId="7254" xr:uid="{00000000-0005-0000-0000-00001A6D0000}"/>
    <cellStyle name="Normal 2 2 2 2 2" xfId="11537" xr:uid="{00000000-0005-0000-0000-00001B6D0000}"/>
    <cellStyle name="Normal 2 2 2 2 2 2" xfId="25368" xr:uid="{00000000-0005-0000-0000-00001C6D0000}"/>
    <cellStyle name="Normal 2 2 2 2 3" xfId="31566" xr:uid="{00000000-0005-0000-0000-00001D6D0000}"/>
    <cellStyle name="Normal 2 2 2 2 4" xfId="32936" xr:uid="{00000000-0005-0000-0000-00001E6D0000}"/>
    <cellStyle name="Normal 2 2 2 2 5" xfId="32994" xr:uid="{00000000-0005-0000-0000-00001F6D0000}"/>
    <cellStyle name="Normal 2 2 2 3" xfId="7255" xr:uid="{00000000-0005-0000-0000-0000206D0000}"/>
    <cellStyle name="Normal 2 2 2 3 2" xfId="13235" xr:uid="{00000000-0005-0000-0000-0000216D0000}"/>
    <cellStyle name="Normal 2 2 2 3 2 2" xfId="26878" xr:uid="{00000000-0005-0000-0000-0000226D0000}"/>
    <cellStyle name="Normal 2 2 2 3 3" xfId="31567" xr:uid="{00000000-0005-0000-0000-0000236D0000}"/>
    <cellStyle name="Normal 2 2 2 4" xfId="7256" xr:uid="{00000000-0005-0000-0000-0000246D0000}"/>
    <cellStyle name="Normal 2 2 2 4 2" xfId="15684" xr:uid="{00000000-0005-0000-0000-0000256D0000}"/>
    <cellStyle name="Normal 2 2 2 4 2 2" xfId="29170" xr:uid="{00000000-0005-0000-0000-0000266D0000}"/>
    <cellStyle name="Normal 2 2 2 4 3" xfId="31568" xr:uid="{00000000-0005-0000-0000-0000276D0000}"/>
    <cellStyle name="Normal 2 2 2 5" xfId="7257" xr:uid="{00000000-0005-0000-0000-0000286D0000}"/>
    <cellStyle name="Normal 2 2 2 5 2" xfId="15793" xr:uid="{00000000-0005-0000-0000-0000296D0000}"/>
    <cellStyle name="Normal 2 2 2 5 2 2" xfId="29200" xr:uid="{00000000-0005-0000-0000-00002A6D0000}"/>
    <cellStyle name="Normal 2 2 2 5 3" xfId="31569" xr:uid="{00000000-0005-0000-0000-00002B6D0000}"/>
    <cellStyle name="Normal 2 2 2 6" xfId="7258" xr:uid="{00000000-0005-0000-0000-00002C6D0000}"/>
    <cellStyle name="Normal 2 2 2 6 2" xfId="17029" xr:uid="{00000000-0005-0000-0000-00002D6D0000}"/>
    <cellStyle name="Normal 2 2 2 6 3" xfId="31570" xr:uid="{00000000-0005-0000-0000-00002E6D0000}"/>
    <cellStyle name="Normal 2 2 2 7" xfId="8702" xr:uid="{00000000-0005-0000-0000-00002F6D0000}"/>
    <cellStyle name="Normal 2 2 2 7 2" xfId="17314" xr:uid="{00000000-0005-0000-0000-0000306D0000}"/>
    <cellStyle name="Normal 2 2 2 7 2 2" xfId="30667" xr:uid="{00000000-0005-0000-0000-0000316D0000}"/>
    <cellStyle name="Normal 2 2 2 7 3" xfId="23221" xr:uid="{00000000-0005-0000-0000-0000326D0000}"/>
    <cellStyle name="Normal 2 2 2 8" xfId="8798" xr:uid="{00000000-0005-0000-0000-0000336D0000}"/>
    <cellStyle name="Normal 2 2 2 8 2" xfId="23276" xr:uid="{00000000-0005-0000-0000-0000346D0000}"/>
    <cellStyle name="Normal 2 2 2 9" xfId="31565" xr:uid="{00000000-0005-0000-0000-0000356D0000}"/>
    <cellStyle name="Normal 2 2 3" xfId="7259" xr:uid="{00000000-0005-0000-0000-0000366D0000}"/>
    <cellStyle name="Normal 2 2 3 2" xfId="7260" xr:uid="{00000000-0005-0000-0000-0000376D0000}"/>
    <cellStyle name="Normal 2 2 3 2 2" xfId="11681" xr:uid="{00000000-0005-0000-0000-0000386D0000}"/>
    <cellStyle name="Normal 2 2 3 2 3" xfId="31572" xr:uid="{00000000-0005-0000-0000-0000396D0000}"/>
    <cellStyle name="Normal 2 2 3 3" xfId="10166" xr:uid="{00000000-0005-0000-0000-00003A6D0000}"/>
    <cellStyle name="Normal 2 2 3 4" xfId="31571" xr:uid="{00000000-0005-0000-0000-00003B6D0000}"/>
    <cellStyle name="Normal 2 2 4" xfId="7261" xr:uid="{00000000-0005-0000-0000-00003C6D0000}"/>
    <cellStyle name="Normal 2 2 4 2" xfId="11536" xr:uid="{00000000-0005-0000-0000-00003D6D0000}"/>
    <cellStyle name="Normal 2 2 4 3" xfId="31573" xr:uid="{00000000-0005-0000-0000-00003E6D0000}"/>
    <cellStyle name="Normal 2 2 5" xfId="8691" xr:uid="{00000000-0005-0000-0000-00003F6D0000}"/>
    <cellStyle name="Normal 2 2 6" xfId="31564" xr:uid="{00000000-0005-0000-0000-0000406D0000}"/>
    <cellStyle name="Normal 2 3" xfId="7262" xr:uid="{00000000-0005-0000-0000-0000416D0000}"/>
    <cellStyle name="Normal 2 3 2" xfId="7263" xr:uid="{00000000-0005-0000-0000-0000426D0000}"/>
    <cellStyle name="Normal 2 3 2 2" xfId="10167" xr:uid="{00000000-0005-0000-0000-0000436D0000}"/>
    <cellStyle name="Normal 2 3 3" xfId="7264" xr:uid="{00000000-0005-0000-0000-0000446D0000}"/>
    <cellStyle name="Normal 2 3 3 2" xfId="7265" xr:uid="{00000000-0005-0000-0000-0000456D0000}"/>
    <cellStyle name="Normal 2 3 3 2 2" xfId="10169" xr:uid="{00000000-0005-0000-0000-0000466D0000}"/>
    <cellStyle name="Normal 2 3 3 3" xfId="7266" xr:uid="{00000000-0005-0000-0000-0000476D0000}"/>
    <cellStyle name="Normal 2 3 3 3 2" xfId="13236" xr:uid="{00000000-0005-0000-0000-0000486D0000}"/>
    <cellStyle name="Normal 2 3 3 4" xfId="10168" xr:uid="{00000000-0005-0000-0000-0000496D0000}"/>
    <cellStyle name="Normal 2 3 4" xfId="7267" xr:uid="{00000000-0005-0000-0000-00004A6D0000}"/>
    <cellStyle name="Normal 2 3 4 2" xfId="7268" xr:uid="{00000000-0005-0000-0000-00004B6D0000}"/>
    <cellStyle name="Normal 2 3 4 2 2" xfId="13237" xr:uid="{00000000-0005-0000-0000-00004C6D0000}"/>
    <cellStyle name="Normal 2 3 4 3" xfId="10509" xr:uid="{00000000-0005-0000-0000-00004D6D0000}"/>
    <cellStyle name="Normal 2 3 5" xfId="8699" xr:uid="{00000000-0005-0000-0000-00004E6D0000}"/>
    <cellStyle name="Normal 2 4" xfId="7269" xr:uid="{00000000-0005-0000-0000-00004F6D0000}"/>
    <cellStyle name="Normal 2 4 2" xfId="7270" xr:uid="{00000000-0005-0000-0000-0000506D0000}"/>
    <cellStyle name="Normal 2 4 2 2" xfId="10170" xr:uid="{00000000-0005-0000-0000-0000516D0000}"/>
    <cellStyle name="Normal 2 4 2 3" xfId="31574" xr:uid="{00000000-0005-0000-0000-0000526D0000}"/>
    <cellStyle name="Normal 2 4 3" xfId="8665" xr:uid="{00000000-0005-0000-0000-0000536D0000}"/>
    <cellStyle name="Normal 2 5" xfId="7271" xr:uid="{00000000-0005-0000-0000-0000546D0000}"/>
    <cellStyle name="Normal 2 5 2" xfId="7272" xr:uid="{00000000-0005-0000-0000-0000556D0000}"/>
    <cellStyle name="Normal 2 5 2 2" xfId="10172" xr:uid="{00000000-0005-0000-0000-0000566D0000}"/>
    <cellStyle name="Normal 2 5 3" xfId="7273" xr:uid="{00000000-0005-0000-0000-0000576D0000}"/>
    <cellStyle name="Normal 2 5 3 2" xfId="13238" xr:uid="{00000000-0005-0000-0000-0000586D0000}"/>
    <cellStyle name="Normal 2 5 4" xfId="7274" xr:uid="{00000000-0005-0000-0000-0000596D0000}"/>
    <cellStyle name="Normal 2 5 4 2" xfId="17333" xr:uid="{00000000-0005-0000-0000-00005A6D0000}"/>
    <cellStyle name="Normal 2 5 5" xfId="8726" xr:uid="{00000000-0005-0000-0000-00005B6D0000}"/>
    <cellStyle name="Normal 2 5 6" xfId="10171" xr:uid="{00000000-0005-0000-0000-00005C6D0000}"/>
    <cellStyle name="Normal 2 6" xfId="7275" xr:uid="{00000000-0005-0000-0000-00005D6D0000}"/>
    <cellStyle name="Normal 2 6 2" xfId="7276" xr:uid="{00000000-0005-0000-0000-00005E6D0000}"/>
    <cellStyle name="Normal 2 6 2 2" xfId="17334" xr:uid="{00000000-0005-0000-0000-00005F6D0000}"/>
    <cellStyle name="Normal 2 6 2 3" xfId="31576" xr:uid="{00000000-0005-0000-0000-0000606D0000}"/>
    <cellStyle name="Normal 2 6 3" xfId="8711" xr:uid="{00000000-0005-0000-0000-0000616D0000}"/>
    <cellStyle name="Normal 2 6 4" xfId="10173" xr:uid="{00000000-0005-0000-0000-0000626D0000}"/>
    <cellStyle name="Normal 2 6 5" xfId="31575" xr:uid="{00000000-0005-0000-0000-0000636D0000}"/>
    <cellStyle name="Normal 2 7" xfId="7277" xr:uid="{00000000-0005-0000-0000-0000646D0000}"/>
    <cellStyle name="Normal 2 7 2" xfId="7278" xr:uid="{00000000-0005-0000-0000-0000656D0000}"/>
    <cellStyle name="Normal 2 7 2 2" xfId="13239" xr:uid="{00000000-0005-0000-0000-0000666D0000}"/>
    <cellStyle name="Normal 2 7 3" xfId="10508" xr:uid="{00000000-0005-0000-0000-0000676D0000}"/>
    <cellStyle name="Normal 2 8" xfId="8641" xr:uid="{00000000-0005-0000-0000-0000686D0000}"/>
    <cellStyle name="Normal 2 8 2" xfId="10165" xr:uid="{00000000-0005-0000-0000-0000696D0000}"/>
    <cellStyle name="Normal 2 9" xfId="17289" xr:uid="{00000000-0005-0000-0000-00006A6D0000}"/>
    <cellStyle name="Normal 20" xfId="7279" xr:uid="{00000000-0005-0000-0000-00006B6D0000}"/>
    <cellStyle name="Normal 20 2" xfId="10174" xr:uid="{00000000-0005-0000-0000-00006C6D0000}"/>
    <cellStyle name="Normal 21" xfId="7280" xr:uid="{00000000-0005-0000-0000-00006D6D0000}"/>
    <cellStyle name="Normal 21 2" xfId="7281" xr:uid="{00000000-0005-0000-0000-00006E6D0000}"/>
    <cellStyle name="Normal 21 2 2" xfId="13240" xr:uid="{00000000-0005-0000-0000-00006F6D0000}"/>
    <cellStyle name="Normal 21 2 3" xfId="31578" xr:uid="{00000000-0005-0000-0000-0000706D0000}"/>
    <cellStyle name="Normal 21 3" xfId="10175" xr:uid="{00000000-0005-0000-0000-0000716D0000}"/>
    <cellStyle name="Normal 21 4" xfId="31577" xr:uid="{00000000-0005-0000-0000-0000726D0000}"/>
    <cellStyle name="Normal 22" xfId="7282" xr:uid="{00000000-0005-0000-0000-0000736D0000}"/>
    <cellStyle name="Normal 22 2" xfId="7283" xr:uid="{00000000-0005-0000-0000-0000746D0000}"/>
    <cellStyle name="Normal 22 2 2" xfId="10177" xr:uid="{00000000-0005-0000-0000-0000756D0000}"/>
    <cellStyle name="Normal 22 2 3" xfId="31580" xr:uid="{00000000-0005-0000-0000-0000766D0000}"/>
    <cellStyle name="Normal 22 3" xfId="7284" xr:uid="{00000000-0005-0000-0000-0000776D0000}"/>
    <cellStyle name="Normal 22 3 2" xfId="13242" xr:uid="{00000000-0005-0000-0000-0000786D0000}"/>
    <cellStyle name="Normal 22 3 3" xfId="31581" xr:uid="{00000000-0005-0000-0000-0000796D0000}"/>
    <cellStyle name="Normal 22 4" xfId="7285" xr:uid="{00000000-0005-0000-0000-00007A6D0000}"/>
    <cellStyle name="Normal 22 4 2" xfId="13241" xr:uid="{00000000-0005-0000-0000-00007B6D0000}"/>
    <cellStyle name="Normal 22 4 3" xfId="31582" xr:uid="{00000000-0005-0000-0000-00007C6D0000}"/>
    <cellStyle name="Normal 22 5" xfId="10176" xr:uid="{00000000-0005-0000-0000-00007D6D0000}"/>
    <cellStyle name="Normal 22 6" xfId="31579" xr:uid="{00000000-0005-0000-0000-00007E6D0000}"/>
    <cellStyle name="Normal 23" xfId="7286" xr:uid="{00000000-0005-0000-0000-00007F6D0000}"/>
    <cellStyle name="Normal 23 2" xfId="10178" xr:uid="{00000000-0005-0000-0000-0000806D0000}"/>
    <cellStyle name="Normal 23 3" xfId="31583" xr:uid="{00000000-0005-0000-0000-0000816D0000}"/>
    <cellStyle name="Normal 24" xfId="8640" xr:uid="{00000000-0005-0000-0000-0000826D0000}"/>
    <cellStyle name="Normal 24 2" xfId="17319" xr:uid="{00000000-0005-0000-0000-0000836D0000}"/>
    <cellStyle name="Normal 24 3" xfId="8808" xr:uid="{00000000-0005-0000-0000-0000846D0000}"/>
    <cellStyle name="Normal 24 4" xfId="23190" xr:uid="{00000000-0005-0000-0000-0000856D0000}"/>
    <cellStyle name="Normal 25" xfId="17288" xr:uid="{00000000-0005-0000-0000-0000866D0000}"/>
    <cellStyle name="Normal 25 2" xfId="30644" xr:uid="{00000000-0005-0000-0000-0000876D0000}"/>
    <cellStyle name="Normal 26" xfId="8777" xr:uid="{00000000-0005-0000-0000-0000886D0000}"/>
    <cellStyle name="Normal 26 2" xfId="23255" xr:uid="{00000000-0005-0000-0000-0000896D0000}"/>
    <cellStyle name="Normal 27" xfId="32899" xr:uid="{00000000-0005-0000-0000-00008A6D0000}"/>
    <cellStyle name="Normal 28" xfId="40" xr:uid="{00000000-0005-0000-0000-00008B6D0000}"/>
    <cellStyle name="Normal 29" xfId="33021" xr:uid="{00000000-0005-0000-0000-00008C6D0000}"/>
    <cellStyle name="Normal 3" xfId="7287" xr:uid="{00000000-0005-0000-0000-00008D6D0000}"/>
    <cellStyle name="Normal 3 10" xfId="7288" xr:uid="{00000000-0005-0000-0000-00008E6D0000}"/>
    <cellStyle name="Normal 3 10 2" xfId="7289" xr:uid="{00000000-0005-0000-0000-00008F6D0000}"/>
    <cellStyle name="Normal 3 10 2 2" xfId="11717" xr:uid="{00000000-0005-0000-0000-0000906D0000}"/>
    <cellStyle name="Normal 3 10 2 2 2" xfId="25436" xr:uid="{00000000-0005-0000-0000-0000916D0000}"/>
    <cellStyle name="Normal 3 10 2 3" xfId="31585" xr:uid="{00000000-0005-0000-0000-0000926D0000}"/>
    <cellStyle name="Normal 3 10 2 4" xfId="32938" xr:uid="{00000000-0005-0000-0000-0000936D0000}"/>
    <cellStyle name="Normal 3 10 2 5" xfId="32996" xr:uid="{00000000-0005-0000-0000-0000946D0000}"/>
    <cellStyle name="Normal 3 10 3" xfId="7290" xr:uid="{00000000-0005-0000-0000-0000956D0000}"/>
    <cellStyle name="Normal 3 10 3 2" xfId="10179" xr:uid="{00000000-0005-0000-0000-0000966D0000}"/>
    <cellStyle name="Normal 3 10 3 3" xfId="31586" xr:uid="{00000000-0005-0000-0000-0000976D0000}"/>
    <cellStyle name="Normal 3 10 4" xfId="8669" xr:uid="{00000000-0005-0000-0000-0000986D0000}"/>
    <cellStyle name="Normal 3 10 4 2" xfId="17294" xr:uid="{00000000-0005-0000-0000-0000996D0000}"/>
    <cellStyle name="Normal 3 10 4 2 2" xfId="30647" xr:uid="{00000000-0005-0000-0000-00009A6D0000}"/>
    <cellStyle name="Normal 3 10 4 3" xfId="23199" xr:uid="{00000000-0005-0000-0000-00009B6D0000}"/>
    <cellStyle name="Normal 3 10 5" xfId="8778" xr:uid="{00000000-0005-0000-0000-00009C6D0000}"/>
    <cellStyle name="Normal 3 10 5 2" xfId="23256" xr:uid="{00000000-0005-0000-0000-00009D6D0000}"/>
    <cellStyle name="Normal 3 10 6" xfId="31584" xr:uid="{00000000-0005-0000-0000-00009E6D0000}"/>
    <cellStyle name="Normal 3 10 7" xfId="32907" xr:uid="{00000000-0005-0000-0000-00009F6D0000}"/>
    <cellStyle name="Normal 3 10 8" xfId="32967" xr:uid="{00000000-0005-0000-0000-0000A06D0000}"/>
    <cellStyle name="Normal 3 11" xfId="7291" xr:uid="{00000000-0005-0000-0000-0000A16D0000}"/>
    <cellStyle name="Normal 3 11 2" xfId="7292" xr:uid="{00000000-0005-0000-0000-0000A26D0000}"/>
    <cellStyle name="Normal 3 11 2 2" xfId="13243" xr:uid="{00000000-0005-0000-0000-0000A36D0000}"/>
    <cellStyle name="Normal 3 11 2 2 2" xfId="26879" xr:uid="{00000000-0005-0000-0000-0000A46D0000}"/>
    <cellStyle name="Normal 3 11 2 3" xfId="31588" xr:uid="{00000000-0005-0000-0000-0000A56D0000}"/>
    <cellStyle name="Normal 3 11 3" xfId="7293" xr:uid="{00000000-0005-0000-0000-0000A66D0000}"/>
    <cellStyle name="Normal 3 11 3 2" xfId="15685" xr:uid="{00000000-0005-0000-0000-0000A76D0000}"/>
    <cellStyle name="Normal 3 11 3 2 2" xfId="29171" xr:uid="{00000000-0005-0000-0000-0000A86D0000}"/>
    <cellStyle name="Normal 3 11 3 3" xfId="31589" xr:uid="{00000000-0005-0000-0000-0000A96D0000}"/>
    <cellStyle name="Normal 3 11 4" xfId="7294" xr:uid="{00000000-0005-0000-0000-0000AA6D0000}"/>
    <cellStyle name="Normal 3 11 4 2" xfId="17359" xr:uid="{00000000-0005-0000-0000-0000AB6D0000}"/>
    <cellStyle name="Normal 3 11 4 2 2" xfId="30676" xr:uid="{00000000-0005-0000-0000-0000AC6D0000}"/>
    <cellStyle name="Normal 3 11 4 3" xfId="31590" xr:uid="{00000000-0005-0000-0000-0000AD6D0000}"/>
    <cellStyle name="Normal 3 11 5" xfId="8713" xr:uid="{00000000-0005-0000-0000-0000AE6D0000}"/>
    <cellStyle name="Normal 3 11 6" xfId="11538" xr:uid="{00000000-0005-0000-0000-0000AF6D0000}"/>
    <cellStyle name="Normal 3 11 6 2" xfId="25369" xr:uid="{00000000-0005-0000-0000-0000B06D0000}"/>
    <cellStyle name="Normal 3 11 7" xfId="31587" xr:uid="{00000000-0005-0000-0000-0000B16D0000}"/>
    <cellStyle name="Normal 3 12" xfId="7295" xr:uid="{00000000-0005-0000-0000-0000B26D0000}"/>
    <cellStyle name="Normal 3 12 2" xfId="7296" xr:uid="{00000000-0005-0000-0000-0000B36D0000}"/>
    <cellStyle name="Normal 3 12 2 2" xfId="17361" xr:uid="{00000000-0005-0000-0000-0000B46D0000}"/>
    <cellStyle name="Normal 3 12 2 2 2" xfId="30677" xr:uid="{00000000-0005-0000-0000-0000B56D0000}"/>
    <cellStyle name="Normal 3 12 2 3" xfId="31592" xr:uid="{00000000-0005-0000-0000-0000B66D0000}"/>
    <cellStyle name="Normal 3 12 3" xfId="8712" xr:uid="{00000000-0005-0000-0000-0000B76D0000}"/>
    <cellStyle name="Normal 3 12 4" xfId="15794" xr:uid="{00000000-0005-0000-0000-0000B86D0000}"/>
    <cellStyle name="Normal 3 12 4 2" xfId="29201" xr:uid="{00000000-0005-0000-0000-0000B96D0000}"/>
    <cellStyle name="Normal 3 12 5" xfId="31591" xr:uid="{00000000-0005-0000-0000-0000BA6D0000}"/>
    <cellStyle name="Normal 3 13" xfId="8644" xr:uid="{00000000-0005-0000-0000-0000BB6D0000}"/>
    <cellStyle name="Normal 3 13 2" xfId="32937" xr:uid="{00000000-0005-0000-0000-0000BC6D0000}"/>
    <cellStyle name="Normal 3 13 3" xfId="32995" xr:uid="{00000000-0005-0000-0000-0000BD6D0000}"/>
    <cellStyle name="Normal 3 2" xfId="7297" xr:uid="{00000000-0005-0000-0000-0000BE6D0000}"/>
    <cellStyle name="Normal 3 2 10" xfId="7298" xr:uid="{00000000-0005-0000-0000-0000BF6D0000}"/>
    <cellStyle name="Normal 3 2 10 2" xfId="13244" xr:uid="{00000000-0005-0000-0000-0000C06D0000}"/>
    <cellStyle name="Normal 3 2 10 2 2" xfId="26880" xr:uid="{00000000-0005-0000-0000-0000C16D0000}"/>
    <cellStyle name="Normal 3 2 10 3" xfId="31593" xr:uid="{00000000-0005-0000-0000-0000C26D0000}"/>
    <cellStyle name="Normal 3 2 11" xfId="7299" xr:uid="{00000000-0005-0000-0000-0000C36D0000}"/>
    <cellStyle name="Normal 3 2 11 2" xfId="15686" xr:uid="{00000000-0005-0000-0000-0000C46D0000}"/>
    <cellStyle name="Normal 3 2 11 2 2" xfId="29172" xr:uid="{00000000-0005-0000-0000-0000C56D0000}"/>
    <cellStyle name="Normal 3 2 11 3" xfId="31594" xr:uid="{00000000-0005-0000-0000-0000C66D0000}"/>
    <cellStyle name="Normal 3 2 12" xfId="7300" xr:uid="{00000000-0005-0000-0000-0000C76D0000}"/>
    <cellStyle name="Normal 3 2 12 2" xfId="15795" xr:uid="{00000000-0005-0000-0000-0000C86D0000}"/>
    <cellStyle name="Normal 3 2 12 2 2" xfId="29202" xr:uid="{00000000-0005-0000-0000-0000C96D0000}"/>
    <cellStyle name="Normal 3 2 12 3" xfId="31595" xr:uid="{00000000-0005-0000-0000-0000CA6D0000}"/>
    <cellStyle name="Normal 3 2 13" xfId="8672" xr:uid="{00000000-0005-0000-0000-0000CB6D0000}"/>
    <cellStyle name="Normal 3 2 13 2" xfId="17297" xr:uid="{00000000-0005-0000-0000-0000CC6D0000}"/>
    <cellStyle name="Normal 3 2 13 2 2" xfId="30650" xr:uid="{00000000-0005-0000-0000-0000CD6D0000}"/>
    <cellStyle name="Normal 3 2 13 3" xfId="23202" xr:uid="{00000000-0005-0000-0000-0000CE6D0000}"/>
    <cellStyle name="Normal 3 2 14" xfId="8781" xr:uid="{00000000-0005-0000-0000-0000CF6D0000}"/>
    <cellStyle name="Normal 3 2 14 2" xfId="23259" xr:uid="{00000000-0005-0000-0000-0000D06D0000}"/>
    <cellStyle name="Normal 3 2 15" xfId="32910" xr:uid="{00000000-0005-0000-0000-0000D16D0000}"/>
    <cellStyle name="Normal 3 2 16" xfId="32970" xr:uid="{00000000-0005-0000-0000-0000D26D0000}"/>
    <cellStyle name="Normal 3 2 2" xfId="7301" xr:uid="{00000000-0005-0000-0000-0000D36D0000}"/>
    <cellStyle name="Normal 3 2 2 10" xfId="7302" xr:uid="{00000000-0005-0000-0000-0000D46D0000}"/>
    <cellStyle name="Normal 3 2 2 10 2" xfId="16412" xr:uid="{00000000-0005-0000-0000-0000D56D0000}"/>
    <cellStyle name="Normal 3 2 2 10 2 2" xfId="29819" xr:uid="{00000000-0005-0000-0000-0000D66D0000}"/>
    <cellStyle name="Normal 3 2 2 10 3" xfId="31597" xr:uid="{00000000-0005-0000-0000-0000D76D0000}"/>
    <cellStyle name="Normal 3 2 2 11" xfId="8676" xr:uid="{00000000-0005-0000-0000-0000D86D0000}"/>
    <cellStyle name="Normal 3 2 2 11 2" xfId="17301" xr:uid="{00000000-0005-0000-0000-0000D96D0000}"/>
    <cellStyle name="Normal 3 2 2 11 2 2" xfId="30654" xr:uid="{00000000-0005-0000-0000-0000DA6D0000}"/>
    <cellStyle name="Normal 3 2 2 11 3" xfId="23206" xr:uid="{00000000-0005-0000-0000-0000DB6D0000}"/>
    <cellStyle name="Normal 3 2 2 12" xfId="8785" xr:uid="{00000000-0005-0000-0000-0000DC6D0000}"/>
    <cellStyle name="Normal 3 2 2 12 2" xfId="23263" xr:uid="{00000000-0005-0000-0000-0000DD6D0000}"/>
    <cellStyle name="Normal 3 2 2 13" xfId="31596" xr:uid="{00000000-0005-0000-0000-0000DE6D0000}"/>
    <cellStyle name="Normal 3 2 2 14" xfId="32914" xr:uid="{00000000-0005-0000-0000-0000DF6D0000}"/>
    <cellStyle name="Normal 3 2 2 15" xfId="32974" xr:uid="{00000000-0005-0000-0000-0000E06D0000}"/>
    <cellStyle name="Normal 3 2 2 2" xfId="7303" xr:uid="{00000000-0005-0000-0000-0000E16D0000}"/>
    <cellStyle name="Normal 3 2 2 2 2" xfId="7304" xr:uid="{00000000-0005-0000-0000-0000E26D0000}"/>
    <cellStyle name="Normal 3 2 2 2 2 2" xfId="11541" xr:uid="{00000000-0005-0000-0000-0000E36D0000}"/>
    <cellStyle name="Normal 3 2 2 2 2 2 2" xfId="25372" xr:uid="{00000000-0005-0000-0000-0000E46D0000}"/>
    <cellStyle name="Normal 3 2 2 2 2 3" xfId="31599" xr:uid="{00000000-0005-0000-0000-0000E56D0000}"/>
    <cellStyle name="Normal 3 2 2 2 3" xfId="7305" xr:uid="{00000000-0005-0000-0000-0000E66D0000}"/>
    <cellStyle name="Normal 3 2 2 2 3 2" xfId="13246" xr:uid="{00000000-0005-0000-0000-0000E76D0000}"/>
    <cellStyle name="Normal 3 2 2 2 3 2 2" xfId="26882" xr:uid="{00000000-0005-0000-0000-0000E86D0000}"/>
    <cellStyle name="Normal 3 2 2 2 3 3" xfId="31600" xr:uid="{00000000-0005-0000-0000-0000E96D0000}"/>
    <cellStyle name="Normal 3 2 2 2 4" xfId="7306" xr:uid="{00000000-0005-0000-0000-0000EA6D0000}"/>
    <cellStyle name="Normal 3 2 2 2 4 2" xfId="15688" xr:uid="{00000000-0005-0000-0000-0000EB6D0000}"/>
    <cellStyle name="Normal 3 2 2 2 4 2 2" xfId="29174" xr:uid="{00000000-0005-0000-0000-0000EC6D0000}"/>
    <cellStyle name="Normal 3 2 2 2 4 3" xfId="31601" xr:uid="{00000000-0005-0000-0000-0000ED6D0000}"/>
    <cellStyle name="Normal 3 2 2 2 5" xfId="7307" xr:uid="{00000000-0005-0000-0000-0000EE6D0000}"/>
    <cellStyle name="Normal 3 2 2 2 5 2" xfId="17030" xr:uid="{00000000-0005-0000-0000-0000EF6D0000}"/>
    <cellStyle name="Normal 3 2 2 2 5 2 2" xfId="30431" xr:uid="{00000000-0005-0000-0000-0000F06D0000}"/>
    <cellStyle name="Normal 3 2 2 2 5 3" xfId="31602" xr:uid="{00000000-0005-0000-0000-0000F16D0000}"/>
    <cellStyle name="Normal 3 2 2 2 6" xfId="10180" xr:uid="{00000000-0005-0000-0000-0000F26D0000}"/>
    <cellStyle name="Normal 3 2 2 2 6 2" xfId="24385" xr:uid="{00000000-0005-0000-0000-0000F36D0000}"/>
    <cellStyle name="Normal 3 2 2 2 7" xfId="31598" xr:uid="{00000000-0005-0000-0000-0000F46D0000}"/>
    <cellStyle name="Normal 3 2 2 2 8" xfId="32940" xr:uid="{00000000-0005-0000-0000-0000F56D0000}"/>
    <cellStyle name="Normal 3 2 2 2 9" xfId="32998" xr:uid="{00000000-0005-0000-0000-0000F66D0000}"/>
    <cellStyle name="Normal 3 2 2 3" xfId="7308" xr:uid="{00000000-0005-0000-0000-0000F76D0000}"/>
    <cellStyle name="Normal 3 2 2 3 2" xfId="7309" xr:uid="{00000000-0005-0000-0000-0000F86D0000}"/>
    <cellStyle name="Normal 3 2 2 3 2 2" xfId="16993" xr:uid="{00000000-0005-0000-0000-0000F96D0000}"/>
    <cellStyle name="Normal 3 2 2 3 2 2 2" xfId="30400" xr:uid="{00000000-0005-0000-0000-0000FA6D0000}"/>
    <cellStyle name="Normal 3 2 2 3 2 3" xfId="31604" xr:uid="{00000000-0005-0000-0000-0000FB6D0000}"/>
    <cellStyle name="Normal 3 2 2 3 3" xfId="11540" xr:uid="{00000000-0005-0000-0000-0000FC6D0000}"/>
    <cellStyle name="Normal 3 2 2 3 3 2" xfId="25371" xr:uid="{00000000-0005-0000-0000-0000FD6D0000}"/>
    <cellStyle name="Normal 3 2 2 3 4" xfId="31603" xr:uid="{00000000-0005-0000-0000-0000FE6D0000}"/>
    <cellStyle name="Normal 3 2 2 4" xfId="7310" xr:uid="{00000000-0005-0000-0000-0000FF6D0000}"/>
    <cellStyle name="Normal 3 2 2 4 2" xfId="12382" xr:uid="{00000000-0005-0000-0000-0000006E0000}"/>
    <cellStyle name="Normal 3 2 2 4 2 2" xfId="26094" xr:uid="{00000000-0005-0000-0000-0000016E0000}"/>
    <cellStyle name="Normal 3 2 2 4 3" xfId="31605" xr:uid="{00000000-0005-0000-0000-0000026E0000}"/>
    <cellStyle name="Normal 3 2 2 5" xfId="7311" xr:uid="{00000000-0005-0000-0000-0000036E0000}"/>
    <cellStyle name="Normal 3 2 2 5 2" xfId="13245" xr:uid="{00000000-0005-0000-0000-0000046E0000}"/>
    <cellStyle name="Normal 3 2 2 5 2 2" xfId="26881" xr:uid="{00000000-0005-0000-0000-0000056E0000}"/>
    <cellStyle name="Normal 3 2 2 5 3" xfId="31606" xr:uid="{00000000-0005-0000-0000-0000066E0000}"/>
    <cellStyle name="Normal 3 2 2 6" xfId="7312" xr:uid="{00000000-0005-0000-0000-0000076E0000}"/>
    <cellStyle name="Normal 3 2 2 6 2" xfId="13945" xr:uid="{00000000-0005-0000-0000-0000086E0000}"/>
    <cellStyle name="Normal 3 2 2 6 2 2" xfId="27494" xr:uid="{00000000-0005-0000-0000-0000096E0000}"/>
    <cellStyle name="Normal 3 2 2 6 3" xfId="31607" xr:uid="{00000000-0005-0000-0000-00000A6E0000}"/>
    <cellStyle name="Normal 3 2 2 7" xfId="7313" xr:uid="{00000000-0005-0000-0000-00000B6E0000}"/>
    <cellStyle name="Normal 3 2 2 7 2" xfId="14526" xr:uid="{00000000-0005-0000-0000-00000C6E0000}"/>
    <cellStyle name="Normal 3 2 2 7 2 2" xfId="28075" xr:uid="{00000000-0005-0000-0000-00000D6E0000}"/>
    <cellStyle name="Normal 3 2 2 7 3" xfId="31608" xr:uid="{00000000-0005-0000-0000-00000E6E0000}"/>
    <cellStyle name="Normal 3 2 2 8" xfId="7314" xr:uid="{00000000-0005-0000-0000-00000F6E0000}"/>
    <cellStyle name="Normal 3 2 2 8 2" xfId="15687" xr:uid="{00000000-0005-0000-0000-0000106E0000}"/>
    <cellStyle name="Normal 3 2 2 8 2 2" xfId="29173" xr:uid="{00000000-0005-0000-0000-0000116E0000}"/>
    <cellStyle name="Normal 3 2 2 8 3" xfId="31609" xr:uid="{00000000-0005-0000-0000-0000126E0000}"/>
    <cellStyle name="Normal 3 2 2 9" xfId="7315" xr:uid="{00000000-0005-0000-0000-0000136E0000}"/>
    <cellStyle name="Normal 3 2 2 9 2" xfId="15796" xr:uid="{00000000-0005-0000-0000-0000146E0000}"/>
    <cellStyle name="Normal 3 2 2 9 2 2" xfId="29203" xr:uid="{00000000-0005-0000-0000-0000156E0000}"/>
    <cellStyle name="Normal 3 2 2 9 3" xfId="31610" xr:uid="{00000000-0005-0000-0000-0000166E0000}"/>
    <cellStyle name="Normal 3 2 3" xfId="7316" xr:uid="{00000000-0005-0000-0000-0000176E0000}"/>
    <cellStyle name="Normal 3 2 3 10" xfId="32978" xr:uid="{00000000-0005-0000-0000-0000186E0000}"/>
    <cellStyle name="Normal 3 2 3 2" xfId="7317" xr:uid="{00000000-0005-0000-0000-0000196E0000}"/>
    <cellStyle name="Normal 3 2 3 2 2" xfId="11542" xr:uid="{00000000-0005-0000-0000-00001A6E0000}"/>
    <cellStyle name="Normal 3 2 3 2 2 2" xfId="25373" xr:uid="{00000000-0005-0000-0000-00001B6E0000}"/>
    <cellStyle name="Normal 3 2 3 2 3" xfId="31612" xr:uid="{00000000-0005-0000-0000-00001C6E0000}"/>
    <cellStyle name="Normal 3 2 3 2 4" xfId="32941" xr:uid="{00000000-0005-0000-0000-00001D6E0000}"/>
    <cellStyle name="Normal 3 2 3 2 5" xfId="32999" xr:uid="{00000000-0005-0000-0000-00001E6E0000}"/>
    <cellStyle name="Normal 3 2 3 3" xfId="7318" xr:uid="{00000000-0005-0000-0000-00001F6E0000}"/>
    <cellStyle name="Normal 3 2 3 3 2" xfId="13247" xr:uid="{00000000-0005-0000-0000-0000206E0000}"/>
    <cellStyle name="Normal 3 2 3 3 2 2" xfId="26883" xr:uid="{00000000-0005-0000-0000-0000216E0000}"/>
    <cellStyle name="Normal 3 2 3 3 3" xfId="31613" xr:uid="{00000000-0005-0000-0000-0000226E0000}"/>
    <cellStyle name="Normal 3 2 3 4" xfId="7319" xr:uid="{00000000-0005-0000-0000-0000236E0000}"/>
    <cellStyle name="Normal 3 2 3 4 2" xfId="15689" xr:uid="{00000000-0005-0000-0000-0000246E0000}"/>
    <cellStyle name="Normal 3 2 3 4 2 2" xfId="29175" xr:uid="{00000000-0005-0000-0000-0000256E0000}"/>
    <cellStyle name="Normal 3 2 3 4 3" xfId="31614" xr:uid="{00000000-0005-0000-0000-0000266E0000}"/>
    <cellStyle name="Normal 3 2 3 5" xfId="7320" xr:uid="{00000000-0005-0000-0000-0000276E0000}"/>
    <cellStyle name="Normal 3 2 3 5 2" xfId="15797" xr:uid="{00000000-0005-0000-0000-0000286E0000}"/>
    <cellStyle name="Normal 3 2 3 5 2 2" xfId="29204" xr:uid="{00000000-0005-0000-0000-0000296E0000}"/>
    <cellStyle name="Normal 3 2 3 5 3" xfId="31615" xr:uid="{00000000-0005-0000-0000-00002A6E0000}"/>
    <cellStyle name="Normal 3 2 3 6" xfId="8680" xr:uid="{00000000-0005-0000-0000-00002B6E0000}"/>
    <cellStyle name="Normal 3 2 3 6 2" xfId="17305" xr:uid="{00000000-0005-0000-0000-00002C6E0000}"/>
    <cellStyle name="Normal 3 2 3 6 2 2" xfId="30658" xr:uid="{00000000-0005-0000-0000-00002D6E0000}"/>
    <cellStyle name="Normal 3 2 3 6 3" xfId="23210" xr:uid="{00000000-0005-0000-0000-00002E6E0000}"/>
    <cellStyle name="Normal 3 2 3 7" xfId="8789" xr:uid="{00000000-0005-0000-0000-00002F6E0000}"/>
    <cellStyle name="Normal 3 2 3 7 2" xfId="23267" xr:uid="{00000000-0005-0000-0000-0000306E0000}"/>
    <cellStyle name="Normal 3 2 3 8" xfId="31611" xr:uid="{00000000-0005-0000-0000-0000316E0000}"/>
    <cellStyle name="Normal 3 2 3 9" xfId="32918" xr:uid="{00000000-0005-0000-0000-0000326E0000}"/>
    <cellStyle name="Normal 3 2 4" xfId="7321" xr:uid="{00000000-0005-0000-0000-0000336E0000}"/>
    <cellStyle name="Normal 3 2 4 10" xfId="32986" xr:uid="{00000000-0005-0000-0000-0000346E0000}"/>
    <cellStyle name="Normal 3 2 4 2" xfId="7322" xr:uid="{00000000-0005-0000-0000-0000356E0000}"/>
    <cellStyle name="Normal 3 2 4 2 2" xfId="11543" xr:uid="{00000000-0005-0000-0000-0000366E0000}"/>
    <cellStyle name="Normal 3 2 4 2 2 2" xfId="25374" xr:uid="{00000000-0005-0000-0000-0000376E0000}"/>
    <cellStyle name="Normal 3 2 4 2 3" xfId="31617" xr:uid="{00000000-0005-0000-0000-0000386E0000}"/>
    <cellStyle name="Normal 3 2 4 2 4" xfId="32942" xr:uid="{00000000-0005-0000-0000-0000396E0000}"/>
    <cellStyle name="Normal 3 2 4 2 5" xfId="33000" xr:uid="{00000000-0005-0000-0000-00003A6E0000}"/>
    <cellStyle name="Normal 3 2 4 3" xfId="7323" xr:uid="{00000000-0005-0000-0000-00003B6E0000}"/>
    <cellStyle name="Normal 3 2 4 3 2" xfId="13248" xr:uid="{00000000-0005-0000-0000-00003C6E0000}"/>
    <cellStyle name="Normal 3 2 4 3 2 2" xfId="26884" xr:uid="{00000000-0005-0000-0000-00003D6E0000}"/>
    <cellStyle name="Normal 3 2 4 3 3" xfId="31618" xr:uid="{00000000-0005-0000-0000-00003E6E0000}"/>
    <cellStyle name="Normal 3 2 4 4" xfId="7324" xr:uid="{00000000-0005-0000-0000-00003F6E0000}"/>
    <cellStyle name="Normal 3 2 4 4 2" xfId="15690" xr:uid="{00000000-0005-0000-0000-0000406E0000}"/>
    <cellStyle name="Normal 3 2 4 4 2 2" xfId="29176" xr:uid="{00000000-0005-0000-0000-0000416E0000}"/>
    <cellStyle name="Normal 3 2 4 4 3" xfId="31619" xr:uid="{00000000-0005-0000-0000-0000426E0000}"/>
    <cellStyle name="Normal 3 2 4 5" xfId="7325" xr:uid="{00000000-0005-0000-0000-0000436E0000}"/>
    <cellStyle name="Normal 3 2 4 5 2" xfId="15798" xr:uid="{00000000-0005-0000-0000-0000446E0000}"/>
    <cellStyle name="Normal 3 2 4 5 2 2" xfId="29205" xr:uid="{00000000-0005-0000-0000-0000456E0000}"/>
    <cellStyle name="Normal 3 2 4 5 3" xfId="31620" xr:uid="{00000000-0005-0000-0000-0000466E0000}"/>
    <cellStyle name="Normal 3 2 4 6" xfId="8695" xr:uid="{00000000-0005-0000-0000-0000476E0000}"/>
    <cellStyle name="Normal 3 2 4 6 2" xfId="17313" xr:uid="{00000000-0005-0000-0000-0000486E0000}"/>
    <cellStyle name="Normal 3 2 4 6 2 2" xfId="30666" xr:uid="{00000000-0005-0000-0000-0000496E0000}"/>
    <cellStyle name="Normal 3 2 4 6 3" xfId="23218" xr:uid="{00000000-0005-0000-0000-00004A6E0000}"/>
    <cellStyle name="Normal 3 2 4 7" xfId="8797" xr:uid="{00000000-0005-0000-0000-00004B6E0000}"/>
    <cellStyle name="Normal 3 2 4 7 2" xfId="23275" xr:uid="{00000000-0005-0000-0000-00004C6E0000}"/>
    <cellStyle name="Normal 3 2 4 8" xfId="31616" xr:uid="{00000000-0005-0000-0000-00004D6E0000}"/>
    <cellStyle name="Normal 3 2 4 9" xfId="32926" xr:uid="{00000000-0005-0000-0000-00004E6E0000}"/>
    <cellStyle name="Normal 3 2 5" xfId="7326" xr:uid="{00000000-0005-0000-0000-00004F6E0000}"/>
    <cellStyle name="Normal 3 2 5 10" xfId="32981" xr:uid="{00000000-0005-0000-0000-0000506E0000}"/>
    <cellStyle name="Normal 3 2 5 2" xfId="7327" xr:uid="{00000000-0005-0000-0000-0000516E0000}"/>
    <cellStyle name="Normal 3 2 5 2 2" xfId="11544" xr:uid="{00000000-0005-0000-0000-0000526E0000}"/>
    <cellStyle name="Normal 3 2 5 2 2 2" xfId="25375" xr:uid="{00000000-0005-0000-0000-0000536E0000}"/>
    <cellStyle name="Normal 3 2 5 2 3" xfId="31622" xr:uid="{00000000-0005-0000-0000-0000546E0000}"/>
    <cellStyle name="Normal 3 2 5 2 4" xfId="32943" xr:uid="{00000000-0005-0000-0000-0000556E0000}"/>
    <cellStyle name="Normal 3 2 5 2 5" xfId="33001" xr:uid="{00000000-0005-0000-0000-0000566E0000}"/>
    <cellStyle name="Normal 3 2 5 3" xfId="7328" xr:uid="{00000000-0005-0000-0000-0000576E0000}"/>
    <cellStyle name="Normal 3 2 5 3 2" xfId="13249" xr:uid="{00000000-0005-0000-0000-0000586E0000}"/>
    <cellStyle name="Normal 3 2 5 3 2 2" xfId="26885" xr:uid="{00000000-0005-0000-0000-0000596E0000}"/>
    <cellStyle name="Normal 3 2 5 3 3" xfId="31623" xr:uid="{00000000-0005-0000-0000-00005A6E0000}"/>
    <cellStyle name="Normal 3 2 5 4" xfId="7329" xr:uid="{00000000-0005-0000-0000-00005B6E0000}"/>
    <cellStyle name="Normal 3 2 5 4 2" xfId="15691" xr:uid="{00000000-0005-0000-0000-00005C6E0000}"/>
    <cellStyle name="Normal 3 2 5 4 2 2" xfId="29177" xr:uid="{00000000-0005-0000-0000-00005D6E0000}"/>
    <cellStyle name="Normal 3 2 5 4 3" xfId="31624" xr:uid="{00000000-0005-0000-0000-00005E6E0000}"/>
    <cellStyle name="Normal 3 2 5 5" xfId="7330" xr:uid="{00000000-0005-0000-0000-00005F6E0000}"/>
    <cellStyle name="Normal 3 2 5 5 2" xfId="15799" xr:uid="{00000000-0005-0000-0000-0000606E0000}"/>
    <cellStyle name="Normal 3 2 5 5 2 2" xfId="29206" xr:uid="{00000000-0005-0000-0000-0000616E0000}"/>
    <cellStyle name="Normal 3 2 5 5 3" xfId="31625" xr:uid="{00000000-0005-0000-0000-0000626E0000}"/>
    <cellStyle name="Normal 3 2 5 6" xfId="8685" xr:uid="{00000000-0005-0000-0000-0000636E0000}"/>
    <cellStyle name="Normal 3 2 5 6 2" xfId="17308" xr:uid="{00000000-0005-0000-0000-0000646E0000}"/>
    <cellStyle name="Normal 3 2 5 6 2 2" xfId="30661" xr:uid="{00000000-0005-0000-0000-0000656E0000}"/>
    <cellStyle name="Normal 3 2 5 6 3" xfId="23213" xr:uid="{00000000-0005-0000-0000-0000666E0000}"/>
    <cellStyle name="Normal 3 2 5 7" xfId="8792" xr:uid="{00000000-0005-0000-0000-0000676E0000}"/>
    <cellStyle name="Normal 3 2 5 7 2" xfId="23270" xr:uid="{00000000-0005-0000-0000-0000686E0000}"/>
    <cellStyle name="Normal 3 2 5 8" xfId="31621" xr:uid="{00000000-0005-0000-0000-0000696E0000}"/>
    <cellStyle name="Normal 3 2 5 9" xfId="32921" xr:uid="{00000000-0005-0000-0000-00006A6E0000}"/>
    <cellStyle name="Normal 3 2 6" xfId="7331" xr:uid="{00000000-0005-0000-0000-00006B6E0000}"/>
    <cellStyle name="Normal 3 2 6 2" xfId="8707" xr:uid="{00000000-0005-0000-0000-00006C6E0000}"/>
    <cellStyle name="Normal 3 2 7" xfId="7332" xr:uid="{00000000-0005-0000-0000-00006D6E0000}"/>
    <cellStyle name="Normal 3 2 7 2" xfId="7333" xr:uid="{00000000-0005-0000-0000-00006E6E0000}"/>
    <cellStyle name="Normal 3 2 7 2 2" xfId="10182" xr:uid="{00000000-0005-0000-0000-00006F6E0000}"/>
    <cellStyle name="Normal 3 2 7 3" xfId="7334" xr:uid="{00000000-0005-0000-0000-0000706E0000}"/>
    <cellStyle name="Normal 3 2 7 3 2" xfId="7335" xr:uid="{00000000-0005-0000-0000-0000716E0000}"/>
    <cellStyle name="Normal 3 2 7 3 2 2" xfId="13250" xr:uid="{00000000-0005-0000-0000-0000726E0000}"/>
    <cellStyle name="Normal 3 2 7 3 3" xfId="11725" xr:uid="{00000000-0005-0000-0000-0000736E0000}"/>
    <cellStyle name="Normal 3 2 7 3 3 2" xfId="25441" xr:uid="{00000000-0005-0000-0000-0000746E0000}"/>
    <cellStyle name="Normal 3 2 7 4" xfId="10181" xr:uid="{00000000-0005-0000-0000-0000756E0000}"/>
    <cellStyle name="Normal 3 2 7 5" xfId="32939" xr:uid="{00000000-0005-0000-0000-0000766E0000}"/>
    <cellStyle name="Normal 3 2 7 6" xfId="32997" xr:uid="{00000000-0005-0000-0000-0000776E0000}"/>
    <cellStyle name="Normal 3 2 8" xfId="7336" xr:uid="{00000000-0005-0000-0000-0000786E0000}"/>
    <cellStyle name="Normal 3 2 8 2" xfId="7337" xr:uid="{00000000-0005-0000-0000-0000796E0000}"/>
    <cellStyle name="Normal 3 2 8 2 2" xfId="13251" xr:uid="{00000000-0005-0000-0000-00007A6E0000}"/>
    <cellStyle name="Normal 3 2 8 3" xfId="10511" xr:uid="{00000000-0005-0000-0000-00007B6E0000}"/>
    <cellStyle name="Normal 3 2 9" xfId="7338" xr:uid="{00000000-0005-0000-0000-00007C6E0000}"/>
    <cellStyle name="Normal 3 2 9 2" xfId="7339" xr:uid="{00000000-0005-0000-0000-00007D6E0000}"/>
    <cellStyle name="Normal 3 2 9 2 2" xfId="13252" xr:uid="{00000000-0005-0000-0000-00007E6E0000}"/>
    <cellStyle name="Normal 3 2 9 2 2 2" xfId="26886" xr:uid="{00000000-0005-0000-0000-00007F6E0000}"/>
    <cellStyle name="Normal 3 2 9 2 3" xfId="31627" xr:uid="{00000000-0005-0000-0000-0000806E0000}"/>
    <cellStyle name="Normal 3 2 9 3" xfId="7340" xr:uid="{00000000-0005-0000-0000-0000816E0000}"/>
    <cellStyle name="Normal 3 2 9 3 2" xfId="15692" xr:uid="{00000000-0005-0000-0000-0000826E0000}"/>
    <cellStyle name="Normal 3 2 9 3 2 2" xfId="29178" xr:uid="{00000000-0005-0000-0000-0000836E0000}"/>
    <cellStyle name="Normal 3 2 9 3 3" xfId="31628" xr:uid="{00000000-0005-0000-0000-0000846E0000}"/>
    <cellStyle name="Normal 3 2 9 4" xfId="11539" xr:uid="{00000000-0005-0000-0000-0000856E0000}"/>
    <cellStyle name="Normal 3 2 9 4 2" xfId="25370" xr:uid="{00000000-0005-0000-0000-0000866E0000}"/>
    <cellStyle name="Normal 3 2 9 5" xfId="31626" xr:uid="{00000000-0005-0000-0000-0000876E0000}"/>
    <cellStyle name="Normal 3 3" xfId="7341" xr:uid="{00000000-0005-0000-0000-0000886E0000}"/>
    <cellStyle name="Normal 3 3 10" xfId="7342" xr:uid="{00000000-0005-0000-0000-0000896E0000}"/>
    <cellStyle name="Normal 3 3 10 2" xfId="7343" xr:uid="{00000000-0005-0000-0000-00008A6E0000}"/>
    <cellStyle name="Normal 3 3 10 2 2" xfId="17192" xr:uid="{00000000-0005-0000-0000-00008B6E0000}"/>
    <cellStyle name="Normal 3 3 10 2 2 2" xfId="30551" xr:uid="{00000000-0005-0000-0000-00008C6E0000}"/>
    <cellStyle name="Normal 3 3 10 2 3" xfId="31631" xr:uid="{00000000-0005-0000-0000-00008D6E0000}"/>
    <cellStyle name="Normal 3 3 10 3" xfId="13419" xr:uid="{00000000-0005-0000-0000-00008E6E0000}"/>
    <cellStyle name="Normal 3 3 10 3 2" xfId="26968" xr:uid="{00000000-0005-0000-0000-00008F6E0000}"/>
    <cellStyle name="Normal 3 3 10 4" xfId="31630" xr:uid="{00000000-0005-0000-0000-0000906E0000}"/>
    <cellStyle name="Normal 3 3 11" xfId="7344" xr:uid="{00000000-0005-0000-0000-0000916E0000}"/>
    <cellStyle name="Normal 3 3 11 2" xfId="7345" xr:uid="{00000000-0005-0000-0000-0000926E0000}"/>
    <cellStyle name="Normal 3 3 11 2 2" xfId="17281" xr:uid="{00000000-0005-0000-0000-0000936E0000}"/>
    <cellStyle name="Normal 3 3 11 2 2 2" xfId="30640" xr:uid="{00000000-0005-0000-0000-0000946E0000}"/>
    <cellStyle name="Normal 3 3 11 2 3" xfId="31633" xr:uid="{00000000-0005-0000-0000-0000956E0000}"/>
    <cellStyle name="Normal 3 3 11 3" xfId="14000" xr:uid="{00000000-0005-0000-0000-0000966E0000}"/>
    <cellStyle name="Normal 3 3 11 3 2" xfId="27549" xr:uid="{00000000-0005-0000-0000-0000976E0000}"/>
    <cellStyle name="Normal 3 3 11 4" xfId="31632" xr:uid="{00000000-0005-0000-0000-0000986E0000}"/>
    <cellStyle name="Normal 3 3 12" xfId="7346" xr:uid="{00000000-0005-0000-0000-0000996E0000}"/>
    <cellStyle name="Normal 3 3 12 2" xfId="7347" xr:uid="{00000000-0005-0000-0000-00009A6E0000}"/>
    <cellStyle name="Normal 3 3 12 2 2" xfId="16467" xr:uid="{00000000-0005-0000-0000-00009B6E0000}"/>
    <cellStyle name="Normal 3 3 12 2 2 2" xfId="29874" xr:uid="{00000000-0005-0000-0000-00009C6E0000}"/>
    <cellStyle name="Normal 3 3 12 2 3" xfId="31635" xr:uid="{00000000-0005-0000-0000-00009D6E0000}"/>
    <cellStyle name="Normal 3 3 12 3" xfId="15800" xr:uid="{00000000-0005-0000-0000-00009E6E0000}"/>
    <cellStyle name="Normal 3 3 12 3 2" xfId="29207" xr:uid="{00000000-0005-0000-0000-00009F6E0000}"/>
    <cellStyle name="Normal 3 3 12 4" xfId="31634" xr:uid="{00000000-0005-0000-0000-0000A06E0000}"/>
    <cellStyle name="Normal 3 3 13" xfId="7348" xr:uid="{00000000-0005-0000-0000-0000A16E0000}"/>
    <cellStyle name="Normal 3 3 13 2" xfId="15886" xr:uid="{00000000-0005-0000-0000-0000A26E0000}"/>
    <cellStyle name="Normal 3 3 13 2 2" xfId="29293" xr:uid="{00000000-0005-0000-0000-0000A36E0000}"/>
    <cellStyle name="Normal 3 3 13 3" xfId="31636" xr:uid="{00000000-0005-0000-0000-0000A46E0000}"/>
    <cellStyle name="Normal 3 3 14" xfId="8673" xr:uid="{00000000-0005-0000-0000-0000A56E0000}"/>
    <cellStyle name="Normal 3 3 14 2" xfId="17298" xr:uid="{00000000-0005-0000-0000-0000A66E0000}"/>
    <cellStyle name="Normal 3 3 14 2 2" xfId="30651" xr:uid="{00000000-0005-0000-0000-0000A76E0000}"/>
    <cellStyle name="Normal 3 3 14 3" xfId="23203" xr:uid="{00000000-0005-0000-0000-0000A86E0000}"/>
    <cellStyle name="Normal 3 3 15" xfId="8782" xr:uid="{00000000-0005-0000-0000-0000A96E0000}"/>
    <cellStyle name="Normal 3 3 15 2" xfId="23260" xr:uid="{00000000-0005-0000-0000-0000AA6E0000}"/>
    <cellStyle name="Normal 3 3 16" xfId="31629" xr:uid="{00000000-0005-0000-0000-0000AB6E0000}"/>
    <cellStyle name="Normal 3 3 17" xfId="32911" xr:uid="{00000000-0005-0000-0000-0000AC6E0000}"/>
    <cellStyle name="Normal 3 3 18" xfId="32971" xr:uid="{00000000-0005-0000-0000-0000AD6E0000}"/>
    <cellStyle name="Normal 3 3 2" xfId="7349" xr:uid="{00000000-0005-0000-0000-0000AE6E0000}"/>
    <cellStyle name="Normal 3 3 2 10" xfId="10183" xr:uid="{00000000-0005-0000-0000-0000AF6E0000}"/>
    <cellStyle name="Normal 3 3 2 10 2" xfId="24386" xr:uid="{00000000-0005-0000-0000-0000B06E0000}"/>
    <cellStyle name="Normal 3 3 2 11" xfId="31637" xr:uid="{00000000-0005-0000-0000-0000B16E0000}"/>
    <cellStyle name="Normal 3 3 2 12" xfId="32944" xr:uid="{00000000-0005-0000-0000-0000B26E0000}"/>
    <cellStyle name="Normal 3 3 2 13" xfId="33002" xr:uid="{00000000-0005-0000-0000-0000B36E0000}"/>
    <cellStyle name="Normal 3 3 2 2" xfId="7350" xr:uid="{00000000-0005-0000-0000-0000B46E0000}"/>
    <cellStyle name="Normal 3 3 2 2 10" xfId="31638" xr:uid="{00000000-0005-0000-0000-0000B56E0000}"/>
    <cellStyle name="Normal 3 3 2 2 2" xfId="7351" xr:uid="{00000000-0005-0000-0000-0000B66E0000}"/>
    <cellStyle name="Normal 3 3 2 2 2 2" xfId="7352" xr:uid="{00000000-0005-0000-0000-0000B76E0000}"/>
    <cellStyle name="Normal 3 3 2 2 2 2 2" xfId="7353" xr:uid="{00000000-0005-0000-0000-0000B86E0000}"/>
    <cellStyle name="Normal 3 3 2 2 2 2 2 2" xfId="7354" xr:uid="{00000000-0005-0000-0000-0000B96E0000}"/>
    <cellStyle name="Normal 3 3 2 2 2 2 2 2 2" xfId="16968" xr:uid="{00000000-0005-0000-0000-0000BA6E0000}"/>
    <cellStyle name="Normal 3 3 2 2 2 2 2 2 2 2" xfId="30375" xr:uid="{00000000-0005-0000-0000-0000BB6E0000}"/>
    <cellStyle name="Normal 3 3 2 2 2 2 2 2 3" xfId="31642" xr:uid="{00000000-0005-0000-0000-0000BC6E0000}"/>
    <cellStyle name="Normal 3 3 2 2 2 2 2 3" xfId="11549" xr:uid="{00000000-0005-0000-0000-0000BD6E0000}"/>
    <cellStyle name="Normal 3 3 2 2 2 2 2 3 2" xfId="25380" xr:uid="{00000000-0005-0000-0000-0000BE6E0000}"/>
    <cellStyle name="Normal 3 3 2 2 2 2 2 4" xfId="31641" xr:uid="{00000000-0005-0000-0000-0000BF6E0000}"/>
    <cellStyle name="Normal 3 3 2 2 2 2 3" xfId="7355" xr:uid="{00000000-0005-0000-0000-0000C06E0000}"/>
    <cellStyle name="Normal 3 3 2 2 2 2 3 2" xfId="12356" xr:uid="{00000000-0005-0000-0000-0000C16E0000}"/>
    <cellStyle name="Normal 3 3 2 2 2 2 3 2 2" xfId="26068" xr:uid="{00000000-0005-0000-0000-0000C26E0000}"/>
    <cellStyle name="Normal 3 3 2 2 2 2 3 3" xfId="31643" xr:uid="{00000000-0005-0000-0000-0000C36E0000}"/>
    <cellStyle name="Normal 3 3 2 2 2 2 4" xfId="7356" xr:uid="{00000000-0005-0000-0000-0000C46E0000}"/>
    <cellStyle name="Normal 3 3 2 2 2 2 4 2" xfId="13920" xr:uid="{00000000-0005-0000-0000-0000C56E0000}"/>
    <cellStyle name="Normal 3 3 2 2 2 2 4 2 2" xfId="27469" xr:uid="{00000000-0005-0000-0000-0000C66E0000}"/>
    <cellStyle name="Normal 3 3 2 2 2 2 4 3" xfId="31644" xr:uid="{00000000-0005-0000-0000-0000C76E0000}"/>
    <cellStyle name="Normal 3 3 2 2 2 2 5" xfId="7357" xr:uid="{00000000-0005-0000-0000-0000C86E0000}"/>
    <cellStyle name="Normal 3 3 2 2 2 2 5 2" xfId="14501" xr:uid="{00000000-0005-0000-0000-0000C96E0000}"/>
    <cellStyle name="Normal 3 3 2 2 2 2 5 2 2" xfId="28050" xr:uid="{00000000-0005-0000-0000-0000CA6E0000}"/>
    <cellStyle name="Normal 3 3 2 2 2 2 5 3" xfId="31645" xr:uid="{00000000-0005-0000-0000-0000CB6E0000}"/>
    <cellStyle name="Normal 3 3 2 2 2 2 6" xfId="7358" xr:uid="{00000000-0005-0000-0000-0000CC6E0000}"/>
    <cellStyle name="Normal 3 3 2 2 2 2 6 2" xfId="16387" xr:uid="{00000000-0005-0000-0000-0000CD6E0000}"/>
    <cellStyle name="Normal 3 3 2 2 2 2 6 2 2" xfId="29794" xr:uid="{00000000-0005-0000-0000-0000CE6E0000}"/>
    <cellStyle name="Normal 3 3 2 2 2 2 6 3" xfId="31646" xr:uid="{00000000-0005-0000-0000-0000CF6E0000}"/>
    <cellStyle name="Normal 3 3 2 2 2 2 7" xfId="10186" xr:uid="{00000000-0005-0000-0000-0000D06E0000}"/>
    <cellStyle name="Normal 3 3 2 2 2 2 7 2" xfId="24389" xr:uid="{00000000-0005-0000-0000-0000D16E0000}"/>
    <cellStyle name="Normal 3 3 2 2 2 2 8" xfId="31640" xr:uid="{00000000-0005-0000-0000-0000D26E0000}"/>
    <cellStyle name="Normal 3 3 2 2 2 3" xfId="7359" xr:uid="{00000000-0005-0000-0000-0000D36E0000}"/>
    <cellStyle name="Normal 3 3 2 2 2 3 2" xfId="7360" xr:uid="{00000000-0005-0000-0000-0000D46E0000}"/>
    <cellStyle name="Normal 3 3 2 2 2 3 2 2" xfId="16679" xr:uid="{00000000-0005-0000-0000-0000D56E0000}"/>
    <cellStyle name="Normal 3 3 2 2 2 3 2 2 2" xfId="30086" xr:uid="{00000000-0005-0000-0000-0000D66E0000}"/>
    <cellStyle name="Normal 3 3 2 2 2 3 2 3" xfId="31648" xr:uid="{00000000-0005-0000-0000-0000D76E0000}"/>
    <cellStyle name="Normal 3 3 2 2 2 3 3" xfId="11548" xr:uid="{00000000-0005-0000-0000-0000D86E0000}"/>
    <cellStyle name="Normal 3 3 2 2 2 3 3 2" xfId="25379" xr:uid="{00000000-0005-0000-0000-0000D96E0000}"/>
    <cellStyle name="Normal 3 3 2 2 2 3 4" xfId="31647" xr:uid="{00000000-0005-0000-0000-0000DA6E0000}"/>
    <cellStyle name="Normal 3 3 2 2 2 4" xfId="7361" xr:uid="{00000000-0005-0000-0000-0000DB6E0000}"/>
    <cellStyle name="Normal 3 3 2 2 2 4 2" xfId="12056" xr:uid="{00000000-0005-0000-0000-0000DC6E0000}"/>
    <cellStyle name="Normal 3 3 2 2 2 4 2 2" xfId="25771" xr:uid="{00000000-0005-0000-0000-0000DD6E0000}"/>
    <cellStyle name="Normal 3 3 2 2 2 4 3" xfId="31649" xr:uid="{00000000-0005-0000-0000-0000DE6E0000}"/>
    <cellStyle name="Normal 3 3 2 2 2 5" xfId="7362" xr:uid="{00000000-0005-0000-0000-0000DF6E0000}"/>
    <cellStyle name="Normal 3 3 2 2 2 5 2" xfId="13631" xr:uid="{00000000-0005-0000-0000-0000E06E0000}"/>
    <cellStyle name="Normal 3 3 2 2 2 5 2 2" xfId="27180" xr:uid="{00000000-0005-0000-0000-0000E16E0000}"/>
    <cellStyle name="Normal 3 3 2 2 2 5 3" xfId="31650" xr:uid="{00000000-0005-0000-0000-0000E26E0000}"/>
    <cellStyle name="Normal 3 3 2 2 2 6" xfId="7363" xr:uid="{00000000-0005-0000-0000-0000E36E0000}"/>
    <cellStyle name="Normal 3 3 2 2 2 6 2" xfId="14212" xr:uid="{00000000-0005-0000-0000-0000E46E0000}"/>
    <cellStyle name="Normal 3 3 2 2 2 6 2 2" xfId="27761" xr:uid="{00000000-0005-0000-0000-0000E56E0000}"/>
    <cellStyle name="Normal 3 3 2 2 2 6 3" xfId="31651" xr:uid="{00000000-0005-0000-0000-0000E66E0000}"/>
    <cellStyle name="Normal 3 3 2 2 2 7" xfId="7364" xr:uid="{00000000-0005-0000-0000-0000E76E0000}"/>
    <cellStyle name="Normal 3 3 2 2 2 7 2" xfId="16098" xr:uid="{00000000-0005-0000-0000-0000E86E0000}"/>
    <cellStyle name="Normal 3 3 2 2 2 7 2 2" xfId="29505" xr:uid="{00000000-0005-0000-0000-0000E96E0000}"/>
    <cellStyle name="Normal 3 3 2 2 2 7 3" xfId="31652" xr:uid="{00000000-0005-0000-0000-0000EA6E0000}"/>
    <cellStyle name="Normal 3 3 2 2 2 8" xfId="10185" xr:uid="{00000000-0005-0000-0000-0000EB6E0000}"/>
    <cellStyle name="Normal 3 3 2 2 2 8 2" xfId="24388" xr:uid="{00000000-0005-0000-0000-0000EC6E0000}"/>
    <cellStyle name="Normal 3 3 2 2 2 9" xfId="31639" xr:uid="{00000000-0005-0000-0000-0000ED6E0000}"/>
    <cellStyle name="Normal 3 3 2 2 3" xfId="7365" xr:uid="{00000000-0005-0000-0000-0000EE6E0000}"/>
    <cellStyle name="Normal 3 3 2 2 3 2" xfId="7366" xr:uid="{00000000-0005-0000-0000-0000EF6E0000}"/>
    <cellStyle name="Normal 3 3 2 2 3 2 2" xfId="7367" xr:uid="{00000000-0005-0000-0000-0000F06E0000}"/>
    <cellStyle name="Normal 3 3 2 2 3 2 2 2" xfId="16825" xr:uid="{00000000-0005-0000-0000-0000F16E0000}"/>
    <cellStyle name="Normal 3 3 2 2 3 2 2 2 2" xfId="30232" xr:uid="{00000000-0005-0000-0000-0000F26E0000}"/>
    <cellStyle name="Normal 3 3 2 2 3 2 2 3" xfId="31655" xr:uid="{00000000-0005-0000-0000-0000F36E0000}"/>
    <cellStyle name="Normal 3 3 2 2 3 2 3" xfId="11550" xr:uid="{00000000-0005-0000-0000-0000F46E0000}"/>
    <cellStyle name="Normal 3 3 2 2 3 2 3 2" xfId="25381" xr:uid="{00000000-0005-0000-0000-0000F56E0000}"/>
    <cellStyle name="Normal 3 3 2 2 3 2 4" xfId="31654" xr:uid="{00000000-0005-0000-0000-0000F66E0000}"/>
    <cellStyle name="Normal 3 3 2 2 3 3" xfId="7368" xr:uid="{00000000-0005-0000-0000-0000F76E0000}"/>
    <cellStyle name="Normal 3 3 2 2 3 3 2" xfId="12213" xr:uid="{00000000-0005-0000-0000-0000F86E0000}"/>
    <cellStyle name="Normal 3 3 2 2 3 3 2 2" xfId="25925" xr:uid="{00000000-0005-0000-0000-0000F96E0000}"/>
    <cellStyle name="Normal 3 3 2 2 3 3 3" xfId="31656" xr:uid="{00000000-0005-0000-0000-0000FA6E0000}"/>
    <cellStyle name="Normal 3 3 2 2 3 4" xfId="7369" xr:uid="{00000000-0005-0000-0000-0000FB6E0000}"/>
    <cellStyle name="Normal 3 3 2 2 3 4 2" xfId="13777" xr:uid="{00000000-0005-0000-0000-0000FC6E0000}"/>
    <cellStyle name="Normal 3 3 2 2 3 4 2 2" xfId="27326" xr:uid="{00000000-0005-0000-0000-0000FD6E0000}"/>
    <cellStyle name="Normal 3 3 2 2 3 4 3" xfId="31657" xr:uid="{00000000-0005-0000-0000-0000FE6E0000}"/>
    <cellStyle name="Normal 3 3 2 2 3 5" xfId="7370" xr:uid="{00000000-0005-0000-0000-0000FF6E0000}"/>
    <cellStyle name="Normal 3 3 2 2 3 5 2" xfId="14358" xr:uid="{00000000-0005-0000-0000-0000006F0000}"/>
    <cellStyle name="Normal 3 3 2 2 3 5 2 2" xfId="27907" xr:uid="{00000000-0005-0000-0000-0000016F0000}"/>
    <cellStyle name="Normal 3 3 2 2 3 5 3" xfId="31658" xr:uid="{00000000-0005-0000-0000-0000026F0000}"/>
    <cellStyle name="Normal 3 3 2 2 3 6" xfId="7371" xr:uid="{00000000-0005-0000-0000-0000036F0000}"/>
    <cellStyle name="Normal 3 3 2 2 3 6 2" xfId="16244" xr:uid="{00000000-0005-0000-0000-0000046F0000}"/>
    <cellStyle name="Normal 3 3 2 2 3 6 2 2" xfId="29651" xr:uid="{00000000-0005-0000-0000-0000056F0000}"/>
    <cellStyle name="Normal 3 3 2 2 3 6 3" xfId="31659" xr:uid="{00000000-0005-0000-0000-0000066F0000}"/>
    <cellStyle name="Normal 3 3 2 2 3 7" xfId="10187" xr:uid="{00000000-0005-0000-0000-0000076F0000}"/>
    <cellStyle name="Normal 3 3 2 2 3 7 2" xfId="24390" xr:uid="{00000000-0005-0000-0000-0000086F0000}"/>
    <cellStyle name="Normal 3 3 2 2 3 8" xfId="31653" xr:uid="{00000000-0005-0000-0000-0000096F0000}"/>
    <cellStyle name="Normal 3 3 2 2 4" xfId="7372" xr:uid="{00000000-0005-0000-0000-00000A6F0000}"/>
    <cellStyle name="Normal 3 3 2 2 4 2" xfId="7373" xr:uid="{00000000-0005-0000-0000-00000B6F0000}"/>
    <cellStyle name="Normal 3 3 2 2 4 2 2" xfId="17172" xr:uid="{00000000-0005-0000-0000-00000C6F0000}"/>
    <cellStyle name="Normal 3 3 2 2 4 2 2 2" xfId="30531" xr:uid="{00000000-0005-0000-0000-00000D6F0000}"/>
    <cellStyle name="Normal 3 3 2 2 4 2 3" xfId="31661" xr:uid="{00000000-0005-0000-0000-00000E6F0000}"/>
    <cellStyle name="Normal 3 3 2 2 4 3" xfId="11547" xr:uid="{00000000-0005-0000-0000-00000F6F0000}"/>
    <cellStyle name="Normal 3 3 2 2 4 3 2" xfId="25378" xr:uid="{00000000-0005-0000-0000-0000106F0000}"/>
    <cellStyle name="Normal 3 3 2 2 4 4" xfId="31660" xr:uid="{00000000-0005-0000-0000-0000116F0000}"/>
    <cellStyle name="Normal 3 3 2 2 5" xfId="7374" xr:uid="{00000000-0005-0000-0000-0000126F0000}"/>
    <cellStyle name="Normal 3 3 2 2 5 2" xfId="7375" xr:uid="{00000000-0005-0000-0000-0000136F0000}"/>
    <cellStyle name="Normal 3 3 2 2 5 2 2" xfId="17261" xr:uid="{00000000-0005-0000-0000-0000146F0000}"/>
    <cellStyle name="Normal 3 3 2 2 5 2 2 2" xfId="30620" xr:uid="{00000000-0005-0000-0000-0000156F0000}"/>
    <cellStyle name="Normal 3 3 2 2 5 2 3" xfId="31663" xr:uid="{00000000-0005-0000-0000-0000166F0000}"/>
    <cellStyle name="Normal 3 3 2 2 5 3" xfId="11911" xr:uid="{00000000-0005-0000-0000-0000176F0000}"/>
    <cellStyle name="Normal 3 3 2 2 5 3 2" xfId="25626" xr:uid="{00000000-0005-0000-0000-0000186F0000}"/>
    <cellStyle name="Normal 3 3 2 2 5 4" xfId="31662" xr:uid="{00000000-0005-0000-0000-0000196F0000}"/>
    <cellStyle name="Normal 3 3 2 2 6" xfId="7376" xr:uid="{00000000-0005-0000-0000-00001A6F0000}"/>
    <cellStyle name="Normal 3 3 2 2 6 2" xfId="7377" xr:uid="{00000000-0005-0000-0000-00001B6F0000}"/>
    <cellStyle name="Normal 3 3 2 2 6 2 2" xfId="16536" xr:uid="{00000000-0005-0000-0000-00001C6F0000}"/>
    <cellStyle name="Normal 3 3 2 2 6 2 2 2" xfId="29943" xr:uid="{00000000-0005-0000-0000-00001D6F0000}"/>
    <cellStyle name="Normal 3 3 2 2 6 2 3" xfId="31665" xr:uid="{00000000-0005-0000-0000-00001E6F0000}"/>
    <cellStyle name="Normal 3 3 2 2 6 3" xfId="13488" xr:uid="{00000000-0005-0000-0000-00001F6F0000}"/>
    <cellStyle name="Normal 3 3 2 2 6 3 2" xfId="27037" xr:uid="{00000000-0005-0000-0000-0000206F0000}"/>
    <cellStyle name="Normal 3 3 2 2 6 4" xfId="31664" xr:uid="{00000000-0005-0000-0000-0000216F0000}"/>
    <cellStyle name="Normal 3 3 2 2 7" xfId="7378" xr:uid="{00000000-0005-0000-0000-0000226F0000}"/>
    <cellStyle name="Normal 3 3 2 2 7 2" xfId="14069" xr:uid="{00000000-0005-0000-0000-0000236F0000}"/>
    <cellStyle name="Normal 3 3 2 2 7 2 2" xfId="27618" xr:uid="{00000000-0005-0000-0000-0000246F0000}"/>
    <cellStyle name="Normal 3 3 2 2 7 3" xfId="31666" xr:uid="{00000000-0005-0000-0000-0000256F0000}"/>
    <cellStyle name="Normal 3 3 2 2 8" xfId="7379" xr:uid="{00000000-0005-0000-0000-0000266F0000}"/>
    <cellStyle name="Normal 3 3 2 2 8 2" xfId="15955" xr:uid="{00000000-0005-0000-0000-0000276F0000}"/>
    <cellStyle name="Normal 3 3 2 2 8 2 2" xfId="29362" xr:uid="{00000000-0005-0000-0000-0000286F0000}"/>
    <cellStyle name="Normal 3 3 2 2 8 3" xfId="31667" xr:uid="{00000000-0005-0000-0000-0000296F0000}"/>
    <cellStyle name="Normal 3 3 2 2 9" xfId="10184" xr:uid="{00000000-0005-0000-0000-00002A6F0000}"/>
    <cellStyle name="Normal 3 3 2 2 9 2" xfId="24387" xr:uid="{00000000-0005-0000-0000-00002B6F0000}"/>
    <cellStyle name="Normal 3 3 2 3" xfId="7380" xr:uid="{00000000-0005-0000-0000-00002C6F0000}"/>
    <cellStyle name="Normal 3 3 2 3 2" xfId="7381" xr:uid="{00000000-0005-0000-0000-00002D6F0000}"/>
    <cellStyle name="Normal 3 3 2 3 2 2" xfId="7382" xr:uid="{00000000-0005-0000-0000-00002E6F0000}"/>
    <cellStyle name="Normal 3 3 2 3 2 2 2" xfId="7383" xr:uid="{00000000-0005-0000-0000-00002F6F0000}"/>
    <cellStyle name="Normal 3 3 2 3 2 2 2 2" xfId="16922" xr:uid="{00000000-0005-0000-0000-0000306F0000}"/>
    <cellStyle name="Normal 3 3 2 3 2 2 2 2 2" xfId="30329" xr:uid="{00000000-0005-0000-0000-0000316F0000}"/>
    <cellStyle name="Normal 3 3 2 3 2 2 2 3" xfId="31671" xr:uid="{00000000-0005-0000-0000-0000326F0000}"/>
    <cellStyle name="Normal 3 3 2 3 2 2 3" xfId="11552" xr:uid="{00000000-0005-0000-0000-0000336F0000}"/>
    <cellStyle name="Normal 3 3 2 3 2 2 3 2" xfId="25383" xr:uid="{00000000-0005-0000-0000-0000346F0000}"/>
    <cellStyle name="Normal 3 3 2 3 2 2 4" xfId="31670" xr:uid="{00000000-0005-0000-0000-0000356F0000}"/>
    <cellStyle name="Normal 3 3 2 3 2 3" xfId="7384" xr:uid="{00000000-0005-0000-0000-0000366F0000}"/>
    <cellStyle name="Normal 3 3 2 3 2 3 2" xfId="12310" xr:uid="{00000000-0005-0000-0000-0000376F0000}"/>
    <cellStyle name="Normal 3 3 2 3 2 3 2 2" xfId="26022" xr:uid="{00000000-0005-0000-0000-0000386F0000}"/>
    <cellStyle name="Normal 3 3 2 3 2 3 3" xfId="31672" xr:uid="{00000000-0005-0000-0000-0000396F0000}"/>
    <cellStyle name="Normal 3 3 2 3 2 4" xfId="7385" xr:uid="{00000000-0005-0000-0000-00003A6F0000}"/>
    <cellStyle name="Normal 3 3 2 3 2 4 2" xfId="13874" xr:uid="{00000000-0005-0000-0000-00003B6F0000}"/>
    <cellStyle name="Normal 3 3 2 3 2 4 2 2" xfId="27423" xr:uid="{00000000-0005-0000-0000-00003C6F0000}"/>
    <cellStyle name="Normal 3 3 2 3 2 4 3" xfId="31673" xr:uid="{00000000-0005-0000-0000-00003D6F0000}"/>
    <cellStyle name="Normal 3 3 2 3 2 5" xfId="7386" xr:uid="{00000000-0005-0000-0000-00003E6F0000}"/>
    <cellStyle name="Normal 3 3 2 3 2 5 2" xfId="14455" xr:uid="{00000000-0005-0000-0000-00003F6F0000}"/>
    <cellStyle name="Normal 3 3 2 3 2 5 2 2" xfId="28004" xr:uid="{00000000-0005-0000-0000-0000406F0000}"/>
    <cellStyle name="Normal 3 3 2 3 2 5 3" xfId="31674" xr:uid="{00000000-0005-0000-0000-0000416F0000}"/>
    <cellStyle name="Normal 3 3 2 3 2 6" xfId="7387" xr:uid="{00000000-0005-0000-0000-0000426F0000}"/>
    <cellStyle name="Normal 3 3 2 3 2 6 2" xfId="16341" xr:uid="{00000000-0005-0000-0000-0000436F0000}"/>
    <cellStyle name="Normal 3 3 2 3 2 6 2 2" xfId="29748" xr:uid="{00000000-0005-0000-0000-0000446F0000}"/>
    <cellStyle name="Normal 3 3 2 3 2 6 3" xfId="31675" xr:uid="{00000000-0005-0000-0000-0000456F0000}"/>
    <cellStyle name="Normal 3 3 2 3 2 7" xfId="10189" xr:uid="{00000000-0005-0000-0000-0000466F0000}"/>
    <cellStyle name="Normal 3 3 2 3 2 7 2" xfId="24392" xr:uid="{00000000-0005-0000-0000-0000476F0000}"/>
    <cellStyle name="Normal 3 3 2 3 2 8" xfId="31669" xr:uid="{00000000-0005-0000-0000-0000486F0000}"/>
    <cellStyle name="Normal 3 3 2 3 3" xfId="7388" xr:uid="{00000000-0005-0000-0000-0000496F0000}"/>
    <cellStyle name="Normal 3 3 2 3 3 2" xfId="7389" xr:uid="{00000000-0005-0000-0000-00004A6F0000}"/>
    <cellStyle name="Normal 3 3 2 3 3 2 2" xfId="16633" xr:uid="{00000000-0005-0000-0000-00004B6F0000}"/>
    <cellStyle name="Normal 3 3 2 3 3 2 2 2" xfId="30040" xr:uid="{00000000-0005-0000-0000-00004C6F0000}"/>
    <cellStyle name="Normal 3 3 2 3 3 2 3" xfId="31677" xr:uid="{00000000-0005-0000-0000-00004D6F0000}"/>
    <cellStyle name="Normal 3 3 2 3 3 3" xfId="11551" xr:uid="{00000000-0005-0000-0000-00004E6F0000}"/>
    <cellStyle name="Normal 3 3 2 3 3 3 2" xfId="25382" xr:uid="{00000000-0005-0000-0000-00004F6F0000}"/>
    <cellStyle name="Normal 3 3 2 3 3 4" xfId="31676" xr:uid="{00000000-0005-0000-0000-0000506F0000}"/>
    <cellStyle name="Normal 3 3 2 3 4" xfId="7390" xr:uid="{00000000-0005-0000-0000-0000516F0000}"/>
    <cellStyle name="Normal 3 3 2 3 4 2" xfId="12010" xr:uid="{00000000-0005-0000-0000-0000526F0000}"/>
    <cellStyle name="Normal 3 3 2 3 4 2 2" xfId="25725" xr:uid="{00000000-0005-0000-0000-0000536F0000}"/>
    <cellStyle name="Normal 3 3 2 3 4 3" xfId="31678" xr:uid="{00000000-0005-0000-0000-0000546F0000}"/>
    <cellStyle name="Normal 3 3 2 3 5" xfId="7391" xr:uid="{00000000-0005-0000-0000-0000556F0000}"/>
    <cellStyle name="Normal 3 3 2 3 5 2" xfId="13585" xr:uid="{00000000-0005-0000-0000-0000566F0000}"/>
    <cellStyle name="Normal 3 3 2 3 5 2 2" xfId="27134" xr:uid="{00000000-0005-0000-0000-0000576F0000}"/>
    <cellStyle name="Normal 3 3 2 3 5 3" xfId="31679" xr:uid="{00000000-0005-0000-0000-0000586F0000}"/>
    <cellStyle name="Normal 3 3 2 3 6" xfId="7392" xr:uid="{00000000-0005-0000-0000-0000596F0000}"/>
    <cellStyle name="Normal 3 3 2 3 6 2" xfId="14166" xr:uid="{00000000-0005-0000-0000-00005A6F0000}"/>
    <cellStyle name="Normal 3 3 2 3 6 2 2" xfId="27715" xr:uid="{00000000-0005-0000-0000-00005B6F0000}"/>
    <cellStyle name="Normal 3 3 2 3 6 3" xfId="31680" xr:uid="{00000000-0005-0000-0000-00005C6F0000}"/>
    <cellStyle name="Normal 3 3 2 3 7" xfId="7393" xr:uid="{00000000-0005-0000-0000-00005D6F0000}"/>
    <cellStyle name="Normal 3 3 2 3 7 2" xfId="16052" xr:uid="{00000000-0005-0000-0000-00005E6F0000}"/>
    <cellStyle name="Normal 3 3 2 3 7 2 2" xfId="29459" xr:uid="{00000000-0005-0000-0000-00005F6F0000}"/>
    <cellStyle name="Normal 3 3 2 3 7 3" xfId="31681" xr:uid="{00000000-0005-0000-0000-0000606F0000}"/>
    <cellStyle name="Normal 3 3 2 3 8" xfId="10188" xr:uid="{00000000-0005-0000-0000-0000616F0000}"/>
    <cellStyle name="Normal 3 3 2 3 8 2" xfId="24391" xr:uid="{00000000-0005-0000-0000-0000626F0000}"/>
    <cellStyle name="Normal 3 3 2 3 9" xfId="31668" xr:uid="{00000000-0005-0000-0000-0000636F0000}"/>
    <cellStyle name="Normal 3 3 2 4" xfId="7394" xr:uid="{00000000-0005-0000-0000-0000646F0000}"/>
    <cellStyle name="Normal 3 3 2 4 2" xfId="7395" xr:uid="{00000000-0005-0000-0000-0000656F0000}"/>
    <cellStyle name="Normal 3 3 2 4 2 2" xfId="7396" xr:uid="{00000000-0005-0000-0000-0000666F0000}"/>
    <cellStyle name="Normal 3 3 2 4 2 2 2" xfId="16779" xr:uid="{00000000-0005-0000-0000-0000676F0000}"/>
    <cellStyle name="Normal 3 3 2 4 2 2 2 2" xfId="30186" xr:uid="{00000000-0005-0000-0000-0000686F0000}"/>
    <cellStyle name="Normal 3 3 2 4 2 2 3" xfId="31684" xr:uid="{00000000-0005-0000-0000-0000696F0000}"/>
    <cellStyle name="Normal 3 3 2 4 2 3" xfId="11553" xr:uid="{00000000-0005-0000-0000-00006A6F0000}"/>
    <cellStyle name="Normal 3 3 2 4 2 3 2" xfId="25384" xr:uid="{00000000-0005-0000-0000-00006B6F0000}"/>
    <cellStyle name="Normal 3 3 2 4 2 4" xfId="31683" xr:uid="{00000000-0005-0000-0000-00006C6F0000}"/>
    <cellStyle name="Normal 3 3 2 4 3" xfId="7397" xr:uid="{00000000-0005-0000-0000-00006D6F0000}"/>
    <cellStyle name="Normal 3 3 2 4 3 2" xfId="12167" xr:uid="{00000000-0005-0000-0000-00006E6F0000}"/>
    <cellStyle name="Normal 3 3 2 4 3 2 2" xfId="25879" xr:uid="{00000000-0005-0000-0000-00006F6F0000}"/>
    <cellStyle name="Normal 3 3 2 4 3 3" xfId="31685" xr:uid="{00000000-0005-0000-0000-0000706F0000}"/>
    <cellStyle name="Normal 3 3 2 4 4" xfId="7398" xr:uid="{00000000-0005-0000-0000-0000716F0000}"/>
    <cellStyle name="Normal 3 3 2 4 4 2" xfId="13731" xr:uid="{00000000-0005-0000-0000-0000726F0000}"/>
    <cellStyle name="Normal 3 3 2 4 4 2 2" xfId="27280" xr:uid="{00000000-0005-0000-0000-0000736F0000}"/>
    <cellStyle name="Normal 3 3 2 4 4 3" xfId="31686" xr:uid="{00000000-0005-0000-0000-0000746F0000}"/>
    <cellStyle name="Normal 3 3 2 4 5" xfId="7399" xr:uid="{00000000-0005-0000-0000-0000756F0000}"/>
    <cellStyle name="Normal 3 3 2 4 5 2" xfId="14312" xr:uid="{00000000-0005-0000-0000-0000766F0000}"/>
    <cellStyle name="Normal 3 3 2 4 5 2 2" xfId="27861" xr:uid="{00000000-0005-0000-0000-0000776F0000}"/>
    <cellStyle name="Normal 3 3 2 4 5 3" xfId="31687" xr:uid="{00000000-0005-0000-0000-0000786F0000}"/>
    <cellStyle name="Normal 3 3 2 4 6" xfId="7400" xr:uid="{00000000-0005-0000-0000-0000796F0000}"/>
    <cellStyle name="Normal 3 3 2 4 6 2" xfId="16198" xr:uid="{00000000-0005-0000-0000-00007A6F0000}"/>
    <cellStyle name="Normal 3 3 2 4 6 2 2" xfId="29605" xr:uid="{00000000-0005-0000-0000-00007B6F0000}"/>
    <cellStyle name="Normal 3 3 2 4 6 3" xfId="31688" xr:uid="{00000000-0005-0000-0000-00007C6F0000}"/>
    <cellStyle name="Normal 3 3 2 4 7" xfId="10190" xr:uid="{00000000-0005-0000-0000-00007D6F0000}"/>
    <cellStyle name="Normal 3 3 2 4 7 2" xfId="24393" xr:uid="{00000000-0005-0000-0000-00007E6F0000}"/>
    <cellStyle name="Normal 3 3 2 4 8" xfId="31682" xr:uid="{00000000-0005-0000-0000-00007F6F0000}"/>
    <cellStyle name="Normal 3 3 2 5" xfId="7401" xr:uid="{00000000-0005-0000-0000-0000806F0000}"/>
    <cellStyle name="Normal 3 3 2 5 2" xfId="7402" xr:uid="{00000000-0005-0000-0000-0000816F0000}"/>
    <cellStyle name="Normal 3 3 2 5 2 2" xfId="17032" xr:uid="{00000000-0005-0000-0000-0000826F0000}"/>
    <cellStyle name="Normal 3 3 2 5 2 2 2" xfId="30433" xr:uid="{00000000-0005-0000-0000-0000836F0000}"/>
    <cellStyle name="Normal 3 3 2 5 2 3" xfId="31690" xr:uid="{00000000-0005-0000-0000-0000846F0000}"/>
    <cellStyle name="Normal 3 3 2 5 3" xfId="11546" xr:uid="{00000000-0005-0000-0000-0000856F0000}"/>
    <cellStyle name="Normal 3 3 2 5 3 2" xfId="25377" xr:uid="{00000000-0005-0000-0000-0000866F0000}"/>
    <cellStyle name="Normal 3 3 2 5 4" xfId="31689" xr:uid="{00000000-0005-0000-0000-0000876F0000}"/>
    <cellStyle name="Normal 3 3 2 6" xfId="7403" xr:uid="{00000000-0005-0000-0000-0000886F0000}"/>
    <cellStyle name="Normal 3 3 2 6 2" xfId="7404" xr:uid="{00000000-0005-0000-0000-0000896F0000}"/>
    <cellStyle name="Normal 3 3 2 6 2 2" xfId="17126" xr:uid="{00000000-0005-0000-0000-00008A6F0000}"/>
    <cellStyle name="Normal 3 3 2 6 2 2 2" xfId="30485" xr:uid="{00000000-0005-0000-0000-00008B6F0000}"/>
    <cellStyle name="Normal 3 3 2 6 2 3" xfId="31692" xr:uid="{00000000-0005-0000-0000-00008C6F0000}"/>
    <cellStyle name="Normal 3 3 2 6 3" xfId="11854" xr:uid="{00000000-0005-0000-0000-00008D6F0000}"/>
    <cellStyle name="Normal 3 3 2 6 3 2" xfId="25569" xr:uid="{00000000-0005-0000-0000-00008E6F0000}"/>
    <cellStyle name="Normal 3 3 2 6 4" xfId="31691" xr:uid="{00000000-0005-0000-0000-00008F6F0000}"/>
    <cellStyle name="Normal 3 3 2 7" xfId="7405" xr:uid="{00000000-0005-0000-0000-0000906F0000}"/>
    <cellStyle name="Normal 3 3 2 7 2" xfId="7406" xr:uid="{00000000-0005-0000-0000-0000916F0000}"/>
    <cellStyle name="Normal 3 3 2 7 2 2" xfId="17215" xr:uid="{00000000-0005-0000-0000-0000926F0000}"/>
    <cellStyle name="Normal 3 3 2 7 2 2 2" xfId="30574" xr:uid="{00000000-0005-0000-0000-0000936F0000}"/>
    <cellStyle name="Normal 3 3 2 7 2 3" xfId="31694" xr:uid="{00000000-0005-0000-0000-0000946F0000}"/>
    <cellStyle name="Normal 3 3 2 7 3" xfId="13442" xr:uid="{00000000-0005-0000-0000-0000956F0000}"/>
    <cellStyle name="Normal 3 3 2 7 3 2" xfId="26991" xr:uid="{00000000-0005-0000-0000-0000966F0000}"/>
    <cellStyle name="Normal 3 3 2 7 4" xfId="31693" xr:uid="{00000000-0005-0000-0000-0000976F0000}"/>
    <cellStyle name="Normal 3 3 2 8" xfId="7407" xr:uid="{00000000-0005-0000-0000-0000986F0000}"/>
    <cellStyle name="Normal 3 3 2 8 2" xfId="7408" xr:uid="{00000000-0005-0000-0000-0000996F0000}"/>
    <cellStyle name="Normal 3 3 2 8 2 2" xfId="16490" xr:uid="{00000000-0005-0000-0000-00009A6F0000}"/>
    <cellStyle name="Normal 3 3 2 8 2 2 2" xfId="29897" xr:uid="{00000000-0005-0000-0000-00009B6F0000}"/>
    <cellStyle name="Normal 3 3 2 8 2 3" xfId="31696" xr:uid="{00000000-0005-0000-0000-00009C6F0000}"/>
    <cellStyle name="Normal 3 3 2 8 3" xfId="14023" xr:uid="{00000000-0005-0000-0000-00009D6F0000}"/>
    <cellStyle name="Normal 3 3 2 8 3 2" xfId="27572" xr:uid="{00000000-0005-0000-0000-00009E6F0000}"/>
    <cellStyle name="Normal 3 3 2 8 4" xfId="31695" xr:uid="{00000000-0005-0000-0000-00009F6F0000}"/>
    <cellStyle name="Normal 3 3 2 9" xfId="7409" xr:uid="{00000000-0005-0000-0000-0000A06F0000}"/>
    <cellStyle name="Normal 3 3 2 9 2" xfId="15909" xr:uid="{00000000-0005-0000-0000-0000A16F0000}"/>
    <cellStyle name="Normal 3 3 2 9 2 2" xfId="29316" xr:uid="{00000000-0005-0000-0000-0000A26F0000}"/>
    <cellStyle name="Normal 3 3 2 9 3" xfId="31697" xr:uid="{00000000-0005-0000-0000-0000A36F0000}"/>
    <cellStyle name="Normal 3 3 3" xfId="7410" xr:uid="{00000000-0005-0000-0000-0000A46F0000}"/>
    <cellStyle name="Normal 3 3 3 10" xfId="31698" xr:uid="{00000000-0005-0000-0000-0000A56F0000}"/>
    <cellStyle name="Normal 3 3 3 2" xfId="7411" xr:uid="{00000000-0005-0000-0000-0000A66F0000}"/>
    <cellStyle name="Normal 3 3 3 2 2" xfId="7412" xr:uid="{00000000-0005-0000-0000-0000A76F0000}"/>
    <cellStyle name="Normal 3 3 3 2 2 2" xfId="7413" xr:uid="{00000000-0005-0000-0000-0000A86F0000}"/>
    <cellStyle name="Normal 3 3 3 2 2 2 2" xfId="7414" xr:uid="{00000000-0005-0000-0000-0000A96F0000}"/>
    <cellStyle name="Normal 3 3 3 2 2 2 2 2" xfId="16945" xr:uid="{00000000-0005-0000-0000-0000AA6F0000}"/>
    <cellStyle name="Normal 3 3 3 2 2 2 2 2 2" xfId="30352" xr:uid="{00000000-0005-0000-0000-0000AB6F0000}"/>
    <cellStyle name="Normal 3 3 3 2 2 2 2 3" xfId="31702" xr:uid="{00000000-0005-0000-0000-0000AC6F0000}"/>
    <cellStyle name="Normal 3 3 3 2 2 2 3" xfId="11556" xr:uid="{00000000-0005-0000-0000-0000AD6F0000}"/>
    <cellStyle name="Normal 3 3 3 2 2 2 3 2" xfId="25387" xr:uid="{00000000-0005-0000-0000-0000AE6F0000}"/>
    <cellStyle name="Normal 3 3 3 2 2 2 4" xfId="31701" xr:uid="{00000000-0005-0000-0000-0000AF6F0000}"/>
    <cellStyle name="Normal 3 3 3 2 2 3" xfId="7415" xr:uid="{00000000-0005-0000-0000-0000B06F0000}"/>
    <cellStyle name="Normal 3 3 3 2 2 3 2" xfId="12333" xr:uid="{00000000-0005-0000-0000-0000B16F0000}"/>
    <cellStyle name="Normal 3 3 3 2 2 3 2 2" xfId="26045" xr:uid="{00000000-0005-0000-0000-0000B26F0000}"/>
    <cellStyle name="Normal 3 3 3 2 2 3 3" xfId="31703" xr:uid="{00000000-0005-0000-0000-0000B36F0000}"/>
    <cellStyle name="Normal 3 3 3 2 2 4" xfId="7416" xr:uid="{00000000-0005-0000-0000-0000B46F0000}"/>
    <cellStyle name="Normal 3 3 3 2 2 4 2" xfId="13897" xr:uid="{00000000-0005-0000-0000-0000B56F0000}"/>
    <cellStyle name="Normal 3 3 3 2 2 4 2 2" xfId="27446" xr:uid="{00000000-0005-0000-0000-0000B66F0000}"/>
    <cellStyle name="Normal 3 3 3 2 2 4 3" xfId="31704" xr:uid="{00000000-0005-0000-0000-0000B76F0000}"/>
    <cellStyle name="Normal 3 3 3 2 2 5" xfId="7417" xr:uid="{00000000-0005-0000-0000-0000B86F0000}"/>
    <cellStyle name="Normal 3 3 3 2 2 5 2" xfId="14478" xr:uid="{00000000-0005-0000-0000-0000B96F0000}"/>
    <cellStyle name="Normal 3 3 3 2 2 5 2 2" xfId="28027" xr:uid="{00000000-0005-0000-0000-0000BA6F0000}"/>
    <cellStyle name="Normal 3 3 3 2 2 5 3" xfId="31705" xr:uid="{00000000-0005-0000-0000-0000BB6F0000}"/>
    <cellStyle name="Normal 3 3 3 2 2 6" xfId="7418" xr:uid="{00000000-0005-0000-0000-0000BC6F0000}"/>
    <cellStyle name="Normal 3 3 3 2 2 6 2" xfId="16364" xr:uid="{00000000-0005-0000-0000-0000BD6F0000}"/>
    <cellStyle name="Normal 3 3 3 2 2 6 2 2" xfId="29771" xr:uid="{00000000-0005-0000-0000-0000BE6F0000}"/>
    <cellStyle name="Normal 3 3 3 2 2 6 3" xfId="31706" xr:uid="{00000000-0005-0000-0000-0000BF6F0000}"/>
    <cellStyle name="Normal 3 3 3 2 2 7" xfId="10193" xr:uid="{00000000-0005-0000-0000-0000C06F0000}"/>
    <cellStyle name="Normal 3 3 3 2 2 7 2" xfId="24396" xr:uid="{00000000-0005-0000-0000-0000C16F0000}"/>
    <cellStyle name="Normal 3 3 3 2 2 8" xfId="31700" xr:uid="{00000000-0005-0000-0000-0000C26F0000}"/>
    <cellStyle name="Normal 3 3 3 2 3" xfId="7419" xr:uid="{00000000-0005-0000-0000-0000C36F0000}"/>
    <cellStyle name="Normal 3 3 3 2 3 2" xfId="7420" xr:uid="{00000000-0005-0000-0000-0000C46F0000}"/>
    <cellStyle name="Normal 3 3 3 2 3 2 2" xfId="16656" xr:uid="{00000000-0005-0000-0000-0000C56F0000}"/>
    <cellStyle name="Normal 3 3 3 2 3 2 2 2" xfId="30063" xr:uid="{00000000-0005-0000-0000-0000C66F0000}"/>
    <cellStyle name="Normal 3 3 3 2 3 2 3" xfId="31708" xr:uid="{00000000-0005-0000-0000-0000C76F0000}"/>
    <cellStyle name="Normal 3 3 3 2 3 3" xfId="11555" xr:uid="{00000000-0005-0000-0000-0000C86F0000}"/>
    <cellStyle name="Normal 3 3 3 2 3 3 2" xfId="25386" xr:uid="{00000000-0005-0000-0000-0000C96F0000}"/>
    <cellStyle name="Normal 3 3 3 2 3 4" xfId="31707" xr:uid="{00000000-0005-0000-0000-0000CA6F0000}"/>
    <cellStyle name="Normal 3 3 3 2 4" xfId="7421" xr:uid="{00000000-0005-0000-0000-0000CB6F0000}"/>
    <cellStyle name="Normal 3 3 3 2 4 2" xfId="12033" xr:uid="{00000000-0005-0000-0000-0000CC6F0000}"/>
    <cellStyle name="Normal 3 3 3 2 4 2 2" xfId="25748" xr:uid="{00000000-0005-0000-0000-0000CD6F0000}"/>
    <cellStyle name="Normal 3 3 3 2 4 3" xfId="31709" xr:uid="{00000000-0005-0000-0000-0000CE6F0000}"/>
    <cellStyle name="Normal 3 3 3 2 5" xfId="7422" xr:uid="{00000000-0005-0000-0000-0000CF6F0000}"/>
    <cellStyle name="Normal 3 3 3 2 5 2" xfId="13608" xr:uid="{00000000-0005-0000-0000-0000D06F0000}"/>
    <cellStyle name="Normal 3 3 3 2 5 2 2" xfId="27157" xr:uid="{00000000-0005-0000-0000-0000D16F0000}"/>
    <cellStyle name="Normal 3 3 3 2 5 3" xfId="31710" xr:uid="{00000000-0005-0000-0000-0000D26F0000}"/>
    <cellStyle name="Normal 3 3 3 2 6" xfId="7423" xr:uid="{00000000-0005-0000-0000-0000D36F0000}"/>
    <cellStyle name="Normal 3 3 3 2 6 2" xfId="14189" xr:uid="{00000000-0005-0000-0000-0000D46F0000}"/>
    <cellStyle name="Normal 3 3 3 2 6 2 2" xfId="27738" xr:uid="{00000000-0005-0000-0000-0000D56F0000}"/>
    <cellStyle name="Normal 3 3 3 2 6 3" xfId="31711" xr:uid="{00000000-0005-0000-0000-0000D66F0000}"/>
    <cellStyle name="Normal 3 3 3 2 7" xfId="7424" xr:uid="{00000000-0005-0000-0000-0000D76F0000}"/>
    <cellStyle name="Normal 3 3 3 2 7 2" xfId="16075" xr:uid="{00000000-0005-0000-0000-0000D86F0000}"/>
    <cellStyle name="Normal 3 3 3 2 7 2 2" xfId="29482" xr:uid="{00000000-0005-0000-0000-0000D96F0000}"/>
    <cellStyle name="Normal 3 3 3 2 7 3" xfId="31712" xr:uid="{00000000-0005-0000-0000-0000DA6F0000}"/>
    <cellStyle name="Normal 3 3 3 2 8" xfId="10192" xr:uid="{00000000-0005-0000-0000-0000DB6F0000}"/>
    <cellStyle name="Normal 3 3 3 2 8 2" xfId="24395" xr:uid="{00000000-0005-0000-0000-0000DC6F0000}"/>
    <cellStyle name="Normal 3 3 3 2 9" xfId="31699" xr:uid="{00000000-0005-0000-0000-0000DD6F0000}"/>
    <cellStyle name="Normal 3 3 3 3" xfId="7425" xr:uid="{00000000-0005-0000-0000-0000DE6F0000}"/>
    <cellStyle name="Normal 3 3 3 3 2" xfId="7426" xr:uid="{00000000-0005-0000-0000-0000DF6F0000}"/>
    <cellStyle name="Normal 3 3 3 3 2 2" xfId="7427" xr:uid="{00000000-0005-0000-0000-0000E06F0000}"/>
    <cellStyle name="Normal 3 3 3 3 2 2 2" xfId="16802" xr:uid="{00000000-0005-0000-0000-0000E16F0000}"/>
    <cellStyle name="Normal 3 3 3 3 2 2 2 2" xfId="30209" xr:uid="{00000000-0005-0000-0000-0000E26F0000}"/>
    <cellStyle name="Normal 3 3 3 3 2 2 3" xfId="31715" xr:uid="{00000000-0005-0000-0000-0000E36F0000}"/>
    <cellStyle name="Normal 3 3 3 3 2 3" xfId="11557" xr:uid="{00000000-0005-0000-0000-0000E46F0000}"/>
    <cellStyle name="Normal 3 3 3 3 2 3 2" xfId="25388" xr:uid="{00000000-0005-0000-0000-0000E56F0000}"/>
    <cellStyle name="Normal 3 3 3 3 2 4" xfId="31714" xr:uid="{00000000-0005-0000-0000-0000E66F0000}"/>
    <cellStyle name="Normal 3 3 3 3 3" xfId="7428" xr:uid="{00000000-0005-0000-0000-0000E76F0000}"/>
    <cellStyle name="Normal 3 3 3 3 3 2" xfId="12190" xr:uid="{00000000-0005-0000-0000-0000E86F0000}"/>
    <cellStyle name="Normal 3 3 3 3 3 2 2" xfId="25902" xr:uid="{00000000-0005-0000-0000-0000E96F0000}"/>
    <cellStyle name="Normal 3 3 3 3 3 3" xfId="31716" xr:uid="{00000000-0005-0000-0000-0000EA6F0000}"/>
    <cellStyle name="Normal 3 3 3 3 4" xfId="7429" xr:uid="{00000000-0005-0000-0000-0000EB6F0000}"/>
    <cellStyle name="Normal 3 3 3 3 4 2" xfId="13754" xr:uid="{00000000-0005-0000-0000-0000EC6F0000}"/>
    <cellStyle name="Normal 3 3 3 3 4 2 2" xfId="27303" xr:uid="{00000000-0005-0000-0000-0000ED6F0000}"/>
    <cellStyle name="Normal 3 3 3 3 4 3" xfId="31717" xr:uid="{00000000-0005-0000-0000-0000EE6F0000}"/>
    <cellStyle name="Normal 3 3 3 3 5" xfId="7430" xr:uid="{00000000-0005-0000-0000-0000EF6F0000}"/>
    <cellStyle name="Normal 3 3 3 3 5 2" xfId="14335" xr:uid="{00000000-0005-0000-0000-0000F06F0000}"/>
    <cellStyle name="Normal 3 3 3 3 5 2 2" xfId="27884" xr:uid="{00000000-0005-0000-0000-0000F16F0000}"/>
    <cellStyle name="Normal 3 3 3 3 5 3" xfId="31718" xr:uid="{00000000-0005-0000-0000-0000F26F0000}"/>
    <cellStyle name="Normal 3 3 3 3 6" xfId="7431" xr:uid="{00000000-0005-0000-0000-0000F36F0000}"/>
    <cellStyle name="Normal 3 3 3 3 6 2" xfId="16221" xr:uid="{00000000-0005-0000-0000-0000F46F0000}"/>
    <cellStyle name="Normal 3 3 3 3 6 2 2" xfId="29628" xr:uid="{00000000-0005-0000-0000-0000F56F0000}"/>
    <cellStyle name="Normal 3 3 3 3 6 3" xfId="31719" xr:uid="{00000000-0005-0000-0000-0000F66F0000}"/>
    <cellStyle name="Normal 3 3 3 3 7" xfId="10194" xr:uid="{00000000-0005-0000-0000-0000F76F0000}"/>
    <cellStyle name="Normal 3 3 3 3 7 2" xfId="24397" xr:uid="{00000000-0005-0000-0000-0000F86F0000}"/>
    <cellStyle name="Normal 3 3 3 3 8" xfId="31713" xr:uid="{00000000-0005-0000-0000-0000F96F0000}"/>
    <cellStyle name="Normal 3 3 3 4" xfId="7432" xr:uid="{00000000-0005-0000-0000-0000FA6F0000}"/>
    <cellStyle name="Normal 3 3 3 4 2" xfId="7433" xr:uid="{00000000-0005-0000-0000-0000FB6F0000}"/>
    <cellStyle name="Normal 3 3 3 4 2 2" xfId="17149" xr:uid="{00000000-0005-0000-0000-0000FC6F0000}"/>
    <cellStyle name="Normal 3 3 3 4 2 2 2" xfId="30508" xr:uid="{00000000-0005-0000-0000-0000FD6F0000}"/>
    <cellStyle name="Normal 3 3 3 4 2 3" xfId="31721" xr:uid="{00000000-0005-0000-0000-0000FE6F0000}"/>
    <cellStyle name="Normal 3 3 3 4 3" xfId="11554" xr:uid="{00000000-0005-0000-0000-0000FF6F0000}"/>
    <cellStyle name="Normal 3 3 3 4 3 2" xfId="25385" xr:uid="{00000000-0005-0000-0000-000000700000}"/>
    <cellStyle name="Normal 3 3 3 4 4" xfId="31720" xr:uid="{00000000-0005-0000-0000-000001700000}"/>
    <cellStyle name="Normal 3 3 3 5" xfId="7434" xr:uid="{00000000-0005-0000-0000-000002700000}"/>
    <cellStyle name="Normal 3 3 3 5 2" xfId="7435" xr:uid="{00000000-0005-0000-0000-000003700000}"/>
    <cellStyle name="Normal 3 3 3 5 2 2" xfId="17238" xr:uid="{00000000-0005-0000-0000-000004700000}"/>
    <cellStyle name="Normal 3 3 3 5 2 2 2" xfId="30597" xr:uid="{00000000-0005-0000-0000-000005700000}"/>
    <cellStyle name="Normal 3 3 3 5 2 3" xfId="31723" xr:uid="{00000000-0005-0000-0000-000006700000}"/>
    <cellStyle name="Normal 3 3 3 5 3" xfId="11888" xr:uid="{00000000-0005-0000-0000-000007700000}"/>
    <cellStyle name="Normal 3 3 3 5 3 2" xfId="25603" xr:uid="{00000000-0005-0000-0000-000008700000}"/>
    <cellStyle name="Normal 3 3 3 5 4" xfId="31722" xr:uid="{00000000-0005-0000-0000-000009700000}"/>
    <cellStyle name="Normal 3 3 3 6" xfId="7436" xr:uid="{00000000-0005-0000-0000-00000A700000}"/>
    <cellStyle name="Normal 3 3 3 6 2" xfId="7437" xr:uid="{00000000-0005-0000-0000-00000B700000}"/>
    <cellStyle name="Normal 3 3 3 6 2 2" xfId="16513" xr:uid="{00000000-0005-0000-0000-00000C700000}"/>
    <cellStyle name="Normal 3 3 3 6 2 2 2" xfId="29920" xr:uid="{00000000-0005-0000-0000-00000D700000}"/>
    <cellStyle name="Normal 3 3 3 6 2 3" xfId="31725" xr:uid="{00000000-0005-0000-0000-00000E700000}"/>
    <cellStyle name="Normal 3 3 3 6 3" xfId="13465" xr:uid="{00000000-0005-0000-0000-00000F700000}"/>
    <cellStyle name="Normal 3 3 3 6 3 2" xfId="27014" xr:uid="{00000000-0005-0000-0000-000010700000}"/>
    <cellStyle name="Normal 3 3 3 6 4" xfId="31724" xr:uid="{00000000-0005-0000-0000-000011700000}"/>
    <cellStyle name="Normal 3 3 3 7" xfId="7438" xr:uid="{00000000-0005-0000-0000-000012700000}"/>
    <cellStyle name="Normal 3 3 3 7 2" xfId="14046" xr:uid="{00000000-0005-0000-0000-000013700000}"/>
    <cellStyle name="Normal 3 3 3 7 2 2" xfId="27595" xr:uid="{00000000-0005-0000-0000-000014700000}"/>
    <cellStyle name="Normal 3 3 3 7 3" xfId="31726" xr:uid="{00000000-0005-0000-0000-000015700000}"/>
    <cellStyle name="Normal 3 3 3 8" xfId="7439" xr:uid="{00000000-0005-0000-0000-000016700000}"/>
    <cellStyle name="Normal 3 3 3 8 2" xfId="15932" xr:uid="{00000000-0005-0000-0000-000017700000}"/>
    <cellStyle name="Normal 3 3 3 8 2 2" xfId="29339" xr:uid="{00000000-0005-0000-0000-000018700000}"/>
    <cellStyle name="Normal 3 3 3 8 3" xfId="31727" xr:uid="{00000000-0005-0000-0000-000019700000}"/>
    <cellStyle name="Normal 3 3 3 9" xfId="10191" xr:uid="{00000000-0005-0000-0000-00001A700000}"/>
    <cellStyle name="Normal 3 3 3 9 2" xfId="24394" xr:uid="{00000000-0005-0000-0000-00001B700000}"/>
    <cellStyle name="Normal 3 3 4" xfId="7440" xr:uid="{00000000-0005-0000-0000-00001C700000}"/>
    <cellStyle name="Normal 3 3 4 10" xfId="31728" xr:uid="{00000000-0005-0000-0000-00001D700000}"/>
    <cellStyle name="Normal 3 3 4 2" xfId="7441" xr:uid="{00000000-0005-0000-0000-00001E700000}"/>
    <cellStyle name="Normal 3 3 4 2 2" xfId="7442" xr:uid="{00000000-0005-0000-0000-00001F700000}"/>
    <cellStyle name="Normal 3 3 4 2 2 2" xfId="7443" xr:uid="{00000000-0005-0000-0000-000020700000}"/>
    <cellStyle name="Normal 3 3 4 2 2 2 2" xfId="7444" xr:uid="{00000000-0005-0000-0000-000021700000}"/>
    <cellStyle name="Normal 3 3 4 2 2 2 2 2" xfId="16988" xr:uid="{00000000-0005-0000-0000-000022700000}"/>
    <cellStyle name="Normal 3 3 4 2 2 2 2 2 2" xfId="30395" xr:uid="{00000000-0005-0000-0000-000023700000}"/>
    <cellStyle name="Normal 3 3 4 2 2 2 2 3" xfId="31732" xr:uid="{00000000-0005-0000-0000-000024700000}"/>
    <cellStyle name="Normal 3 3 4 2 2 2 3" xfId="11560" xr:uid="{00000000-0005-0000-0000-000025700000}"/>
    <cellStyle name="Normal 3 3 4 2 2 2 3 2" xfId="25391" xr:uid="{00000000-0005-0000-0000-000026700000}"/>
    <cellStyle name="Normal 3 3 4 2 2 2 4" xfId="31731" xr:uid="{00000000-0005-0000-0000-000027700000}"/>
    <cellStyle name="Normal 3 3 4 2 2 3" xfId="7445" xr:uid="{00000000-0005-0000-0000-000028700000}"/>
    <cellStyle name="Normal 3 3 4 2 2 3 2" xfId="12376" xr:uid="{00000000-0005-0000-0000-000029700000}"/>
    <cellStyle name="Normal 3 3 4 2 2 3 2 2" xfId="26088" xr:uid="{00000000-0005-0000-0000-00002A700000}"/>
    <cellStyle name="Normal 3 3 4 2 2 3 3" xfId="31733" xr:uid="{00000000-0005-0000-0000-00002B700000}"/>
    <cellStyle name="Normal 3 3 4 2 2 4" xfId="7446" xr:uid="{00000000-0005-0000-0000-00002C700000}"/>
    <cellStyle name="Normal 3 3 4 2 2 4 2" xfId="13940" xr:uid="{00000000-0005-0000-0000-00002D700000}"/>
    <cellStyle name="Normal 3 3 4 2 2 4 2 2" xfId="27489" xr:uid="{00000000-0005-0000-0000-00002E700000}"/>
    <cellStyle name="Normal 3 3 4 2 2 4 3" xfId="31734" xr:uid="{00000000-0005-0000-0000-00002F700000}"/>
    <cellStyle name="Normal 3 3 4 2 2 5" xfId="7447" xr:uid="{00000000-0005-0000-0000-000030700000}"/>
    <cellStyle name="Normal 3 3 4 2 2 5 2" xfId="14521" xr:uid="{00000000-0005-0000-0000-000031700000}"/>
    <cellStyle name="Normal 3 3 4 2 2 5 2 2" xfId="28070" xr:uid="{00000000-0005-0000-0000-000032700000}"/>
    <cellStyle name="Normal 3 3 4 2 2 5 3" xfId="31735" xr:uid="{00000000-0005-0000-0000-000033700000}"/>
    <cellStyle name="Normal 3 3 4 2 2 6" xfId="7448" xr:uid="{00000000-0005-0000-0000-000034700000}"/>
    <cellStyle name="Normal 3 3 4 2 2 6 2" xfId="16407" xr:uid="{00000000-0005-0000-0000-000035700000}"/>
    <cellStyle name="Normal 3 3 4 2 2 6 2 2" xfId="29814" xr:uid="{00000000-0005-0000-0000-000036700000}"/>
    <cellStyle name="Normal 3 3 4 2 2 6 3" xfId="31736" xr:uid="{00000000-0005-0000-0000-000037700000}"/>
    <cellStyle name="Normal 3 3 4 2 2 7" xfId="10197" xr:uid="{00000000-0005-0000-0000-000038700000}"/>
    <cellStyle name="Normal 3 3 4 2 2 7 2" xfId="24400" xr:uid="{00000000-0005-0000-0000-000039700000}"/>
    <cellStyle name="Normal 3 3 4 2 2 8" xfId="31730" xr:uid="{00000000-0005-0000-0000-00003A700000}"/>
    <cellStyle name="Normal 3 3 4 2 3" xfId="7449" xr:uid="{00000000-0005-0000-0000-00003B700000}"/>
    <cellStyle name="Normal 3 3 4 2 3 2" xfId="7450" xr:uid="{00000000-0005-0000-0000-00003C700000}"/>
    <cellStyle name="Normal 3 3 4 2 3 2 2" xfId="16699" xr:uid="{00000000-0005-0000-0000-00003D700000}"/>
    <cellStyle name="Normal 3 3 4 2 3 2 2 2" xfId="30106" xr:uid="{00000000-0005-0000-0000-00003E700000}"/>
    <cellStyle name="Normal 3 3 4 2 3 2 3" xfId="31738" xr:uid="{00000000-0005-0000-0000-00003F700000}"/>
    <cellStyle name="Normal 3 3 4 2 3 3" xfId="11559" xr:uid="{00000000-0005-0000-0000-000040700000}"/>
    <cellStyle name="Normal 3 3 4 2 3 3 2" xfId="25390" xr:uid="{00000000-0005-0000-0000-000041700000}"/>
    <cellStyle name="Normal 3 3 4 2 3 4" xfId="31737" xr:uid="{00000000-0005-0000-0000-000042700000}"/>
    <cellStyle name="Normal 3 3 4 2 4" xfId="7451" xr:uid="{00000000-0005-0000-0000-000043700000}"/>
    <cellStyle name="Normal 3 3 4 2 4 2" xfId="12076" xr:uid="{00000000-0005-0000-0000-000044700000}"/>
    <cellStyle name="Normal 3 3 4 2 4 2 2" xfId="25791" xr:uid="{00000000-0005-0000-0000-000045700000}"/>
    <cellStyle name="Normal 3 3 4 2 4 3" xfId="31739" xr:uid="{00000000-0005-0000-0000-000046700000}"/>
    <cellStyle name="Normal 3 3 4 2 5" xfId="7452" xr:uid="{00000000-0005-0000-0000-000047700000}"/>
    <cellStyle name="Normal 3 3 4 2 5 2" xfId="13651" xr:uid="{00000000-0005-0000-0000-000048700000}"/>
    <cellStyle name="Normal 3 3 4 2 5 2 2" xfId="27200" xr:uid="{00000000-0005-0000-0000-000049700000}"/>
    <cellStyle name="Normal 3 3 4 2 5 3" xfId="31740" xr:uid="{00000000-0005-0000-0000-00004A700000}"/>
    <cellStyle name="Normal 3 3 4 2 6" xfId="7453" xr:uid="{00000000-0005-0000-0000-00004B700000}"/>
    <cellStyle name="Normal 3 3 4 2 6 2" xfId="14232" xr:uid="{00000000-0005-0000-0000-00004C700000}"/>
    <cellStyle name="Normal 3 3 4 2 6 2 2" xfId="27781" xr:uid="{00000000-0005-0000-0000-00004D700000}"/>
    <cellStyle name="Normal 3 3 4 2 6 3" xfId="31741" xr:uid="{00000000-0005-0000-0000-00004E700000}"/>
    <cellStyle name="Normal 3 3 4 2 7" xfId="7454" xr:uid="{00000000-0005-0000-0000-00004F700000}"/>
    <cellStyle name="Normal 3 3 4 2 7 2" xfId="16118" xr:uid="{00000000-0005-0000-0000-000050700000}"/>
    <cellStyle name="Normal 3 3 4 2 7 2 2" xfId="29525" xr:uid="{00000000-0005-0000-0000-000051700000}"/>
    <cellStyle name="Normal 3 3 4 2 7 3" xfId="31742" xr:uid="{00000000-0005-0000-0000-000052700000}"/>
    <cellStyle name="Normal 3 3 4 2 8" xfId="10196" xr:uid="{00000000-0005-0000-0000-000053700000}"/>
    <cellStyle name="Normal 3 3 4 2 8 2" xfId="24399" xr:uid="{00000000-0005-0000-0000-000054700000}"/>
    <cellStyle name="Normal 3 3 4 2 9" xfId="31729" xr:uid="{00000000-0005-0000-0000-000055700000}"/>
    <cellStyle name="Normal 3 3 4 3" xfId="7455" xr:uid="{00000000-0005-0000-0000-000056700000}"/>
    <cellStyle name="Normal 3 3 4 3 2" xfId="7456" xr:uid="{00000000-0005-0000-0000-000057700000}"/>
    <cellStyle name="Normal 3 3 4 3 2 2" xfId="7457" xr:uid="{00000000-0005-0000-0000-000058700000}"/>
    <cellStyle name="Normal 3 3 4 3 2 2 2" xfId="16845" xr:uid="{00000000-0005-0000-0000-000059700000}"/>
    <cellStyle name="Normal 3 3 4 3 2 2 2 2" xfId="30252" xr:uid="{00000000-0005-0000-0000-00005A700000}"/>
    <cellStyle name="Normal 3 3 4 3 2 2 3" xfId="31745" xr:uid="{00000000-0005-0000-0000-00005B700000}"/>
    <cellStyle name="Normal 3 3 4 3 2 3" xfId="11561" xr:uid="{00000000-0005-0000-0000-00005C700000}"/>
    <cellStyle name="Normal 3 3 4 3 2 3 2" xfId="25392" xr:uid="{00000000-0005-0000-0000-00005D700000}"/>
    <cellStyle name="Normal 3 3 4 3 2 4" xfId="31744" xr:uid="{00000000-0005-0000-0000-00005E700000}"/>
    <cellStyle name="Normal 3 3 4 3 3" xfId="7458" xr:uid="{00000000-0005-0000-0000-00005F700000}"/>
    <cellStyle name="Normal 3 3 4 3 3 2" xfId="12233" xr:uid="{00000000-0005-0000-0000-000060700000}"/>
    <cellStyle name="Normal 3 3 4 3 3 2 2" xfId="25945" xr:uid="{00000000-0005-0000-0000-000061700000}"/>
    <cellStyle name="Normal 3 3 4 3 3 3" xfId="31746" xr:uid="{00000000-0005-0000-0000-000062700000}"/>
    <cellStyle name="Normal 3 3 4 3 4" xfId="7459" xr:uid="{00000000-0005-0000-0000-000063700000}"/>
    <cellStyle name="Normal 3 3 4 3 4 2" xfId="13797" xr:uid="{00000000-0005-0000-0000-000064700000}"/>
    <cellStyle name="Normal 3 3 4 3 4 2 2" xfId="27346" xr:uid="{00000000-0005-0000-0000-000065700000}"/>
    <cellStyle name="Normal 3 3 4 3 4 3" xfId="31747" xr:uid="{00000000-0005-0000-0000-000066700000}"/>
    <cellStyle name="Normal 3 3 4 3 5" xfId="7460" xr:uid="{00000000-0005-0000-0000-000067700000}"/>
    <cellStyle name="Normal 3 3 4 3 5 2" xfId="14378" xr:uid="{00000000-0005-0000-0000-000068700000}"/>
    <cellStyle name="Normal 3 3 4 3 5 2 2" xfId="27927" xr:uid="{00000000-0005-0000-0000-000069700000}"/>
    <cellStyle name="Normal 3 3 4 3 5 3" xfId="31748" xr:uid="{00000000-0005-0000-0000-00006A700000}"/>
    <cellStyle name="Normal 3 3 4 3 6" xfId="7461" xr:uid="{00000000-0005-0000-0000-00006B700000}"/>
    <cellStyle name="Normal 3 3 4 3 6 2" xfId="16264" xr:uid="{00000000-0005-0000-0000-00006C700000}"/>
    <cellStyle name="Normal 3 3 4 3 6 2 2" xfId="29671" xr:uid="{00000000-0005-0000-0000-00006D700000}"/>
    <cellStyle name="Normal 3 3 4 3 6 3" xfId="31749" xr:uid="{00000000-0005-0000-0000-00006E700000}"/>
    <cellStyle name="Normal 3 3 4 3 7" xfId="10198" xr:uid="{00000000-0005-0000-0000-00006F700000}"/>
    <cellStyle name="Normal 3 3 4 3 7 2" xfId="24401" xr:uid="{00000000-0005-0000-0000-000070700000}"/>
    <cellStyle name="Normal 3 3 4 3 8" xfId="31743" xr:uid="{00000000-0005-0000-0000-000071700000}"/>
    <cellStyle name="Normal 3 3 4 4" xfId="7462" xr:uid="{00000000-0005-0000-0000-000072700000}"/>
    <cellStyle name="Normal 3 3 4 4 2" xfId="7463" xr:uid="{00000000-0005-0000-0000-000073700000}"/>
    <cellStyle name="Normal 3 3 4 4 2 2" xfId="16556" xr:uid="{00000000-0005-0000-0000-000074700000}"/>
    <cellStyle name="Normal 3 3 4 4 2 2 2" xfId="29963" xr:uid="{00000000-0005-0000-0000-000075700000}"/>
    <cellStyle name="Normal 3 3 4 4 2 3" xfId="31751" xr:uid="{00000000-0005-0000-0000-000076700000}"/>
    <cellStyle name="Normal 3 3 4 4 3" xfId="11558" xr:uid="{00000000-0005-0000-0000-000077700000}"/>
    <cellStyle name="Normal 3 3 4 4 3 2" xfId="25389" xr:uid="{00000000-0005-0000-0000-000078700000}"/>
    <cellStyle name="Normal 3 3 4 4 4" xfId="31750" xr:uid="{00000000-0005-0000-0000-000079700000}"/>
    <cellStyle name="Normal 3 3 4 5" xfId="7464" xr:uid="{00000000-0005-0000-0000-00007A700000}"/>
    <cellStyle name="Normal 3 3 4 5 2" xfId="11931" xr:uid="{00000000-0005-0000-0000-00007B700000}"/>
    <cellStyle name="Normal 3 3 4 5 2 2" xfId="25646" xr:uid="{00000000-0005-0000-0000-00007C700000}"/>
    <cellStyle name="Normal 3 3 4 5 3" xfId="31752" xr:uid="{00000000-0005-0000-0000-00007D700000}"/>
    <cellStyle name="Normal 3 3 4 6" xfId="7465" xr:uid="{00000000-0005-0000-0000-00007E700000}"/>
    <cellStyle name="Normal 3 3 4 6 2" xfId="13508" xr:uid="{00000000-0005-0000-0000-00007F700000}"/>
    <cellStyle name="Normal 3 3 4 6 2 2" xfId="27057" xr:uid="{00000000-0005-0000-0000-000080700000}"/>
    <cellStyle name="Normal 3 3 4 6 3" xfId="31753" xr:uid="{00000000-0005-0000-0000-000081700000}"/>
    <cellStyle name="Normal 3 3 4 7" xfId="7466" xr:uid="{00000000-0005-0000-0000-000082700000}"/>
    <cellStyle name="Normal 3 3 4 7 2" xfId="14089" xr:uid="{00000000-0005-0000-0000-000083700000}"/>
    <cellStyle name="Normal 3 3 4 7 2 2" xfId="27638" xr:uid="{00000000-0005-0000-0000-000084700000}"/>
    <cellStyle name="Normal 3 3 4 7 3" xfId="31754" xr:uid="{00000000-0005-0000-0000-000085700000}"/>
    <cellStyle name="Normal 3 3 4 8" xfId="7467" xr:uid="{00000000-0005-0000-0000-000086700000}"/>
    <cellStyle name="Normal 3 3 4 8 2" xfId="15975" xr:uid="{00000000-0005-0000-0000-000087700000}"/>
    <cellStyle name="Normal 3 3 4 8 2 2" xfId="29382" xr:uid="{00000000-0005-0000-0000-000088700000}"/>
    <cellStyle name="Normal 3 3 4 8 3" xfId="31755" xr:uid="{00000000-0005-0000-0000-000089700000}"/>
    <cellStyle name="Normal 3 3 4 9" xfId="10195" xr:uid="{00000000-0005-0000-0000-00008A700000}"/>
    <cellStyle name="Normal 3 3 4 9 2" xfId="24398" xr:uid="{00000000-0005-0000-0000-00008B700000}"/>
    <cellStyle name="Normal 3 3 5" xfId="7468" xr:uid="{00000000-0005-0000-0000-00008C700000}"/>
    <cellStyle name="Normal 3 3 5 2" xfId="7469" xr:uid="{00000000-0005-0000-0000-00008D700000}"/>
    <cellStyle name="Normal 3 3 5 2 2" xfId="7470" xr:uid="{00000000-0005-0000-0000-00008E700000}"/>
    <cellStyle name="Normal 3 3 5 2 2 2" xfId="7471" xr:uid="{00000000-0005-0000-0000-00008F700000}"/>
    <cellStyle name="Normal 3 3 5 2 2 2 2" xfId="16899" xr:uid="{00000000-0005-0000-0000-000090700000}"/>
    <cellStyle name="Normal 3 3 5 2 2 2 2 2" xfId="30306" xr:uid="{00000000-0005-0000-0000-000091700000}"/>
    <cellStyle name="Normal 3 3 5 2 2 2 3" xfId="31759" xr:uid="{00000000-0005-0000-0000-000092700000}"/>
    <cellStyle name="Normal 3 3 5 2 2 3" xfId="11563" xr:uid="{00000000-0005-0000-0000-000093700000}"/>
    <cellStyle name="Normal 3 3 5 2 2 3 2" xfId="25394" xr:uid="{00000000-0005-0000-0000-000094700000}"/>
    <cellStyle name="Normal 3 3 5 2 2 4" xfId="31758" xr:uid="{00000000-0005-0000-0000-000095700000}"/>
    <cellStyle name="Normal 3 3 5 2 3" xfId="7472" xr:uid="{00000000-0005-0000-0000-000096700000}"/>
    <cellStyle name="Normal 3 3 5 2 3 2" xfId="12287" xr:uid="{00000000-0005-0000-0000-000097700000}"/>
    <cellStyle name="Normal 3 3 5 2 3 2 2" xfId="25999" xr:uid="{00000000-0005-0000-0000-000098700000}"/>
    <cellStyle name="Normal 3 3 5 2 3 3" xfId="31760" xr:uid="{00000000-0005-0000-0000-000099700000}"/>
    <cellStyle name="Normal 3 3 5 2 4" xfId="7473" xr:uid="{00000000-0005-0000-0000-00009A700000}"/>
    <cellStyle name="Normal 3 3 5 2 4 2" xfId="13851" xr:uid="{00000000-0005-0000-0000-00009B700000}"/>
    <cellStyle name="Normal 3 3 5 2 4 2 2" xfId="27400" xr:uid="{00000000-0005-0000-0000-00009C700000}"/>
    <cellStyle name="Normal 3 3 5 2 4 3" xfId="31761" xr:uid="{00000000-0005-0000-0000-00009D700000}"/>
    <cellStyle name="Normal 3 3 5 2 5" xfId="7474" xr:uid="{00000000-0005-0000-0000-00009E700000}"/>
    <cellStyle name="Normal 3 3 5 2 5 2" xfId="14432" xr:uid="{00000000-0005-0000-0000-00009F700000}"/>
    <cellStyle name="Normal 3 3 5 2 5 2 2" xfId="27981" xr:uid="{00000000-0005-0000-0000-0000A0700000}"/>
    <cellStyle name="Normal 3 3 5 2 5 3" xfId="31762" xr:uid="{00000000-0005-0000-0000-0000A1700000}"/>
    <cellStyle name="Normal 3 3 5 2 6" xfId="7475" xr:uid="{00000000-0005-0000-0000-0000A2700000}"/>
    <cellStyle name="Normal 3 3 5 2 6 2" xfId="16318" xr:uid="{00000000-0005-0000-0000-0000A3700000}"/>
    <cellStyle name="Normal 3 3 5 2 6 2 2" xfId="29725" xr:uid="{00000000-0005-0000-0000-0000A4700000}"/>
    <cellStyle name="Normal 3 3 5 2 6 3" xfId="31763" xr:uid="{00000000-0005-0000-0000-0000A5700000}"/>
    <cellStyle name="Normal 3 3 5 2 7" xfId="10200" xr:uid="{00000000-0005-0000-0000-0000A6700000}"/>
    <cellStyle name="Normal 3 3 5 2 7 2" xfId="24403" xr:uid="{00000000-0005-0000-0000-0000A7700000}"/>
    <cellStyle name="Normal 3 3 5 2 8" xfId="31757" xr:uid="{00000000-0005-0000-0000-0000A8700000}"/>
    <cellStyle name="Normal 3 3 5 3" xfId="7476" xr:uid="{00000000-0005-0000-0000-0000A9700000}"/>
    <cellStyle name="Normal 3 3 5 3 2" xfId="7477" xr:uid="{00000000-0005-0000-0000-0000AA700000}"/>
    <cellStyle name="Normal 3 3 5 3 2 2" xfId="16610" xr:uid="{00000000-0005-0000-0000-0000AB700000}"/>
    <cellStyle name="Normal 3 3 5 3 2 2 2" xfId="30017" xr:uid="{00000000-0005-0000-0000-0000AC700000}"/>
    <cellStyle name="Normal 3 3 5 3 2 3" xfId="31765" xr:uid="{00000000-0005-0000-0000-0000AD700000}"/>
    <cellStyle name="Normal 3 3 5 3 3" xfId="11562" xr:uid="{00000000-0005-0000-0000-0000AE700000}"/>
    <cellStyle name="Normal 3 3 5 3 3 2" xfId="25393" xr:uid="{00000000-0005-0000-0000-0000AF700000}"/>
    <cellStyle name="Normal 3 3 5 3 4" xfId="31764" xr:uid="{00000000-0005-0000-0000-0000B0700000}"/>
    <cellStyle name="Normal 3 3 5 4" xfId="7478" xr:uid="{00000000-0005-0000-0000-0000B1700000}"/>
    <cellStyle name="Normal 3 3 5 4 2" xfId="11987" xr:uid="{00000000-0005-0000-0000-0000B2700000}"/>
    <cellStyle name="Normal 3 3 5 4 2 2" xfId="25702" xr:uid="{00000000-0005-0000-0000-0000B3700000}"/>
    <cellStyle name="Normal 3 3 5 4 3" xfId="31766" xr:uid="{00000000-0005-0000-0000-0000B4700000}"/>
    <cellStyle name="Normal 3 3 5 5" xfId="7479" xr:uid="{00000000-0005-0000-0000-0000B5700000}"/>
    <cellStyle name="Normal 3 3 5 5 2" xfId="13562" xr:uid="{00000000-0005-0000-0000-0000B6700000}"/>
    <cellStyle name="Normal 3 3 5 5 2 2" xfId="27111" xr:uid="{00000000-0005-0000-0000-0000B7700000}"/>
    <cellStyle name="Normal 3 3 5 5 3" xfId="31767" xr:uid="{00000000-0005-0000-0000-0000B8700000}"/>
    <cellStyle name="Normal 3 3 5 6" xfId="7480" xr:uid="{00000000-0005-0000-0000-0000B9700000}"/>
    <cellStyle name="Normal 3 3 5 6 2" xfId="14143" xr:uid="{00000000-0005-0000-0000-0000BA700000}"/>
    <cellStyle name="Normal 3 3 5 6 2 2" xfId="27692" xr:uid="{00000000-0005-0000-0000-0000BB700000}"/>
    <cellStyle name="Normal 3 3 5 6 3" xfId="31768" xr:uid="{00000000-0005-0000-0000-0000BC700000}"/>
    <cellStyle name="Normal 3 3 5 7" xfId="7481" xr:uid="{00000000-0005-0000-0000-0000BD700000}"/>
    <cellStyle name="Normal 3 3 5 7 2" xfId="16029" xr:uid="{00000000-0005-0000-0000-0000BE700000}"/>
    <cellStyle name="Normal 3 3 5 7 2 2" xfId="29436" xr:uid="{00000000-0005-0000-0000-0000BF700000}"/>
    <cellStyle name="Normal 3 3 5 7 3" xfId="31769" xr:uid="{00000000-0005-0000-0000-0000C0700000}"/>
    <cellStyle name="Normal 3 3 5 8" xfId="10199" xr:uid="{00000000-0005-0000-0000-0000C1700000}"/>
    <cellStyle name="Normal 3 3 5 8 2" xfId="24402" xr:uid="{00000000-0005-0000-0000-0000C2700000}"/>
    <cellStyle name="Normal 3 3 5 9" xfId="31756" xr:uid="{00000000-0005-0000-0000-0000C3700000}"/>
    <cellStyle name="Normal 3 3 6" xfId="7482" xr:uid="{00000000-0005-0000-0000-0000C4700000}"/>
    <cellStyle name="Normal 3 3 6 2" xfId="7483" xr:uid="{00000000-0005-0000-0000-0000C5700000}"/>
    <cellStyle name="Normal 3 3 6 2 2" xfId="7484" xr:uid="{00000000-0005-0000-0000-0000C6700000}"/>
    <cellStyle name="Normal 3 3 6 2 2 2" xfId="16722" xr:uid="{00000000-0005-0000-0000-0000C7700000}"/>
    <cellStyle name="Normal 3 3 6 2 2 2 2" xfId="30129" xr:uid="{00000000-0005-0000-0000-0000C8700000}"/>
    <cellStyle name="Normal 3 3 6 2 2 3" xfId="31772" xr:uid="{00000000-0005-0000-0000-0000C9700000}"/>
    <cellStyle name="Normal 3 3 6 2 3" xfId="11564" xr:uid="{00000000-0005-0000-0000-0000CA700000}"/>
    <cellStyle name="Normal 3 3 6 2 3 2" xfId="25395" xr:uid="{00000000-0005-0000-0000-0000CB700000}"/>
    <cellStyle name="Normal 3 3 6 2 4" xfId="31771" xr:uid="{00000000-0005-0000-0000-0000CC700000}"/>
    <cellStyle name="Normal 3 3 6 3" xfId="7485" xr:uid="{00000000-0005-0000-0000-0000CD700000}"/>
    <cellStyle name="Normal 3 3 6 3 2" xfId="12110" xr:uid="{00000000-0005-0000-0000-0000CE700000}"/>
    <cellStyle name="Normal 3 3 6 3 2 2" xfId="25822" xr:uid="{00000000-0005-0000-0000-0000CF700000}"/>
    <cellStyle name="Normal 3 3 6 3 3" xfId="31773" xr:uid="{00000000-0005-0000-0000-0000D0700000}"/>
    <cellStyle name="Normal 3 3 6 4" xfId="7486" xr:uid="{00000000-0005-0000-0000-0000D1700000}"/>
    <cellStyle name="Normal 3 3 6 4 2" xfId="13674" xr:uid="{00000000-0005-0000-0000-0000D2700000}"/>
    <cellStyle name="Normal 3 3 6 4 2 2" xfId="27223" xr:uid="{00000000-0005-0000-0000-0000D3700000}"/>
    <cellStyle name="Normal 3 3 6 4 3" xfId="31774" xr:uid="{00000000-0005-0000-0000-0000D4700000}"/>
    <cellStyle name="Normal 3 3 6 5" xfId="7487" xr:uid="{00000000-0005-0000-0000-0000D5700000}"/>
    <cellStyle name="Normal 3 3 6 5 2" xfId="14255" xr:uid="{00000000-0005-0000-0000-0000D6700000}"/>
    <cellStyle name="Normal 3 3 6 5 2 2" xfId="27804" xr:uid="{00000000-0005-0000-0000-0000D7700000}"/>
    <cellStyle name="Normal 3 3 6 5 3" xfId="31775" xr:uid="{00000000-0005-0000-0000-0000D8700000}"/>
    <cellStyle name="Normal 3 3 6 6" xfId="7488" xr:uid="{00000000-0005-0000-0000-0000D9700000}"/>
    <cellStyle name="Normal 3 3 6 6 2" xfId="16141" xr:uid="{00000000-0005-0000-0000-0000DA700000}"/>
    <cellStyle name="Normal 3 3 6 6 2 2" xfId="29548" xr:uid="{00000000-0005-0000-0000-0000DB700000}"/>
    <cellStyle name="Normal 3 3 6 6 3" xfId="31776" xr:uid="{00000000-0005-0000-0000-0000DC700000}"/>
    <cellStyle name="Normal 3 3 6 7" xfId="10201" xr:uid="{00000000-0005-0000-0000-0000DD700000}"/>
    <cellStyle name="Normal 3 3 6 7 2" xfId="24404" xr:uid="{00000000-0005-0000-0000-0000DE700000}"/>
    <cellStyle name="Normal 3 3 6 8" xfId="31770" xr:uid="{00000000-0005-0000-0000-0000DF700000}"/>
    <cellStyle name="Normal 3 3 7" xfId="7489" xr:uid="{00000000-0005-0000-0000-0000E0700000}"/>
    <cellStyle name="Normal 3 3 7 2" xfId="7490" xr:uid="{00000000-0005-0000-0000-0000E1700000}"/>
    <cellStyle name="Normal 3 3 7 2 2" xfId="7491" xr:uid="{00000000-0005-0000-0000-0000E2700000}"/>
    <cellStyle name="Normal 3 3 7 2 2 2" xfId="16995" xr:uid="{00000000-0005-0000-0000-0000E3700000}"/>
    <cellStyle name="Normal 3 3 7 2 2 2 2" xfId="30402" xr:uid="{00000000-0005-0000-0000-0000E4700000}"/>
    <cellStyle name="Normal 3 3 7 2 2 3" xfId="31779" xr:uid="{00000000-0005-0000-0000-0000E5700000}"/>
    <cellStyle name="Normal 3 3 7 2 3" xfId="11565" xr:uid="{00000000-0005-0000-0000-0000E6700000}"/>
    <cellStyle name="Normal 3 3 7 2 3 2" xfId="25396" xr:uid="{00000000-0005-0000-0000-0000E7700000}"/>
    <cellStyle name="Normal 3 3 7 2 4" xfId="31778" xr:uid="{00000000-0005-0000-0000-0000E8700000}"/>
    <cellStyle name="Normal 3 3 7 3" xfId="7492" xr:uid="{00000000-0005-0000-0000-0000E9700000}"/>
    <cellStyle name="Normal 3 3 7 3 2" xfId="12384" xr:uid="{00000000-0005-0000-0000-0000EA700000}"/>
    <cellStyle name="Normal 3 3 7 3 2 2" xfId="26096" xr:uid="{00000000-0005-0000-0000-0000EB700000}"/>
    <cellStyle name="Normal 3 3 7 3 3" xfId="31780" xr:uid="{00000000-0005-0000-0000-0000EC700000}"/>
    <cellStyle name="Normal 3 3 7 4" xfId="7493" xr:uid="{00000000-0005-0000-0000-0000ED700000}"/>
    <cellStyle name="Normal 3 3 7 4 2" xfId="13947" xr:uid="{00000000-0005-0000-0000-0000EE700000}"/>
    <cellStyle name="Normal 3 3 7 4 2 2" xfId="27496" xr:uid="{00000000-0005-0000-0000-0000EF700000}"/>
    <cellStyle name="Normal 3 3 7 4 3" xfId="31781" xr:uid="{00000000-0005-0000-0000-0000F0700000}"/>
    <cellStyle name="Normal 3 3 7 5" xfId="7494" xr:uid="{00000000-0005-0000-0000-0000F1700000}"/>
    <cellStyle name="Normal 3 3 7 5 2" xfId="14528" xr:uid="{00000000-0005-0000-0000-0000F2700000}"/>
    <cellStyle name="Normal 3 3 7 5 2 2" xfId="28077" xr:uid="{00000000-0005-0000-0000-0000F3700000}"/>
    <cellStyle name="Normal 3 3 7 5 3" xfId="31782" xr:uid="{00000000-0005-0000-0000-0000F4700000}"/>
    <cellStyle name="Normal 3 3 7 6" xfId="7495" xr:uid="{00000000-0005-0000-0000-0000F5700000}"/>
    <cellStyle name="Normal 3 3 7 6 2" xfId="16414" xr:uid="{00000000-0005-0000-0000-0000F6700000}"/>
    <cellStyle name="Normal 3 3 7 6 2 2" xfId="29821" xr:uid="{00000000-0005-0000-0000-0000F7700000}"/>
    <cellStyle name="Normal 3 3 7 6 3" xfId="31783" xr:uid="{00000000-0005-0000-0000-0000F8700000}"/>
    <cellStyle name="Normal 3 3 7 7" xfId="10202" xr:uid="{00000000-0005-0000-0000-0000F9700000}"/>
    <cellStyle name="Normal 3 3 7 7 2" xfId="24405" xr:uid="{00000000-0005-0000-0000-0000FA700000}"/>
    <cellStyle name="Normal 3 3 7 8" xfId="31777" xr:uid="{00000000-0005-0000-0000-0000FB700000}"/>
    <cellStyle name="Normal 3 3 8" xfId="7496" xr:uid="{00000000-0005-0000-0000-0000FC700000}"/>
    <cellStyle name="Normal 3 3 8 2" xfId="7497" xr:uid="{00000000-0005-0000-0000-0000FD700000}"/>
    <cellStyle name="Normal 3 3 8 2 2" xfId="17031" xr:uid="{00000000-0005-0000-0000-0000FE700000}"/>
    <cellStyle name="Normal 3 3 8 2 2 2" xfId="30432" xr:uid="{00000000-0005-0000-0000-0000FF700000}"/>
    <cellStyle name="Normal 3 3 8 2 3" xfId="31785" xr:uid="{00000000-0005-0000-0000-000000710000}"/>
    <cellStyle name="Normal 3 3 8 3" xfId="11545" xr:uid="{00000000-0005-0000-0000-000001710000}"/>
    <cellStyle name="Normal 3 3 8 3 2" xfId="25376" xr:uid="{00000000-0005-0000-0000-000002710000}"/>
    <cellStyle name="Normal 3 3 8 4" xfId="31784" xr:uid="{00000000-0005-0000-0000-000003710000}"/>
    <cellStyle name="Normal 3 3 9" xfId="7498" xr:uid="{00000000-0005-0000-0000-000004710000}"/>
    <cellStyle name="Normal 3 3 9 2" xfId="7499" xr:uid="{00000000-0005-0000-0000-000005710000}"/>
    <cellStyle name="Normal 3 3 9 2 2" xfId="17103" xr:uid="{00000000-0005-0000-0000-000006710000}"/>
    <cellStyle name="Normal 3 3 9 2 2 2" xfId="30462" xr:uid="{00000000-0005-0000-0000-000007710000}"/>
    <cellStyle name="Normal 3 3 9 2 3" xfId="31787" xr:uid="{00000000-0005-0000-0000-000008710000}"/>
    <cellStyle name="Normal 3 3 9 3" xfId="11818" xr:uid="{00000000-0005-0000-0000-000009710000}"/>
    <cellStyle name="Normal 3 3 9 3 2" xfId="25533" xr:uid="{00000000-0005-0000-0000-00000A710000}"/>
    <cellStyle name="Normal 3 3 9 4" xfId="31786" xr:uid="{00000000-0005-0000-0000-00000B710000}"/>
    <cellStyle name="Normal 3 4" xfId="7500" xr:uid="{00000000-0005-0000-0000-00000C710000}"/>
    <cellStyle name="Normal 3 4 10" xfId="31788" xr:uid="{00000000-0005-0000-0000-00000D710000}"/>
    <cellStyle name="Normal 3 4 11" xfId="32915" xr:uid="{00000000-0005-0000-0000-00000E710000}"/>
    <cellStyle name="Normal 3 4 12" xfId="32975" xr:uid="{00000000-0005-0000-0000-00000F710000}"/>
    <cellStyle name="Normal 3 4 2" xfId="7501" xr:uid="{00000000-0005-0000-0000-000010710000}"/>
    <cellStyle name="Normal 3 4 2 10" xfId="33003" xr:uid="{00000000-0005-0000-0000-000011710000}"/>
    <cellStyle name="Normal 3 4 2 2" xfId="7502" xr:uid="{00000000-0005-0000-0000-000012710000}"/>
    <cellStyle name="Normal 3 4 2 2 2" xfId="7503" xr:uid="{00000000-0005-0000-0000-000013710000}"/>
    <cellStyle name="Normal 3 4 2 2 2 2" xfId="16990" xr:uid="{00000000-0005-0000-0000-000014710000}"/>
    <cellStyle name="Normal 3 4 2 2 2 2 2" xfId="30397" xr:uid="{00000000-0005-0000-0000-000015710000}"/>
    <cellStyle name="Normal 3 4 2 2 2 3" xfId="31791" xr:uid="{00000000-0005-0000-0000-000016710000}"/>
    <cellStyle name="Normal 3 4 2 2 3" xfId="11567" xr:uid="{00000000-0005-0000-0000-000017710000}"/>
    <cellStyle name="Normal 3 4 2 2 3 2" xfId="25398" xr:uid="{00000000-0005-0000-0000-000018710000}"/>
    <cellStyle name="Normal 3 4 2 2 4" xfId="31790" xr:uid="{00000000-0005-0000-0000-000019710000}"/>
    <cellStyle name="Normal 3 4 2 3" xfId="7504" xr:uid="{00000000-0005-0000-0000-00001A710000}"/>
    <cellStyle name="Normal 3 4 2 3 2" xfId="12378" xr:uid="{00000000-0005-0000-0000-00001B710000}"/>
    <cellStyle name="Normal 3 4 2 3 2 2" xfId="26090" xr:uid="{00000000-0005-0000-0000-00001C710000}"/>
    <cellStyle name="Normal 3 4 2 3 3" xfId="31792" xr:uid="{00000000-0005-0000-0000-00001D710000}"/>
    <cellStyle name="Normal 3 4 2 4" xfId="7505" xr:uid="{00000000-0005-0000-0000-00001E710000}"/>
    <cellStyle name="Normal 3 4 2 4 2" xfId="13942" xr:uid="{00000000-0005-0000-0000-00001F710000}"/>
    <cellStyle name="Normal 3 4 2 4 2 2" xfId="27491" xr:uid="{00000000-0005-0000-0000-000020710000}"/>
    <cellStyle name="Normal 3 4 2 4 3" xfId="31793" xr:uid="{00000000-0005-0000-0000-000021710000}"/>
    <cellStyle name="Normal 3 4 2 5" xfId="7506" xr:uid="{00000000-0005-0000-0000-000022710000}"/>
    <cellStyle name="Normal 3 4 2 5 2" xfId="14523" xr:uid="{00000000-0005-0000-0000-000023710000}"/>
    <cellStyle name="Normal 3 4 2 5 2 2" xfId="28072" xr:uid="{00000000-0005-0000-0000-000024710000}"/>
    <cellStyle name="Normal 3 4 2 5 3" xfId="31794" xr:uid="{00000000-0005-0000-0000-000025710000}"/>
    <cellStyle name="Normal 3 4 2 6" xfId="7507" xr:uid="{00000000-0005-0000-0000-000026710000}"/>
    <cellStyle name="Normal 3 4 2 6 2" xfId="16409" xr:uid="{00000000-0005-0000-0000-000027710000}"/>
    <cellStyle name="Normal 3 4 2 6 2 2" xfId="29816" xr:uid="{00000000-0005-0000-0000-000028710000}"/>
    <cellStyle name="Normal 3 4 2 6 3" xfId="31795" xr:uid="{00000000-0005-0000-0000-000029710000}"/>
    <cellStyle name="Normal 3 4 2 7" xfId="10203" xr:uid="{00000000-0005-0000-0000-00002A710000}"/>
    <cellStyle name="Normal 3 4 2 7 2" xfId="24406" xr:uid="{00000000-0005-0000-0000-00002B710000}"/>
    <cellStyle name="Normal 3 4 2 8" xfId="31789" xr:uid="{00000000-0005-0000-0000-00002C710000}"/>
    <cellStyle name="Normal 3 4 2 9" xfId="32945" xr:uid="{00000000-0005-0000-0000-00002D710000}"/>
    <cellStyle name="Normal 3 4 3" xfId="7508" xr:uid="{00000000-0005-0000-0000-00002E710000}"/>
    <cellStyle name="Normal 3 4 3 2" xfId="7509" xr:uid="{00000000-0005-0000-0000-00002F710000}"/>
    <cellStyle name="Normal 3 4 3 2 2" xfId="17033" xr:uid="{00000000-0005-0000-0000-000030710000}"/>
    <cellStyle name="Normal 3 4 3 2 2 2" xfId="30434" xr:uid="{00000000-0005-0000-0000-000031710000}"/>
    <cellStyle name="Normal 3 4 3 2 3" xfId="31797" xr:uid="{00000000-0005-0000-0000-000032710000}"/>
    <cellStyle name="Normal 3 4 3 3" xfId="10204" xr:uid="{00000000-0005-0000-0000-000033710000}"/>
    <cellStyle name="Normal 3 4 3 4" xfId="31796" xr:uid="{00000000-0005-0000-0000-000034710000}"/>
    <cellStyle name="Normal 3 4 4" xfId="7510" xr:uid="{00000000-0005-0000-0000-000035710000}"/>
    <cellStyle name="Normal 3 4 4 2" xfId="11566" xr:uid="{00000000-0005-0000-0000-000036710000}"/>
    <cellStyle name="Normal 3 4 4 2 2" xfId="25397" xr:uid="{00000000-0005-0000-0000-000037710000}"/>
    <cellStyle name="Normal 3 4 4 3" xfId="31798" xr:uid="{00000000-0005-0000-0000-000038710000}"/>
    <cellStyle name="Normal 3 4 5" xfId="7511" xr:uid="{00000000-0005-0000-0000-000039710000}"/>
    <cellStyle name="Normal 3 4 5 2" xfId="13253" xr:uid="{00000000-0005-0000-0000-00003A710000}"/>
    <cellStyle name="Normal 3 4 5 2 2" xfId="26887" xr:uid="{00000000-0005-0000-0000-00003B710000}"/>
    <cellStyle name="Normal 3 4 5 3" xfId="31799" xr:uid="{00000000-0005-0000-0000-00003C710000}"/>
    <cellStyle name="Normal 3 4 6" xfId="7512" xr:uid="{00000000-0005-0000-0000-00003D710000}"/>
    <cellStyle name="Normal 3 4 6 2" xfId="15693" xr:uid="{00000000-0005-0000-0000-00003E710000}"/>
    <cellStyle name="Normal 3 4 6 2 2" xfId="29179" xr:uid="{00000000-0005-0000-0000-00003F710000}"/>
    <cellStyle name="Normal 3 4 6 3" xfId="31800" xr:uid="{00000000-0005-0000-0000-000040710000}"/>
    <cellStyle name="Normal 3 4 7" xfId="7513" xr:uid="{00000000-0005-0000-0000-000041710000}"/>
    <cellStyle name="Normal 3 4 7 2" xfId="15801" xr:uid="{00000000-0005-0000-0000-000042710000}"/>
    <cellStyle name="Normal 3 4 7 2 2" xfId="29208" xr:uid="{00000000-0005-0000-0000-000043710000}"/>
    <cellStyle name="Normal 3 4 7 3" xfId="31801" xr:uid="{00000000-0005-0000-0000-000044710000}"/>
    <cellStyle name="Normal 3 4 8" xfId="8677" xr:uid="{00000000-0005-0000-0000-000045710000}"/>
    <cellStyle name="Normal 3 4 8 2" xfId="17302" xr:uid="{00000000-0005-0000-0000-000046710000}"/>
    <cellStyle name="Normal 3 4 8 2 2" xfId="30655" xr:uid="{00000000-0005-0000-0000-000047710000}"/>
    <cellStyle name="Normal 3 4 8 3" xfId="23207" xr:uid="{00000000-0005-0000-0000-000048710000}"/>
    <cellStyle name="Normal 3 4 9" xfId="8786" xr:uid="{00000000-0005-0000-0000-000049710000}"/>
    <cellStyle name="Normal 3 4 9 2" xfId="23264" xr:uid="{00000000-0005-0000-0000-00004A710000}"/>
    <cellStyle name="Normal 3 5" xfId="7514" xr:uid="{00000000-0005-0000-0000-00004B710000}"/>
    <cellStyle name="Normal 3 5 10" xfId="32983" xr:uid="{00000000-0005-0000-0000-00004C710000}"/>
    <cellStyle name="Normal 3 5 2" xfId="7515" xr:uid="{00000000-0005-0000-0000-00004D710000}"/>
    <cellStyle name="Normal 3 5 2 2" xfId="11568" xr:uid="{00000000-0005-0000-0000-00004E710000}"/>
    <cellStyle name="Normal 3 5 2 2 2" xfId="25399" xr:uid="{00000000-0005-0000-0000-00004F710000}"/>
    <cellStyle name="Normal 3 5 2 3" xfId="31803" xr:uid="{00000000-0005-0000-0000-000050710000}"/>
    <cellStyle name="Normal 3 5 2 4" xfId="32946" xr:uid="{00000000-0005-0000-0000-000051710000}"/>
    <cellStyle name="Normal 3 5 2 5" xfId="33004" xr:uid="{00000000-0005-0000-0000-000052710000}"/>
    <cellStyle name="Normal 3 5 3" xfId="7516" xr:uid="{00000000-0005-0000-0000-000053710000}"/>
    <cellStyle name="Normal 3 5 3 2" xfId="13254" xr:uid="{00000000-0005-0000-0000-000054710000}"/>
    <cellStyle name="Normal 3 5 3 2 2" xfId="26888" xr:uid="{00000000-0005-0000-0000-000055710000}"/>
    <cellStyle name="Normal 3 5 3 3" xfId="31804" xr:uid="{00000000-0005-0000-0000-000056710000}"/>
    <cellStyle name="Normal 3 5 4" xfId="7517" xr:uid="{00000000-0005-0000-0000-000057710000}"/>
    <cellStyle name="Normal 3 5 4 2" xfId="15694" xr:uid="{00000000-0005-0000-0000-000058710000}"/>
    <cellStyle name="Normal 3 5 4 2 2" xfId="29180" xr:uid="{00000000-0005-0000-0000-000059710000}"/>
    <cellStyle name="Normal 3 5 4 3" xfId="31805" xr:uid="{00000000-0005-0000-0000-00005A710000}"/>
    <cellStyle name="Normal 3 5 5" xfId="7518" xr:uid="{00000000-0005-0000-0000-00005B710000}"/>
    <cellStyle name="Normal 3 5 5 2" xfId="15802" xr:uid="{00000000-0005-0000-0000-00005C710000}"/>
    <cellStyle name="Normal 3 5 5 2 2" xfId="29209" xr:uid="{00000000-0005-0000-0000-00005D710000}"/>
    <cellStyle name="Normal 3 5 5 3" xfId="31806" xr:uid="{00000000-0005-0000-0000-00005E710000}"/>
    <cellStyle name="Normal 3 5 6" xfId="8692" xr:uid="{00000000-0005-0000-0000-00005F710000}"/>
    <cellStyle name="Normal 3 5 6 2" xfId="17310" xr:uid="{00000000-0005-0000-0000-000060710000}"/>
    <cellStyle name="Normal 3 5 6 2 2" xfId="30663" xr:uid="{00000000-0005-0000-0000-000061710000}"/>
    <cellStyle name="Normal 3 5 6 3" xfId="23215" xr:uid="{00000000-0005-0000-0000-000062710000}"/>
    <cellStyle name="Normal 3 5 7" xfId="8794" xr:uid="{00000000-0005-0000-0000-000063710000}"/>
    <cellStyle name="Normal 3 5 7 2" xfId="23272" xr:uid="{00000000-0005-0000-0000-000064710000}"/>
    <cellStyle name="Normal 3 5 8" xfId="31802" xr:uid="{00000000-0005-0000-0000-000065710000}"/>
    <cellStyle name="Normal 3 5 9" xfId="32923" xr:uid="{00000000-0005-0000-0000-000066710000}"/>
    <cellStyle name="Normal 3 6" xfId="7519" xr:uid="{00000000-0005-0000-0000-000067710000}"/>
    <cellStyle name="Normal 3 6 10" xfId="32982" xr:uid="{00000000-0005-0000-0000-000068710000}"/>
    <cellStyle name="Normal 3 6 2" xfId="7520" xr:uid="{00000000-0005-0000-0000-000069710000}"/>
    <cellStyle name="Normal 3 6 2 2" xfId="11569" xr:uid="{00000000-0005-0000-0000-00006A710000}"/>
    <cellStyle name="Normal 3 6 2 2 2" xfId="25400" xr:uid="{00000000-0005-0000-0000-00006B710000}"/>
    <cellStyle name="Normal 3 6 2 3" xfId="31808" xr:uid="{00000000-0005-0000-0000-00006C710000}"/>
    <cellStyle name="Normal 3 6 2 4" xfId="32947" xr:uid="{00000000-0005-0000-0000-00006D710000}"/>
    <cellStyle name="Normal 3 6 2 5" xfId="33005" xr:uid="{00000000-0005-0000-0000-00006E710000}"/>
    <cellStyle name="Normal 3 6 3" xfId="7521" xr:uid="{00000000-0005-0000-0000-00006F710000}"/>
    <cellStyle name="Normal 3 6 3 2" xfId="13255" xr:uid="{00000000-0005-0000-0000-000070710000}"/>
    <cellStyle name="Normal 3 6 3 2 2" xfId="26889" xr:uid="{00000000-0005-0000-0000-000071710000}"/>
    <cellStyle name="Normal 3 6 3 3" xfId="31809" xr:uid="{00000000-0005-0000-0000-000072710000}"/>
    <cellStyle name="Normal 3 6 4" xfId="7522" xr:uid="{00000000-0005-0000-0000-000073710000}"/>
    <cellStyle name="Normal 3 6 4 2" xfId="15695" xr:uid="{00000000-0005-0000-0000-000074710000}"/>
    <cellStyle name="Normal 3 6 4 2 2" xfId="29181" xr:uid="{00000000-0005-0000-0000-000075710000}"/>
    <cellStyle name="Normal 3 6 4 3" xfId="31810" xr:uid="{00000000-0005-0000-0000-000076710000}"/>
    <cellStyle name="Normal 3 6 5" xfId="7523" xr:uid="{00000000-0005-0000-0000-000077710000}"/>
    <cellStyle name="Normal 3 6 5 2" xfId="15803" xr:uid="{00000000-0005-0000-0000-000078710000}"/>
    <cellStyle name="Normal 3 6 5 2 2" xfId="29210" xr:uid="{00000000-0005-0000-0000-000079710000}"/>
    <cellStyle name="Normal 3 6 5 3" xfId="31811" xr:uid="{00000000-0005-0000-0000-00007A710000}"/>
    <cellStyle name="Normal 3 6 6" xfId="8690" xr:uid="{00000000-0005-0000-0000-00007B710000}"/>
    <cellStyle name="Normal 3 6 6 2" xfId="17309" xr:uid="{00000000-0005-0000-0000-00007C710000}"/>
    <cellStyle name="Normal 3 6 6 2 2" xfId="30662" xr:uid="{00000000-0005-0000-0000-00007D710000}"/>
    <cellStyle name="Normal 3 6 6 3" xfId="23214" xr:uid="{00000000-0005-0000-0000-00007E710000}"/>
    <cellStyle name="Normal 3 6 7" xfId="8793" xr:uid="{00000000-0005-0000-0000-00007F710000}"/>
    <cellStyle name="Normal 3 6 7 2" xfId="23271" xr:uid="{00000000-0005-0000-0000-000080710000}"/>
    <cellStyle name="Normal 3 6 8" xfId="31807" xr:uid="{00000000-0005-0000-0000-000081710000}"/>
    <cellStyle name="Normal 3 6 9" xfId="32922" xr:uid="{00000000-0005-0000-0000-000082710000}"/>
    <cellStyle name="Normal 3 7" xfId="7524" xr:uid="{00000000-0005-0000-0000-000083710000}"/>
    <cellStyle name="Normal 3 7 10" xfId="32988" xr:uid="{00000000-0005-0000-0000-000084710000}"/>
    <cellStyle name="Normal 3 7 2" xfId="7525" xr:uid="{00000000-0005-0000-0000-000085710000}"/>
    <cellStyle name="Normal 3 7 2 2" xfId="11570" xr:uid="{00000000-0005-0000-0000-000086710000}"/>
    <cellStyle name="Normal 3 7 2 2 2" xfId="25401" xr:uid="{00000000-0005-0000-0000-000087710000}"/>
    <cellStyle name="Normal 3 7 2 3" xfId="31813" xr:uid="{00000000-0005-0000-0000-000088710000}"/>
    <cellStyle name="Normal 3 7 2 4" xfId="32948" xr:uid="{00000000-0005-0000-0000-000089710000}"/>
    <cellStyle name="Normal 3 7 2 5" xfId="33006" xr:uid="{00000000-0005-0000-0000-00008A710000}"/>
    <cellStyle name="Normal 3 7 3" xfId="7526" xr:uid="{00000000-0005-0000-0000-00008B710000}"/>
    <cellStyle name="Normal 3 7 3 2" xfId="13256" xr:uid="{00000000-0005-0000-0000-00008C710000}"/>
    <cellStyle name="Normal 3 7 3 2 2" xfId="26890" xr:uid="{00000000-0005-0000-0000-00008D710000}"/>
    <cellStyle name="Normal 3 7 3 3" xfId="31814" xr:uid="{00000000-0005-0000-0000-00008E710000}"/>
    <cellStyle name="Normal 3 7 4" xfId="7527" xr:uid="{00000000-0005-0000-0000-00008F710000}"/>
    <cellStyle name="Normal 3 7 4 2" xfId="15696" xr:uid="{00000000-0005-0000-0000-000090710000}"/>
    <cellStyle name="Normal 3 7 4 2 2" xfId="29182" xr:uid="{00000000-0005-0000-0000-000091710000}"/>
    <cellStyle name="Normal 3 7 4 3" xfId="31815" xr:uid="{00000000-0005-0000-0000-000092710000}"/>
    <cellStyle name="Normal 3 7 5" xfId="7528" xr:uid="{00000000-0005-0000-0000-000093710000}"/>
    <cellStyle name="Normal 3 7 5 2" xfId="15804" xr:uid="{00000000-0005-0000-0000-000094710000}"/>
    <cellStyle name="Normal 3 7 5 2 2" xfId="29211" xr:uid="{00000000-0005-0000-0000-000095710000}"/>
    <cellStyle name="Normal 3 7 5 3" xfId="31816" xr:uid="{00000000-0005-0000-0000-000096710000}"/>
    <cellStyle name="Normal 3 7 6" xfId="8703" xr:uid="{00000000-0005-0000-0000-000097710000}"/>
    <cellStyle name="Normal 3 7 6 2" xfId="17315" xr:uid="{00000000-0005-0000-0000-000098710000}"/>
    <cellStyle name="Normal 3 7 6 2 2" xfId="30668" xr:uid="{00000000-0005-0000-0000-000099710000}"/>
    <cellStyle name="Normal 3 7 6 3" xfId="23222" xr:uid="{00000000-0005-0000-0000-00009A710000}"/>
    <cellStyle name="Normal 3 7 7" xfId="8799" xr:uid="{00000000-0005-0000-0000-00009B710000}"/>
    <cellStyle name="Normal 3 7 7 2" xfId="23277" xr:uid="{00000000-0005-0000-0000-00009C710000}"/>
    <cellStyle name="Normal 3 7 8" xfId="31812" xr:uid="{00000000-0005-0000-0000-00009D710000}"/>
    <cellStyle name="Normal 3 7 9" xfId="32929" xr:uid="{00000000-0005-0000-0000-00009E710000}"/>
    <cellStyle name="Normal 3 8" xfId="7529" xr:uid="{00000000-0005-0000-0000-00009F710000}"/>
    <cellStyle name="Normal 3 8 10" xfId="32989" xr:uid="{00000000-0005-0000-0000-0000A0710000}"/>
    <cellStyle name="Normal 3 8 2" xfId="7530" xr:uid="{00000000-0005-0000-0000-0000A1710000}"/>
    <cellStyle name="Normal 3 8 2 2" xfId="11571" xr:uid="{00000000-0005-0000-0000-0000A2710000}"/>
    <cellStyle name="Normal 3 8 2 2 2" xfId="25402" xr:uid="{00000000-0005-0000-0000-0000A3710000}"/>
    <cellStyle name="Normal 3 8 2 3" xfId="31818" xr:uid="{00000000-0005-0000-0000-0000A4710000}"/>
    <cellStyle name="Normal 3 8 2 4" xfId="32949" xr:uid="{00000000-0005-0000-0000-0000A5710000}"/>
    <cellStyle name="Normal 3 8 2 5" xfId="33007" xr:uid="{00000000-0005-0000-0000-0000A6710000}"/>
    <cellStyle name="Normal 3 8 3" xfId="7531" xr:uid="{00000000-0005-0000-0000-0000A7710000}"/>
    <cellStyle name="Normal 3 8 3 2" xfId="13257" xr:uid="{00000000-0005-0000-0000-0000A8710000}"/>
    <cellStyle name="Normal 3 8 3 2 2" xfId="26891" xr:uid="{00000000-0005-0000-0000-0000A9710000}"/>
    <cellStyle name="Normal 3 8 3 3" xfId="31819" xr:uid="{00000000-0005-0000-0000-0000AA710000}"/>
    <cellStyle name="Normal 3 8 4" xfId="7532" xr:uid="{00000000-0005-0000-0000-0000AB710000}"/>
    <cellStyle name="Normal 3 8 4 2" xfId="15697" xr:uid="{00000000-0005-0000-0000-0000AC710000}"/>
    <cellStyle name="Normal 3 8 4 2 2" xfId="29183" xr:uid="{00000000-0005-0000-0000-0000AD710000}"/>
    <cellStyle name="Normal 3 8 4 3" xfId="31820" xr:uid="{00000000-0005-0000-0000-0000AE710000}"/>
    <cellStyle name="Normal 3 8 5" xfId="7533" xr:uid="{00000000-0005-0000-0000-0000AF710000}"/>
    <cellStyle name="Normal 3 8 5 2" xfId="15805" xr:uid="{00000000-0005-0000-0000-0000B0710000}"/>
    <cellStyle name="Normal 3 8 5 2 2" xfId="29212" xr:uid="{00000000-0005-0000-0000-0000B1710000}"/>
    <cellStyle name="Normal 3 8 5 3" xfId="31821" xr:uid="{00000000-0005-0000-0000-0000B2710000}"/>
    <cellStyle name="Normal 3 8 6" xfId="8705" xr:uid="{00000000-0005-0000-0000-0000B3710000}"/>
    <cellStyle name="Normal 3 8 6 2" xfId="17316" xr:uid="{00000000-0005-0000-0000-0000B4710000}"/>
    <cellStyle name="Normal 3 8 6 2 2" xfId="30669" xr:uid="{00000000-0005-0000-0000-0000B5710000}"/>
    <cellStyle name="Normal 3 8 6 3" xfId="23223" xr:uid="{00000000-0005-0000-0000-0000B6710000}"/>
    <cellStyle name="Normal 3 8 7" xfId="8800" xr:uid="{00000000-0005-0000-0000-0000B7710000}"/>
    <cellStyle name="Normal 3 8 7 2" xfId="23278" xr:uid="{00000000-0005-0000-0000-0000B8710000}"/>
    <cellStyle name="Normal 3 8 8" xfId="31817" xr:uid="{00000000-0005-0000-0000-0000B9710000}"/>
    <cellStyle name="Normal 3 8 9" xfId="32930" xr:uid="{00000000-0005-0000-0000-0000BA710000}"/>
    <cellStyle name="Normal 3 9" xfId="7534" xr:uid="{00000000-0005-0000-0000-0000BB710000}"/>
    <cellStyle name="Normal 3 9 10" xfId="32990" xr:uid="{00000000-0005-0000-0000-0000BC710000}"/>
    <cellStyle name="Normal 3 9 2" xfId="7535" xr:uid="{00000000-0005-0000-0000-0000BD710000}"/>
    <cellStyle name="Normal 3 9 2 2" xfId="11572" xr:uid="{00000000-0005-0000-0000-0000BE710000}"/>
    <cellStyle name="Normal 3 9 2 2 2" xfId="25403" xr:uid="{00000000-0005-0000-0000-0000BF710000}"/>
    <cellStyle name="Normal 3 9 2 3" xfId="31823" xr:uid="{00000000-0005-0000-0000-0000C0710000}"/>
    <cellStyle name="Normal 3 9 2 4" xfId="32950" xr:uid="{00000000-0005-0000-0000-0000C1710000}"/>
    <cellStyle name="Normal 3 9 2 5" xfId="33008" xr:uid="{00000000-0005-0000-0000-0000C2710000}"/>
    <cellStyle name="Normal 3 9 3" xfId="7536" xr:uid="{00000000-0005-0000-0000-0000C3710000}"/>
    <cellStyle name="Normal 3 9 3 2" xfId="13258" xr:uid="{00000000-0005-0000-0000-0000C4710000}"/>
    <cellStyle name="Normal 3 9 3 2 2" xfId="26892" xr:uid="{00000000-0005-0000-0000-0000C5710000}"/>
    <cellStyle name="Normal 3 9 3 3" xfId="31824" xr:uid="{00000000-0005-0000-0000-0000C6710000}"/>
    <cellStyle name="Normal 3 9 4" xfId="7537" xr:uid="{00000000-0005-0000-0000-0000C7710000}"/>
    <cellStyle name="Normal 3 9 4 2" xfId="15698" xr:uid="{00000000-0005-0000-0000-0000C8710000}"/>
    <cellStyle name="Normal 3 9 4 2 2" xfId="29184" xr:uid="{00000000-0005-0000-0000-0000C9710000}"/>
    <cellStyle name="Normal 3 9 4 3" xfId="31825" xr:uid="{00000000-0005-0000-0000-0000CA710000}"/>
    <cellStyle name="Normal 3 9 5" xfId="7538" xr:uid="{00000000-0005-0000-0000-0000CB710000}"/>
    <cellStyle name="Normal 3 9 5 2" xfId="15806" xr:uid="{00000000-0005-0000-0000-0000CC710000}"/>
    <cellStyle name="Normal 3 9 5 2 2" xfId="29213" xr:uid="{00000000-0005-0000-0000-0000CD710000}"/>
    <cellStyle name="Normal 3 9 5 3" xfId="31826" xr:uid="{00000000-0005-0000-0000-0000CE710000}"/>
    <cellStyle name="Normal 3 9 6" xfId="8706" xr:uid="{00000000-0005-0000-0000-0000CF710000}"/>
    <cellStyle name="Normal 3 9 6 2" xfId="17317" xr:uid="{00000000-0005-0000-0000-0000D0710000}"/>
    <cellStyle name="Normal 3 9 6 2 2" xfId="30670" xr:uid="{00000000-0005-0000-0000-0000D1710000}"/>
    <cellStyle name="Normal 3 9 6 3" xfId="23224" xr:uid="{00000000-0005-0000-0000-0000D2710000}"/>
    <cellStyle name="Normal 3 9 7" xfId="8801" xr:uid="{00000000-0005-0000-0000-0000D3710000}"/>
    <cellStyle name="Normal 3 9 7 2" xfId="23279" xr:uid="{00000000-0005-0000-0000-0000D4710000}"/>
    <cellStyle name="Normal 3 9 8" xfId="31822" xr:uid="{00000000-0005-0000-0000-0000D5710000}"/>
    <cellStyle name="Normal 3 9 9" xfId="32931" xr:uid="{00000000-0005-0000-0000-0000D6710000}"/>
    <cellStyle name="Normal 30" xfId="33030" xr:uid="{61C0D4E4-2E6F-413E-8FF5-ACF044725A00}"/>
    <cellStyle name="Normal 31" xfId="33031" xr:uid="{F6FBE3A2-2488-48DD-BB72-68FE961DAA62}"/>
    <cellStyle name="Normal 32" xfId="33040" xr:uid="{3C3344AB-606B-4365-990E-C88622B89548}"/>
    <cellStyle name="Normal 33" xfId="33041" xr:uid="{4F916D9B-8DEC-4669-B120-05E8C25C03D3}"/>
    <cellStyle name="Normal 34" xfId="7539" xr:uid="{00000000-0005-0000-0000-0000D7710000}"/>
    <cellStyle name="Normal 34 2" xfId="17034" xr:uid="{00000000-0005-0000-0000-0000D8710000}"/>
    <cellStyle name="Normal 34 3" xfId="31827" xr:uid="{00000000-0005-0000-0000-0000D9710000}"/>
    <cellStyle name="Normal 4" xfId="7540" xr:uid="{00000000-0005-0000-0000-0000DA710000}"/>
    <cellStyle name="Normal 4 10" xfId="8779" xr:uid="{00000000-0005-0000-0000-0000DB710000}"/>
    <cellStyle name="Normal 4 10 2" xfId="23257" xr:uid="{00000000-0005-0000-0000-0000DC710000}"/>
    <cellStyle name="Normal 4 11" xfId="32901" xr:uid="{00000000-0005-0000-0000-0000DD710000}"/>
    <cellStyle name="Normal 4 12" xfId="32964" xr:uid="{00000000-0005-0000-0000-0000DE710000}"/>
    <cellStyle name="Normal 4 2" xfId="7541" xr:uid="{00000000-0005-0000-0000-0000DF710000}"/>
    <cellStyle name="Normal 4 2 10" xfId="8783" xr:uid="{00000000-0005-0000-0000-0000E0710000}"/>
    <cellStyle name="Normal 4 2 10 2" xfId="23261" xr:uid="{00000000-0005-0000-0000-0000E1710000}"/>
    <cellStyle name="Normal 4 2 11" xfId="32912" xr:uid="{00000000-0005-0000-0000-0000E2710000}"/>
    <cellStyle name="Normal 4 2 12" xfId="32972" xr:uid="{00000000-0005-0000-0000-0000E3710000}"/>
    <cellStyle name="Normal 4 2 2" xfId="7542" xr:uid="{00000000-0005-0000-0000-0000E4710000}"/>
    <cellStyle name="Normal 4 2 2 2" xfId="7543" xr:uid="{00000000-0005-0000-0000-0000E5710000}"/>
    <cellStyle name="Normal 4 2 2 2 2" xfId="11719" xr:uid="{00000000-0005-0000-0000-0000E6710000}"/>
    <cellStyle name="Normal 4 2 2 2 2 2" xfId="25438" xr:uid="{00000000-0005-0000-0000-0000E7710000}"/>
    <cellStyle name="Normal 4 2 2 2 3" xfId="31828" xr:uid="{00000000-0005-0000-0000-0000E8710000}"/>
    <cellStyle name="Normal 4 2 2 3" xfId="7544" xr:uid="{00000000-0005-0000-0000-0000E9710000}"/>
    <cellStyle name="Normal 4 2 2 3 2" xfId="17035" xr:uid="{00000000-0005-0000-0000-0000EA710000}"/>
    <cellStyle name="Normal 4 2 2 3 2 2" xfId="30435" xr:uid="{00000000-0005-0000-0000-0000EB710000}"/>
    <cellStyle name="Normal 4 2 2 3 3" xfId="31829" xr:uid="{00000000-0005-0000-0000-0000EC710000}"/>
    <cellStyle name="Normal 4 2 2 4" xfId="10205" xr:uid="{00000000-0005-0000-0000-0000ED710000}"/>
    <cellStyle name="Normal 4 2 2 5" xfId="32952" xr:uid="{00000000-0005-0000-0000-0000EE710000}"/>
    <cellStyle name="Normal 4 2 2 6" xfId="33010" xr:uid="{00000000-0005-0000-0000-0000EF710000}"/>
    <cellStyle name="Normal 4 2 3" xfId="7545" xr:uid="{00000000-0005-0000-0000-0000F0710000}"/>
    <cellStyle name="Normal 4 2 3 2" xfId="7546" xr:uid="{00000000-0005-0000-0000-0000F1710000}"/>
    <cellStyle name="Normal 4 2 3 2 2" xfId="10207" xr:uid="{00000000-0005-0000-0000-0000F2710000}"/>
    <cellStyle name="Normal 4 2 3 3" xfId="7547" xr:uid="{00000000-0005-0000-0000-0000F3710000}"/>
    <cellStyle name="Normal 4 2 3 3 2" xfId="13260" xr:uid="{00000000-0005-0000-0000-0000F4710000}"/>
    <cellStyle name="Normal 4 2 3 4" xfId="10206" xr:uid="{00000000-0005-0000-0000-0000F5710000}"/>
    <cellStyle name="Normal 4 2 4" xfId="7548" xr:uid="{00000000-0005-0000-0000-0000F6710000}"/>
    <cellStyle name="Normal 4 2 4 2" xfId="7549" xr:uid="{00000000-0005-0000-0000-0000F7710000}"/>
    <cellStyle name="Normal 4 2 4 2 2" xfId="13261" xr:uid="{00000000-0005-0000-0000-0000F8710000}"/>
    <cellStyle name="Normal 4 2 4 3" xfId="10512" xr:uid="{00000000-0005-0000-0000-0000F9710000}"/>
    <cellStyle name="Normal 4 2 5" xfId="7550" xr:uid="{00000000-0005-0000-0000-0000FA710000}"/>
    <cellStyle name="Normal 4 2 5 2" xfId="7551" xr:uid="{00000000-0005-0000-0000-0000FB710000}"/>
    <cellStyle name="Normal 4 2 5 2 2" xfId="13262" xr:uid="{00000000-0005-0000-0000-0000FC710000}"/>
    <cellStyle name="Normal 4 2 5 2 2 2" xfId="26894" xr:uid="{00000000-0005-0000-0000-0000FD710000}"/>
    <cellStyle name="Normal 4 2 5 2 3" xfId="31831" xr:uid="{00000000-0005-0000-0000-0000FE710000}"/>
    <cellStyle name="Normal 4 2 5 3" xfId="7552" xr:uid="{00000000-0005-0000-0000-0000FF710000}"/>
    <cellStyle name="Normal 4 2 5 3 2" xfId="15700" xr:uid="{00000000-0005-0000-0000-000000720000}"/>
    <cellStyle name="Normal 4 2 5 3 2 2" xfId="29186" xr:uid="{00000000-0005-0000-0000-000001720000}"/>
    <cellStyle name="Normal 4 2 5 3 3" xfId="31832" xr:uid="{00000000-0005-0000-0000-000002720000}"/>
    <cellStyle name="Normal 4 2 5 4" xfId="11574" xr:uid="{00000000-0005-0000-0000-000003720000}"/>
    <cellStyle name="Normal 4 2 5 4 2" xfId="25405" xr:uid="{00000000-0005-0000-0000-000004720000}"/>
    <cellStyle name="Normal 4 2 5 5" xfId="31830" xr:uid="{00000000-0005-0000-0000-000005720000}"/>
    <cellStyle name="Normal 4 2 6" xfId="7553" xr:uid="{00000000-0005-0000-0000-000006720000}"/>
    <cellStyle name="Normal 4 2 6 2" xfId="13259" xr:uid="{00000000-0005-0000-0000-000007720000}"/>
    <cellStyle name="Normal 4 2 6 2 2" xfId="26893" xr:uid="{00000000-0005-0000-0000-000008720000}"/>
    <cellStyle name="Normal 4 2 6 3" xfId="31833" xr:uid="{00000000-0005-0000-0000-000009720000}"/>
    <cellStyle name="Normal 4 2 7" xfId="7554" xr:uid="{00000000-0005-0000-0000-00000A720000}"/>
    <cellStyle name="Normal 4 2 7 2" xfId="15699" xr:uid="{00000000-0005-0000-0000-00000B720000}"/>
    <cellStyle name="Normal 4 2 7 2 2" xfId="29185" xr:uid="{00000000-0005-0000-0000-00000C720000}"/>
    <cellStyle name="Normal 4 2 7 3" xfId="31834" xr:uid="{00000000-0005-0000-0000-00000D720000}"/>
    <cellStyle name="Normal 4 2 8" xfId="7555" xr:uid="{00000000-0005-0000-0000-00000E720000}"/>
    <cellStyle name="Normal 4 2 8 2" xfId="15808" xr:uid="{00000000-0005-0000-0000-00000F720000}"/>
    <cellStyle name="Normal 4 2 8 2 2" xfId="29215" xr:uid="{00000000-0005-0000-0000-000010720000}"/>
    <cellStyle name="Normal 4 2 8 3" xfId="31835" xr:uid="{00000000-0005-0000-0000-000011720000}"/>
    <cellStyle name="Normal 4 2 9" xfId="8674" xr:uid="{00000000-0005-0000-0000-000012720000}"/>
    <cellStyle name="Normal 4 2 9 2" xfId="17299" xr:uid="{00000000-0005-0000-0000-000013720000}"/>
    <cellStyle name="Normal 4 2 9 2 2" xfId="30652" xr:uid="{00000000-0005-0000-0000-000014720000}"/>
    <cellStyle name="Normal 4 2 9 3" xfId="23204" xr:uid="{00000000-0005-0000-0000-000015720000}"/>
    <cellStyle name="Normal 4 3" xfId="7556" xr:uid="{00000000-0005-0000-0000-000016720000}"/>
    <cellStyle name="Normal 4 3 10" xfId="8787" xr:uid="{00000000-0005-0000-0000-000017720000}"/>
    <cellStyle name="Normal 4 3 10 2" xfId="23265" xr:uid="{00000000-0005-0000-0000-000018720000}"/>
    <cellStyle name="Normal 4 3 11" xfId="32916" xr:uid="{00000000-0005-0000-0000-000019720000}"/>
    <cellStyle name="Normal 4 3 12" xfId="32976" xr:uid="{00000000-0005-0000-0000-00001A720000}"/>
    <cellStyle name="Normal 4 3 2" xfId="7557" xr:uid="{00000000-0005-0000-0000-00001B720000}"/>
    <cellStyle name="Normal 4 3 2 2" xfId="7558" xr:uid="{00000000-0005-0000-0000-00001C720000}"/>
    <cellStyle name="Normal 4 3 2 2 2" xfId="11720" xr:uid="{00000000-0005-0000-0000-00001D720000}"/>
    <cellStyle name="Normal 4 3 2 2 2 2" xfId="25439" xr:uid="{00000000-0005-0000-0000-00001E720000}"/>
    <cellStyle name="Normal 4 3 2 2 3" xfId="31836" xr:uid="{00000000-0005-0000-0000-00001F720000}"/>
    <cellStyle name="Normal 4 3 2 3" xfId="7559" xr:uid="{00000000-0005-0000-0000-000020720000}"/>
    <cellStyle name="Normal 4 3 2 3 2" xfId="17036" xr:uid="{00000000-0005-0000-0000-000021720000}"/>
    <cellStyle name="Normal 4 3 2 3 2 2" xfId="30436" xr:uid="{00000000-0005-0000-0000-000022720000}"/>
    <cellStyle name="Normal 4 3 2 3 3" xfId="31837" xr:uid="{00000000-0005-0000-0000-000023720000}"/>
    <cellStyle name="Normal 4 3 2 4" xfId="10208" xr:uid="{00000000-0005-0000-0000-000024720000}"/>
    <cellStyle name="Normal 4 3 2 5" xfId="32953" xr:uid="{00000000-0005-0000-0000-000025720000}"/>
    <cellStyle name="Normal 4 3 2 6" xfId="33011" xr:uid="{00000000-0005-0000-0000-000026720000}"/>
    <cellStyle name="Normal 4 3 3" xfId="7560" xr:uid="{00000000-0005-0000-0000-000027720000}"/>
    <cellStyle name="Normal 4 3 3 2" xfId="7561" xr:uid="{00000000-0005-0000-0000-000028720000}"/>
    <cellStyle name="Normal 4 3 3 2 2" xfId="10210" xr:uid="{00000000-0005-0000-0000-000029720000}"/>
    <cellStyle name="Normal 4 3 3 3" xfId="7562" xr:uid="{00000000-0005-0000-0000-00002A720000}"/>
    <cellStyle name="Normal 4 3 3 3 2" xfId="13264" xr:uid="{00000000-0005-0000-0000-00002B720000}"/>
    <cellStyle name="Normal 4 3 3 4" xfId="10209" xr:uid="{00000000-0005-0000-0000-00002C720000}"/>
    <cellStyle name="Normal 4 3 4" xfId="7563" xr:uid="{00000000-0005-0000-0000-00002D720000}"/>
    <cellStyle name="Normal 4 3 4 2" xfId="7564" xr:uid="{00000000-0005-0000-0000-00002E720000}"/>
    <cellStyle name="Normal 4 3 4 2 2" xfId="13265" xr:uid="{00000000-0005-0000-0000-00002F720000}"/>
    <cellStyle name="Normal 4 3 4 3" xfId="10513" xr:uid="{00000000-0005-0000-0000-000030720000}"/>
    <cellStyle name="Normal 4 3 5" xfId="7565" xr:uid="{00000000-0005-0000-0000-000031720000}"/>
    <cellStyle name="Normal 4 3 5 2" xfId="7566" xr:uid="{00000000-0005-0000-0000-000032720000}"/>
    <cellStyle name="Normal 4 3 5 2 2" xfId="13266" xr:uid="{00000000-0005-0000-0000-000033720000}"/>
    <cellStyle name="Normal 4 3 5 2 2 2" xfId="26896" xr:uid="{00000000-0005-0000-0000-000034720000}"/>
    <cellStyle name="Normal 4 3 5 2 3" xfId="31839" xr:uid="{00000000-0005-0000-0000-000035720000}"/>
    <cellStyle name="Normal 4 3 5 3" xfId="7567" xr:uid="{00000000-0005-0000-0000-000036720000}"/>
    <cellStyle name="Normal 4 3 5 3 2" xfId="15702" xr:uid="{00000000-0005-0000-0000-000037720000}"/>
    <cellStyle name="Normal 4 3 5 3 2 2" xfId="29188" xr:uid="{00000000-0005-0000-0000-000038720000}"/>
    <cellStyle name="Normal 4 3 5 3 3" xfId="31840" xr:uid="{00000000-0005-0000-0000-000039720000}"/>
    <cellStyle name="Normal 4 3 5 4" xfId="11575" xr:uid="{00000000-0005-0000-0000-00003A720000}"/>
    <cellStyle name="Normal 4 3 5 4 2" xfId="25406" xr:uid="{00000000-0005-0000-0000-00003B720000}"/>
    <cellStyle name="Normal 4 3 5 5" xfId="31838" xr:uid="{00000000-0005-0000-0000-00003C720000}"/>
    <cellStyle name="Normal 4 3 6" xfId="7568" xr:uid="{00000000-0005-0000-0000-00003D720000}"/>
    <cellStyle name="Normal 4 3 6 2" xfId="13263" xr:uid="{00000000-0005-0000-0000-00003E720000}"/>
    <cellStyle name="Normal 4 3 6 2 2" xfId="26895" xr:uid="{00000000-0005-0000-0000-00003F720000}"/>
    <cellStyle name="Normal 4 3 6 3" xfId="31841" xr:uid="{00000000-0005-0000-0000-000040720000}"/>
    <cellStyle name="Normal 4 3 7" xfId="7569" xr:uid="{00000000-0005-0000-0000-000041720000}"/>
    <cellStyle name="Normal 4 3 7 2" xfId="15701" xr:uid="{00000000-0005-0000-0000-000042720000}"/>
    <cellStyle name="Normal 4 3 7 2 2" xfId="29187" xr:uid="{00000000-0005-0000-0000-000043720000}"/>
    <cellStyle name="Normal 4 3 7 3" xfId="31842" xr:uid="{00000000-0005-0000-0000-000044720000}"/>
    <cellStyle name="Normal 4 3 8" xfId="7570" xr:uid="{00000000-0005-0000-0000-000045720000}"/>
    <cellStyle name="Normal 4 3 8 2" xfId="15809" xr:uid="{00000000-0005-0000-0000-000046720000}"/>
    <cellStyle name="Normal 4 3 8 2 2" xfId="29216" xr:uid="{00000000-0005-0000-0000-000047720000}"/>
    <cellStyle name="Normal 4 3 8 3" xfId="31843" xr:uid="{00000000-0005-0000-0000-000048720000}"/>
    <cellStyle name="Normal 4 3 9" xfId="8678" xr:uid="{00000000-0005-0000-0000-000049720000}"/>
    <cellStyle name="Normal 4 3 9 2" xfId="17303" xr:uid="{00000000-0005-0000-0000-00004A720000}"/>
    <cellStyle name="Normal 4 3 9 2 2" xfId="30656" xr:uid="{00000000-0005-0000-0000-00004B720000}"/>
    <cellStyle name="Normal 4 3 9 3" xfId="23208" xr:uid="{00000000-0005-0000-0000-00004C720000}"/>
    <cellStyle name="Normal 4 4" xfId="7571" xr:uid="{00000000-0005-0000-0000-00004D720000}"/>
    <cellStyle name="Normal 4 4 10" xfId="32924" xr:uid="{00000000-0005-0000-0000-00004E720000}"/>
    <cellStyle name="Normal 4 4 11" xfId="32984" xr:uid="{00000000-0005-0000-0000-00004F720000}"/>
    <cellStyle name="Normal 4 4 2" xfId="7572" xr:uid="{00000000-0005-0000-0000-000050720000}"/>
    <cellStyle name="Normal 4 4 2 2" xfId="7573" xr:uid="{00000000-0005-0000-0000-000051720000}"/>
    <cellStyle name="Normal 4 4 2 2 2" xfId="17037" xr:uid="{00000000-0005-0000-0000-000052720000}"/>
    <cellStyle name="Normal 4 4 2 2 2 2" xfId="30437" xr:uid="{00000000-0005-0000-0000-000053720000}"/>
    <cellStyle name="Normal 4 4 2 2 3" xfId="31846" xr:uid="{00000000-0005-0000-0000-000054720000}"/>
    <cellStyle name="Normal 4 4 2 3" xfId="10211" xr:uid="{00000000-0005-0000-0000-000055720000}"/>
    <cellStyle name="Normal 4 4 2 4" xfId="31845" xr:uid="{00000000-0005-0000-0000-000056720000}"/>
    <cellStyle name="Normal 4 4 2 5" xfId="32954" xr:uid="{00000000-0005-0000-0000-000057720000}"/>
    <cellStyle name="Normal 4 4 2 6" xfId="33012" xr:uid="{00000000-0005-0000-0000-000058720000}"/>
    <cellStyle name="Normal 4 4 3" xfId="7574" xr:uid="{00000000-0005-0000-0000-000059720000}"/>
    <cellStyle name="Normal 4 4 3 2" xfId="11576" xr:uid="{00000000-0005-0000-0000-00005A720000}"/>
    <cellStyle name="Normal 4 4 3 2 2" xfId="25407" xr:uid="{00000000-0005-0000-0000-00005B720000}"/>
    <cellStyle name="Normal 4 4 3 3" xfId="31847" xr:uid="{00000000-0005-0000-0000-00005C720000}"/>
    <cellStyle name="Normal 4 4 4" xfId="7575" xr:uid="{00000000-0005-0000-0000-00005D720000}"/>
    <cellStyle name="Normal 4 4 4 2" xfId="13267" xr:uid="{00000000-0005-0000-0000-00005E720000}"/>
    <cellStyle name="Normal 4 4 4 2 2" xfId="26897" xr:uid="{00000000-0005-0000-0000-00005F720000}"/>
    <cellStyle name="Normal 4 4 4 3" xfId="31848" xr:uid="{00000000-0005-0000-0000-000060720000}"/>
    <cellStyle name="Normal 4 4 5" xfId="7576" xr:uid="{00000000-0005-0000-0000-000061720000}"/>
    <cellStyle name="Normal 4 4 5 2" xfId="15703" xr:uid="{00000000-0005-0000-0000-000062720000}"/>
    <cellStyle name="Normal 4 4 5 2 2" xfId="29189" xr:uid="{00000000-0005-0000-0000-000063720000}"/>
    <cellStyle name="Normal 4 4 5 3" xfId="31849" xr:uid="{00000000-0005-0000-0000-000064720000}"/>
    <cellStyle name="Normal 4 4 6" xfId="7577" xr:uid="{00000000-0005-0000-0000-000065720000}"/>
    <cellStyle name="Normal 4 4 6 2" xfId="15810" xr:uid="{00000000-0005-0000-0000-000066720000}"/>
    <cellStyle name="Normal 4 4 6 2 2" xfId="29217" xr:uid="{00000000-0005-0000-0000-000067720000}"/>
    <cellStyle name="Normal 4 4 6 3" xfId="31850" xr:uid="{00000000-0005-0000-0000-000068720000}"/>
    <cellStyle name="Normal 4 4 7" xfId="8693" xr:uid="{00000000-0005-0000-0000-000069720000}"/>
    <cellStyle name="Normal 4 4 7 2" xfId="17311" xr:uid="{00000000-0005-0000-0000-00006A720000}"/>
    <cellStyle name="Normal 4 4 7 2 2" xfId="30664" xr:uid="{00000000-0005-0000-0000-00006B720000}"/>
    <cellStyle name="Normal 4 4 7 3" xfId="23216" xr:uid="{00000000-0005-0000-0000-00006C720000}"/>
    <cellStyle name="Normal 4 4 8" xfId="8795" xr:uid="{00000000-0005-0000-0000-00006D720000}"/>
    <cellStyle name="Normal 4 4 8 2" xfId="23273" xr:uid="{00000000-0005-0000-0000-00006E720000}"/>
    <cellStyle name="Normal 4 4 9" xfId="31844" xr:uid="{00000000-0005-0000-0000-00006F720000}"/>
    <cellStyle name="Normal 4 5" xfId="7578" xr:uid="{00000000-0005-0000-0000-000070720000}"/>
    <cellStyle name="Normal 4 5 10" xfId="7579" xr:uid="{00000000-0005-0000-0000-000071720000}"/>
    <cellStyle name="Normal 4 5 10 2" xfId="16410" xr:uid="{00000000-0005-0000-0000-000072720000}"/>
    <cellStyle name="Normal 4 5 10 2 2" xfId="29817" xr:uid="{00000000-0005-0000-0000-000073720000}"/>
    <cellStyle name="Normal 4 5 10 3" xfId="31852" xr:uid="{00000000-0005-0000-0000-000074720000}"/>
    <cellStyle name="Normal 4 5 11" xfId="8681" xr:uid="{00000000-0005-0000-0000-000075720000}"/>
    <cellStyle name="Normal 4 5 11 2" xfId="17306" xr:uid="{00000000-0005-0000-0000-000076720000}"/>
    <cellStyle name="Normal 4 5 11 2 2" xfId="30659" xr:uid="{00000000-0005-0000-0000-000077720000}"/>
    <cellStyle name="Normal 4 5 11 3" xfId="23211" xr:uid="{00000000-0005-0000-0000-000078720000}"/>
    <cellStyle name="Normal 4 5 12" xfId="8790" xr:uid="{00000000-0005-0000-0000-000079720000}"/>
    <cellStyle name="Normal 4 5 12 2" xfId="23268" xr:uid="{00000000-0005-0000-0000-00007A720000}"/>
    <cellStyle name="Normal 4 5 13" xfId="31851" xr:uid="{00000000-0005-0000-0000-00007B720000}"/>
    <cellStyle name="Normal 4 5 14" xfId="32919" xr:uid="{00000000-0005-0000-0000-00007C720000}"/>
    <cellStyle name="Normal 4 5 15" xfId="32979" xr:uid="{00000000-0005-0000-0000-00007D720000}"/>
    <cellStyle name="Normal 4 5 2" xfId="7580" xr:uid="{00000000-0005-0000-0000-00007E720000}"/>
    <cellStyle name="Normal 4 5 2 2" xfId="7581" xr:uid="{00000000-0005-0000-0000-00007F720000}"/>
    <cellStyle name="Normal 4 5 2 2 2" xfId="11578" xr:uid="{00000000-0005-0000-0000-000080720000}"/>
    <cellStyle name="Normal 4 5 2 2 2 2" xfId="25409" xr:uid="{00000000-0005-0000-0000-000081720000}"/>
    <cellStyle name="Normal 4 5 2 2 3" xfId="31854" xr:uid="{00000000-0005-0000-0000-000082720000}"/>
    <cellStyle name="Normal 4 5 2 3" xfId="7582" xr:uid="{00000000-0005-0000-0000-000083720000}"/>
    <cellStyle name="Normal 4 5 2 3 2" xfId="13269" xr:uid="{00000000-0005-0000-0000-000084720000}"/>
    <cellStyle name="Normal 4 5 2 3 2 2" xfId="26899" xr:uid="{00000000-0005-0000-0000-000085720000}"/>
    <cellStyle name="Normal 4 5 2 3 3" xfId="31855" xr:uid="{00000000-0005-0000-0000-000086720000}"/>
    <cellStyle name="Normal 4 5 2 4" xfId="7583" xr:uid="{00000000-0005-0000-0000-000087720000}"/>
    <cellStyle name="Normal 4 5 2 4 2" xfId="15705" xr:uid="{00000000-0005-0000-0000-000088720000}"/>
    <cellStyle name="Normal 4 5 2 4 2 2" xfId="29191" xr:uid="{00000000-0005-0000-0000-000089720000}"/>
    <cellStyle name="Normal 4 5 2 4 3" xfId="31856" xr:uid="{00000000-0005-0000-0000-00008A720000}"/>
    <cellStyle name="Normal 4 5 2 5" xfId="7584" xr:uid="{00000000-0005-0000-0000-00008B720000}"/>
    <cellStyle name="Normal 4 5 2 5 2" xfId="16991" xr:uid="{00000000-0005-0000-0000-00008C720000}"/>
    <cellStyle name="Normal 4 5 2 5 2 2" xfId="30398" xr:uid="{00000000-0005-0000-0000-00008D720000}"/>
    <cellStyle name="Normal 4 5 2 5 3" xfId="31857" xr:uid="{00000000-0005-0000-0000-00008E720000}"/>
    <cellStyle name="Normal 4 5 2 6" xfId="10212" xr:uid="{00000000-0005-0000-0000-00008F720000}"/>
    <cellStyle name="Normal 4 5 2 6 2" xfId="24407" xr:uid="{00000000-0005-0000-0000-000090720000}"/>
    <cellStyle name="Normal 4 5 2 7" xfId="31853" xr:uid="{00000000-0005-0000-0000-000091720000}"/>
    <cellStyle name="Normal 4 5 2 8" xfId="32955" xr:uid="{00000000-0005-0000-0000-000092720000}"/>
    <cellStyle name="Normal 4 5 2 9" xfId="33013" xr:uid="{00000000-0005-0000-0000-000093720000}"/>
    <cellStyle name="Normal 4 5 3" xfId="7585" xr:uid="{00000000-0005-0000-0000-000094720000}"/>
    <cellStyle name="Normal 4 5 3 2" xfId="11577" xr:uid="{00000000-0005-0000-0000-000095720000}"/>
    <cellStyle name="Normal 4 5 3 2 2" xfId="25408" xr:uid="{00000000-0005-0000-0000-000096720000}"/>
    <cellStyle name="Normal 4 5 3 3" xfId="31858" xr:uid="{00000000-0005-0000-0000-000097720000}"/>
    <cellStyle name="Normal 4 5 4" xfId="7586" xr:uid="{00000000-0005-0000-0000-000098720000}"/>
    <cellStyle name="Normal 4 5 4 2" xfId="12379" xr:uid="{00000000-0005-0000-0000-000099720000}"/>
    <cellStyle name="Normal 4 5 4 2 2" xfId="26091" xr:uid="{00000000-0005-0000-0000-00009A720000}"/>
    <cellStyle name="Normal 4 5 4 3" xfId="31859" xr:uid="{00000000-0005-0000-0000-00009B720000}"/>
    <cellStyle name="Normal 4 5 5" xfId="7587" xr:uid="{00000000-0005-0000-0000-00009C720000}"/>
    <cellStyle name="Normal 4 5 5 2" xfId="13268" xr:uid="{00000000-0005-0000-0000-00009D720000}"/>
    <cellStyle name="Normal 4 5 5 2 2" xfId="26898" xr:uid="{00000000-0005-0000-0000-00009E720000}"/>
    <cellStyle name="Normal 4 5 5 3" xfId="31860" xr:uid="{00000000-0005-0000-0000-00009F720000}"/>
    <cellStyle name="Normal 4 5 6" xfId="7588" xr:uid="{00000000-0005-0000-0000-0000A0720000}"/>
    <cellStyle name="Normal 4 5 6 2" xfId="13943" xr:uid="{00000000-0005-0000-0000-0000A1720000}"/>
    <cellStyle name="Normal 4 5 6 2 2" xfId="27492" xr:uid="{00000000-0005-0000-0000-0000A2720000}"/>
    <cellStyle name="Normal 4 5 6 3" xfId="31861" xr:uid="{00000000-0005-0000-0000-0000A3720000}"/>
    <cellStyle name="Normal 4 5 7" xfId="7589" xr:uid="{00000000-0005-0000-0000-0000A4720000}"/>
    <cellStyle name="Normal 4 5 7 2" xfId="14524" xr:uid="{00000000-0005-0000-0000-0000A5720000}"/>
    <cellStyle name="Normal 4 5 7 2 2" xfId="28073" xr:uid="{00000000-0005-0000-0000-0000A6720000}"/>
    <cellStyle name="Normal 4 5 7 3" xfId="31862" xr:uid="{00000000-0005-0000-0000-0000A7720000}"/>
    <cellStyle name="Normal 4 5 8" xfId="7590" xr:uid="{00000000-0005-0000-0000-0000A8720000}"/>
    <cellStyle name="Normal 4 5 8 2" xfId="15704" xr:uid="{00000000-0005-0000-0000-0000A9720000}"/>
    <cellStyle name="Normal 4 5 8 2 2" xfId="29190" xr:uid="{00000000-0005-0000-0000-0000AA720000}"/>
    <cellStyle name="Normal 4 5 8 3" xfId="31863" xr:uid="{00000000-0005-0000-0000-0000AB720000}"/>
    <cellStyle name="Normal 4 5 9" xfId="7591" xr:uid="{00000000-0005-0000-0000-0000AC720000}"/>
    <cellStyle name="Normal 4 5 9 2" xfId="15811" xr:uid="{00000000-0005-0000-0000-0000AD720000}"/>
    <cellStyle name="Normal 4 5 9 2 2" xfId="29218" xr:uid="{00000000-0005-0000-0000-0000AE720000}"/>
    <cellStyle name="Normal 4 5 9 3" xfId="31864" xr:uid="{00000000-0005-0000-0000-0000AF720000}"/>
    <cellStyle name="Normal 4 6" xfId="7592" xr:uid="{00000000-0005-0000-0000-0000B0720000}"/>
    <cellStyle name="Normal 4 6 2" xfId="7593" xr:uid="{00000000-0005-0000-0000-0000B1720000}"/>
    <cellStyle name="Normal 4 6 2 2" xfId="10214" xr:uid="{00000000-0005-0000-0000-0000B2720000}"/>
    <cellStyle name="Normal 4 6 2 3" xfId="32956" xr:uid="{00000000-0005-0000-0000-0000B3720000}"/>
    <cellStyle name="Normal 4 6 3" xfId="7594" xr:uid="{00000000-0005-0000-0000-0000B4720000}"/>
    <cellStyle name="Normal 4 6 3 2" xfId="11718" xr:uid="{00000000-0005-0000-0000-0000B5720000}"/>
    <cellStyle name="Normal 4 6 3 2 2" xfId="25437" xr:uid="{00000000-0005-0000-0000-0000B6720000}"/>
    <cellStyle name="Normal 4 6 3 3" xfId="31865" xr:uid="{00000000-0005-0000-0000-0000B7720000}"/>
    <cellStyle name="Normal 4 6 4" xfId="7595" xr:uid="{00000000-0005-0000-0000-0000B8720000}"/>
    <cellStyle name="Normal 4 6 4 2" xfId="17335" xr:uid="{00000000-0005-0000-0000-0000B9720000}"/>
    <cellStyle name="Normal 4 6 4 3" xfId="31866" xr:uid="{00000000-0005-0000-0000-0000BA720000}"/>
    <cellStyle name="Normal 4 6 5" xfId="8731" xr:uid="{00000000-0005-0000-0000-0000BB720000}"/>
    <cellStyle name="Normal 4 6 6" xfId="10213" xr:uid="{00000000-0005-0000-0000-0000BC720000}"/>
    <cellStyle name="Normal 4 6 7" xfId="32908" xr:uid="{00000000-0005-0000-0000-0000BD720000}"/>
    <cellStyle name="Normal 4 6 8" xfId="32968" xr:uid="{00000000-0005-0000-0000-0000BE720000}"/>
    <cellStyle name="Normal 4 7" xfId="7596" xr:uid="{00000000-0005-0000-0000-0000BF720000}"/>
    <cellStyle name="Normal 4 7 2" xfId="7597" xr:uid="{00000000-0005-0000-0000-0000C0720000}"/>
    <cellStyle name="Normal 4 7 2 2" xfId="13270" xr:uid="{00000000-0005-0000-0000-0000C1720000}"/>
    <cellStyle name="Normal 4 7 2 2 2" xfId="26900" xr:uid="{00000000-0005-0000-0000-0000C2720000}"/>
    <cellStyle name="Normal 4 7 2 3" xfId="31868" xr:uid="{00000000-0005-0000-0000-0000C3720000}"/>
    <cellStyle name="Normal 4 7 3" xfId="7598" xr:uid="{00000000-0005-0000-0000-0000C4720000}"/>
    <cellStyle name="Normal 4 7 3 2" xfId="15706" xr:uid="{00000000-0005-0000-0000-0000C5720000}"/>
    <cellStyle name="Normal 4 7 3 2 2" xfId="29192" xr:uid="{00000000-0005-0000-0000-0000C6720000}"/>
    <cellStyle name="Normal 4 7 3 3" xfId="31869" xr:uid="{00000000-0005-0000-0000-0000C7720000}"/>
    <cellStyle name="Normal 4 7 4" xfId="11573" xr:uid="{00000000-0005-0000-0000-0000C8720000}"/>
    <cellStyle name="Normal 4 7 4 2" xfId="25404" xr:uid="{00000000-0005-0000-0000-0000C9720000}"/>
    <cellStyle name="Normal 4 7 5" xfId="31867" xr:uid="{00000000-0005-0000-0000-0000CA720000}"/>
    <cellStyle name="Normal 4 7 6" xfId="32933" xr:uid="{00000000-0005-0000-0000-0000CB720000}"/>
    <cellStyle name="Normal 4 7 7" xfId="32991" xr:uid="{00000000-0005-0000-0000-0000CC720000}"/>
    <cellStyle name="Normal 4 8" xfId="7599" xr:uid="{00000000-0005-0000-0000-0000CD720000}"/>
    <cellStyle name="Normal 4 8 2" xfId="15807" xr:uid="{00000000-0005-0000-0000-0000CE720000}"/>
    <cellStyle name="Normal 4 8 2 2" xfId="29214" xr:uid="{00000000-0005-0000-0000-0000CF720000}"/>
    <cellStyle name="Normal 4 8 3" xfId="31870" xr:uid="{00000000-0005-0000-0000-0000D0720000}"/>
    <cellStyle name="Normal 4 8 4" xfId="32951" xr:uid="{00000000-0005-0000-0000-0000D1720000}"/>
    <cellStyle name="Normal 4 8 5" xfId="33009" xr:uid="{00000000-0005-0000-0000-0000D2720000}"/>
    <cellStyle name="Normal 4 9" xfId="8670" xr:uid="{00000000-0005-0000-0000-0000D3720000}"/>
    <cellStyle name="Normal 4 9 2" xfId="17295" xr:uid="{00000000-0005-0000-0000-0000D4720000}"/>
    <cellStyle name="Normal 4 9 2 2" xfId="30648" xr:uid="{00000000-0005-0000-0000-0000D5720000}"/>
    <cellStyle name="Normal 4 9 3" xfId="23200" xr:uid="{00000000-0005-0000-0000-0000D6720000}"/>
    <cellStyle name="Normal 5" xfId="7600" xr:uid="{00000000-0005-0000-0000-0000D7720000}"/>
    <cellStyle name="Normal 5 10" xfId="7601" xr:uid="{00000000-0005-0000-0000-0000D8720000}"/>
    <cellStyle name="Normal 5 10 2" xfId="15812" xr:uid="{00000000-0005-0000-0000-0000D9720000}"/>
    <cellStyle name="Normal 5 10 2 2" xfId="29219" xr:uid="{00000000-0005-0000-0000-0000DA720000}"/>
    <cellStyle name="Normal 5 10 3" xfId="31871" xr:uid="{00000000-0005-0000-0000-0000DB720000}"/>
    <cellStyle name="Normal 5 11" xfId="8671" xr:uid="{00000000-0005-0000-0000-0000DC720000}"/>
    <cellStyle name="Normal 5 11 2" xfId="17296" xr:uid="{00000000-0005-0000-0000-0000DD720000}"/>
    <cellStyle name="Normal 5 11 2 2" xfId="30649" xr:uid="{00000000-0005-0000-0000-0000DE720000}"/>
    <cellStyle name="Normal 5 11 3" xfId="23201" xr:uid="{00000000-0005-0000-0000-0000DF720000}"/>
    <cellStyle name="Normal 5 12" xfId="8780" xr:uid="{00000000-0005-0000-0000-0000E0720000}"/>
    <cellStyle name="Normal 5 12 2" xfId="23258" xr:uid="{00000000-0005-0000-0000-0000E1720000}"/>
    <cellStyle name="Normal 5 2" xfId="7602" xr:uid="{00000000-0005-0000-0000-0000E2720000}"/>
    <cellStyle name="Normal 5 2 10" xfId="32973" xr:uid="{00000000-0005-0000-0000-0000E3720000}"/>
    <cellStyle name="Normal 5 2 2" xfId="7603" xr:uid="{00000000-0005-0000-0000-0000E4720000}"/>
    <cellStyle name="Normal 5 2 2 2" xfId="11580" xr:uid="{00000000-0005-0000-0000-0000E5720000}"/>
    <cellStyle name="Normal 5 2 2 2 2" xfId="25411" xr:uid="{00000000-0005-0000-0000-0000E6720000}"/>
    <cellStyle name="Normal 5 2 2 3" xfId="31872" xr:uid="{00000000-0005-0000-0000-0000E7720000}"/>
    <cellStyle name="Normal 5 2 2 4" xfId="32958" xr:uid="{00000000-0005-0000-0000-0000E8720000}"/>
    <cellStyle name="Normal 5 2 2 5" xfId="33015" xr:uid="{00000000-0005-0000-0000-0000E9720000}"/>
    <cellStyle name="Normal 5 2 3" xfId="7604" xr:uid="{00000000-0005-0000-0000-0000EA720000}"/>
    <cellStyle name="Normal 5 2 3 2" xfId="13272" xr:uid="{00000000-0005-0000-0000-0000EB720000}"/>
    <cellStyle name="Normal 5 2 3 2 2" xfId="26902" xr:uid="{00000000-0005-0000-0000-0000EC720000}"/>
    <cellStyle name="Normal 5 2 3 3" xfId="31873" xr:uid="{00000000-0005-0000-0000-0000ED720000}"/>
    <cellStyle name="Normal 5 2 4" xfId="7605" xr:uid="{00000000-0005-0000-0000-0000EE720000}"/>
    <cellStyle name="Normal 5 2 4 2" xfId="15708" xr:uid="{00000000-0005-0000-0000-0000EF720000}"/>
    <cellStyle name="Normal 5 2 4 2 2" xfId="29194" xr:uid="{00000000-0005-0000-0000-0000F0720000}"/>
    <cellStyle name="Normal 5 2 4 3" xfId="31874" xr:uid="{00000000-0005-0000-0000-0000F1720000}"/>
    <cellStyle name="Normal 5 2 5" xfId="7606" xr:uid="{00000000-0005-0000-0000-0000F2720000}"/>
    <cellStyle name="Normal 5 2 5 2" xfId="15813" xr:uid="{00000000-0005-0000-0000-0000F3720000}"/>
    <cellStyle name="Normal 5 2 5 2 2" xfId="29220" xr:uid="{00000000-0005-0000-0000-0000F4720000}"/>
    <cellStyle name="Normal 5 2 5 3" xfId="31875" xr:uid="{00000000-0005-0000-0000-0000F5720000}"/>
    <cellStyle name="Normal 5 2 6" xfId="7607" xr:uid="{00000000-0005-0000-0000-0000F6720000}"/>
    <cellStyle name="Normal 5 2 6 2" xfId="17038" xr:uid="{00000000-0005-0000-0000-0000F7720000}"/>
    <cellStyle name="Normal 5 2 7" xfId="8675" xr:uid="{00000000-0005-0000-0000-0000F8720000}"/>
    <cellStyle name="Normal 5 2 7 2" xfId="17300" xr:uid="{00000000-0005-0000-0000-0000F9720000}"/>
    <cellStyle name="Normal 5 2 7 2 2" xfId="30653" xr:uid="{00000000-0005-0000-0000-0000FA720000}"/>
    <cellStyle name="Normal 5 2 7 3" xfId="23205" xr:uid="{00000000-0005-0000-0000-0000FB720000}"/>
    <cellStyle name="Normal 5 2 8" xfId="8784" xr:uid="{00000000-0005-0000-0000-0000FC720000}"/>
    <cellStyle name="Normal 5 2 8 2" xfId="23262" xr:uid="{00000000-0005-0000-0000-0000FD720000}"/>
    <cellStyle name="Normal 5 2 9" xfId="32913" xr:uid="{00000000-0005-0000-0000-0000FE720000}"/>
    <cellStyle name="Normal 5 3" xfId="7608" xr:uid="{00000000-0005-0000-0000-0000FF720000}"/>
    <cellStyle name="Normal 5 3 10" xfId="32977" xr:uid="{00000000-0005-0000-0000-000000730000}"/>
    <cellStyle name="Normal 5 3 2" xfId="7609" xr:uid="{00000000-0005-0000-0000-000001730000}"/>
    <cellStyle name="Normal 5 3 2 2" xfId="11581" xr:uid="{00000000-0005-0000-0000-000002730000}"/>
    <cellStyle name="Normal 5 3 2 2 2" xfId="25412" xr:uid="{00000000-0005-0000-0000-000003730000}"/>
    <cellStyle name="Normal 5 3 2 3" xfId="31877" xr:uid="{00000000-0005-0000-0000-000004730000}"/>
    <cellStyle name="Normal 5 3 2 4" xfId="32959" xr:uid="{00000000-0005-0000-0000-000005730000}"/>
    <cellStyle name="Normal 5 3 2 5" xfId="33016" xr:uid="{00000000-0005-0000-0000-000006730000}"/>
    <cellStyle name="Normal 5 3 3" xfId="7610" xr:uid="{00000000-0005-0000-0000-000007730000}"/>
    <cellStyle name="Normal 5 3 3 2" xfId="13273" xr:uid="{00000000-0005-0000-0000-000008730000}"/>
    <cellStyle name="Normal 5 3 3 2 2" xfId="26903" xr:uid="{00000000-0005-0000-0000-000009730000}"/>
    <cellStyle name="Normal 5 3 3 3" xfId="31878" xr:uid="{00000000-0005-0000-0000-00000A730000}"/>
    <cellStyle name="Normal 5 3 4" xfId="7611" xr:uid="{00000000-0005-0000-0000-00000B730000}"/>
    <cellStyle name="Normal 5 3 4 2" xfId="15709" xr:uid="{00000000-0005-0000-0000-00000C730000}"/>
    <cellStyle name="Normal 5 3 4 2 2" xfId="29195" xr:uid="{00000000-0005-0000-0000-00000D730000}"/>
    <cellStyle name="Normal 5 3 4 3" xfId="31879" xr:uid="{00000000-0005-0000-0000-00000E730000}"/>
    <cellStyle name="Normal 5 3 5" xfId="7612" xr:uid="{00000000-0005-0000-0000-00000F730000}"/>
    <cellStyle name="Normal 5 3 5 2" xfId="15814" xr:uid="{00000000-0005-0000-0000-000010730000}"/>
    <cellStyle name="Normal 5 3 5 2 2" xfId="29221" xr:uid="{00000000-0005-0000-0000-000011730000}"/>
    <cellStyle name="Normal 5 3 5 3" xfId="31880" xr:uid="{00000000-0005-0000-0000-000012730000}"/>
    <cellStyle name="Normal 5 3 6" xfId="8679" xr:uid="{00000000-0005-0000-0000-000013730000}"/>
    <cellStyle name="Normal 5 3 6 2" xfId="17304" xr:uid="{00000000-0005-0000-0000-000014730000}"/>
    <cellStyle name="Normal 5 3 6 2 2" xfId="30657" xr:uid="{00000000-0005-0000-0000-000015730000}"/>
    <cellStyle name="Normal 5 3 6 3" xfId="23209" xr:uid="{00000000-0005-0000-0000-000016730000}"/>
    <cellStyle name="Normal 5 3 7" xfId="8788" xr:uid="{00000000-0005-0000-0000-000017730000}"/>
    <cellStyle name="Normal 5 3 7 2" xfId="23266" xr:uid="{00000000-0005-0000-0000-000018730000}"/>
    <cellStyle name="Normal 5 3 8" xfId="31876" xr:uid="{00000000-0005-0000-0000-000019730000}"/>
    <cellStyle name="Normal 5 3 9" xfId="32917" xr:uid="{00000000-0005-0000-0000-00001A730000}"/>
    <cellStyle name="Normal 5 4" xfId="7613" xr:uid="{00000000-0005-0000-0000-00001B730000}"/>
    <cellStyle name="Normal 5 4 10" xfId="32985" xr:uid="{00000000-0005-0000-0000-00001C730000}"/>
    <cellStyle name="Normal 5 4 2" xfId="7614" xr:uid="{00000000-0005-0000-0000-00001D730000}"/>
    <cellStyle name="Normal 5 4 2 2" xfId="11582" xr:uid="{00000000-0005-0000-0000-00001E730000}"/>
    <cellStyle name="Normal 5 4 2 2 2" xfId="25413" xr:uid="{00000000-0005-0000-0000-00001F730000}"/>
    <cellStyle name="Normal 5 4 2 3" xfId="31882" xr:uid="{00000000-0005-0000-0000-000020730000}"/>
    <cellStyle name="Normal 5 4 2 4" xfId="32960" xr:uid="{00000000-0005-0000-0000-000021730000}"/>
    <cellStyle name="Normal 5 4 2 5" xfId="33017" xr:uid="{00000000-0005-0000-0000-000022730000}"/>
    <cellStyle name="Normal 5 4 3" xfId="7615" xr:uid="{00000000-0005-0000-0000-000023730000}"/>
    <cellStyle name="Normal 5 4 3 2" xfId="13274" xr:uid="{00000000-0005-0000-0000-000024730000}"/>
    <cellStyle name="Normal 5 4 3 2 2" xfId="26904" xr:uid="{00000000-0005-0000-0000-000025730000}"/>
    <cellStyle name="Normal 5 4 3 3" xfId="31883" xr:uid="{00000000-0005-0000-0000-000026730000}"/>
    <cellStyle name="Normal 5 4 4" xfId="7616" xr:uid="{00000000-0005-0000-0000-000027730000}"/>
    <cellStyle name="Normal 5 4 4 2" xfId="15710" xr:uid="{00000000-0005-0000-0000-000028730000}"/>
    <cellStyle name="Normal 5 4 4 2 2" xfId="29196" xr:uid="{00000000-0005-0000-0000-000029730000}"/>
    <cellStyle name="Normal 5 4 4 3" xfId="31884" xr:uid="{00000000-0005-0000-0000-00002A730000}"/>
    <cellStyle name="Normal 5 4 5" xfId="7617" xr:uid="{00000000-0005-0000-0000-00002B730000}"/>
    <cellStyle name="Normal 5 4 5 2" xfId="15815" xr:uid="{00000000-0005-0000-0000-00002C730000}"/>
    <cellStyle name="Normal 5 4 5 2 2" xfId="29222" xr:uid="{00000000-0005-0000-0000-00002D730000}"/>
    <cellStyle name="Normal 5 4 5 3" xfId="31885" xr:uid="{00000000-0005-0000-0000-00002E730000}"/>
    <cellStyle name="Normal 5 4 6" xfId="8694" xr:uid="{00000000-0005-0000-0000-00002F730000}"/>
    <cellStyle name="Normal 5 4 6 2" xfId="17312" xr:uid="{00000000-0005-0000-0000-000030730000}"/>
    <cellStyle name="Normal 5 4 6 2 2" xfId="30665" xr:uid="{00000000-0005-0000-0000-000031730000}"/>
    <cellStyle name="Normal 5 4 6 3" xfId="23217" xr:uid="{00000000-0005-0000-0000-000032730000}"/>
    <cellStyle name="Normal 5 4 7" xfId="8796" xr:uid="{00000000-0005-0000-0000-000033730000}"/>
    <cellStyle name="Normal 5 4 7 2" xfId="23274" xr:uid="{00000000-0005-0000-0000-000034730000}"/>
    <cellStyle name="Normal 5 4 8" xfId="31881" xr:uid="{00000000-0005-0000-0000-000035730000}"/>
    <cellStyle name="Normal 5 4 9" xfId="32925" xr:uid="{00000000-0005-0000-0000-000036730000}"/>
    <cellStyle name="Normal 5 5" xfId="7618" xr:uid="{00000000-0005-0000-0000-000037730000}"/>
    <cellStyle name="Normal 5 5 10" xfId="32980" xr:uid="{00000000-0005-0000-0000-000038730000}"/>
    <cellStyle name="Normal 5 5 2" xfId="7619" xr:uid="{00000000-0005-0000-0000-000039730000}"/>
    <cellStyle name="Normal 5 5 2 2" xfId="11583" xr:uid="{00000000-0005-0000-0000-00003A730000}"/>
    <cellStyle name="Normal 5 5 2 2 2" xfId="25414" xr:uid="{00000000-0005-0000-0000-00003B730000}"/>
    <cellStyle name="Normal 5 5 2 3" xfId="31887" xr:uid="{00000000-0005-0000-0000-00003C730000}"/>
    <cellStyle name="Normal 5 5 2 4" xfId="32961" xr:uid="{00000000-0005-0000-0000-00003D730000}"/>
    <cellStyle name="Normal 5 5 2 5" xfId="33018" xr:uid="{00000000-0005-0000-0000-00003E730000}"/>
    <cellStyle name="Normal 5 5 3" xfId="7620" xr:uid="{00000000-0005-0000-0000-00003F730000}"/>
    <cellStyle name="Normal 5 5 3 2" xfId="13275" xr:uid="{00000000-0005-0000-0000-000040730000}"/>
    <cellStyle name="Normal 5 5 3 2 2" xfId="26905" xr:uid="{00000000-0005-0000-0000-000041730000}"/>
    <cellStyle name="Normal 5 5 3 3" xfId="31888" xr:uid="{00000000-0005-0000-0000-000042730000}"/>
    <cellStyle name="Normal 5 5 4" xfId="7621" xr:uid="{00000000-0005-0000-0000-000043730000}"/>
    <cellStyle name="Normal 5 5 4 2" xfId="15711" xr:uid="{00000000-0005-0000-0000-000044730000}"/>
    <cellStyle name="Normal 5 5 4 2 2" xfId="29197" xr:uid="{00000000-0005-0000-0000-000045730000}"/>
    <cellStyle name="Normal 5 5 4 3" xfId="31889" xr:uid="{00000000-0005-0000-0000-000046730000}"/>
    <cellStyle name="Normal 5 5 5" xfId="7622" xr:uid="{00000000-0005-0000-0000-000047730000}"/>
    <cellStyle name="Normal 5 5 5 2" xfId="15816" xr:uid="{00000000-0005-0000-0000-000048730000}"/>
    <cellStyle name="Normal 5 5 5 2 2" xfId="29223" xr:uid="{00000000-0005-0000-0000-000049730000}"/>
    <cellStyle name="Normal 5 5 5 3" xfId="31890" xr:uid="{00000000-0005-0000-0000-00004A730000}"/>
    <cellStyle name="Normal 5 5 6" xfId="8684" xr:uid="{00000000-0005-0000-0000-00004B730000}"/>
    <cellStyle name="Normal 5 5 6 2" xfId="17307" xr:uid="{00000000-0005-0000-0000-00004C730000}"/>
    <cellStyle name="Normal 5 5 6 2 2" xfId="30660" xr:uid="{00000000-0005-0000-0000-00004D730000}"/>
    <cellStyle name="Normal 5 5 6 3" xfId="23212" xr:uid="{00000000-0005-0000-0000-00004E730000}"/>
    <cellStyle name="Normal 5 5 7" xfId="8791" xr:uid="{00000000-0005-0000-0000-00004F730000}"/>
    <cellStyle name="Normal 5 5 7 2" xfId="23269" xr:uid="{00000000-0005-0000-0000-000050730000}"/>
    <cellStyle name="Normal 5 5 8" xfId="31886" xr:uid="{00000000-0005-0000-0000-000051730000}"/>
    <cellStyle name="Normal 5 5 9" xfId="32920" xr:uid="{00000000-0005-0000-0000-000052730000}"/>
    <cellStyle name="Normal 5 6" xfId="7623" xr:uid="{00000000-0005-0000-0000-000053730000}"/>
    <cellStyle name="Normal 5 6 2" xfId="7624" xr:uid="{00000000-0005-0000-0000-000054730000}"/>
    <cellStyle name="Normal 5 6 2 2" xfId="11680" xr:uid="{00000000-0005-0000-0000-000055730000}"/>
    <cellStyle name="Normal 5 6 2 2 2" xfId="25417" xr:uid="{00000000-0005-0000-0000-000056730000}"/>
    <cellStyle name="Normal 5 6 2 3" xfId="31892" xr:uid="{00000000-0005-0000-0000-000057730000}"/>
    <cellStyle name="Normal 5 6 2 4" xfId="32962" xr:uid="{00000000-0005-0000-0000-000058730000}"/>
    <cellStyle name="Normal 5 6 3" xfId="7625" xr:uid="{00000000-0005-0000-0000-000059730000}"/>
    <cellStyle name="Normal 5 6 3 2" xfId="17336" xr:uid="{00000000-0005-0000-0000-00005A730000}"/>
    <cellStyle name="Normal 5 6 3 3" xfId="31893" xr:uid="{00000000-0005-0000-0000-00005B730000}"/>
    <cellStyle name="Normal 5 6 4" xfId="8732" xr:uid="{00000000-0005-0000-0000-00005C730000}"/>
    <cellStyle name="Normal 5 6 5" xfId="10215" xr:uid="{00000000-0005-0000-0000-00005D730000}"/>
    <cellStyle name="Normal 5 6 6" xfId="31891" xr:uid="{00000000-0005-0000-0000-00005E730000}"/>
    <cellStyle name="Normal 5 6 7" xfId="32909" xr:uid="{00000000-0005-0000-0000-00005F730000}"/>
    <cellStyle name="Normal 5 6 8" xfId="32969" xr:uid="{00000000-0005-0000-0000-000060730000}"/>
    <cellStyle name="Normal 5 7" xfId="7626" xr:uid="{00000000-0005-0000-0000-000061730000}"/>
    <cellStyle name="Normal 5 7 2" xfId="7627" xr:uid="{00000000-0005-0000-0000-000062730000}"/>
    <cellStyle name="Normal 5 7 2 2" xfId="13276" xr:uid="{00000000-0005-0000-0000-000063730000}"/>
    <cellStyle name="Normal 5 7 2 2 2" xfId="26906" xr:uid="{00000000-0005-0000-0000-000064730000}"/>
    <cellStyle name="Normal 5 7 2 3" xfId="31895" xr:uid="{00000000-0005-0000-0000-000065730000}"/>
    <cellStyle name="Normal 5 7 3" xfId="7628" xr:uid="{00000000-0005-0000-0000-000066730000}"/>
    <cellStyle name="Normal 5 7 3 2" xfId="15712" xr:uid="{00000000-0005-0000-0000-000067730000}"/>
    <cellStyle name="Normal 5 7 3 2 2" xfId="29198" xr:uid="{00000000-0005-0000-0000-000068730000}"/>
    <cellStyle name="Normal 5 7 3 3" xfId="31896" xr:uid="{00000000-0005-0000-0000-000069730000}"/>
    <cellStyle name="Normal 5 7 4" xfId="11579" xr:uid="{00000000-0005-0000-0000-00006A730000}"/>
    <cellStyle name="Normal 5 7 4 2" xfId="25410" xr:uid="{00000000-0005-0000-0000-00006B730000}"/>
    <cellStyle name="Normal 5 7 5" xfId="31894" xr:uid="{00000000-0005-0000-0000-00006C730000}"/>
    <cellStyle name="Normal 5 7 6" xfId="32957" xr:uid="{00000000-0005-0000-0000-00006D730000}"/>
    <cellStyle name="Normal 5 7 7" xfId="33014" xr:uid="{00000000-0005-0000-0000-00006E730000}"/>
    <cellStyle name="Normal 5 8" xfId="7629" xr:uid="{00000000-0005-0000-0000-00006F730000}"/>
    <cellStyle name="Normal 5 8 2" xfId="13271" xr:uid="{00000000-0005-0000-0000-000070730000}"/>
    <cellStyle name="Normal 5 8 2 2" xfId="26901" xr:uid="{00000000-0005-0000-0000-000071730000}"/>
    <cellStyle name="Normal 5 8 3" xfId="31897" xr:uid="{00000000-0005-0000-0000-000072730000}"/>
    <cellStyle name="Normal 5 9" xfId="7630" xr:uid="{00000000-0005-0000-0000-000073730000}"/>
    <cellStyle name="Normal 5 9 2" xfId="15707" xr:uid="{00000000-0005-0000-0000-000074730000}"/>
    <cellStyle name="Normal 5 9 2 2" xfId="29193" xr:uid="{00000000-0005-0000-0000-000075730000}"/>
    <cellStyle name="Normal 5 9 3" xfId="31898" xr:uid="{00000000-0005-0000-0000-000076730000}"/>
    <cellStyle name="Normal 55" xfId="7631" xr:uid="{00000000-0005-0000-0000-000077730000}"/>
    <cellStyle name="Normal 55 2" xfId="7632" xr:uid="{00000000-0005-0000-0000-000078730000}"/>
    <cellStyle name="Normal 55 2 2" xfId="7633" xr:uid="{00000000-0005-0000-0000-000079730000}"/>
    <cellStyle name="Normal 55 2 2 2" xfId="17039" xr:uid="{00000000-0005-0000-0000-00007A730000}"/>
    <cellStyle name="Normal 55 2 2 2 2" xfId="30438" xr:uid="{00000000-0005-0000-0000-00007B730000}"/>
    <cellStyle name="Normal 55 2 2 3" xfId="31901" xr:uid="{00000000-0005-0000-0000-00007C730000}"/>
    <cellStyle name="Normal 55 2 3" xfId="11584" xr:uid="{00000000-0005-0000-0000-00007D730000}"/>
    <cellStyle name="Normal 55 2 3 2" xfId="25415" xr:uid="{00000000-0005-0000-0000-00007E730000}"/>
    <cellStyle name="Normal 55 2 4" xfId="31900" xr:uid="{00000000-0005-0000-0000-00007F730000}"/>
    <cellStyle name="Normal 55 3" xfId="7634" xr:uid="{00000000-0005-0000-0000-000080730000}"/>
    <cellStyle name="Normal 55 3 2" xfId="7635" xr:uid="{00000000-0005-0000-0000-000081730000}"/>
    <cellStyle name="Normal 55 3 2 2" xfId="16994" xr:uid="{00000000-0005-0000-0000-000082730000}"/>
    <cellStyle name="Normal 55 3 2 2 2" xfId="30401" xr:uid="{00000000-0005-0000-0000-000083730000}"/>
    <cellStyle name="Normal 55 3 2 3" xfId="31903" xr:uid="{00000000-0005-0000-0000-000084730000}"/>
    <cellStyle name="Normal 55 3 3" xfId="12383" xr:uid="{00000000-0005-0000-0000-000085730000}"/>
    <cellStyle name="Normal 55 3 3 2" xfId="26095" xr:uid="{00000000-0005-0000-0000-000086730000}"/>
    <cellStyle name="Normal 55 3 4" xfId="31902" xr:uid="{00000000-0005-0000-0000-000087730000}"/>
    <cellStyle name="Normal 55 4" xfId="7636" xr:uid="{00000000-0005-0000-0000-000088730000}"/>
    <cellStyle name="Normal 55 4 2" xfId="13946" xr:uid="{00000000-0005-0000-0000-000089730000}"/>
    <cellStyle name="Normal 55 4 2 2" xfId="27495" xr:uid="{00000000-0005-0000-0000-00008A730000}"/>
    <cellStyle name="Normal 55 4 3" xfId="31904" xr:uid="{00000000-0005-0000-0000-00008B730000}"/>
    <cellStyle name="Normal 55 5" xfId="7637" xr:uid="{00000000-0005-0000-0000-00008C730000}"/>
    <cellStyle name="Normal 55 5 2" xfId="14527" xr:uid="{00000000-0005-0000-0000-00008D730000}"/>
    <cellStyle name="Normal 55 5 2 2" xfId="28076" xr:uid="{00000000-0005-0000-0000-00008E730000}"/>
    <cellStyle name="Normal 55 5 3" xfId="31905" xr:uid="{00000000-0005-0000-0000-00008F730000}"/>
    <cellStyle name="Normal 55 6" xfId="7638" xr:uid="{00000000-0005-0000-0000-000090730000}"/>
    <cellStyle name="Normal 55 6 2" xfId="16413" xr:uid="{00000000-0005-0000-0000-000091730000}"/>
    <cellStyle name="Normal 55 6 2 2" xfId="29820" xr:uid="{00000000-0005-0000-0000-000092730000}"/>
    <cellStyle name="Normal 55 6 3" xfId="31906" xr:uid="{00000000-0005-0000-0000-000093730000}"/>
    <cellStyle name="Normal 55 7" xfId="10216" xr:uid="{00000000-0005-0000-0000-000094730000}"/>
    <cellStyle name="Normal 55 7 2" xfId="24408" xr:uid="{00000000-0005-0000-0000-000095730000}"/>
    <cellStyle name="Normal 55 8" xfId="31899" xr:uid="{00000000-0005-0000-0000-000096730000}"/>
    <cellStyle name="Normal 59" xfId="33039" xr:uid="{ED6484DE-EF5C-4C59-8488-7E0D75BA5CAE}"/>
    <cellStyle name="Normal 6" xfId="7639" xr:uid="{00000000-0005-0000-0000-000097730000}"/>
    <cellStyle name="Normal 6 2" xfId="7640" xr:uid="{00000000-0005-0000-0000-000098730000}"/>
    <cellStyle name="Normal 6 2 2" xfId="7641" xr:uid="{00000000-0005-0000-0000-000099730000}"/>
    <cellStyle name="Normal 6 2 2 2" xfId="10218" xr:uid="{00000000-0005-0000-0000-00009A730000}"/>
    <cellStyle name="Normal 6 2 2 3" xfId="31907" xr:uid="{00000000-0005-0000-0000-00009B730000}"/>
    <cellStyle name="Normal 6 2 3" xfId="7642" xr:uid="{00000000-0005-0000-0000-00009C730000}"/>
    <cellStyle name="Normal 6 2 3 2" xfId="17337" xr:uid="{00000000-0005-0000-0000-00009D730000}"/>
    <cellStyle name="Normal 6 2 3 3" xfId="31908" xr:uid="{00000000-0005-0000-0000-00009E730000}"/>
    <cellStyle name="Normal 6 2 4" xfId="8733" xr:uid="{00000000-0005-0000-0000-00009F730000}"/>
    <cellStyle name="Normal 6 2 5" xfId="10217" xr:uid="{00000000-0005-0000-0000-0000A0730000}"/>
    <cellStyle name="Normal 6 3" xfId="7643" xr:uid="{00000000-0005-0000-0000-0000A1730000}"/>
    <cellStyle name="Normal 6 3 2" xfId="7644" xr:uid="{00000000-0005-0000-0000-0000A2730000}"/>
    <cellStyle name="Normal 6 3 2 2" xfId="17360" xr:uid="{00000000-0005-0000-0000-0000A3730000}"/>
    <cellStyle name="Normal 6 3 2 3" xfId="31909" xr:uid="{00000000-0005-0000-0000-0000A4730000}"/>
    <cellStyle name="Normal 6 3 3" xfId="8734" xr:uid="{00000000-0005-0000-0000-0000A5730000}"/>
    <cellStyle name="Normal 6 3 4" xfId="11585" xr:uid="{00000000-0005-0000-0000-0000A6730000}"/>
    <cellStyle name="Normal 6 4" xfId="8696" xr:uid="{00000000-0005-0000-0000-0000A7730000}"/>
    <cellStyle name="Normal 60" xfId="33033" xr:uid="{B051A652-8358-486F-ACCD-56039367D82C}"/>
    <cellStyle name="Normal 7" xfId="7645" xr:uid="{00000000-0005-0000-0000-0000A8730000}"/>
    <cellStyle name="Normal 7 2" xfId="7646" xr:uid="{00000000-0005-0000-0000-0000A9730000}"/>
    <cellStyle name="Normal 7 2 2" xfId="7647" xr:uid="{00000000-0005-0000-0000-0000AA730000}"/>
    <cellStyle name="Normal 7 2 2 2" xfId="11721" xr:uid="{00000000-0005-0000-0000-0000AB730000}"/>
    <cellStyle name="Normal 7 2 2 3" xfId="31912" xr:uid="{00000000-0005-0000-0000-0000AC730000}"/>
    <cellStyle name="Normal 7 2 3" xfId="7648" xr:uid="{00000000-0005-0000-0000-0000AD730000}"/>
    <cellStyle name="Normal 7 2 3 2" xfId="17338" xr:uid="{00000000-0005-0000-0000-0000AE730000}"/>
    <cellStyle name="Normal 7 2 3 3" xfId="31913" xr:uid="{00000000-0005-0000-0000-0000AF730000}"/>
    <cellStyle name="Normal 7 2 4" xfId="8735" xr:uid="{00000000-0005-0000-0000-0000B0730000}"/>
    <cellStyle name="Normal 7 2 5" xfId="10219" xr:uid="{00000000-0005-0000-0000-0000B1730000}"/>
    <cellStyle name="Normal 7 2 6" xfId="31911" xr:uid="{00000000-0005-0000-0000-0000B2730000}"/>
    <cellStyle name="Normal 7 3" xfId="7649" xr:uid="{00000000-0005-0000-0000-0000B3730000}"/>
    <cellStyle name="Normal 7 3 2" xfId="11586" xr:uid="{00000000-0005-0000-0000-0000B4730000}"/>
    <cellStyle name="Normal 7 3 3" xfId="31914" xr:uid="{00000000-0005-0000-0000-0000B5730000}"/>
    <cellStyle name="Normal 7 4" xfId="8687" xr:uid="{00000000-0005-0000-0000-0000B6730000}"/>
    <cellStyle name="Normal 7 5" xfId="31910" xr:uid="{00000000-0005-0000-0000-0000B7730000}"/>
    <cellStyle name="Normal 8" xfId="7650" xr:uid="{00000000-0005-0000-0000-0000B8730000}"/>
    <cellStyle name="Normal 8 2" xfId="7651" xr:uid="{00000000-0005-0000-0000-0000B9730000}"/>
    <cellStyle name="Normal 8 2 2" xfId="7652" xr:uid="{00000000-0005-0000-0000-0000BA730000}"/>
    <cellStyle name="Normal 8 2 2 2" xfId="17339" xr:uid="{00000000-0005-0000-0000-0000BB730000}"/>
    <cellStyle name="Normal 8 2 3" xfId="8736" xr:uid="{00000000-0005-0000-0000-0000BC730000}"/>
    <cellStyle name="Normal 8 2 4" xfId="10220" xr:uid="{00000000-0005-0000-0000-0000BD730000}"/>
    <cellStyle name="Normal 8 3" xfId="7653" xr:uid="{00000000-0005-0000-0000-0000BE730000}"/>
    <cellStyle name="Normal 8 3 2" xfId="7654" xr:uid="{00000000-0005-0000-0000-0000BF730000}"/>
    <cellStyle name="Normal 8 3 2 2" xfId="11726" xr:uid="{00000000-0005-0000-0000-0000C0730000}"/>
    <cellStyle name="Normal 8 3 2 3" xfId="31916" xr:uid="{00000000-0005-0000-0000-0000C1730000}"/>
    <cellStyle name="Normal 8 3 3" xfId="10221" xr:uid="{00000000-0005-0000-0000-0000C2730000}"/>
    <cellStyle name="Normal 8 3 4" xfId="31915" xr:uid="{00000000-0005-0000-0000-0000C3730000}"/>
    <cellStyle name="Normal 8 4" xfId="7655" xr:uid="{00000000-0005-0000-0000-0000C4730000}"/>
    <cellStyle name="Normal 8 4 2" xfId="11587" xr:uid="{00000000-0005-0000-0000-0000C5730000}"/>
    <cellStyle name="Normal 8 4 3" xfId="31917" xr:uid="{00000000-0005-0000-0000-0000C6730000}"/>
    <cellStyle name="Normal 8 5" xfId="8697" xr:uid="{00000000-0005-0000-0000-0000C7730000}"/>
    <cellStyle name="Normal 9" xfId="7656" xr:uid="{00000000-0005-0000-0000-0000C8730000}"/>
    <cellStyle name="Normal 9 2" xfId="7657" xr:uid="{00000000-0005-0000-0000-0000C9730000}"/>
    <cellStyle name="Normal 9 2 2" xfId="7658" xr:uid="{00000000-0005-0000-0000-0000CA730000}"/>
    <cellStyle name="Normal 9 2 2 2" xfId="7659" xr:uid="{00000000-0005-0000-0000-0000CB730000}"/>
    <cellStyle name="Normal 9 2 2 2 2" xfId="17040" xr:uid="{00000000-0005-0000-0000-0000CC730000}"/>
    <cellStyle name="Normal 9 2 2 2 2 2" xfId="30439" xr:uid="{00000000-0005-0000-0000-0000CD730000}"/>
    <cellStyle name="Normal 9 2 2 2 3" xfId="31920" xr:uid="{00000000-0005-0000-0000-0000CE730000}"/>
    <cellStyle name="Normal 9 2 2 3" xfId="11588" xr:uid="{00000000-0005-0000-0000-0000CF730000}"/>
    <cellStyle name="Normal 9 2 2 3 2" xfId="25416" xr:uid="{00000000-0005-0000-0000-0000D0730000}"/>
    <cellStyle name="Normal 9 2 2 4" xfId="31919" xr:uid="{00000000-0005-0000-0000-0000D1730000}"/>
    <cellStyle name="Normal 9 2 3" xfId="7660" xr:uid="{00000000-0005-0000-0000-0000D2730000}"/>
    <cellStyle name="Normal 9 2 3 2" xfId="7661" xr:uid="{00000000-0005-0000-0000-0000D3730000}"/>
    <cellStyle name="Normal 9 2 3 2 2" xfId="16992" xr:uid="{00000000-0005-0000-0000-0000D4730000}"/>
    <cellStyle name="Normal 9 2 3 2 2 2" xfId="30399" xr:uid="{00000000-0005-0000-0000-0000D5730000}"/>
    <cellStyle name="Normal 9 2 3 2 3" xfId="31922" xr:uid="{00000000-0005-0000-0000-0000D6730000}"/>
    <cellStyle name="Normal 9 2 3 3" xfId="12381" xr:uid="{00000000-0005-0000-0000-0000D7730000}"/>
    <cellStyle name="Normal 9 2 3 3 2" xfId="26093" xr:uid="{00000000-0005-0000-0000-0000D8730000}"/>
    <cellStyle name="Normal 9 2 3 4" xfId="31921" xr:uid="{00000000-0005-0000-0000-0000D9730000}"/>
    <cellStyle name="Normal 9 2 4" xfId="7662" xr:uid="{00000000-0005-0000-0000-0000DA730000}"/>
    <cellStyle name="Normal 9 2 4 2" xfId="13944" xr:uid="{00000000-0005-0000-0000-0000DB730000}"/>
    <cellStyle name="Normal 9 2 4 2 2" xfId="27493" xr:uid="{00000000-0005-0000-0000-0000DC730000}"/>
    <cellStyle name="Normal 9 2 4 3" xfId="31923" xr:uid="{00000000-0005-0000-0000-0000DD730000}"/>
    <cellStyle name="Normal 9 2 5" xfId="7663" xr:uid="{00000000-0005-0000-0000-0000DE730000}"/>
    <cellStyle name="Normal 9 2 5 2" xfId="14525" xr:uid="{00000000-0005-0000-0000-0000DF730000}"/>
    <cellStyle name="Normal 9 2 5 2 2" xfId="28074" xr:uid="{00000000-0005-0000-0000-0000E0730000}"/>
    <cellStyle name="Normal 9 2 5 3" xfId="31924" xr:uid="{00000000-0005-0000-0000-0000E1730000}"/>
    <cellStyle name="Normal 9 2 6" xfId="7664" xr:uid="{00000000-0005-0000-0000-0000E2730000}"/>
    <cellStyle name="Normal 9 2 6 2" xfId="16411" xr:uid="{00000000-0005-0000-0000-0000E3730000}"/>
    <cellStyle name="Normal 9 2 6 2 2" xfId="29818" xr:uid="{00000000-0005-0000-0000-0000E4730000}"/>
    <cellStyle name="Normal 9 2 6 3" xfId="31925" xr:uid="{00000000-0005-0000-0000-0000E5730000}"/>
    <cellStyle name="Normal 9 2 7" xfId="10223" xr:uid="{00000000-0005-0000-0000-0000E6730000}"/>
    <cellStyle name="Normal 9 2 7 2" xfId="24409" xr:uid="{00000000-0005-0000-0000-0000E7730000}"/>
    <cellStyle name="Normal 9 2 8" xfId="31918" xr:uid="{00000000-0005-0000-0000-0000E8730000}"/>
    <cellStyle name="Normal 9 3" xfId="7665" xr:uid="{00000000-0005-0000-0000-0000E9730000}"/>
    <cellStyle name="Normal 9 3 2" xfId="10222" xr:uid="{00000000-0005-0000-0000-0000EA730000}"/>
    <cellStyle name="Normal 9 3 3" xfId="31926" xr:uid="{00000000-0005-0000-0000-0000EB730000}"/>
    <cellStyle name="Normal 9 4" xfId="8655" xr:uid="{00000000-0005-0000-0000-0000EC730000}"/>
    <cellStyle name="Note" xfId="33024" builtinId="10" customBuiltin="1"/>
    <cellStyle name="Note 2" xfId="7666" xr:uid="{00000000-0005-0000-0000-0000EE730000}"/>
    <cellStyle name="Note 2 10" xfId="7667" xr:uid="{00000000-0005-0000-0000-0000EF730000}"/>
    <cellStyle name="Note 2 10 2" xfId="7668" xr:uid="{00000000-0005-0000-0000-0000F0730000}"/>
    <cellStyle name="Note 2 10 2 2" xfId="13278" xr:uid="{00000000-0005-0000-0000-0000F1730000}"/>
    <cellStyle name="Note 2 10 2 3" xfId="31929" xr:uid="{00000000-0005-0000-0000-0000F2730000}"/>
    <cellStyle name="Note 2 10 3" xfId="7669" xr:uid="{00000000-0005-0000-0000-0000F3730000}"/>
    <cellStyle name="Note 2 10 3 2" xfId="13277" xr:uid="{00000000-0005-0000-0000-0000F4730000}"/>
    <cellStyle name="Note 2 10 3 2 2" xfId="26907" xr:uid="{00000000-0005-0000-0000-0000F5730000}"/>
    <cellStyle name="Note 2 10 3 3" xfId="31930" xr:uid="{00000000-0005-0000-0000-0000F6730000}"/>
    <cellStyle name="Note 2 10 4" xfId="7670" xr:uid="{00000000-0005-0000-0000-0000F7730000}"/>
    <cellStyle name="Note 2 10 4 2" xfId="17100" xr:uid="{00000000-0005-0000-0000-0000F8730000}"/>
    <cellStyle name="Note 2 10 4 2 2" xfId="30459" xr:uid="{00000000-0005-0000-0000-0000F9730000}"/>
    <cellStyle name="Note 2 10 4 3" xfId="31931" xr:uid="{00000000-0005-0000-0000-0000FA730000}"/>
    <cellStyle name="Note 2 10 5" xfId="10225" xr:uid="{00000000-0005-0000-0000-0000FB730000}"/>
    <cellStyle name="Note 2 10 6" xfId="31928" xr:uid="{00000000-0005-0000-0000-0000FC730000}"/>
    <cellStyle name="Note 2 11" xfId="7671" xr:uid="{00000000-0005-0000-0000-0000FD730000}"/>
    <cellStyle name="Note 2 11 2" xfId="7672" xr:uid="{00000000-0005-0000-0000-0000FE730000}"/>
    <cellStyle name="Note 2 11 2 2" xfId="17189" xr:uid="{00000000-0005-0000-0000-0000FF730000}"/>
    <cellStyle name="Note 2 11 2 2 2" xfId="30548" xr:uid="{00000000-0005-0000-0000-000000740000}"/>
    <cellStyle name="Note 2 11 2 3" xfId="31933" xr:uid="{00000000-0005-0000-0000-000001740000}"/>
    <cellStyle name="Note 2 11 3" xfId="10226" xr:uid="{00000000-0005-0000-0000-000002740000}"/>
    <cellStyle name="Note 2 11 4" xfId="31932" xr:uid="{00000000-0005-0000-0000-000003740000}"/>
    <cellStyle name="Note 2 12" xfId="7673" xr:uid="{00000000-0005-0000-0000-000004740000}"/>
    <cellStyle name="Note 2 12 2" xfId="7674" xr:uid="{00000000-0005-0000-0000-000005740000}"/>
    <cellStyle name="Note 2 12 2 2" xfId="7675" xr:uid="{00000000-0005-0000-0000-000006740000}"/>
    <cellStyle name="Note 2 12 2 2 2" xfId="11591" xr:uid="{00000000-0005-0000-0000-000007740000}"/>
    <cellStyle name="Note 2 12 2 2 3" xfId="31936" xr:uid="{00000000-0005-0000-0000-000008740000}"/>
    <cellStyle name="Note 2 12 2 3" xfId="10228" xr:uid="{00000000-0005-0000-0000-000009740000}"/>
    <cellStyle name="Note 2 12 2 4" xfId="31935" xr:uid="{00000000-0005-0000-0000-00000A740000}"/>
    <cellStyle name="Note 2 12 3" xfId="7676" xr:uid="{00000000-0005-0000-0000-00000B740000}"/>
    <cellStyle name="Note 2 12 3 2" xfId="11590" xr:uid="{00000000-0005-0000-0000-00000C740000}"/>
    <cellStyle name="Note 2 12 3 3" xfId="31937" xr:uid="{00000000-0005-0000-0000-00000D740000}"/>
    <cellStyle name="Note 2 12 4" xfId="7677" xr:uid="{00000000-0005-0000-0000-00000E740000}"/>
    <cellStyle name="Note 2 12 4 2" xfId="17278" xr:uid="{00000000-0005-0000-0000-00000F740000}"/>
    <cellStyle name="Note 2 12 4 2 2" xfId="30637" xr:uid="{00000000-0005-0000-0000-000010740000}"/>
    <cellStyle name="Note 2 12 4 3" xfId="31938" xr:uid="{00000000-0005-0000-0000-000011740000}"/>
    <cellStyle name="Note 2 12 5" xfId="10227" xr:uid="{00000000-0005-0000-0000-000012740000}"/>
    <cellStyle name="Note 2 12 6" xfId="31934" xr:uid="{00000000-0005-0000-0000-000013740000}"/>
    <cellStyle name="Note 2 13" xfId="7678" xr:uid="{00000000-0005-0000-0000-000014740000}"/>
    <cellStyle name="Note 2 13 2" xfId="7679" xr:uid="{00000000-0005-0000-0000-000015740000}"/>
    <cellStyle name="Note 2 13 2 2" xfId="16430" xr:uid="{00000000-0005-0000-0000-000016740000}"/>
    <cellStyle name="Note 2 13 2 2 2" xfId="29837" xr:uid="{00000000-0005-0000-0000-000017740000}"/>
    <cellStyle name="Note 2 13 2 3" xfId="31940" xr:uid="{00000000-0005-0000-0000-000018740000}"/>
    <cellStyle name="Note 2 13 3" xfId="10229" xr:uid="{00000000-0005-0000-0000-000019740000}"/>
    <cellStyle name="Note 2 13 4" xfId="31939" xr:uid="{00000000-0005-0000-0000-00001A740000}"/>
    <cellStyle name="Note 2 14" xfId="7680" xr:uid="{00000000-0005-0000-0000-00001B740000}"/>
    <cellStyle name="Note 2 14 2" xfId="7681" xr:uid="{00000000-0005-0000-0000-00001C740000}"/>
    <cellStyle name="Note 2 14 2 2" xfId="11592" xr:uid="{00000000-0005-0000-0000-00001D740000}"/>
    <cellStyle name="Note 2 14 2 3" xfId="31942" xr:uid="{00000000-0005-0000-0000-00001E740000}"/>
    <cellStyle name="Note 2 14 3" xfId="10230" xr:uid="{00000000-0005-0000-0000-00001F740000}"/>
    <cellStyle name="Note 2 14 4" xfId="31941" xr:uid="{00000000-0005-0000-0000-000020740000}"/>
    <cellStyle name="Note 2 15" xfId="7682" xr:uid="{00000000-0005-0000-0000-000021740000}"/>
    <cellStyle name="Note 2 15 2" xfId="7683" xr:uid="{00000000-0005-0000-0000-000022740000}"/>
    <cellStyle name="Note 2 15 2 2" xfId="11593" xr:uid="{00000000-0005-0000-0000-000023740000}"/>
    <cellStyle name="Note 2 15 2 3" xfId="31944" xr:uid="{00000000-0005-0000-0000-000024740000}"/>
    <cellStyle name="Note 2 15 3" xfId="10231" xr:uid="{00000000-0005-0000-0000-000025740000}"/>
    <cellStyle name="Note 2 15 4" xfId="31943" xr:uid="{00000000-0005-0000-0000-000026740000}"/>
    <cellStyle name="Note 2 16" xfId="7684" xr:uid="{00000000-0005-0000-0000-000027740000}"/>
    <cellStyle name="Note 2 16 2" xfId="7685" xr:uid="{00000000-0005-0000-0000-000028740000}"/>
    <cellStyle name="Note 2 16 2 2" xfId="11594" xr:uid="{00000000-0005-0000-0000-000029740000}"/>
    <cellStyle name="Note 2 16 2 3" xfId="31946" xr:uid="{00000000-0005-0000-0000-00002A740000}"/>
    <cellStyle name="Note 2 16 3" xfId="10232" xr:uid="{00000000-0005-0000-0000-00002B740000}"/>
    <cellStyle name="Note 2 16 4" xfId="31945" xr:uid="{00000000-0005-0000-0000-00002C740000}"/>
    <cellStyle name="Note 2 17" xfId="7686" xr:uid="{00000000-0005-0000-0000-00002D740000}"/>
    <cellStyle name="Note 2 17 2" xfId="7687" xr:uid="{00000000-0005-0000-0000-00002E740000}"/>
    <cellStyle name="Note 2 17 2 2" xfId="11595" xr:uid="{00000000-0005-0000-0000-00002F740000}"/>
    <cellStyle name="Note 2 17 2 3" xfId="31948" xr:uid="{00000000-0005-0000-0000-000030740000}"/>
    <cellStyle name="Note 2 17 3" xfId="10233" xr:uid="{00000000-0005-0000-0000-000031740000}"/>
    <cellStyle name="Note 2 17 4" xfId="31947" xr:uid="{00000000-0005-0000-0000-000032740000}"/>
    <cellStyle name="Note 2 18" xfId="7688" xr:uid="{00000000-0005-0000-0000-000033740000}"/>
    <cellStyle name="Note 2 18 2" xfId="7689" xr:uid="{00000000-0005-0000-0000-000034740000}"/>
    <cellStyle name="Note 2 18 2 2" xfId="11596" xr:uid="{00000000-0005-0000-0000-000035740000}"/>
    <cellStyle name="Note 2 18 2 3" xfId="31950" xr:uid="{00000000-0005-0000-0000-000036740000}"/>
    <cellStyle name="Note 2 18 3" xfId="10234" xr:uid="{00000000-0005-0000-0000-000037740000}"/>
    <cellStyle name="Note 2 18 4" xfId="31949" xr:uid="{00000000-0005-0000-0000-000038740000}"/>
    <cellStyle name="Note 2 19" xfId="7690" xr:uid="{00000000-0005-0000-0000-000039740000}"/>
    <cellStyle name="Note 2 19 2" xfId="7691" xr:uid="{00000000-0005-0000-0000-00003A740000}"/>
    <cellStyle name="Note 2 19 2 2" xfId="11597" xr:uid="{00000000-0005-0000-0000-00003B740000}"/>
    <cellStyle name="Note 2 19 2 3" xfId="31952" xr:uid="{00000000-0005-0000-0000-00003C740000}"/>
    <cellStyle name="Note 2 19 3" xfId="10235" xr:uid="{00000000-0005-0000-0000-00003D740000}"/>
    <cellStyle name="Note 2 19 4" xfId="31951" xr:uid="{00000000-0005-0000-0000-00003E740000}"/>
    <cellStyle name="Note 2 2" xfId="7692" xr:uid="{00000000-0005-0000-0000-00003F740000}"/>
    <cellStyle name="Note 2 2 10" xfId="7693" xr:uid="{00000000-0005-0000-0000-000040740000}"/>
    <cellStyle name="Note 2 2 10 2" xfId="11598" xr:uid="{00000000-0005-0000-0000-000041740000}"/>
    <cellStyle name="Note 2 2 10 3" xfId="31954" xr:uid="{00000000-0005-0000-0000-000042740000}"/>
    <cellStyle name="Note 2 2 11" xfId="7694" xr:uid="{00000000-0005-0000-0000-000043740000}"/>
    <cellStyle name="Note 2 2 11 2" xfId="7695" xr:uid="{00000000-0005-0000-0000-000044740000}"/>
    <cellStyle name="Note 2 2 11 2 2" xfId="15713" xr:uid="{00000000-0005-0000-0000-000045740000}"/>
    <cellStyle name="Note 2 2 11 2 3" xfId="31956" xr:uid="{00000000-0005-0000-0000-000046740000}"/>
    <cellStyle name="Note 2 2 11 3" xfId="11850" xr:uid="{00000000-0005-0000-0000-000047740000}"/>
    <cellStyle name="Note 2 2 11 3 2" xfId="25565" xr:uid="{00000000-0005-0000-0000-000048740000}"/>
    <cellStyle name="Note 2 2 11 4" xfId="31955" xr:uid="{00000000-0005-0000-0000-000049740000}"/>
    <cellStyle name="Note 2 2 12" xfId="7696" xr:uid="{00000000-0005-0000-0000-00004A740000}"/>
    <cellStyle name="Note 2 2 12 2" xfId="13439" xr:uid="{00000000-0005-0000-0000-00004B740000}"/>
    <cellStyle name="Note 2 2 12 2 2" xfId="26988" xr:uid="{00000000-0005-0000-0000-00004C740000}"/>
    <cellStyle name="Note 2 2 12 3" xfId="31957" xr:uid="{00000000-0005-0000-0000-00004D740000}"/>
    <cellStyle name="Note 2 2 13" xfId="7697" xr:uid="{00000000-0005-0000-0000-00004E740000}"/>
    <cellStyle name="Note 2 2 13 2" xfId="14020" xr:uid="{00000000-0005-0000-0000-00004F740000}"/>
    <cellStyle name="Note 2 2 13 2 2" xfId="27569" xr:uid="{00000000-0005-0000-0000-000050740000}"/>
    <cellStyle name="Note 2 2 13 3" xfId="31958" xr:uid="{00000000-0005-0000-0000-000051740000}"/>
    <cellStyle name="Note 2 2 14" xfId="7698" xr:uid="{00000000-0005-0000-0000-000052740000}"/>
    <cellStyle name="Note 2 2 14 2" xfId="15906" xr:uid="{00000000-0005-0000-0000-000053740000}"/>
    <cellStyle name="Note 2 2 14 2 2" xfId="29313" xr:uid="{00000000-0005-0000-0000-000054740000}"/>
    <cellStyle name="Note 2 2 14 3" xfId="31959" xr:uid="{00000000-0005-0000-0000-000055740000}"/>
    <cellStyle name="Note 2 2 15" xfId="10236" xr:uid="{00000000-0005-0000-0000-000056740000}"/>
    <cellStyle name="Note 2 2 16" xfId="31953" xr:uid="{00000000-0005-0000-0000-000057740000}"/>
    <cellStyle name="Note 2 2 2" xfId="7699" xr:uid="{00000000-0005-0000-0000-000058740000}"/>
    <cellStyle name="Note 2 2 2 10" xfId="31960" xr:uid="{00000000-0005-0000-0000-000059740000}"/>
    <cellStyle name="Note 2 2 2 2" xfId="7700" xr:uid="{00000000-0005-0000-0000-00005A740000}"/>
    <cellStyle name="Note 2 2 2 2 2" xfId="7701" xr:uid="{00000000-0005-0000-0000-00005B740000}"/>
    <cellStyle name="Note 2 2 2 2 2 2" xfId="7702" xr:uid="{00000000-0005-0000-0000-00005C740000}"/>
    <cellStyle name="Note 2 2 2 2 2 2 2" xfId="7703" xr:uid="{00000000-0005-0000-0000-00005D740000}"/>
    <cellStyle name="Note 2 2 2 2 2 2 2 2" xfId="11599" xr:uid="{00000000-0005-0000-0000-00005E740000}"/>
    <cellStyle name="Note 2 2 2 2 2 2 2 3" xfId="31964" xr:uid="{00000000-0005-0000-0000-00005F740000}"/>
    <cellStyle name="Note 2 2 2 2 2 2 3" xfId="7704" xr:uid="{00000000-0005-0000-0000-000060740000}"/>
    <cellStyle name="Note 2 2 2 2 2 2 3 2" xfId="16965" xr:uid="{00000000-0005-0000-0000-000061740000}"/>
    <cellStyle name="Note 2 2 2 2 2 2 3 2 2" xfId="30372" xr:uid="{00000000-0005-0000-0000-000062740000}"/>
    <cellStyle name="Note 2 2 2 2 2 2 3 3" xfId="31965" xr:uid="{00000000-0005-0000-0000-000063740000}"/>
    <cellStyle name="Note 2 2 2 2 2 2 4" xfId="10240" xr:uid="{00000000-0005-0000-0000-000064740000}"/>
    <cellStyle name="Note 2 2 2 2 2 2 5" xfId="31963" xr:uid="{00000000-0005-0000-0000-000065740000}"/>
    <cellStyle name="Note 2 2 2 2 2 3" xfId="7705" xr:uid="{00000000-0005-0000-0000-000066740000}"/>
    <cellStyle name="Note 2 2 2 2 2 3 2" xfId="7706" xr:uid="{00000000-0005-0000-0000-000067740000}"/>
    <cellStyle name="Note 2 2 2 2 2 3 2 2" xfId="13279" xr:uid="{00000000-0005-0000-0000-000068740000}"/>
    <cellStyle name="Note 2 2 2 2 2 3 2 3" xfId="31967" xr:uid="{00000000-0005-0000-0000-000069740000}"/>
    <cellStyle name="Note 2 2 2 2 2 3 3" xfId="12353" xr:uid="{00000000-0005-0000-0000-00006A740000}"/>
    <cellStyle name="Note 2 2 2 2 2 3 3 2" xfId="26065" xr:uid="{00000000-0005-0000-0000-00006B740000}"/>
    <cellStyle name="Note 2 2 2 2 2 3 4" xfId="31966" xr:uid="{00000000-0005-0000-0000-00006C740000}"/>
    <cellStyle name="Note 2 2 2 2 2 4" xfId="7707" xr:uid="{00000000-0005-0000-0000-00006D740000}"/>
    <cellStyle name="Note 2 2 2 2 2 4 2" xfId="7708" xr:uid="{00000000-0005-0000-0000-00006E740000}"/>
    <cellStyle name="Note 2 2 2 2 2 4 2 2" xfId="15714" xr:uid="{00000000-0005-0000-0000-00006F740000}"/>
    <cellStyle name="Note 2 2 2 2 2 4 2 3" xfId="31969" xr:uid="{00000000-0005-0000-0000-000070740000}"/>
    <cellStyle name="Note 2 2 2 2 2 4 3" xfId="13917" xr:uid="{00000000-0005-0000-0000-000071740000}"/>
    <cellStyle name="Note 2 2 2 2 2 4 3 2" xfId="27466" xr:uid="{00000000-0005-0000-0000-000072740000}"/>
    <cellStyle name="Note 2 2 2 2 2 4 4" xfId="31968" xr:uid="{00000000-0005-0000-0000-000073740000}"/>
    <cellStyle name="Note 2 2 2 2 2 5" xfId="7709" xr:uid="{00000000-0005-0000-0000-000074740000}"/>
    <cellStyle name="Note 2 2 2 2 2 5 2" xfId="14498" xr:uid="{00000000-0005-0000-0000-000075740000}"/>
    <cellStyle name="Note 2 2 2 2 2 5 2 2" xfId="28047" xr:uid="{00000000-0005-0000-0000-000076740000}"/>
    <cellStyle name="Note 2 2 2 2 2 5 3" xfId="31970" xr:uid="{00000000-0005-0000-0000-000077740000}"/>
    <cellStyle name="Note 2 2 2 2 2 6" xfId="7710" xr:uid="{00000000-0005-0000-0000-000078740000}"/>
    <cellStyle name="Note 2 2 2 2 2 6 2" xfId="16384" xr:uid="{00000000-0005-0000-0000-000079740000}"/>
    <cellStyle name="Note 2 2 2 2 2 6 2 2" xfId="29791" xr:uid="{00000000-0005-0000-0000-00007A740000}"/>
    <cellStyle name="Note 2 2 2 2 2 6 3" xfId="31971" xr:uid="{00000000-0005-0000-0000-00007B740000}"/>
    <cellStyle name="Note 2 2 2 2 2 7" xfId="10239" xr:uid="{00000000-0005-0000-0000-00007C740000}"/>
    <cellStyle name="Note 2 2 2 2 2 8" xfId="31962" xr:uid="{00000000-0005-0000-0000-00007D740000}"/>
    <cellStyle name="Note 2 2 2 2 3" xfId="7711" xr:uid="{00000000-0005-0000-0000-00007E740000}"/>
    <cellStyle name="Note 2 2 2 2 3 2" xfId="7712" xr:uid="{00000000-0005-0000-0000-00007F740000}"/>
    <cellStyle name="Note 2 2 2 2 3 2 2" xfId="11600" xr:uid="{00000000-0005-0000-0000-000080740000}"/>
    <cellStyle name="Note 2 2 2 2 3 2 3" xfId="31973" xr:uid="{00000000-0005-0000-0000-000081740000}"/>
    <cellStyle name="Note 2 2 2 2 3 3" xfId="7713" xr:uid="{00000000-0005-0000-0000-000082740000}"/>
    <cellStyle name="Note 2 2 2 2 3 3 2" xfId="16676" xr:uid="{00000000-0005-0000-0000-000083740000}"/>
    <cellStyle name="Note 2 2 2 2 3 3 2 2" xfId="30083" xr:uid="{00000000-0005-0000-0000-000084740000}"/>
    <cellStyle name="Note 2 2 2 2 3 3 3" xfId="31974" xr:uid="{00000000-0005-0000-0000-000085740000}"/>
    <cellStyle name="Note 2 2 2 2 3 4" xfId="10241" xr:uid="{00000000-0005-0000-0000-000086740000}"/>
    <cellStyle name="Note 2 2 2 2 3 5" xfId="31972" xr:uid="{00000000-0005-0000-0000-000087740000}"/>
    <cellStyle name="Note 2 2 2 2 4" xfId="7714" xr:uid="{00000000-0005-0000-0000-000088740000}"/>
    <cellStyle name="Note 2 2 2 2 4 2" xfId="7715" xr:uid="{00000000-0005-0000-0000-000089740000}"/>
    <cellStyle name="Note 2 2 2 2 4 2 2" xfId="13280" xr:uid="{00000000-0005-0000-0000-00008A740000}"/>
    <cellStyle name="Note 2 2 2 2 4 2 3" xfId="31976" xr:uid="{00000000-0005-0000-0000-00008B740000}"/>
    <cellStyle name="Note 2 2 2 2 4 3" xfId="12053" xr:uid="{00000000-0005-0000-0000-00008C740000}"/>
    <cellStyle name="Note 2 2 2 2 4 3 2" xfId="25768" xr:uid="{00000000-0005-0000-0000-00008D740000}"/>
    <cellStyle name="Note 2 2 2 2 4 4" xfId="31975" xr:uid="{00000000-0005-0000-0000-00008E740000}"/>
    <cellStyle name="Note 2 2 2 2 5" xfId="7716" xr:uid="{00000000-0005-0000-0000-00008F740000}"/>
    <cellStyle name="Note 2 2 2 2 5 2" xfId="7717" xr:uid="{00000000-0005-0000-0000-000090740000}"/>
    <cellStyle name="Note 2 2 2 2 5 2 2" xfId="15715" xr:uid="{00000000-0005-0000-0000-000091740000}"/>
    <cellStyle name="Note 2 2 2 2 5 2 3" xfId="31978" xr:uid="{00000000-0005-0000-0000-000092740000}"/>
    <cellStyle name="Note 2 2 2 2 5 3" xfId="13628" xr:uid="{00000000-0005-0000-0000-000093740000}"/>
    <cellStyle name="Note 2 2 2 2 5 3 2" xfId="27177" xr:uid="{00000000-0005-0000-0000-000094740000}"/>
    <cellStyle name="Note 2 2 2 2 5 4" xfId="31977" xr:uid="{00000000-0005-0000-0000-000095740000}"/>
    <cellStyle name="Note 2 2 2 2 6" xfId="7718" xr:uid="{00000000-0005-0000-0000-000096740000}"/>
    <cellStyle name="Note 2 2 2 2 6 2" xfId="14209" xr:uid="{00000000-0005-0000-0000-000097740000}"/>
    <cellStyle name="Note 2 2 2 2 6 2 2" xfId="27758" xr:uid="{00000000-0005-0000-0000-000098740000}"/>
    <cellStyle name="Note 2 2 2 2 6 3" xfId="31979" xr:uid="{00000000-0005-0000-0000-000099740000}"/>
    <cellStyle name="Note 2 2 2 2 7" xfId="7719" xr:uid="{00000000-0005-0000-0000-00009A740000}"/>
    <cellStyle name="Note 2 2 2 2 7 2" xfId="16095" xr:uid="{00000000-0005-0000-0000-00009B740000}"/>
    <cellStyle name="Note 2 2 2 2 7 2 2" xfId="29502" xr:uid="{00000000-0005-0000-0000-00009C740000}"/>
    <cellStyle name="Note 2 2 2 2 7 3" xfId="31980" xr:uid="{00000000-0005-0000-0000-00009D740000}"/>
    <cellStyle name="Note 2 2 2 2 8" xfId="10238" xr:uid="{00000000-0005-0000-0000-00009E740000}"/>
    <cellStyle name="Note 2 2 2 2 9" xfId="31961" xr:uid="{00000000-0005-0000-0000-00009F740000}"/>
    <cellStyle name="Note 2 2 2 3" xfId="7720" xr:uid="{00000000-0005-0000-0000-0000A0740000}"/>
    <cellStyle name="Note 2 2 2 3 2" xfId="7721" xr:uid="{00000000-0005-0000-0000-0000A1740000}"/>
    <cellStyle name="Note 2 2 2 3 2 2" xfId="7722" xr:uid="{00000000-0005-0000-0000-0000A2740000}"/>
    <cellStyle name="Note 2 2 2 3 2 2 2" xfId="11601" xr:uid="{00000000-0005-0000-0000-0000A3740000}"/>
    <cellStyle name="Note 2 2 2 3 2 2 3" xfId="31983" xr:uid="{00000000-0005-0000-0000-0000A4740000}"/>
    <cellStyle name="Note 2 2 2 3 2 3" xfId="7723" xr:uid="{00000000-0005-0000-0000-0000A5740000}"/>
    <cellStyle name="Note 2 2 2 3 2 3 2" xfId="16822" xr:uid="{00000000-0005-0000-0000-0000A6740000}"/>
    <cellStyle name="Note 2 2 2 3 2 3 2 2" xfId="30229" xr:uid="{00000000-0005-0000-0000-0000A7740000}"/>
    <cellStyle name="Note 2 2 2 3 2 3 3" xfId="31984" xr:uid="{00000000-0005-0000-0000-0000A8740000}"/>
    <cellStyle name="Note 2 2 2 3 2 4" xfId="10243" xr:uid="{00000000-0005-0000-0000-0000A9740000}"/>
    <cellStyle name="Note 2 2 2 3 2 5" xfId="31982" xr:uid="{00000000-0005-0000-0000-0000AA740000}"/>
    <cellStyle name="Note 2 2 2 3 3" xfId="7724" xr:uid="{00000000-0005-0000-0000-0000AB740000}"/>
    <cellStyle name="Note 2 2 2 3 3 2" xfId="7725" xr:uid="{00000000-0005-0000-0000-0000AC740000}"/>
    <cellStyle name="Note 2 2 2 3 3 2 2" xfId="13281" xr:uid="{00000000-0005-0000-0000-0000AD740000}"/>
    <cellStyle name="Note 2 2 2 3 3 2 3" xfId="31986" xr:uid="{00000000-0005-0000-0000-0000AE740000}"/>
    <cellStyle name="Note 2 2 2 3 3 3" xfId="12210" xr:uid="{00000000-0005-0000-0000-0000AF740000}"/>
    <cellStyle name="Note 2 2 2 3 3 3 2" xfId="25922" xr:uid="{00000000-0005-0000-0000-0000B0740000}"/>
    <cellStyle name="Note 2 2 2 3 3 4" xfId="31985" xr:uid="{00000000-0005-0000-0000-0000B1740000}"/>
    <cellStyle name="Note 2 2 2 3 4" xfId="7726" xr:uid="{00000000-0005-0000-0000-0000B2740000}"/>
    <cellStyle name="Note 2 2 2 3 4 2" xfId="7727" xr:uid="{00000000-0005-0000-0000-0000B3740000}"/>
    <cellStyle name="Note 2 2 2 3 4 2 2" xfId="15716" xr:uid="{00000000-0005-0000-0000-0000B4740000}"/>
    <cellStyle name="Note 2 2 2 3 4 2 3" xfId="31988" xr:uid="{00000000-0005-0000-0000-0000B5740000}"/>
    <cellStyle name="Note 2 2 2 3 4 3" xfId="13774" xr:uid="{00000000-0005-0000-0000-0000B6740000}"/>
    <cellStyle name="Note 2 2 2 3 4 3 2" xfId="27323" xr:uid="{00000000-0005-0000-0000-0000B7740000}"/>
    <cellStyle name="Note 2 2 2 3 4 4" xfId="31987" xr:uid="{00000000-0005-0000-0000-0000B8740000}"/>
    <cellStyle name="Note 2 2 2 3 5" xfId="7728" xr:uid="{00000000-0005-0000-0000-0000B9740000}"/>
    <cellStyle name="Note 2 2 2 3 5 2" xfId="14355" xr:uid="{00000000-0005-0000-0000-0000BA740000}"/>
    <cellStyle name="Note 2 2 2 3 5 2 2" xfId="27904" xr:uid="{00000000-0005-0000-0000-0000BB740000}"/>
    <cellStyle name="Note 2 2 2 3 5 3" xfId="31989" xr:uid="{00000000-0005-0000-0000-0000BC740000}"/>
    <cellStyle name="Note 2 2 2 3 6" xfId="7729" xr:uid="{00000000-0005-0000-0000-0000BD740000}"/>
    <cellStyle name="Note 2 2 2 3 6 2" xfId="16241" xr:uid="{00000000-0005-0000-0000-0000BE740000}"/>
    <cellStyle name="Note 2 2 2 3 6 2 2" xfId="29648" xr:uid="{00000000-0005-0000-0000-0000BF740000}"/>
    <cellStyle name="Note 2 2 2 3 6 3" xfId="31990" xr:uid="{00000000-0005-0000-0000-0000C0740000}"/>
    <cellStyle name="Note 2 2 2 3 7" xfId="10242" xr:uid="{00000000-0005-0000-0000-0000C1740000}"/>
    <cellStyle name="Note 2 2 2 3 8" xfId="31981" xr:uid="{00000000-0005-0000-0000-0000C2740000}"/>
    <cellStyle name="Note 2 2 2 4" xfId="7730" xr:uid="{00000000-0005-0000-0000-0000C3740000}"/>
    <cellStyle name="Note 2 2 2 4 2" xfId="7731" xr:uid="{00000000-0005-0000-0000-0000C4740000}"/>
    <cellStyle name="Note 2 2 2 4 2 2" xfId="11602" xr:uid="{00000000-0005-0000-0000-0000C5740000}"/>
    <cellStyle name="Note 2 2 2 4 2 3" xfId="31992" xr:uid="{00000000-0005-0000-0000-0000C6740000}"/>
    <cellStyle name="Note 2 2 2 4 3" xfId="7732" xr:uid="{00000000-0005-0000-0000-0000C7740000}"/>
    <cellStyle name="Note 2 2 2 4 3 2" xfId="17169" xr:uid="{00000000-0005-0000-0000-0000C8740000}"/>
    <cellStyle name="Note 2 2 2 4 3 2 2" xfId="30528" xr:uid="{00000000-0005-0000-0000-0000C9740000}"/>
    <cellStyle name="Note 2 2 2 4 3 3" xfId="31993" xr:uid="{00000000-0005-0000-0000-0000CA740000}"/>
    <cellStyle name="Note 2 2 2 4 4" xfId="10244" xr:uid="{00000000-0005-0000-0000-0000CB740000}"/>
    <cellStyle name="Note 2 2 2 4 5" xfId="31991" xr:uid="{00000000-0005-0000-0000-0000CC740000}"/>
    <cellStyle name="Note 2 2 2 5" xfId="7733" xr:uid="{00000000-0005-0000-0000-0000CD740000}"/>
    <cellStyle name="Note 2 2 2 5 2" xfId="7734" xr:uid="{00000000-0005-0000-0000-0000CE740000}"/>
    <cellStyle name="Note 2 2 2 5 2 2" xfId="13282" xr:uid="{00000000-0005-0000-0000-0000CF740000}"/>
    <cellStyle name="Note 2 2 2 5 2 3" xfId="31995" xr:uid="{00000000-0005-0000-0000-0000D0740000}"/>
    <cellStyle name="Note 2 2 2 5 3" xfId="7735" xr:uid="{00000000-0005-0000-0000-0000D1740000}"/>
    <cellStyle name="Note 2 2 2 5 3 2" xfId="17258" xr:uid="{00000000-0005-0000-0000-0000D2740000}"/>
    <cellStyle name="Note 2 2 2 5 3 2 2" xfId="30617" xr:uid="{00000000-0005-0000-0000-0000D3740000}"/>
    <cellStyle name="Note 2 2 2 5 3 3" xfId="31996" xr:uid="{00000000-0005-0000-0000-0000D4740000}"/>
    <cellStyle name="Note 2 2 2 5 4" xfId="11908" xr:uid="{00000000-0005-0000-0000-0000D5740000}"/>
    <cellStyle name="Note 2 2 2 5 4 2" xfId="25623" xr:uid="{00000000-0005-0000-0000-0000D6740000}"/>
    <cellStyle name="Note 2 2 2 5 5" xfId="31994" xr:uid="{00000000-0005-0000-0000-0000D7740000}"/>
    <cellStyle name="Note 2 2 2 6" xfId="7736" xr:uid="{00000000-0005-0000-0000-0000D8740000}"/>
    <cellStyle name="Note 2 2 2 6 2" xfId="7737" xr:uid="{00000000-0005-0000-0000-0000D9740000}"/>
    <cellStyle name="Note 2 2 2 6 2 2" xfId="15717" xr:uid="{00000000-0005-0000-0000-0000DA740000}"/>
    <cellStyle name="Note 2 2 2 6 2 3" xfId="31998" xr:uid="{00000000-0005-0000-0000-0000DB740000}"/>
    <cellStyle name="Note 2 2 2 6 3" xfId="7738" xr:uid="{00000000-0005-0000-0000-0000DC740000}"/>
    <cellStyle name="Note 2 2 2 6 3 2" xfId="16533" xr:uid="{00000000-0005-0000-0000-0000DD740000}"/>
    <cellStyle name="Note 2 2 2 6 3 2 2" xfId="29940" xr:uid="{00000000-0005-0000-0000-0000DE740000}"/>
    <cellStyle name="Note 2 2 2 6 3 3" xfId="31999" xr:uid="{00000000-0005-0000-0000-0000DF740000}"/>
    <cellStyle name="Note 2 2 2 6 4" xfId="13485" xr:uid="{00000000-0005-0000-0000-0000E0740000}"/>
    <cellStyle name="Note 2 2 2 6 4 2" xfId="27034" xr:uid="{00000000-0005-0000-0000-0000E1740000}"/>
    <cellStyle name="Note 2 2 2 6 5" xfId="31997" xr:uid="{00000000-0005-0000-0000-0000E2740000}"/>
    <cellStyle name="Note 2 2 2 7" xfId="7739" xr:uid="{00000000-0005-0000-0000-0000E3740000}"/>
    <cellStyle name="Note 2 2 2 7 2" xfId="14066" xr:uid="{00000000-0005-0000-0000-0000E4740000}"/>
    <cellStyle name="Note 2 2 2 7 2 2" xfId="27615" xr:uid="{00000000-0005-0000-0000-0000E5740000}"/>
    <cellStyle name="Note 2 2 2 7 3" xfId="32000" xr:uid="{00000000-0005-0000-0000-0000E6740000}"/>
    <cellStyle name="Note 2 2 2 8" xfId="7740" xr:uid="{00000000-0005-0000-0000-0000E7740000}"/>
    <cellStyle name="Note 2 2 2 8 2" xfId="15952" xr:uid="{00000000-0005-0000-0000-0000E8740000}"/>
    <cellStyle name="Note 2 2 2 8 2 2" xfId="29359" xr:uid="{00000000-0005-0000-0000-0000E9740000}"/>
    <cellStyle name="Note 2 2 2 8 3" xfId="32001" xr:uid="{00000000-0005-0000-0000-0000EA740000}"/>
    <cellStyle name="Note 2 2 2 9" xfId="10237" xr:uid="{00000000-0005-0000-0000-0000EB740000}"/>
    <cellStyle name="Note 2 2 3" xfId="7741" xr:uid="{00000000-0005-0000-0000-0000EC740000}"/>
    <cellStyle name="Note 2 2 3 2" xfId="7742" xr:uid="{00000000-0005-0000-0000-0000ED740000}"/>
    <cellStyle name="Note 2 2 3 2 2" xfId="7743" xr:uid="{00000000-0005-0000-0000-0000EE740000}"/>
    <cellStyle name="Note 2 2 3 2 2 2" xfId="7744" xr:uid="{00000000-0005-0000-0000-0000EF740000}"/>
    <cellStyle name="Note 2 2 3 2 2 2 2" xfId="11603" xr:uid="{00000000-0005-0000-0000-0000F0740000}"/>
    <cellStyle name="Note 2 2 3 2 2 2 3" xfId="32005" xr:uid="{00000000-0005-0000-0000-0000F1740000}"/>
    <cellStyle name="Note 2 2 3 2 2 3" xfId="7745" xr:uid="{00000000-0005-0000-0000-0000F2740000}"/>
    <cellStyle name="Note 2 2 3 2 2 3 2" xfId="16919" xr:uid="{00000000-0005-0000-0000-0000F3740000}"/>
    <cellStyle name="Note 2 2 3 2 2 3 2 2" xfId="30326" xr:uid="{00000000-0005-0000-0000-0000F4740000}"/>
    <cellStyle name="Note 2 2 3 2 2 3 3" xfId="32006" xr:uid="{00000000-0005-0000-0000-0000F5740000}"/>
    <cellStyle name="Note 2 2 3 2 2 4" xfId="10247" xr:uid="{00000000-0005-0000-0000-0000F6740000}"/>
    <cellStyle name="Note 2 2 3 2 2 5" xfId="32004" xr:uid="{00000000-0005-0000-0000-0000F7740000}"/>
    <cellStyle name="Note 2 2 3 2 3" xfId="7746" xr:uid="{00000000-0005-0000-0000-0000F8740000}"/>
    <cellStyle name="Note 2 2 3 2 3 2" xfId="7747" xr:uid="{00000000-0005-0000-0000-0000F9740000}"/>
    <cellStyle name="Note 2 2 3 2 3 2 2" xfId="13283" xr:uid="{00000000-0005-0000-0000-0000FA740000}"/>
    <cellStyle name="Note 2 2 3 2 3 2 3" xfId="32008" xr:uid="{00000000-0005-0000-0000-0000FB740000}"/>
    <cellStyle name="Note 2 2 3 2 3 3" xfId="12307" xr:uid="{00000000-0005-0000-0000-0000FC740000}"/>
    <cellStyle name="Note 2 2 3 2 3 3 2" xfId="26019" xr:uid="{00000000-0005-0000-0000-0000FD740000}"/>
    <cellStyle name="Note 2 2 3 2 3 4" xfId="32007" xr:uid="{00000000-0005-0000-0000-0000FE740000}"/>
    <cellStyle name="Note 2 2 3 2 4" xfId="7748" xr:uid="{00000000-0005-0000-0000-0000FF740000}"/>
    <cellStyle name="Note 2 2 3 2 4 2" xfId="7749" xr:uid="{00000000-0005-0000-0000-000000750000}"/>
    <cellStyle name="Note 2 2 3 2 4 2 2" xfId="15718" xr:uid="{00000000-0005-0000-0000-000001750000}"/>
    <cellStyle name="Note 2 2 3 2 4 2 3" xfId="32010" xr:uid="{00000000-0005-0000-0000-000002750000}"/>
    <cellStyle name="Note 2 2 3 2 4 3" xfId="13871" xr:uid="{00000000-0005-0000-0000-000003750000}"/>
    <cellStyle name="Note 2 2 3 2 4 3 2" xfId="27420" xr:uid="{00000000-0005-0000-0000-000004750000}"/>
    <cellStyle name="Note 2 2 3 2 4 4" xfId="32009" xr:uid="{00000000-0005-0000-0000-000005750000}"/>
    <cellStyle name="Note 2 2 3 2 5" xfId="7750" xr:uid="{00000000-0005-0000-0000-000006750000}"/>
    <cellStyle name="Note 2 2 3 2 5 2" xfId="14452" xr:uid="{00000000-0005-0000-0000-000007750000}"/>
    <cellStyle name="Note 2 2 3 2 5 2 2" xfId="28001" xr:uid="{00000000-0005-0000-0000-000008750000}"/>
    <cellStyle name="Note 2 2 3 2 5 3" xfId="32011" xr:uid="{00000000-0005-0000-0000-000009750000}"/>
    <cellStyle name="Note 2 2 3 2 6" xfId="7751" xr:uid="{00000000-0005-0000-0000-00000A750000}"/>
    <cellStyle name="Note 2 2 3 2 6 2" xfId="16338" xr:uid="{00000000-0005-0000-0000-00000B750000}"/>
    <cellStyle name="Note 2 2 3 2 6 2 2" xfId="29745" xr:uid="{00000000-0005-0000-0000-00000C750000}"/>
    <cellStyle name="Note 2 2 3 2 6 3" xfId="32012" xr:uid="{00000000-0005-0000-0000-00000D750000}"/>
    <cellStyle name="Note 2 2 3 2 7" xfId="10246" xr:uid="{00000000-0005-0000-0000-00000E750000}"/>
    <cellStyle name="Note 2 2 3 2 8" xfId="32003" xr:uid="{00000000-0005-0000-0000-00000F750000}"/>
    <cellStyle name="Note 2 2 3 3" xfId="7752" xr:uid="{00000000-0005-0000-0000-000010750000}"/>
    <cellStyle name="Note 2 2 3 3 2" xfId="7753" xr:uid="{00000000-0005-0000-0000-000011750000}"/>
    <cellStyle name="Note 2 2 3 3 2 2" xfId="11604" xr:uid="{00000000-0005-0000-0000-000012750000}"/>
    <cellStyle name="Note 2 2 3 3 2 3" xfId="32014" xr:uid="{00000000-0005-0000-0000-000013750000}"/>
    <cellStyle name="Note 2 2 3 3 3" xfId="7754" xr:uid="{00000000-0005-0000-0000-000014750000}"/>
    <cellStyle name="Note 2 2 3 3 3 2" xfId="16630" xr:uid="{00000000-0005-0000-0000-000015750000}"/>
    <cellStyle name="Note 2 2 3 3 3 2 2" xfId="30037" xr:uid="{00000000-0005-0000-0000-000016750000}"/>
    <cellStyle name="Note 2 2 3 3 3 3" xfId="32015" xr:uid="{00000000-0005-0000-0000-000017750000}"/>
    <cellStyle name="Note 2 2 3 3 4" xfId="10248" xr:uid="{00000000-0005-0000-0000-000018750000}"/>
    <cellStyle name="Note 2 2 3 3 5" xfId="32013" xr:uid="{00000000-0005-0000-0000-000019750000}"/>
    <cellStyle name="Note 2 2 3 4" xfId="7755" xr:uid="{00000000-0005-0000-0000-00001A750000}"/>
    <cellStyle name="Note 2 2 3 4 2" xfId="7756" xr:uid="{00000000-0005-0000-0000-00001B750000}"/>
    <cellStyle name="Note 2 2 3 4 2 2" xfId="13284" xr:uid="{00000000-0005-0000-0000-00001C750000}"/>
    <cellStyle name="Note 2 2 3 4 2 3" xfId="32017" xr:uid="{00000000-0005-0000-0000-00001D750000}"/>
    <cellStyle name="Note 2 2 3 4 3" xfId="12007" xr:uid="{00000000-0005-0000-0000-00001E750000}"/>
    <cellStyle name="Note 2 2 3 4 3 2" xfId="25722" xr:uid="{00000000-0005-0000-0000-00001F750000}"/>
    <cellStyle name="Note 2 2 3 4 4" xfId="32016" xr:uid="{00000000-0005-0000-0000-000020750000}"/>
    <cellStyle name="Note 2 2 3 5" xfId="7757" xr:uid="{00000000-0005-0000-0000-000021750000}"/>
    <cellStyle name="Note 2 2 3 5 2" xfId="7758" xr:uid="{00000000-0005-0000-0000-000022750000}"/>
    <cellStyle name="Note 2 2 3 5 2 2" xfId="15719" xr:uid="{00000000-0005-0000-0000-000023750000}"/>
    <cellStyle name="Note 2 2 3 5 2 3" xfId="32019" xr:uid="{00000000-0005-0000-0000-000024750000}"/>
    <cellStyle name="Note 2 2 3 5 3" xfId="13582" xr:uid="{00000000-0005-0000-0000-000025750000}"/>
    <cellStyle name="Note 2 2 3 5 3 2" xfId="27131" xr:uid="{00000000-0005-0000-0000-000026750000}"/>
    <cellStyle name="Note 2 2 3 5 4" xfId="32018" xr:uid="{00000000-0005-0000-0000-000027750000}"/>
    <cellStyle name="Note 2 2 3 6" xfId="7759" xr:uid="{00000000-0005-0000-0000-000028750000}"/>
    <cellStyle name="Note 2 2 3 6 2" xfId="14163" xr:uid="{00000000-0005-0000-0000-000029750000}"/>
    <cellStyle name="Note 2 2 3 6 2 2" xfId="27712" xr:uid="{00000000-0005-0000-0000-00002A750000}"/>
    <cellStyle name="Note 2 2 3 6 3" xfId="32020" xr:uid="{00000000-0005-0000-0000-00002B750000}"/>
    <cellStyle name="Note 2 2 3 7" xfId="7760" xr:uid="{00000000-0005-0000-0000-00002C750000}"/>
    <cellStyle name="Note 2 2 3 7 2" xfId="16049" xr:uid="{00000000-0005-0000-0000-00002D750000}"/>
    <cellStyle name="Note 2 2 3 7 2 2" xfId="29456" xr:uid="{00000000-0005-0000-0000-00002E750000}"/>
    <cellStyle name="Note 2 2 3 7 3" xfId="32021" xr:uid="{00000000-0005-0000-0000-00002F750000}"/>
    <cellStyle name="Note 2 2 3 8" xfId="10245" xr:uid="{00000000-0005-0000-0000-000030750000}"/>
    <cellStyle name="Note 2 2 3 9" xfId="32002" xr:uid="{00000000-0005-0000-0000-000031750000}"/>
    <cellStyle name="Note 2 2 4" xfId="7761" xr:uid="{00000000-0005-0000-0000-000032750000}"/>
    <cellStyle name="Note 2 2 4 2" xfId="7762" xr:uid="{00000000-0005-0000-0000-000033750000}"/>
    <cellStyle name="Note 2 2 4 2 2" xfId="7763" xr:uid="{00000000-0005-0000-0000-000034750000}"/>
    <cellStyle name="Note 2 2 4 2 2 2" xfId="11605" xr:uid="{00000000-0005-0000-0000-000035750000}"/>
    <cellStyle name="Note 2 2 4 2 2 3" xfId="32024" xr:uid="{00000000-0005-0000-0000-000036750000}"/>
    <cellStyle name="Note 2 2 4 2 3" xfId="7764" xr:uid="{00000000-0005-0000-0000-000037750000}"/>
    <cellStyle name="Note 2 2 4 2 3 2" xfId="16776" xr:uid="{00000000-0005-0000-0000-000038750000}"/>
    <cellStyle name="Note 2 2 4 2 3 2 2" xfId="30183" xr:uid="{00000000-0005-0000-0000-000039750000}"/>
    <cellStyle name="Note 2 2 4 2 3 3" xfId="32025" xr:uid="{00000000-0005-0000-0000-00003A750000}"/>
    <cellStyle name="Note 2 2 4 2 4" xfId="10250" xr:uid="{00000000-0005-0000-0000-00003B750000}"/>
    <cellStyle name="Note 2 2 4 2 5" xfId="32023" xr:uid="{00000000-0005-0000-0000-00003C750000}"/>
    <cellStyle name="Note 2 2 4 3" xfId="7765" xr:uid="{00000000-0005-0000-0000-00003D750000}"/>
    <cellStyle name="Note 2 2 4 3 2" xfId="7766" xr:uid="{00000000-0005-0000-0000-00003E750000}"/>
    <cellStyle name="Note 2 2 4 3 2 2" xfId="13285" xr:uid="{00000000-0005-0000-0000-00003F750000}"/>
    <cellStyle name="Note 2 2 4 3 2 3" xfId="32027" xr:uid="{00000000-0005-0000-0000-000040750000}"/>
    <cellStyle name="Note 2 2 4 3 3" xfId="12164" xr:uid="{00000000-0005-0000-0000-000041750000}"/>
    <cellStyle name="Note 2 2 4 3 3 2" xfId="25876" xr:uid="{00000000-0005-0000-0000-000042750000}"/>
    <cellStyle name="Note 2 2 4 3 4" xfId="32026" xr:uid="{00000000-0005-0000-0000-000043750000}"/>
    <cellStyle name="Note 2 2 4 4" xfId="7767" xr:uid="{00000000-0005-0000-0000-000044750000}"/>
    <cellStyle name="Note 2 2 4 4 2" xfId="7768" xr:uid="{00000000-0005-0000-0000-000045750000}"/>
    <cellStyle name="Note 2 2 4 4 2 2" xfId="15720" xr:uid="{00000000-0005-0000-0000-000046750000}"/>
    <cellStyle name="Note 2 2 4 4 2 3" xfId="32029" xr:uid="{00000000-0005-0000-0000-000047750000}"/>
    <cellStyle name="Note 2 2 4 4 3" xfId="13728" xr:uid="{00000000-0005-0000-0000-000048750000}"/>
    <cellStyle name="Note 2 2 4 4 3 2" xfId="27277" xr:uid="{00000000-0005-0000-0000-000049750000}"/>
    <cellStyle name="Note 2 2 4 4 4" xfId="32028" xr:uid="{00000000-0005-0000-0000-00004A750000}"/>
    <cellStyle name="Note 2 2 4 5" xfId="7769" xr:uid="{00000000-0005-0000-0000-00004B750000}"/>
    <cellStyle name="Note 2 2 4 5 2" xfId="14309" xr:uid="{00000000-0005-0000-0000-00004C750000}"/>
    <cellStyle name="Note 2 2 4 5 2 2" xfId="27858" xr:uid="{00000000-0005-0000-0000-00004D750000}"/>
    <cellStyle name="Note 2 2 4 5 3" xfId="32030" xr:uid="{00000000-0005-0000-0000-00004E750000}"/>
    <cellStyle name="Note 2 2 4 6" xfId="7770" xr:uid="{00000000-0005-0000-0000-00004F750000}"/>
    <cellStyle name="Note 2 2 4 6 2" xfId="16195" xr:uid="{00000000-0005-0000-0000-000050750000}"/>
    <cellStyle name="Note 2 2 4 6 2 2" xfId="29602" xr:uid="{00000000-0005-0000-0000-000051750000}"/>
    <cellStyle name="Note 2 2 4 6 3" xfId="32031" xr:uid="{00000000-0005-0000-0000-000052750000}"/>
    <cellStyle name="Note 2 2 4 7" xfId="10249" xr:uid="{00000000-0005-0000-0000-000053750000}"/>
    <cellStyle name="Note 2 2 4 8" xfId="32022" xr:uid="{00000000-0005-0000-0000-000054750000}"/>
    <cellStyle name="Note 2 2 5" xfId="7771" xr:uid="{00000000-0005-0000-0000-000055750000}"/>
    <cellStyle name="Note 2 2 5 2" xfId="7772" xr:uid="{00000000-0005-0000-0000-000056750000}"/>
    <cellStyle name="Note 2 2 5 2 2" xfId="7773" xr:uid="{00000000-0005-0000-0000-000057750000}"/>
    <cellStyle name="Note 2 2 5 2 2 2" xfId="11607" xr:uid="{00000000-0005-0000-0000-000058750000}"/>
    <cellStyle name="Note 2 2 5 2 2 3" xfId="32034" xr:uid="{00000000-0005-0000-0000-000059750000}"/>
    <cellStyle name="Note 2 2 5 2 3" xfId="10252" xr:uid="{00000000-0005-0000-0000-00005A750000}"/>
    <cellStyle name="Note 2 2 5 2 4" xfId="32033" xr:uid="{00000000-0005-0000-0000-00005B750000}"/>
    <cellStyle name="Note 2 2 5 3" xfId="7774" xr:uid="{00000000-0005-0000-0000-00005C750000}"/>
    <cellStyle name="Note 2 2 5 3 2" xfId="11606" xr:uid="{00000000-0005-0000-0000-00005D750000}"/>
    <cellStyle name="Note 2 2 5 3 3" xfId="32035" xr:uid="{00000000-0005-0000-0000-00005E750000}"/>
    <cellStyle name="Note 2 2 5 4" xfId="7775" xr:uid="{00000000-0005-0000-0000-00005F750000}"/>
    <cellStyle name="Note 2 2 5 4 2" xfId="17042" xr:uid="{00000000-0005-0000-0000-000060750000}"/>
    <cellStyle name="Note 2 2 5 4 2 2" xfId="30441" xr:uid="{00000000-0005-0000-0000-000061750000}"/>
    <cellStyle name="Note 2 2 5 4 3" xfId="32036" xr:uid="{00000000-0005-0000-0000-000062750000}"/>
    <cellStyle name="Note 2 2 5 5" xfId="10251" xr:uid="{00000000-0005-0000-0000-000063750000}"/>
    <cellStyle name="Note 2 2 5 6" xfId="32032" xr:uid="{00000000-0005-0000-0000-000064750000}"/>
    <cellStyle name="Note 2 2 6" xfId="7776" xr:uid="{00000000-0005-0000-0000-000065750000}"/>
    <cellStyle name="Note 2 2 6 2" xfId="7777" xr:uid="{00000000-0005-0000-0000-000066750000}"/>
    <cellStyle name="Note 2 2 6 2 2" xfId="17123" xr:uid="{00000000-0005-0000-0000-000067750000}"/>
    <cellStyle name="Note 2 2 6 2 2 2" xfId="30482" xr:uid="{00000000-0005-0000-0000-000068750000}"/>
    <cellStyle name="Note 2 2 6 2 3" xfId="32038" xr:uid="{00000000-0005-0000-0000-000069750000}"/>
    <cellStyle name="Note 2 2 6 3" xfId="10253" xr:uid="{00000000-0005-0000-0000-00006A750000}"/>
    <cellStyle name="Note 2 2 6 4" xfId="32037" xr:uid="{00000000-0005-0000-0000-00006B750000}"/>
    <cellStyle name="Note 2 2 7" xfId="7778" xr:uid="{00000000-0005-0000-0000-00006C750000}"/>
    <cellStyle name="Note 2 2 7 2" xfId="7779" xr:uid="{00000000-0005-0000-0000-00006D750000}"/>
    <cellStyle name="Note 2 2 7 2 2" xfId="11608" xr:uid="{00000000-0005-0000-0000-00006E750000}"/>
    <cellStyle name="Note 2 2 7 2 3" xfId="32040" xr:uid="{00000000-0005-0000-0000-00006F750000}"/>
    <cellStyle name="Note 2 2 7 3" xfId="7780" xr:uid="{00000000-0005-0000-0000-000070750000}"/>
    <cellStyle name="Note 2 2 7 3 2" xfId="17212" xr:uid="{00000000-0005-0000-0000-000071750000}"/>
    <cellStyle name="Note 2 2 7 3 2 2" xfId="30571" xr:uid="{00000000-0005-0000-0000-000072750000}"/>
    <cellStyle name="Note 2 2 7 3 3" xfId="32041" xr:uid="{00000000-0005-0000-0000-000073750000}"/>
    <cellStyle name="Note 2 2 7 4" xfId="10254" xr:uid="{00000000-0005-0000-0000-000074750000}"/>
    <cellStyle name="Note 2 2 7 5" xfId="32039" xr:uid="{00000000-0005-0000-0000-000075750000}"/>
    <cellStyle name="Note 2 2 8" xfId="7781" xr:uid="{00000000-0005-0000-0000-000076750000}"/>
    <cellStyle name="Note 2 2 8 2" xfId="7782" xr:uid="{00000000-0005-0000-0000-000077750000}"/>
    <cellStyle name="Note 2 2 8 2 2" xfId="11609" xr:uid="{00000000-0005-0000-0000-000078750000}"/>
    <cellStyle name="Note 2 2 8 2 3" xfId="32043" xr:uid="{00000000-0005-0000-0000-000079750000}"/>
    <cellStyle name="Note 2 2 8 3" xfId="7783" xr:uid="{00000000-0005-0000-0000-00007A750000}"/>
    <cellStyle name="Note 2 2 8 3 2" xfId="16487" xr:uid="{00000000-0005-0000-0000-00007B750000}"/>
    <cellStyle name="Note 2 2 8 3 2 2" xfId="29894" xr:uid="{00000000-0005-0000-0000-00007C750000}"/>
    <cellStyle name="Note 2 2 8 3 3" xfId="32044" xr:uid="{00000000-0005-0000-0000-00007D750000}"/>
    <cellStyle name="Note 2 2 8 4" xfId="10255" xr:uid="{00000000-0005-0000-0000-00007E750000}"/>
    <cellStyle name="Note 2 2 8 5" xfId="32042" xr:uid="{00000000-0005-0000-0000-00007F750000}"/>
    <cellStyle name="Note 2 2 9" xfId="7784" xr:uid="{00000000-0005-0000-0000-000080750000}"/>
    <cellStyle name="Note 2 2 9 2" xfId="7785" xr:uid="{00000000-0005-0000-0000-000081750000}"/>
    <cellStyle name="Note 2 2 9 2 2" xfId="13286" xr:uid="{00000000-0005-0000-0000-000082750000}"/>
    <cellStyle name="Note 2 2 9 2 2 2" xfId="26908" xr:uid="{00000000-0005-0000-0000-000083750000}"/>
    <cellStyle name="Note 2 2 9 2 3" xfId="32046" xr:uid="{00000000-0005-0000-0000-000084750000}"/>
    <cellStyle name="Note 2 2 9 3" xfId="7786" xr:uid="{00000000-0005-0000-0000-000085750000}"/>
    <cellStyle name="Note 2 2 9 3 2" xfId="15721" xr:uid="{00000000-0005-0000-0000-000086750000}"/>
    <cellStyle name="Note 2 2 9 3 3" xfId="32047" xr:uid="{00000000-0005-0000-0000-000087750000}"/>
    <cellStyle name="Note 2 2 9 4" xfId="10532" xr:uid="{00000000-0005-0000-0000-000088750000}"/>
    <cellStyle name="Note 2 2 9 4 2" xfId="24474" xr:uid="{00000000-0005-0000-0000-000089750000}"/>
    <cellStyle name="Note 2 2 9 5" xfId="32045" xr:uid="{00000000-0005-0000-0000-00008A750000}"/>
    <cellStyle name="Note 2 20" xfId="7787" xr:uid="{00000000-0005-0000-0000-00008B750000}"/>
    <cellStyle name="Note 2 20 2" xfId="7788" xr:uid="{00000000-0005-0000-0000-00008C750000}"/>
    <cellStyle name="Note 2 20 2 2" xfId="11714" xr:uid="{00000000-0005-0000-0000-00008D750000}"/>
    <cellStyle name="Note 2 20 2 2 2" xfId="25434" xr:uid="{00000000-0005-0000-0000-00008E750000}"/>
    <cellStyle name="Note 2 20 2 3" xfId="32049" xr:uid="{00000000-0005-0000-0000-00008F750000}"/>
    <cellStyle name="Note 2 20 3" xfId="7789" xr:uid="{00000000-0005-0000-0000-000090750000}"/>
    <cellStyle name="Note 2 20 3 2" xfId="13287" xr:uid="{00000000-0005-0000-0000-000091750000}"/>
    <cellStyle name="Note 2 20 3 2 2" xfId="26909" xr:uid="{00000000-0005-0000-0000-000092750000}"/>
    <cellStyle name="Note 2 20 3 3" xfId="32050" xr:uid="{00000000-0005-0000-0000-000093750000}"/>
    <cellStyle name="Note 2 20 4" xfId="7790" xr:uid="{00000000-0005-0000-0000-000094750000}"/>
    <cellStyle name="Note 2 20 4 2" xfId="15722" xr:uid="{00000000-0005-0000-0000-000095750000}"/>
    <cellStyle name="Note 2 20 4 3" xfId="32051" xr:uid="{00000000-0005-0000-0000-000096750000}"/>
    <cellStyle name="Note 2 20 5" xfId="10487" xr:uid="{00000000-0005-0000-0000-000097750000}"/>
    <cellStyle name="Note 2 20 5 2" xfId="24438" xr:uid="{00000000-0005-0000-0000-000098750000}"/>
    <cellStyle name="Note 2 20 6" xfId="32048" xr:uid="{00000000-0005-0000-0000-000099750000}"/>
    <cellStyle name="Note 2 21" xfId="7791" xr:uid="{00000000-0005-0000-0000-00009A750000}"/>
    <cellStyle name="Note 2 21 2" xfId="7792" xr:uid="{00000000-0005-0000-0000-00009B750000}"/>
    <cellStyle name="Note 2 21 2 2" xfId="13288" xr:uid="{00000000-0005-0000-0000-00009C750000}"/>
    <cellStyle name="Note 2 21 2 2 2" xfId="26910" xr:uid="{00000000-0005-0000-0000-00009D750000}"/>
    <cellStyle name="Note 2 21 2 3" xfId="32053" xr:uid="{00000000-0005-0000-0000-00009E750000}"/>
    <cellStyle name="Note 2 21 3" xfId="7793" xr:uid="{00000000-0005-0000-0000-00009F750000}"/>
    <cellStyle name="Note 2 21 3 2" xfId="15723" xr:uid="{00000000-0005-0000-0000-0000A0750000}"/>
    <cellStyle name="Note 2 21 3 3" xfId="32054" xr:uid="{00000000-0005-0000-0000-0000A1750000}"/>
    <cellStyle name="Note 2 21 4" xfId="10515" xr:uid="{00000000-0005-0000-0000-0000A2750000}"/>
    <cellStyle name="Note 2 21 4 2" xfId="24457" xr:uid="{00000000-0005-0000-0000-0000A3750000}"/>
    <cellStyle name="Note 2 21 5" xfId="32052" xr:uid="{00000000-0005-0000-0000-0000A4750000}"/>
    <cellStyle name="Note 2 22" xfId="7794" xr:uid="{00000000-0005-0000-0000-0000A5750000}"/>
    <cellStyle name="Note 2 22 2" xfId="11589" xr:uid="{00000000-0005-0000-0000-0000A6750000}"/>
    <cellStyle name="Note 2 22 3" xfId="32055" xr:uid="{00000000-0005-0000-0000-0000A7750000}"/>
    <cellStyle name="Note 2 23" xfId="7795" xr:uid="{00000000-0005-0000-0000-0000A8750000}"/>
    <cellStyle name="Note 2 23 2" xfId="11778" xr:uid="{00000000-0005-0000-0000-0000A9750000}"/>
    <cellStyle name="Note 2 23 2 2" xfId="25493" xr:uid="{00000000-0005-0000-0000-0000AA750000}"/>
    <cellStyle name="Note 2 23 3" xfId="32056" xr:uid="{00000000-0005-0000-0000-0000AB750000}"/>
    <cellStyle name="Note 2 24" xfId="7796" xr:uid="{00000000-0005-0000-0000-0000AC750000}"/>
    <cellStyle name="Note 2 24 2" xfId="13382" xr:uid="{00000000-0005-0000-0000-0000AD750000}"/>
    <cellStyle name="Note 2 24 2 2" xfId="26931" xr:uid="{00000000-0005-0000-0000-0000AE750000}"/>
    <cellStyle name="Note 2 24 3" xfId="32057" xr:uid="{00000000-0005-0000-0000-0000AF750000}"/>
    <cellStyle name="Note 2 25" xfId="7797" xr:uid="{00000000-0005-0000-0000-0000B0750000}"/>
    <cellStyle name="Note 2 25 2" xfId="13963" xr:uid="{00000000-0005-0000-0000-0000B1750000}"/>
    <cellStyle name="Note 2 25 2 2" xfId="27512" xr:uid="{00000000-0005-0000-0000-0000B2750000}"/>
    <cellStyle name="Note 2 25 3" xfId="32058" xr:uid="{00000000-0005-0000-0000-0000B3750000}"/>
    <cellStyle name="Note 2 26" xfId="7798" xr:uid="{00000000-0005-0000-0000-0000B4750000}"/>
    <cellStyle name="Note 2 26 2" xfId="15832" xr:uid="{00000000-0005-0000-0000-0000B5750000}"/>
    <cellStyle name="Note 2 26 2 2" xfId="29239" xr:uid="{00000000-0005-0000-0000-0000B6750000}"/>
    <cellStyle name="Note 2 26 3" xfId="32059" xr:uid="{00000000-0005-0000-0000-0000B7750000}"/>
    <cellStyle name="Note 2 27" xfId="7799" xr:uid="{00000000-0005-0000-0000-0000B8750000}"/>
    <cellStyle name="Note 2 27 2" xfId="15849" xr:uid="{00000000-0005-0000-0000-0000B9750000}"/>
    <cellStyle name="Note 2 27 2 2" xfId="29256" xr:uid="{00000000-0005-0000-0000-0000BA750000}"/>
    <cellStyle name="Note 2 27 3" xfId="32060" xr:uid="{00000000-0005-0000-0000-0000BB750000}"/>
    <cellStyle name="Note 2 28" xfId="10224" xr:uid="{00000000-0005-0000-0000-0000BC750000}"/>
    <cellStyle name="Note 2 29" xfId="31927" xr:uid="{00000000-0005-0000-0000-0000BD750000}"/>
    <cellStyle name="Note 2 3" xfId="7800" xr:uid="{00000000-0005-0000-0000-0000BE750000}"/>
    <cellStyle name="Note 2 3 10" xfId="10256" xr:uid="{00000000-0005-0000-0000-0000BF750000}"/>
    <cellStyle name="Note 2 3 11" xfId="32061" xr:uid="{00000000-0005-0000-0000-0000C0750000}"/>
    <cellStyle name="Note 2 3 2" xfId="7801" xr:uid="{00000000-0005-0000-0000-0000C1750000}"/>
    <cellStyle name="Note 2 3 2 2" xfId="7802" xr:uid="{00000000-0005-0000-0000-0000C2750000}"/>
    <cellStyle name="Note 2 3 2 2 2" xfId="7803" xr:uid="{00000000-0005-0000-0000-0000C3750000}"/>
    <cellStyle name="Note 2 3 2 2 2 2" xfId="7804" xr:uid="{00000000-0005-0000-0000-0000C4750000}"/>
    <cellStyle name="Note 2 3 2 2 2 2 2" xfId="11610" xr:uid="{00000000-0005-0000-0000-0000C5750000}"/>
    <cellStyle name="Note 2 3 2 2 2 2 3" xfId="32065" xr:uid="{00000000-0005-0000-0000-0000C6750000}"/>
    <cellStyle name="Note 2 3 2 2 2 3" xfId="7805" xr:uid="{00000000-0005-0000-0000-0000C7750000}"/>
    <cellStyle name="Note 2 3 2 2 2 3 2" xfId="16942" xr:uid="{00000000-0005-0000-0000-0000C8750000}"/>
    <cellStyle name="Note 2 3 2 2 2 3 2 2" xfId="30349" xr:uid="{00000000-0005-0000-0000-0000C9750000}"/>
    <cellStyle name="Note 2 3 2 2 2 3 3" xfId="32066" xr:uid="{00000000-0005-0000-0000-0000CA750000}"/>
    <cellStyle name="Note 2 3 2 2 2 4" xfId="10259" xr:uid="{00000000-0005-0000-0000-0000CB750000}"/>
    <cellStyle name="Note 2 3 2 2 2 5" xfId="32064" xr:uid="{00000000-0005-0000-0000-0000CC750000}"/>
    <cellStyle name="Note 2 3 2 2 3" xfId="7806" xr:uid="{00000000-0005-0000-0000-0000CD750000}"/>
    <cellStyle name="Note 2 3 2 2 3 2" xfId="7807" xr:uid="{00000000-0005-0000-0000-0000CE750000}"/>
    <cellStyle name="Note 2 3 2 2 3 2 2" xfId="13289" xr:uid="{00000000-0005-0000-0000-0000CF750000}"/>
    <cellStyle name="Note 2 3 2 2 3 2 3" xfId="32068" xr:uid="{00000000-0005-0000-0000-0000D0750000}"/>
    <cellStyle name="Note 2 3 2 2 3 3" xfId="12330" xr:uid="{00000000-0005-0000-0000-0000D1750000}"/>
    <cellStyle name="Note 2 3 2 2 3 3 2" xfId="26042" xr:uid="{00000000-0005-0000-0000-0000D2750000}"/>
    <cellStyle name="Note 2 3 2 2 3 4" xfId="32067" xr:uid="{00000000-0005-0000-0000-0000D3750000}"/>
    <cellStyle name="Note 2 3 2 2 4" xfId="7808" xr:uid="{00000000-0005-0000-0000-0000D4750000}"/>
    <cellStyle name="Note 2 3 2 2 4 2" xfId="7809" xr:uid="{00000000-0005-0000-0000-0000D5750000}"/>
    <cellStyle name="Note 2 3 2 2 4 2 2" xfId="15724" xr:uid="{00000000-0005-0000-0000-0000D6750000}"/>
    <cellStyle name="Note 2 3 2 2 4 2 3" xfId="32070" xr:uid="{00000000-0005-0000-0000-0000D7750000}"/>
    <cellStyle name="Note 2 3 2 2 4 3" xfId="13894" xr:uid="{00000000-0005-0000-0000-0000D8750000}"/>
    <cellStyle name="Note 2 3 2 2 4 3 2" xfId="27443" xr:uid="{00000000-0005-0000-0000-0000D9750000}"/>
    <cellStyle name="Note 2 3 2 2 4 4" xfId="32069" xr:uid="{00000000-0005-0000-0000-0000DA750000}"/>
    <cellStyle name="Note 2 3 2 2 5" xfId="7810" xr:uid="{00000000-0005-0000-0000-0000DB750000}"/>
    <cellStyle name="Note 2 3 2 2 5 2" xfId="14475" xr:uid="{00000000-0005-0000-0000-0000DC750000}"/>
    <cellStyle name="Note 2 3 2 2 5 2 2" xfId="28024" xr:uid="{00000000-0005-0000-0000-0000DD750000}"/>
    <cellStyle name="Note 2 3 2 2 5 3" xfId="32071" xr:uid="{00000000-0005-0000-0000-0000DE750000}"/>
    <cellStyle name="Note 2 3 2 2 6" xfId="7811" xr:uid="{00000000-0005-0000-0000-0000DF750000}"/>
    <cellStyle name="Note 2 3 2 2 6 2" xfId="16361" xr:uid="{00000000-0005-0000-0000-0000E0750000}"/>
    <cellStyle name="Note 2 3 2 2 6 2 2" xfId="29768" xr:uid="{00000000-0005-0000-0000-0000E1750000}"/>
    <cellStyle name="Note 2 3 2 2 6 3" xfId="32072" xr:uid="{00000000-0005-0000-0000-0000E2750000}"/>
    <cellStyle name="Note 2 3 2 2 7" xfId="10258" xr:uid="{00000000-0005-0000-0000-0000E3750000}"/>
    <cellStyle name="Note 2 3 2 2 8" xfId="32063" xr:uid="{00000000-0005-0000-0000-0000E4750000}"/>
    <cellStyle name="Note 2 3 2 3" xfId="7812" xr:uid="{00000000-0005-0000-0000-0000E5750000}"/>
    <cellStyle name="Note 2 3 2 3 2" xfId="7813" xr:uid="{00000000-0005-0000-0000-0000E6750000}"/>
    <cellStyle name="Note 2 3 2 3 2 2" xfId="11611" xr:uid="{00000000-0005-0000-0000-0000E7750000}"/>
    <cellStyle name="Note 2 3 2 3 2 3" xfId="32074" xr:uid="{00000000-0005-0000-0000-0000E8750000}"/>
    <cellStyle name="Note 2 3 2 3 3" xfId="7814" xr:uid="{00000000-0005-0000-0000-0000E9750000}"/>
    <cellStyle name="Note 2 3 2 3 3 2" xfId="16653" xr:uid="{00000000-0005-0000-0000-0000EA750000}"/>
    <cellStyle name="Note 2 3 2 3 3 2 2" xfId="30060" xr:uid="{00000000-0005-0000-0000-0000EB750000}"/>
    <cellStyle name="Note 2 3 2 3 3 3" xfId="32075" xr:uid="{00000000-0005-0000-0000-0000EC750000}"/>
    <cellStyle name="Note 2 3 2 3 4" xfId="10260" xr:uid="{00000000-0005-0000-0000-0000ED750000}"/>
    <cellStyle name="Note 2 3 2 3 5" xfId="32073" xr:uid="{00000000-0005-0000-0000-0000EE750000}"/>
    <cellStyle name="Note 2 3 2 4" xfId="7815" xr:uid="{00000000-0005-0000-0000-0000EF750000}"/>
    <cellStyle name="Note 2 3 2 4 2" xfId="7816" xr:uid="{00000000-0005-0000-0000-0000F0750000}"/>
    <cellStyle name="Note 2 3 2 4 2 2" xfId="13290" xr:uid="{00000000-0005-0000-0000-0000F1750000}"/>
    <cellStyle name="Note 2 3 2 4 2 3" xfId="32077" xr:uid="{00000000-0005-0000-0000-0000F2750000}"/>
    <cellStyle name="Note 2 3 2 4 3" xfId="12030" xr:uid="{00000000-0005-0000-0000-0000F3750000}"/>
    <cellStyle name="Note 2 3 2 4 3 2" xfId="25745" xr:uid="{00000000-0005-0000-0000-0000F4750000}"/>
    <cellStyle name="Note 2 3 2 4 4" xfId="32076" xr:uid="{00000000-0005-0000-0000-0000F5750000}"/>
    <cellStyle name="Note 2 3 2 5" xfId="7817" xr:uid="{00000000-0005-0000-0000-0000F6750000}"/>
    <cellStyle name="Note 2 3 2 5 2" xfId="7818" xr:uid="{00000000-0005-0000-0000-0000F7750000}"/>
    <cellStyle name="Note 2 3 2 5 2 2" xfId="15725" xr:uid="{00000000-0005-0000-0000-0000F8750000}"/>
    <cellStyle name="Note 2 3 2 5 2 3" xfId="32079" xr:uid="{00000000-0005-0000-0000-0000F9750000}"/>
    <cellStyle name="Note 2 3 2 5 3" xfId="13605" xr:uid="{00000000-0005-0000-0000-0000FA750000}"/>
    <cellStyle name="Note 2 3 2 5 3 2" xfId="27154" xr:uid="{00000000-0005-0000-0000-0000FB750000}"/>
    <cellStyle name="Note 2 3 2 5 4" xfId="32078" xr:uid="{00000000-0005-0000-0000-0000FC750000}"/>
    <cellStyle name="Note 2 3 2 6" xfId="7819" xr:uid="{00000000-0005-0000-0000-0000FD750000}"/>
    <cellStyle name="Note 2 3 2 6 2" xfId="14186" xr:uid="{00000000-0005-0000-0000-0000FE750000}"/>
    <cellStyle name="Note 2 3 2 6 2 2" xfId="27735" xr:uid="{00000000-0005-0000-0000-0000FF750000}"/>
    <cellStyle name="Note 2 3 2 6 3" xfId="32080" xr:uid="{00000000-0005-0000-0000-000000760000}"/>
    <cellStyle name="Note 2 3 2 7" xfId="7820" xr:uid="{00000000-0005-0000-0000-000001760000}"/>
    <cellStyle name="Note 2 3 2 7 2" xfId="16072" xr:uid="{00000000-0005-0000-0000-000002760000}"/>
    <cellStyle name="Note 2 3 2 7 2 2" xfId="29479" xr:uid="{00000000-0005-0000-0000-000003760000}"/>
    <cellStyle name="Note 2 3 2 7 3" xfId="32081" xr:uid="{00000000-0005-0000-0000-000004760000}"/>
    <cellStyle name="Note 2 3 2 8" xfId="10257" xr:uid="{00000000-0005-0000-0000-000005760000}"/>
    <cellStyle name="Note 2 3 2 9" xfId="32062" xr:uid="{00000000-0005-0000-0000-000006760000}"/>
    <cellStyle name="Note 2 3 3" xfId="7821" xr:uid="{00000000-0005-0000-0000-000007760000}"/>
    <cellStyle name="Note 2 3 3 2" xfId="7822" xr:uid="{00000000-0005-0000-0000-000008760000}"/>
    <cellStyle name="Note 2 3 3 2 2" xfId="7823" xr:uid="{00000000-0005-0000-0000-000009760000}"/>
    <cellStyle name="Note 2 3 3 2 2 2" xfId="11612" xr:uid="{00000000-0005-0000-0000-00000A760000}"/>
    <cellStyle name="Note 2 3 3 2 2 3" xfId="32084" xr:uid="{00000000-0005-0000-0000-00000B760000}"/>
    <cellStyle name="Note 2 3 3 2 3" xfId="7824" xr:uid="{00000000-0005-0000-0000-00000C760000}"/>
    <cellStyle name="Note 2 3 3 2 3 2" xfId="16799" xr:uid="{00000000-0005-0000-0000-00000D760000}"/>
    <cellStyle name="Note 2 3 3 2 3 2 2" xfId="30206" xr:uid="{00000000-0005-0000-0000-00000E760000}"/>
    <cellStyle name="Note 2 3 3 2 3 3" xfId="32085" xr:uid="{00000000-0005-0000-0000-00000F760000}"/>
    <cellStyle name="Note 2 3 3 2 4" xfId="10262" xr:uid="{00000000-0005-0000-0000-000010760000}"/>
    <cellStyle name="Note 2 3 3 2 5" xfId="32083" xr:uid="{00000000-0005-0000-0000-000011760000}"/>
    <cellStyle name="Note 2 3 3 3" xfId="7825" xr:uid="{00000000-0005-0000-0000-000012760000}"/>
    <cellStyle name="Note 2 3 3 3 2" xfId="7826" xr:uid="{00000000-0005-0000-0000-000013760000}"/>
    <cellStyle name="Note 2 3 3 3 2 2" xfId="13291" xr:uid="{00000000-0005-0000-0000-000014760000}"/>
    <cellStyle name="Note 2 3 3 3 2 3" xfId="32087" xr:uid="{00000000-0005-0000-0000-000015760000}"/>
    <cellStyle name="Note 2 3 3 3 3" xfId="12187" xr:uid="{00000000-0005-0000-0000-000016760000}"/>
    <cellStyle name="Note 2 3 3 3 3 2" xfId="25899" xr:uid="{00000000-0005-0000-0000-000017760000}"/>
    <cellStyle name="Note 2 3 3 3 4" xfId="32086" xr:uid="{00000000-0005-0000-0000-000018760000}"/>
    <cellStyle name="Note 2 3 3 4" xfId="7827" xr:uid="{00000000-0005-0000-0000-000019760000}"/>
    <cellStyle name="Note 2 3 3 4 2" xfId="7828" xr:uid="{00000000-0005-0000-0000-00001A760000}"/>
    <cellStyle name="Note 2 3 3 4 2 2" xfId="15726" xr:uid="{00000000-0005-0000-0000-00001B760000}"/>
    <cellStyle name="Note 2 3 3 4 2 3" xfId="32089" xr:uid="{00000000-0005-0000-0000-00001C760000}"/>
    <cellStyle name="Note 2 3 3 4 3" xfId="13751" xr:uid="{00000000-0005-0000-0000-00001D760000}"/>
    <cellStyle name="Note 2 3 3 4 3 2" xfId="27300" xr:uid="{00000000-0005-0000-0000-00001E760000}"/>
    <cellStyle name="Note 2 3 3 4 4" xfId="32088" xr:uid="{00000000-0005-0000-0000-00001F760000}"/>
    <cellStyle name="Note 2 3 3 5" xfId="7829" xr:uid="{00000000-0005-0000-0000-000020760000}"/>
    <cellStyle name="Note 2 3 3 5 2" xfId="14332" xr:uid="{00000000-0005-0000-0000-000021760000}"/>
    <cellStyle name="Note 2 3 3 5 2 2" xfId="27881" xr:uid="{00000000-0005-0000-0000-000022760000}"/>
    <cellStyle name="Note 2 3 3 5 3" xfId="32090" xr:uid="{00000000-0005-0000-0000-000023760000}"/>
    <cellStyle name="Note 2 3 3 6" xfId="7830" xr:uid="{00000000-0005-0000-0000-000024760000}"/>
    <cellStyle name="Note 2 3 3 6 2" xfId="16218" xr:uid="{00000000-0005-0000-0000-000025760000}"/>
    <cellStyle name="Note 2 3 3 6 2 2" xfId="29625" xr:uid="{00000000-0005-0000-0000-000026760000}"/>
    <cellStyle name="Note 2 3 3 6 3" xfId="32091" xr:uid="{00000000-0005-0000-0000-000027760000}"/>
    <cellStyle name="Note 2 3 3 7" xfId="10261" xr:uid="{00000000-0005-0000-0000-000028760000}"/>
    <cellStyle name="Note 2 3 3 8" xfId="32082" xr:uid="{00000000-0005-0000-0000-000029760000}"/>
    <cellStyle name="Note 2 3 4" xfId="7831" xr:uid="{00000000-0005-0000-0000-00002A760000}"/>
    <cellStyle name="Note 2 3 4 2" xfId="7832" xr:uid="{00000000-0005-0000-0000-00002B760000}"/>
    <cellStyle name="Note 2 3 4 2 2" xfId="17146" xr:uid="{00000000-0005-0000-0000-00002C760000}"/>
    <cellStyle name="Note 2 3 4 2 2 2" xfId="30505" xr:uid="{00000000-0005-0000-0000-00002D760000}"/>
    <cellStyle name="Note 2 3 4 2 3" xfId="32093" xr:uid="{00000000-0005-0000-0000-00002E760000}"/>
    <cellStyle name="Note 2 3 4 3" xfId="10263" xr:uid="{00000000-0005-0000-0000-00002F760000}"/>
    <cellStyle name="Note 2 3 4 4" xfId="32092" xr:uid="{00000000-0005-0000-0000-000030760000}"/>
    <cellStyle name="Note 2 3 5" xfId="7833" xr:uid="{00000000-0005-0000-0000-000031760000}"/>
    <cellStyle name="Note 2 3 5 2" xfId="7834" xr:uid="{00000000-0005-0000-0000-000032760000}"/>
    <cellStyle name="Note 2 3 5 2 2" xfId="11613" xr:uid="{00000000-0005-0000-0000-000033760000}"/>
    <cellStyle name="Note 2 3 5 2 3" xfId="32095" xr:uid="{00000000-0005-0000-0000-000034760000}"/>
    <cellStyle name="Note 2 3 5 3" xfId="7835" xr:uid="{00000000-0005-0000-0000-000035760000}"/>
    <cellStyle name="Note 2 3 5 3 2" xfId="17235" xr:uid="{00000000-0005-0000-0000-000036760000}"/>
    <cellStyle name="Note 2 3 5 3 2 2" xfId="30594" xr:uid="{00000000-0005-0000-0000-000037760000}"/>
    <cellStyle name="Note 2 3 5 3 3" xfId="32096" xr:uid="{00000000-0005-0000-0000-000038760000}"/>
    <cellStyle name="Note 2 3 5 4" xfId="10264" xr:uid="{00000000-0005-0000-0000-000039760000}"/>
    <cellStyle name="Note 2 3 5 5" xfId="32094" xr:uid="{00000000-0005-0000-0000-00003A760000}"/>
    <cellStyle name="Note 2 3 6" xfId="7836" xr:uid="{00000000-0005-0000-0000-00003B760000}"/>
    <cellStyle name="Note 2 3 6 2" xfId="7837" xr:uid="{00000000-0005-0000-0000-00003C760000}"/>
    <cellStyle name="Note 2 3 6 2 2" xfId="13292" xr:uid="{00000000-0005-0000-0000-00003D760000}"/>
    <cellStyle name="Note 2 3 6 2 3" xfId="32098" xr:uid="{00000000-0005-0000-0000-00003E760000}"/>
    <cellStyle name="Note 2 3 6 3" xfId="7838" xr:uid="{00000000-0005-0000-0000-00003F760000}"/>
    <cellStyle name="Note 2 3 6 3 2" xfId="16510" xr:uid="{00000000-0005-0000-0000-000040760000}"/>
    <cellStyle name="Note 2 3 6 3 2 2" xfId="29917" xr:uid="{00000000-0005-0000-0000-000041760000}"/>
    <cellStyle name="Note 2 3 6 3 3" xfId="32099" xr:uid="{00000000-0005-0000-0000-000042760000}"/>
    <cellStyle name="Note 2 3 6 4" xfId="11885" xr:uid="{00000000-0005-0000-0000-000043760000}"/>
    <cellStyle name="Note 2 3 6 4 2" xfId="25600" xr:uid="{00000000-0005-0000-0000-000044760000}"/>
    <cellStyle name="Note 2 3 6 5" xfId="32097" xr:uid="{00000000-0005-0000-0000-000045760000}"/>
    <cellStyle name="Note 2 3 7" xfId="7839" xr:uid="{00000000-0005-0000-0000-000046760000}"/>
    <cellStyle name="Note 2 3 7 2" xfId="7840" xr:uid="{00000000-0005-0000-0000-000047760000}"/>
    <cellStyle name="Note 2 3 7 2 2" xfId="15727" xr:uid="{00000000-0005-0000-0000-000048760000}"/>
    <cellStyle name="Note 2 3 7 2 3" xfId="32101" xr:uid="{00000000-0005-0000-0000-000049760000}"/>
    <cellStyle name="Note 2 3 7 3" xfId="13462" xr:uid="{00000000-0005-0000-0000-00004A760000}"/>
    <cellStyle name="Note 2 3 7 3 2" xfId="27011" xr:uid="{00000000-0005-0000-0000-00004B760000}"/>
    <cellStyle name="Note 2 3 7 4" xfId="32100" xr:uid="{00000000-0005-0000-0000-00004C760000}"/>
    <cellStyle name="Note 2 3 8" xfId="7841" xr:uid="{00000000-0005-0000-0000-00004D760000}"/>
    <cellStyle name="Note 2 3 8 2" xfId="14043" xr:uid="{00000000-0005-0000-0000-00004E760000}"/>
    <cellStyle name="Note 2 3 8 2 2" xfId="27592" xr:uid="{00000000-0005-0000-0000-00004F760000}"/>
    <cellStyle name="Note 2 3 8 3" xfId="32102" xr:uid="{00000000-0005-0000-0000-000050760000}"/>
    <cellStyle name="Note 2 3 9" xfId="7842" xr:uid="{00000000-0005-0000-0000-000051760000}"/>
    <cellStyle name="Note 2 3 9 2" xfId="15929" xr:uid="{00000000-0005-0000-0000-000052760000}"/>
    <cellStyle name="Note 2 3 9 2 2" xfId="29336" xr:uid="{00000000-0005-0000-0000-000053760000}"/>
    <cellStyle name="Note 2 3 9 3" xfId="32103" xr:uid="{00000000-0005-0000-0000-000054760000}"/>
    <cellStyle name="Note 2 4" xfId="7843" xr:uid="{00000000-0005-0000-0000-000055760000}"/>
    <cellStyle name="Note 2 4 10" xfId="32104" xr:uid="{00000000-0005-0000-0000-000056760000}"/>
    <cellStyle name="Note 2 4 2" xfId="7844" xr:uid="{00000000-0005-0000-0000-000057760000}"/>
    <cellStyle name="Note 2 4 2 2" xfId="7845" xr:uid="{00000000-0005-0000-0000-000058760000}"/>
    <cellStyle name="Note 2 4 2 2 2" xfId="7846" xr:uid="{00000000-0005-0000-0000-000059760000}"/>
    <cellStyle name="Note 2 4 2 2 2 2" xfId="7847" xr:uid="{00000000-0005-0000-0000-00005A760000}"/>
    <cellStyle name="Note 2 4 2 2 2 2 2" xfId="11614" xr:uid="{00000000-0005-0000-0000-00005B760000}"/>
    <cellStyle name="Note 2 4 2 2 2 2 3" xfId="32108" xr:uid="{00000000-0005-0000-0000-00005C760000}"/>
    <cellStyle name="Note 2 4 2 2 2 3" xfId="7848" xr:uid="{00000000-0005-0000-0000-00005D760000}"/>
    <cellStyle name="Note 2 4 2 2 2 3 2" xfId="16896" xr:uid="{00000000-0005-0000-0000-00005E760000}"/>
    <cellStyle name="Note 2 4 2 2 2 3 2 2" xfId="30303" xr:uid="{00000000-0005-0000-0000-00005F760000}"/>
    <cellStyle name="Note 2 4 2 2 2 3 3" xfId="32109" xr:uid="{00000000-0005-0000-0000-000060760000}"/>
    <cellStyle name="Note 2 4 2 2 2 4" xfId="10268" xr:uid="{00000000-0005-0000-0000-000061760000}"/>
    <cellStyle name="Note 2 4 2 2 2 5" xfId="32107" xr:uid="{00000000-0005-0000-0000-000062760000}"/>
    <cellStyle name="Note 2 4 2 2 3" xfId="7849" xr:uid="{00000000-0005-0000-0000-000063760000}"/>
    <cellStyle name="Note 2 4 2 2 3 2" xfId="7850" xr:uid="{00000000-0005-0000-0000-000064760000}"/>
    <cellStyle name="Note 2 4 2 2 3 2 2" xfId="13293" xr:uid="{00000000-0005-0000-0000-000065760000}"/>
    <cellStyle name="Note 2 4 2 2 3 2 3" xfId="32111" xr:uid="{00000000-0005-0000-0000-000066760000}"/>
    <cellStyle name="Note 2 4 2 2 3 3" xfId="12284" xr:uid="{00000000-0005-0000-0000-000067760000}"/>
    <cellStyle name="Note 2 4 2 2 3 3 2" xfId="25996" xr:uid="{00000000-0005-0000-0000-000068760000}"/>
    <cellStyle name="Note 2 4 2 2 3 4" xfId="32110" xr:uid="{00000000-0005-0000-0000-000069760000}"/>
    <cellStyle name="Note 2 4 2 2 4" xfId="7851" xr:uid="{00000000-0005-0000-0000-00006A760000}"/>
    <cellStyle name="Note 2 4 2 2 4 2" xfId="7852" xr:uid="{00000000-0005-0000-0000-00006B760000}"/>
    <cellStyle name="Note 2 4 2 2 4 2 2" xfId="15728" xr:uid="{00000000-0005-0000-0000-00006C760000}"/>
    <cellStyle name="Note 2 4 2 2 4 2 3" xfId="32113" xr:uid="{00000000-0005-0000-0000-00006D760000}"/>
    <cellStyle name="Note 2 4 2 2 4 3" xfId="13848" xr:uid="{00000000-0005-0000-0000-00006E760000}"/>
    <cellStyle name="Note 2 4 2 2 4 3 2" xfId="27397" xr:uid="{00000000-0005-0000-0000-00006F760000}"/>
    <cellStyle name="Note 2 4 2 2 4 4" xfId="32112" xr:uid="{00000000-0005-0000-0000-000070760000}"/>
    <cellStyle name="Note 2 4 2 2 5" xfId="7853" xr:uid="{00000000-0005-0000-0000-000071760000}"/>
    <cellStyle name="Note 2 4 2 2 5 2" xfId="14429" xr:uid="{00000000-0005-0000-0000-000072760000}"/>
    <cellStyle name="Note 2 4 2 2 5 2 2" xfId="27978" xr:uid="{00000000-0005-0000-0000-000073760000}"/>
    <cellStyle name="Note 2 4 2 2 5 3" xfId="32114" xr:uid="{00000000-0005-0000-0000-000074760000}"/>
    <cellStyle name="Note 2 4 2 2 6" xfId="7854" xr:uid="{00000000-0005-0000-0000-000075760000}"/>
    <cellStyle name="Note 2 4 2 2 6 2" xfId="16315" xr:uid="{00000000-0005-0000-0000-000076760000}"/>
    <cellStyle name="Note 2 4 2 2 6 2 2" xfId="29722" xr:uid="{00000000-0005-0000-0000-000077760000}"/>
    <cellStyle name="Note 2 4 2 2 6 3" xfId="32115" xr:uid="{00000000-0005-0000-0000-000078760000}"/>
    <cellStyle name="Note 2 4 2 2 7" xfId="10267" xr:uid="{00000000-0005-0000-0000-000079760000}"/>
    <cellStyle name="Note 2 4 2 2 8" xfId="32106" xr:uid="{00000000-0005-0000-0000-00007A760000}"/>
    <cellStyle name="Note 2 4 2 3" xfId="7855" xr:uid="{00000000-0005-0000-0000-00007B760000}"/>
    <cellStyle name="Note 2 4 2 3 2" xfId="7856" xr:uid="{00000000-0005-0000-0000-00007C760000}"/>
    <cellStyle name="Note 2 4 2 3 2 2" xfId="11615" xr:uid="{00000000-0005-0000-0000-00007D760000}"/>
    <cellStyle name="Note 2 4 2 3 2 3" xfId="32117" xr:uid="{00000000-0005-0000-0000-00007E760000}"/>
    <cellStyle name="Note 2 4 2 3 3" xfId="7857" xr:uid="{00000000-0005-0000-0000-00007F760000}"/>
    <cellStyle name="Note 2 4 2 3 3 2" xfId="16607" xr:uid="{00000000-0005-0000-0000-000080760000}"/>
    <cellStyle name="Note 2 4 2 3 3 2 2" xfId="30014" xr:uid="{00000000-0005-0000-0000-000081760000}"/>
    <cellStyle name="Note 2 4 2 3 3 3" xfId="32118" xr:uid="{00000000-0005-0000-0000-000082760000}"/>
    <cellStyle name="Note 2 4 2 3 4" xfId="10269" xr:uid="{00000000-0005-0000-0000-000083760000}"/>
    <cellStyle name="Note 2 4 2 3 5" xfId="32116" xr:uid="{00000000-0005-0000-0000-000084760000}"/>
    <cellStyle name="Note 2 4 2 4" xfId="7858" xr:uid="{00000000-0005-0000-0000-000085760000}"/>
    <cellStyle name="Note 2 4 2 4 2" xfId="7859" xr:uid="{00000000-0005-0000-0000-000086760000}"/>
    <cellStyle name="Note 2 4 2 4 2 2" xfId="13294" xr:uid="{00000000-0005-0000-0000-000087760000}"/>
    <cellStyle name="Note 2 4 2 4 2 3" xfId="32120" xr:uid="{00000000-0005-0000-0000-000088760000}"/>
    <cellStyle name="Note 2 4 2 4 3" xfId="11984" xr:uid="{00000000-0005-0000-0000-000089760000}"/>
    <cellStyle name="Note 2 4 2 4 3 2" xfId="25699" xr:uid="{00000000-0005-0000-0000-00008A760000}"/>
    <cellStyle name="Note 2 4 2 4 4" xfId="32119" xr:uid="{00000000-0005-0000-0000-00008B760000}"/>
    <cellStyle name="Note 2 4 2 5" xfId="7860" xr:uid="{00000000-0005-0000-0000-00008C760000}"/>
    <cellStyle name="Note 2 4 2 5 2" xfId="7861" xr:uid="{00000000-0005-0000-0000-00008D760000}"/>
    <cellStyle name="Note 2 4 2 5 2 2" xfId="15729" xr:uid="{00000000-0005-0000-0000-00008E760000}"/>
    <cellStyle name="Note 2 4 2 5 2 3" xfId="32122" xr:uid="{00000000-0005-0000-0000-00008F760000}"/>
    <cellStyle name="Note 2 4 2 5 3" xfId="13559" xr:uid="{00000000-0005-0000-0000-000090760000}"/>
    <cellStyle name="Note 2 4 2 5 3 2" xfId="27108" xr:uid="{00000000-0005-0000-0000-000091760000}"/>
    <cellStyle name="Note 2 4 2 5 4" xfId="32121" xr:uid="{00000000-0005-0000-0000-000092760000}"/>
    <cellStyle name="Note 2 4 2 6" xfId="7862" xr:uid="{00000000-0005-0000-0000-000093760000}"/>
    <cellStyle name="Note 2 4 2 6 2" xfId="14140" xr:uid="{00000000-0005-0000-0000-000094760000}"/>
    <cellStyle name="Note 2 4 2 6 2 2" xfId="27689" xr:uid="{00000000-0005-0000-0000-000095760000}"/>
    <cellStyle name="Note 2 4 2 6 3" xfId="32123" xr:uid="{00000000-0005-0000-0000-000096760000}"/>
    <cellStyle name="Note 2 4 2 7" xfId="7863" xr:uid="{00000000-0005-0000-0000-000097760000}"/>
    <cellStyle name="Note 2 4 2 7 2" xfId="16026" xr:uid="{00000000-0005-0000-0000-000098760000}"/>
    <cellStyle name="Note 2 4 2 7 2 2" xfId="29433" xr:uid="{00000000-0005-0000-0000-000099760000}"/>
    <cellStyle name="Note 2 4 2 7 3" xfId="32124" xr:uid="{00000000-0005-0000-0000-00009A760000}"/>
    <cellStyle name="Note 2 4 2 8" xfId="10266" xr:uid="{00000000-0005-0000-0000-00009B760000}"/>
    <cellStyle name="Note 2 4 2 9" xfId="32105" xr:uid="{00000000-0005-0000-0000-00009C760000}"/>
    <cellStyle name="Note 2 4 3" xfId="7864" xr:uid="{00000000-0005-0000-0000-00009D760000}"/>
    <cellStyle name="Note 2 4 3 2" xfId="7865" xr:uid="{00000000-0005-0000-0000-00009E760000}"/>
    <cellStyle name="Note 2 4 3 2 2" xfId="7866" xr:uid="{00000000-0005-0000-0000-00009F760000}"/>
    <cellStyle name="Note 2 4 3 2 2 2" xfId="11616" xr:uid="{00000000-0005-0000-0000-0000A0760000}"/>
    <cellStyle name="Note 2 4 3 2 2 3" xfId="32127" xr:uid="{00000000-0005-0000-0000-0000A1760000}"/>
    <cellStyle name="Note 2 4 3 2 3" xfId="7867" xr:uid="{00000000-0005-0000-0000-0000A2760000}"/>
    <cellStyle name="Note 2 4 3 2 3 2" xfId="16756" xr:uid="{00000000-0005-0000-0000-0000A3760000}"/>
    <cellStyle name="Note 2 4 3 2 3 2 2" xfId="30163" xr:uid="{00000000-0005-0000-0000-0000A4760000}"/>
    <cellStyle name="Note 2 4 3 2 3 3" xfId="32128" xr:uid="{00000000-0005-0000-0000-0000A5760000}"/>
    <cellStyle name="Note 2 4 3 2 4" xfId="10271" xr:uid="{00000000-0005-0000-0000-0000A6760000}"/>
    <cellStyle name="Note 2 4 3 2 5" xfId="32126" xr:uid="{00000000-0005-0000-0000-0000A7760000}"/>
    <cellStyle name="Note 2 4 3 3" xfId="7868" xr:uid="{00000000-0005-0000-0000-0000A8760000}"/>
    <cellStyle name="Note 2 4 3 3 2" xfId="7869" xr:uid="{00000000-0005-0000-0000-0000A9760000}"/>
    <cellStyle name="Note 2 4 3 3 2 2" xfId="13295" xr:uid="{00000000-0005-0000-0000-0000AA760000}"/>
    <cellStyle name="Note 2 4 3 3 2 3" xfId="32130" xr:uid="{00000000-0005-0000-0000-0000AB760000}"/>
    <cellStyle name="Note 2 4 3 3 3" xfId="12144" xr:uid="{00000000-0005-0000-0000-0000AC760000}"/>
    <cellStyle name="Note 2 4 3 3 3 2" xfId="25856" xr:uid="{00000000-0005-0000-0000-0000AD760000}"/>
    <cellStyle name="Note 2 4 3 3 4" xfId="32129" xr:uid="{00000000-0005-0000-0000-0000AE760000}"/>
    <cellStyle name="Note 2 4 3 4" xfId="7870" xr:uid="{00000000-0005-0000-0000-0000AF760000}"/>
    <cellStyle name="Note 2 4 3 4 2" xfId="7871" xr:uid="{00000000-0005-0000-0000-0000B0760000}"/>
    <cellStyle name="Note 2 4 3 4 2 2" xfId="15730" xr:uid="{00000000-0005-0000-0000-0000B1760000}"/>
    <cellStyle name="Note 2 4 3 4 2 3" xfId="32132" xr:uid="{00000000-0005-0000-0000-0000B2760000}"/>
    <cellStyle name="Note 2 4 3 4 3" xfId="13708" xr:uid="{00000000-0005-0000-0000-0000B3760000}"/>
    <cellStyle name="Note 2 4 3 4 3 2" xfId="27257" xr:uid="{00000000-0005-0000-0000-0000B4760000}"/>
    <cellStyle name="Note 2 4 3 4 4" xfId="32131" xr:uid="{00000000-0005-0000-0000-0000B5760000}"/>
    <cellStyle name="Note 2 4 3 5" xfId="7872" xr:uid="{00000000-0005-0000-0000-0000B6760000}"/>
    <cellStyle name="Note 2 4 3 5 2" xfId="14289" xr:uid="{00000000-0005-0000-0000-0000B7760000}"/>
    <cellStyle name="Note 2 4 3 5 2 2" xfId="27838" xr:uid="{00000000-0005-0000-0000-0000B8760000}"/>
    <cellStyle name="Note 2 4 3 5 3" xfId="32133" xr:uid="{00000000-0005-0000-0000-0000B9760000}"/>
    <cellStyle name="Note 2 4 3 6" xfId="7873" xr:uid="{00000000-0005-0000-0000-0000BA760000}"/>
    <cellStyle name="Note 2 4 3 6 2" xfId="16175" xr:uid="{00000000-0005-0000-0000-0000BB760000}"/>
    <cellStyle name="Note 2 4 3 6 2 2" xfId="29582" xr:uid="{00000000-0005-0000-0000-0000BC760000}"/>
    <cellStyle name="Note 2 4 3 6 3" xfId="32134" xr:uid="{00000000-0005-0000-0000-0000BD760000}"/>
    <cellStyle name="Note 2 4 3 7" xfId="10270" xr:uid="{00000000-0005-0000-0000-0000BE760000}"/>
    <cellStyle name="Note 2 4 3 8" xfId="32125" xr:uid="{00000000-0005-0000-0000-0000BF760000}"/>
    <cellStyle name="Note 2 4 4" xfId="7874" xr:uid="{00000000-0005-0000-0000-0000C0760000}"/>
    <cellStyle name="Note 2 4 4 2" xfId="7875" xr:uid="{00000000-0005-0000-0000-0000C1760000}"/>
    <cellStyle name="Note 2 4 4 2 2" xfId="11617" xr:uid="{00000000-0005-0000-0000-0000C2760000}"/>
    <cellStyle name="Note 2 4 4 2 3" xfId="32136" xr:uid="{00000000-0005-0000-0000-0000C3760000}"/>
    <cellStyle name="Note 2 4 4 3" xfId="7876" xr:uid="{00000000-0005-0000-0000-0000C4760000}"/>
    <cellStyle name="Note 2 4 4 3 2" xfId="16464" xr:uid="{00000000-0005-0000-0000-0000C5760000}"/>
    <cellStyle name="Note 2 4 4 3 2 2" xfId="29871" xr:uid="{00000000-0005-0000-0000-0000C6760000}"/>
    <cellStyle name="Note 2 4 4 3 3" xfId="32137" xr:uid="{00000000-0005-0000-0000-0000C7760000}"/>
    <cellStyle name="Note 2 4 4 4" xfId="10272" xr:uid="{00000000-0005-0000-0000-0000C8760000}"/>
    <cellStyle name="Note 2 4 4 5" xfId="32135" xr:uid="{00000000-0005-0000-0000-0000C9760000}"/>
    <cellStyle name="Note 2 4 5" xfId="7877" xr:uid="{00000000-0005-0000-0000-0000CA760000}"/>
    <cellStyle name="Note 2 4 5 2" xfId="7878" xr:uid="{00000000-0005-0000-0000-0000CB760000}"/>
    <cellStyle name="Note 2 4 5 2 2" xfId="13296" xr:uid="{00000000-0005-0000-0000-0000CC760000}"/>
    <cellStyle name="Note 2 4 5 2 3" xfId="32139" xr:uid="{00000000-0005-0000-0000-0000CD760000}"/>
    <cellStyle name="Note 2 4 5 3" xfId="11815" xr:uid="{00000000-0005-0000-0000-0000CE760000}"/>
    <cellStyle name="Note 2 4 5 3 2" xfId="25530" xr:uid="{00000000-0005-0000-0000-0000CF760000}"/>
    <cellStyle name="Note 2 4 5 4" xfId="32138" xr:uid="{00000000-0005-0000-0000-0000D0760000}"/>
    <cellStyle name="Note 2 4 6" xfId="7879" xr:uid="{00000000-0005-0000-0000-0000D1760000}"/>
    <cellStyle name="Note 2 4 6 2" xfId="7880" xr:uid="{00000000-0005-0000-0000-0000D2760000}"/>
    <cellStyle name="Note 2 4 6 2 2" xfId="15731" xr:uid="{00000000-0005-0000-0000-0000D3760000}"/>
    <cellStyle name="Note 2 4 6 2 3" xfId="32141" xr:uid="{00000000-0005-0000-0000-0000D4760000}"/>
    <cellStyle name="Note 2 4 6 3" xfId="13416" xr:uid="{00000000-0005-0000-0000-0000D5760000}"/>
    <cellStyle name="Note 2 4 6 3 2" xfId="26965" xr:uid="{00000000-0005-0000-0000-0000D6760000}"/>
    <cellStyle name="Note 2 4 6 4" xfId="32140" xr:uid="{00000000-0005-0000-0000-0000D7760000}"/>
    <cellStyle name="Note 2 4 7" xfId="7881" xr:uid="{00000000-0005-0000-0000-0000D8760000}"/>
    <cellStyle name="Note 2 4 7 2" xfId="13997" xr:uid="{00000000-0005-0000-0000-0000D9760000}"/>
    <cellStyle name="Note 2 4 7 2 2" xfId="27546" xr:uid="{00000000-0005-0000-0000-0000DA760000}"/>
    <cellStyle name="Note 2 4 7 3" xfId="32142" xr:uid="{00000000-0005-0000-0000-0000DB760000}"/>
    <cellStyle name="Note 2 4 8" xfId="7882" xr:uid="{00000000-0005-0000-0000-0000DC760000}"/>
    <cellStyle name="Note 2 4 8 2" xfId="15883" xr:uid="{00000000-0005-0000-0000-0000DD760000}"/>
    <cellStyle name="Note 2 4 8 2 2" xfId="29290" xr:uid="{00000000-0005-0000-0000-0000DE760000}"/>
    <cellStyle name="Note 2 4 8 3" xfId="32143" xr:uid="{00000000-0005-0000-0000-0000DF760000}"/>
    <cellStyle name="Note 2 4 9" xfId="10265" xr:uid="{00000000-0005-0000-0000-0000E0760000}"/>
    <cellStyle name="Note 2 5" xfId="7883" xr:uid="{00000000-0005-0000-0000-0000E1760000}"/>
    <cellStyle name="Note 2 5 10" xfId="32144" xr:uid="{00000000-0005-0000-0000-0000E2760000}"/>
    <cellStyle name="Note 2 5 2" xfId="7884" xr:uid="{00000000-0005-0000-0000-0000E3760000}"/>
    <cellStyle name="Note 2 5 2 2" xfId="7885" xr:uid="{00000000-0005-0000-0000-0000E4760000}"/>
    <cellStyle name="Note 2 5 2 2 2" xfId="7886" xr:uid="{00000000-0005-0000-0000-0000E5760000}"/>
    <cellStyle name="Note 2 5 2 2 2 2" xfId="7887" xr:uid="{00000000-0005-0000-0000-0000E6760000}"/>
    <cellStyle name="Note 2 5 2 2 2 2 2" xfId="11618" xr:uid="{00000000-0005-0000-0000-0000E7760000}"/>
    <cellStyle name="Note 2 5 2 2 2 2 3" xfId="32148" xr:uid="{00000000-0005-0000-0000-0000E8760000}"/>
    <cellStyle name="Note 2 5 2 2 2 3" xfId="7888" xr:uid="{00000000-0005-0000-0000-0000E9760000}"/>
    <cellStyle name="Note 2 5 2 2 2 3 2" xfId="16879" xr:uid="{00000000-0005-0000-0000-0000EA760000}"/>
    <cellStyle name="Note 2 5 2 2 2 3 2 2" xfId="30286" xr:uid="{00000000-0005-0000-0000-0000EB760000}"/>
    <cellStyle name="Note 2 5 2 2 2 3 3" xfId="32149" xr:uid="{00000000-0005-0000-0000-0000EC760000}"/>
    <cellStyle name="Note 2 5 2 2 2 4" xfId="10276" xr:uid="{00000000-0005-0000-0000-0000ED760000}"/>
    <cellStyle name="Note 2 5 2 2 2 5" xfId="32147" xr:uid="{00000000-0005-0000-0000-0000EE760000}"/>
    <cellStyle name="Note 2 5 2 2 3" xfId="7889" xr:uid="{00000000-0005-0000-0000-0000EF760000}"/>
    <cellStyle name="Note 2 5 2 2 3 2" xfId="7890" xr:uid="{00000000-0005-0000-0000-0000F0760000}"/>
    <cellStyle name="Note 2 5 2 2 3 2 2" xfId="13297" xr:uid="{00000000-0005-0000-0000-0000F1760000}"/>
    <cellStyle name="Note 2 5 2 2 3 2 3" xfId="32151" xr:uid="{00000000-0005-0000-0000-0000F2760000}"/>
    <cellStyle name="Note 2 5 2 2 3 3" xfId="12267" xr:uid="{00000000-0005-0000-0000-0000F3760000}"/>
    <cellStyle name="Note 2 5 2 2 3 3 2" xfId="25979" xr:uid="{00000000-0005-0000-0000-0000F4760000}"/>
    <cellStyle name="Note 2 5 2 2 3 4" xfId="32150" xr:uid="{00000000-0005-0000-0000-0000F5760000}"/>
    <cellStyle name="Note 2 5 2 2 4" xfId="7891" xr:uid="{00000000-0005-0000-0000-0000F6760000}"/>
    <cellStyle name="Note 2 5 2 2 4 2" xfId="7892" xr:uid="{00000000-0005-0000-0000-0000F7760000}"/>
    <cellStyle name="Note 2 5 2 2 4 2 2" xfId="15732" xr:uid="{00000000-0005-0000-0000-0000F8760000}"/>
    <cellStyle name="Note 2 5 2 2 4 2 3" xfId="32153" xr:uid="{00000000-0005-0000-0000-0000F9760000}"/>
    <cellStyle name="Note 2 5 2 2 4 3" xfId="13831" xr:uid="{00000000-0005-0000-0000-0000FA760000}"/>
    <cellStyle name="Note 2 5 2 2 4 3 2" xfId="27380" xr:uid="{00000000-0005-0000-0000-0000FB760000}"/>
    <cellStyle name="Note 2 5 2 2 4 4" xfId="32152" xr:uid="{00000000-0005-0000-0000-0000FC760000}"/>
    <cellStyle name="Note 2 5 2 2 5" xfId="7893" xr:uid="{00000000-0005-0000-0000-0000FD760000}"/>
    <cellStyle name="Note 2 5 2 2 5 2" xfId="14412" xr:uid="{00000000-0005-0000-0000-0000FE760000}"/>
    <cellStyle name="Note 2 5 2 2 5 2 2" xfId="27961" xr:uid="{00000000-0005-0000-0000-0000FF760000}"/>
    <cellStyle name="Note 2 5 2 2 5 3" xfId="32154" xr:uid="{00000000-0005-0000-0000-000000770000}"/>
    <cellStyle name="Note 2 5 2 2 6" xfId="7894" xr:uid="{00000000-0005-0000-0000-000001770000}"/>
    <cellStyle name="Note 2 5 2 2 6 2" xfId="16298" xr:uid="{00000000-0005-0000-0000-000002770000}"/>
    <cellStyle name="Note 2 5 2 2 6 2 2" xfId="29705" xr:uid="{00000000-0005-0000-0000-000003770000}"/>
    <cellStyle name="Note 2 5 2 2 6 3" xfId="32155" xr:uid="{00000000-0005-0000-0000-000004770000}"/>
    <cellStyle name="Note 2 5 2 2 7" xfId="10275" xr:uid="{00000000-0005-0000-0000-000005770000}"/>
    <cellStyle name="Note 2 5 2 2 8" xfId="32146" xr:uid="{00000000-0005-0000-0000-000006770000}"/>
    <cellStyle name="Note 2 5 2 3" xfId="7895" xr:uid="{00000000-0005-0000-0000-000007770000}"/>
    <cellStyle name="Note 2 5 2 3 2" xfId="7896" xr:uid="{00000000-0005-0000-0000-000008770000}"/>
    <cellStyle name="Note 2 5 2 3 2 2" xfId="11619" xr:uid="{00000000-0005-0000-0000-000009770000}"/>
    <cellStyle name="Note 2 5 2 3 2 3" xfId="32157" xr:uid="{00000000-0005-0000-0000-00000A770000}"/>
    <cellStyle name="Note 2 5 2 3 3" xfId="7897" xr:uid="{00000000-0005-0000-0000-00000B770000}"/>
    <cellStyle name="Note 2 5 2 3 3 2" xfId="16590" xr:uid="{00000000-0005-0000-0000-00000C770000}"/>
    <cellStyle name="Note 2 5 2 3 3 2 2" xfId="29997" xr:uid="{00000000-0005-0000-0000-00000D770000}"/>
    <cellStyle name="Note 2 5 2 3 3 3" xfId="32158" xr:uid="{00000000-0005-0000-0000-00000E770000}"/>
    <cellStyle name="Note 2 5 2 3 4" xfId="10277" xr:uid="{00000000-0005-0000-0000-00000F770000}"/>
    <cellStyle name="Note 2 5 2 3 5" xfId="32156" xr:uid="{00000000-0005-0000-0000-000010770000}"/>
    <cellStyle name="Note 2 5 2 4" xfId="7898" xr:uid="{00000000-0005-0000-0000-000011770000}"/>
    <cellStyle name="Note 2 5 2 4 2" xfId="7899" xr:uid="{00000000-0005-0000-0000-000012770000}"/>
    <cellStyle name="Note 2 5 2 4 2 2" xfId="13298" xr:uid="{00000000-0005-0000-0000-000013770000}"/>
    <cellStyle name="Note 2 5 2 4 2 3" xfId="32160" xr:uid="{00000000-0005-0000-0000-000014770000}"/>
    <cellStyle name="Note 2 5 2 4 3" xfId="11967" xr:uid="{00000000-0005-0000-0000-000015770000}"/>
    <cellStyle name="Note 2 5 2 4 3 2" xfId="25682" xr:uid="{00000000-0005-0000-0000-000016770000}"/>
    <cellStyle name="Note 2 5 2 4 4" xfId="32159" xr:uid="{00000000-0005-0000-0000-000017770000}"/>
    <cellStyle name="Note 2 5 2 5" xfId="7900" xr:uid="{00000000-0005-0000-0000-000018770000}"/>
    <cellStyle name="Note 2 5 2 5 2" xfId="7901" xr:uid="{00000000-0005-0000-0000-000019770000}"/>
    <cellStyle name="Note 2 5 2 5 2 2" xfId="15733" xr:uid="{00000000-0005-0000-0000-00001A770000}"/>
    <cellStyle name="Note 2 5 2 5 2 3" xfId="32162" xr:uid="{00000000-0005-0000-0000-00001B770000}"/>
    <cellStyle name="Note 2 5 2 5 3" xfId="13542" xr:uid="{00000000-0005-0000-0000-00001C770000}"/>
    <cellStyle name="Note 2 5 2 5 3 2" xfId="27091" xr:uid="{00000000-0005-0000-0000-00001D770000}"/>
    <cellStyle name="Note 2 5 2 5 4" xfId="32161" xr:uid="{00000000-0005-0000-0000-00001E770000}"/>
    <cellStyle name="Note 2 5 2 6" xfId="7902" xr:uid="{00000000-0005-0000-0000-00001F770000}"/>
    <cellStyle name="Note 2 5 2 6 2" xfId="14123" xr:uid="{00000000-0005-0000-0000-000020770000}"/>
    <cellStyle name="Note 2 5 2 6 2 2" xfId="27672" xr:uid="{00000000-0005-0000-0000-000021770000}"/>
    <cellStyle name="Note 2 5 2 6 3" xfId="32163" xr:uid="{00000000-0005-0000-0000-000022770000}"/>
    <cellStyle name="Note 2 5 2 7" xfId="7903" xr:uid="{00000000-0005-0000-0000-000023770000}"/>
    <cellStyle name="Note 2 5 2 7 2" xfId="16009" xr:uid="{00000000-0005-0000-0000-000024770000}"/>
    <cellStyle name="Note 2 5 2 7 2 2" xfId="29416" xr:uid="{00000000-0005-0000-0000-000025770000}"/>
    <cellStyle name="Note 2 5 2 7 3" xfId="32164" xr:uid="{00000000-0005-0000-0000-000026770000}"/>
    <cellStyle name="Note 2 5 2 8" xfId="10274" xr:uid="{00000000-0005-0000-0000-000027770000}"/>
    <cellStyle name="Note 2 5 2 9" xfId="32145" xr:uid="{00000000-0005-0000-0000-000028770000}"/>
    <cellStyle name="Note 2 5 3" xfId="7904" xr:uid="{00000000-0005-0000-0000-000029770000}"/>
    <cellStyle name="Note 2 5 3 2" xfId="7905" xr:uid="{00000000-0005-0000-0000-00002A770000}"/>
    <cellStyle name="Note 2 5 3 2 2" xfId="7906" xr:uid="{00000000-0005-0000-0000-00002B770000}"/>
    <cellStyle name="Note 2 5 3 2 2 2" xfId="11620" xr:uid="{00000000-0005-0000-0000-00002C770000}"/>
    <cellStyle name="Note 2 5 3 2 2 3" xfId="32167" xr:uid="{00000000-0005-0000-0000-00002D770000}"/>
    <cellStyle name="Note 2 5 3 2 3" xfId="7907" xr:uid="{00000000-0005-0000-0000-00002E770000}"/>
    <cellStyle name="Note 2 5 3 2 3 2" xfId="16739" xr:uid="{00000000-0005-0000-0000-00002F770000}"/>
    <cellStyle name="Note 2 5 3 2 3 2 2" xfId="30146" xr:uid="{00000000-0005-0000-0000-000030770000}"/>
    <cellStyle name="Note 2 5 3 2 3 3" xfId="32168" xr:uid="{00000000-0005-0000-0000-000031770000}"/>
    <cellStyle name="Note 2 5 3 2 4" xfId="10279" xr:uid="{00000000-0005-0000-0000-000032770000}"/>
    <cellStyle name="Note 2 5 3 2 5" xfId="32166" xr:uid="{00000000-0005-0000-0000-000033770000}"/>
    <cellStyle name="Note 2 5 3 3" xfId="7908" xr:uid="{00000000-0005-0000-0000-000034770000}"/>
    <cellStyle name="Note 2 5 3 3 2" xfId="7909" xr:uid="{00000000-0005-0000-0000-000035770000}"/>
    <cellStyle name="Note 2 5 3 3 2 2" xfId="13299" xr:uid="{00000000-0005-0000-0000-000036770000}"/>
    <cellStyle name="Note 2 5 3 3 2 3" xfId="32170" xr:uid="{00000000-0005-0000-0000-000037770000}"/>
    <cellStyle name="Note 2 5 3 3 3" xfId="12127" xr:uid="{00000000-0005-0000-0000-000038770000}"/>
    <cellStyle name="Note 2 5 3 3 3 2" xfId="25839" xr:uid="{00000000-0005-0000-0000-000039770000}"/>
    <cellStyle name="Note 2 5 3 3 4" xfId="32169" xr:uid="{00000000-0005-0000-0000-00003A770000}"/>
    <cellStyle name="Note 2 5 3 4" xfId="7910" xr:uid="{00000000-0005-0000-0000-00003B770000}"/>
    <cellStyle name="Note 2 5 3 4 2" xfId="7911" xr:uid="{00000000-0005-0000-0000-00003C770000}"/>
    <cellStyle name="Note 2 5 3 4 2 2" xfId="15734" xr:uid="{00000000-0005-0000-0000-00003D770000}"/>
    <cellStyle name="Note 2 5 3 4 2 3" xfId="32172" xr:uid="{00000000-0005-0000-0000-00003E770000}"/>
    <cellStyle name="Note 2 5 3 4 3" xfId="13691" xr:uid="{00000000-0005-0000-0000-00003F770000}"/>
    <cellStyle name="Note 2 5 3 4 3 2" xfId="27240" xr:uid="{00000000-0005-0000-0000-000040770000}"/>
    <cellStyle name="Note 2 5 3 4 4" xfId="32171" xr:uid="{00000000-0005-0000-0000-000041770000}"/>
    <cellStyle name="Note 2 5 3 5" xfId="7912" xr:uid="{00000000-0005-0000-0000-000042770000}"/>
    <cellStyle name="Note 2 5 3 5 2" xfId="14272" xr:uid="{00000000-0005-0000-0000-000043770000}"/>
    <cellStyle name="Note 2 5 3 5 2 2" xfId="27821" xr:uid="{00000000-0005-0000-0000-000044770000}"/>
    <cellStyle name="Note 2 5 3 5 3" xfId="32173" xr:uid="{00000000-0005-0000-0000-000045770000}"/>
    <cellStyle name="Note 2 5 3 6" xfId="7913" xr:uid="{00000000-0005-0000-0000-000046770000}"/>
    <cellStyle name="Note 2 5 3 6 2" xfId="16158" xr:uid="{00000000-0005-0000-0000-000047770000}"/>
    <cellStyle name="Note 2 5 3 6 2 2" xfId="29565" xr:uid="{00000000-0005-0000-0000-000048770000}"/>
    <cellStyle name="Note 2 5 3 6 3" xfId="32174" xr:uid="{00000000-0005-0000-0000-000049770000}"/>
    <cellStyle name="Note 2 5 3 7" xfId="10278" xr:uid="{00000000-0005-0000-0000-00004A770000}"/>
    <cellStyle name="Note 2 5 3 8" xfId="32165" xr:uid="{00000000-0005-0000-0000-00004B770000}"/>
    <cellStyle name="Note 2 5 4" xfId="7914" xr:uid="{00000000-0005-0000-0000-00004C770000}"/>
    <cellStyle name="Note 2 5 4 2" xfId="7915" xr:uid="{00000000-0005-0000-0000-00004D770000}"/>
    <cellStyle name="Note 2 5 4 2 2" xfId="11621" xr:uid="{00000000-0005-0000-0000-00004E770000}"/>
    <cellStyle name="Note 2 5 4 2 3" xfId="32176" xr:uid="{00000000-0005-0000-0000-00004F770000}"/>
    <cellStyle name="Note 2 5 4 3" xfId="7916" xr:uid="{00000000-0005-0000-0000-000050770000}"/>
    <cellStyle name="Note 2 5 4 3 2" xfId="16447" xr:uid="{00000000-0005-0000-0000-000051770000}"/>
    <cellStyle name="Note 2 5 4 3 2 2" xfId="29854" xr:uid="{00000000-0005-0000-0000-000052770000}"/>
    <cellStyle name="Note 2 5 4 3 3" xfId="32177" xr:uid="{00000000-0005-0000-0000-000053770000}"/>
    <cellStyle name="Note 2 5 4 4" xfId="10280" xr:uid="{00000000-0005-0000-0000-000054770000}"/>
    <cellStyle name="Note 2 5 4 5" xfId="32175" xr:uid="{00000000-0005-0000-0000-000055770000}"/>
    <cellStyle name="Note 2 5 5" xfId="7917" xr:uid="{00000000-0005-0000-0000-000056770000}"/>
    <cellStyle name="Note 2 5 5 2" xfId="7918" xr:uid="{00000000-0005-0000-0000-000057770000}"/>
    <cellStyle name="Note 2 5 5 2 2" xfId="13300" xr:uid="{00000000-0005-0000-0000-000058770000}"/>
    <cellStyle name="Note 2 5 5 2 3" xfId="32179" xr:uid="{00000000-0005-0000-0000-000059770000}"/>
    <cellStyle name="Note 2 5 5 3" xfId="11798" xr:uid="{00000000-0005-0000-0000-00005A770000}"/>
    <cellStyle name="Note 2 5 5 3 2" xfId="25513" xr:uid="{00000000-0005-0000-0000-00005B770000}"/>
    <cellStyle name="Note 2 5 5 4" xfId="32178" xr:uid="{00000000-0005-0000-0000-00005C770000}"/>
    <cellStyle name="Note 2 5 6" xfId="7919" xr:uid="{00000000-0005-0000-0000-00005D770000}"/>
    <cellStyle name="Note 2 5 6 2" xfId="7920" xr:uid="{00000000-0005-0000-0000-00005E770000}"/>
    <cellStyle name="Note 2 5 6 2 2" xfId="15735" xr:uid="{00000000-0005-0000-0000-00005F770000}"/>
    <cellStyle name="Note 2 5 6 2 3" xfId="32181" xr:uid="{00000000-0005-0000-0000-000060770000}"/>
    <cellStyle name="Note 2 5 6 3" xfId="13399" xr:uid="{00000000-0005-0000-0000-000061770000}"/>
    <cellStyle name="Note 2 5 6 3 2" xfId="26948" xr:uid="{00000000-0005-0000-0000-000062770000}"/>
    <cellStyle name="Note 2 5 6 4" xfId="32180" xr:uid="{00000000-0005-0000-0000-000063770000}"/>
    <cellStyle name="Note 2 5 7" xfId="7921" xr:uid="{00000000-0005-0000-0000-000064770000}"/>
    <cellStyle name="Note 2 5 7 2" xfId="13980" xr:uid="{00000000-0005-0000-0000-000065770000}"/>
    <cellStyle name="Note 2 5 7 2 2" xfId="27529" xr:uid="{00000000-0005-0000-0000-000066770000}"/>
    <cellStyle name="Note 2 5 7 3" xfId="32182" xr:uid="{00000000-0005-0000-0000-000067770000}"/>
    <cellStyle name="Note 2 5 8" xfId="7922" xr:uid="{00000000-0005-0000-0000-000068770000}"/>
    <cellStyle name="Note 2 5 8 2" xfId="15866" xr:uid="{00000000-0005-0000-0000-000069770000}"/>
    <cellStyle name="Note 2 5 8 2 2" xfId="29273" xr:uid="{00000000-0005-0000-0000-00006A770000}"/>
    <cellStyle name="Note 2 5 8 3" xfId="32183" xr:uid="{00000000-0005-0000-0000-00006B770000}"/>
    <cellStyle name="Note 2 5 9" xfId="10273" xr:uid="{00000000-0005-0000-0000-00006C770000}"/>
    <cellStyle name="Note 2 6" xfId="7923" xr:uid="{00000000-0005-0000-0000-00006D770000}"/>
    <cellStyle name="Note 2 6 10" xfId="32184" xr:uid="{00000000-0005-0000-0000-00006E770000}"/>
    <cellStyle name="Note 2 6 2" xfId="7924" xr:uid="{00000000-0005-0000-0000-00006F770000}"/>
    <cellStyle name="Note 2 6 2 2" xfId="7925" xr:uid="{00000000-0005-0000-0000-000070770000}"/>
    <cellStyle name="Note 2 6 2 2 2" xfId="7926" xr:uid="{00000000-0005-0000-0000-000071770000}"/>
    <cellStyle name="Note 2 6 2 2 2 2" xfId="7927" xr:uid="{00000000-0005-0000-0000-000072770000}"/>
    <cellStyle name="Note 2 6 2 2 2 2 2" xfId="11622" xr:uid="{00000000-0005-0000-0000-000073770000}"/>
    <cellStyle name="Note 2 6 2 2 2 2 3" xfId="32188" xr:uid="{00000000-0005-0000-0000-000074770000}"/>
    <cellStyle name="Note 2 6 2 2 2 3" xfId="7928" xr:uid="{00000000-0005-0000-0000-000075770000}"/>
    <cellStyle name="Note 2 6 2 2 2 3 2" xfId="16985" xr:uid="{00000000-0005-0000-0000-000076770000}"/>
    <cellStyle name="Note 2 6 2 2 2 3 2 2" xfId="30392" xr:uid="{00000000-0005-0000-0000-000077770000}"/>
    <cellStyle name="Note 2 6 2 2 2 3 3" xfId="32189" xr:uid="{00000000-0005-0000-0000-000078770000}"/>
    <cellStyle name="Note 2 6 2 2 2 4" xfId="10284" xr:uid="{00000000-0005-0000-0000-000079770000}"/>
    <cellStyle name="Note 2 6 2 2 2 5" xfId="32187" xr:uid="{00000000-0005-0000-0000-00007A770000}"/>
    <cellStyle name="Note 2 6 2 2 3" xfId="7929" xr:uid="{00000000-0005-0000-0000-00007B770000}"/>
    <cellStyle name="Note 2 6 2 2 3 2" xfId="7930" xr:uid="{00000000-0005-0000-0000-00007C770000}"/>
    <cellStyle name="Note 2 6 2 2 3 2 2" xfId="13301" xr:uid="{00000000-0005-0000-0000-00007D770000}"/>
    <cellStyle name="Note 2 6 2 2 3 2 3" xfId="32191" xr:uid="{00000000-0005-0000-0000-00007E770000}"/>
    <cellStyle name="Note 2 6 2 2 3 3" xfId="12373" xr:uid="{00000000-0005-0000-0000-00007F770000}"/>
    <cellStyle name="Note 2 6 2 2 3 3 2" xfId="26085" xr:uid="{00000000-0005-0000-0000-000080770000}"/>
    <cellStyle name="Note 2 6 2 2 3 4" xfId="32190" xr:uid="{00000000-0005-0000-0000-000081770000}"/>
    <cellStyle name="Note 2 6 2 2 4" xfId="7931" xr:uid="{00000000-0005-0000-0000-000082770000}"/>
    <cellStyle name="Note 2 6 2 2 4 2" xfId="7932" xr:uid="{00000000-0005-0000-0000-000083770000}"/>
    <cellStyle name="Note 2 6 2 2 4 2 2" xfId="15736" xr:uid="{00000000-0005-0000-0000-000084770000}"/>
    <cellStyle name="Note 2 6 2 2 4 2 3" xfId="32193" xr:uid="{00000000-0005-0000-0000-000085770000}"/>
    <cellStyle name="Note 2 6 2 2 4 3" xfId="13937" xr:uid="{00000000-0005-0000-0000-000086770000}"/>
    <cellStyle name="Note 2 6 2 2 4 3 2" xfId="27486" xr:uid="{00000000-0005-0000-0000-000087770000}"/>
    <cellStyle name="Note 2 6 2 2 4 4" xfId="32192" xr:uid="{00000000-0005-0000-0000-000088770000}"/>
    <cellStyle name="Note 2 6 2 2 5" xfId="7933" xr:uid="{00000000-0005-0000-0000-000089770000}"/>
    <cellStyle name="Note 2 6 2 2 5 2" xfId="14518" xr:uid="{00000000-0005-0000-0000-00008A770000}"/>
    <cellStyle name="Note 2 6 2 2 5 2 2" xfId="28067" xr:uid="{00000000-0005-0000-0000-00008B770000}"/>
    <cellStyle name="Note 2 6 2 2 5 3" xfId="32194" xr:uid="{00000000-0005-0000-0000-00008C770000}"/>
    <cellStyle name="Note 2 6 2 2 6" xfId="7934" xr:uid="{00000000-0005-0000-0000-00008D770000}"/>
    <cellStyle name="Note 2 6 2 2 6 2" xfId="16404" xr:uid="{00000000-0005-0000-0000-00008E770000}"/>
    <cellStyle name="Note 2 6 2 2 6 2 2" xfId="29811" xr:uid="{00000000-0005-0000-0000-00008F770000}"/>
    <cellStyle name="Note 2 6 2 2 6 3" xfId="32195" xr:uid="{00000000-0005-0000-0000-000090770000}"/>
    <cellStyle name="Note 2 6 2 2 7" xfId="10283" xr:uid="{00000000-0005-0000-0000-000091770000}"/>
    <cellStyle name="Note 2 6 2 2 8" xfId="32186" xr:uid="{00000000-0005-0000-0000-000092770000}"/>
    <cellStyle name="Note 2 6 2 3" xfId="7935" xr:uid="{00000000-0005-0000-0000-000093770000}"/>
    <cellStyle name="Note 2 6 2 3 2" xfId="7936" xr:uid="{00000000-0005-0000-0000-000094770000}"/>
    <cellStyle name="Note 2 6 2 3 2 2" xfId="11623" xr:uid="{00000000-0005-0000-0000-000095770000}"/>
    <cellStyle name="Note 2 6 2 3 2 3" xfId="32197" xr:uid="{00000000-0005-0000-0000-000096770000}"/>
    <cellStyle name="Note 2 6 2 3 3" xfId="7937" xr:uid="{00000000-0005-0000-0000-000097770000}"/>
    <cellStyle name="Note 2 6 2 3 3 2" xfId="16696" xr:uid="{00000000-0005-0000-0000-000098770000}"/>
    <cellStyle name="Note 2 6 2 3 3 2 2" xfId="30103" xr:uid="{00000000-0005-0000-0000-000099770000}"/>
    <cellStyle name="Note 2 6 2 3 3 3" xfId="32198" xr:uid="{00000000-0005-0000-0000-00009A770000}"/>
    <cellStyle name="Note 2 6 2 3 4" xfId="10285" xr:uid="{00000000-0005-0000-0000-00009B770000}"/>
    <cellStyle name="Note 2 6 2 3 5" xfId="32196" xr:uid="{00000000-0005-0000-0000-00009C770000}"/>
    <cellStyle name="Note 2 6 2 4" xfId="7938" xr:uid="{00000000-0005-0000-0000-00009D770000}"/>
    <cellStyle name="Note 2 6 2 4 2" xfId="7939" xr:uid="{00000000-0005-0000-0000-00009E770000}"/>
    <cellStyle name="Note 2 6 2 4 2 2" xfId="13302" xr:uid="{00000000-0005-0000-0000-00009F770000}"/>
    <cellStyle name="Note 2 6 2 4 2 3" xfId="32200" xr:uid="{00000000-0005-0000-0000-0000A0770000}"/>
    <cellStyle name="Note 2 6 2 4 3" xfId="12073" xr:uid="{00000000-0005-0000-0000-0000A1770000}"/>
    <cellStyle name="Note 2 6 2 4 3 2" xfId="25788" xr:uid="{00000000-0005-0000-0000-0000A2770000}"/>
    <cellStyle name="Note 2 6 2 4 4" xfId="32199" xr:uid="{00000000-0005-0000-0000-0000A3770000}"/>
    <cellStyle name="Note 2 6 2 5" xfId="7940" xr:uid="{00000000-0005-0000-0000-0000A4770000}"/>
    <cellStyle name="Note 2 6 2 5 2" xfId="7941" xr:uid="{00000000-0005-0000-0000-0000A5770000}"/>
    <cellStyle name="Note 2 6 2 5 2 2" xfId="15737" xr:uid="{00000000-0005-0000-0000-0000A6770000}"/>
    <cellStyle name="Note 2 6 2 5 2 3" xfId="32202" xr:uid="{00000000-0005-0000-0000-0000A7770000}"/>
    <cellStyle name="Note 2 6 2 5 3" xfId="13648" xr:uid="{00000000-0005-0000-0000-0000A8770000}"/>
    <cellStyle name="Note 2 6 2 5 3 2" xfId="27197" xr:uid="{00000000-0005-0000-0000-0000A9770000}"/>
    <cellStyle name="Note 2 6 2 5 4" xfId="32201" xr:uid="{00000000-0005-0000-0000-0000AA770000}"/>
    <cellStyle name="Note 2 6 2 6" xfId="7942" xr:uid="{00000000-0005-0000-0000-0000AB770000}"/>
    <cellStyle name="Note 2 6 2 6 2" xfId="14229" xr:uid="{00000000-0005-0000-0000-0000AC770000}"/>
    <cellStyle name="Note 2 6 2 6 2 2" xfId="27778" xr:uid="{00000000-0005-0000-0000-0000AD770000}"/>
    <cellStyle name="Note 2 6 2 6 3" xfId="32203" xr:uid="{00000000-0005-0000-0000-0000AE770000}"/>
    <cellStyle name="Note 2 6 2 7" xfId="7943" xr:uid="{00000000-0005-0000-0000-0000AF770000}"/>
    <cellStyle name="Note 2 6 2 7 2" xfId="16115" xr:uid="{00000000-0005-0000-0000-0000B0770000}"/>
    <cellStyle name="Note 2 6 2 7 2 2" xfId="29522" xr:uid="{00000000-0005-0000-0000-0000B1770000}"/>
    <cellStyle name="Note 2 6 2 7 3" xfId="32204" xr:uid="{00000000-0005-0000-0000-0000B2770000}"/>
    <cellStyle name="Note 2 6 2 8" xfId="10282" xr:uid="{00000000-0005-0000-0000-0000B3770000}"/>
    <cellStyle name="Note 2 6 2 9" xfId="32185" xr:uid="{00000000-0005-0000-0000-0000B4770000}"/>
    <cellStyle name="Note 2 6 3" xfId="7944" xr:uid="{00000000-0005-0000-0000-0000B5770000}"/>
    <cellStyle name="Note 2 6 3 2" xfId="7945" xr:uid="{00000000-0005-0000-0000-0000B6770000}"/>
    <cellStyle name="Note 2 6 3 2 2" xfId="7946" xr:uid="{00000000-0005-0000-0000-0000B7770000}"/>
    <cellStyle name="Note 2 6 3 2 2 2" xfId="11624" xr:uid="{00000000-0005-0000-0000-0000B8770000}"/>
    <cellStyle name="Note 2 6 3 2 2 3" xfId="32207" xr:uid="{00000000-0005-0000-0000-0000B9770000}"/>
    <cellStyle name="Note 2 6 3 2 3" xfId="7947" xr:uid="{00000000-0005-0000-0000-0000BA770000}"/>
    <cellStyle name="Note 2 6 3 2 3 2" xfId="16842" xr:uid="{00000000-0005-0000-0000-0000BB770000}"/>
    <cellStyle name="Note 2 6 3 2 3 2 2" xfId="30249" xr:uid="{00000000-0005-0000-0000-0000BC770000}"/>
    <cellStyle name="Note 2 6 3 2 3 3" xfId="32208" xr:uid="{00000000-0005-0000-0000-0000BD770000}"/>
    <cellStyle name="Note 2 6 3 2 4" xfId="10287" xr:uid="{00000000-0005-0000-0000-0000BE770000}"/>
    <cellStyle name="Note 2 6 3 2 5" xfId="32206" xr:uid="{00000000-0005-0000-0000-0000BF770000}"/>
    <cellStyle name="Note 2 6 3 3" xfId="7948" xr:uid="{00000000-0005-0000-0000-0000C0770000}"/>
    <cellStyle name="Note 2 6 3 3 2" xfId="7949" xr:uid="{00000000-0005-0000-0000-0000C1770000}"/>
    <cellStyle name="Note 2 6 3 3 2 2" xfId="13303" xr:uid="{00000000-0005-0000-0000-0000C2770000}"/>
    <cellStyle name="Note 2 6 3 3 2 3" xfId="32210" xr:uid="{00000000-0005-0000-0000-0000C3770000}"/>
    <cellStyle name="Note 2 6 3 3 3" xfId="12230" xr:uid="{00000000-0005-0000-0000-0000C4770000}"/>
    <cellStyle name="Note 2 6 3 3 3 2" xfId="25942" xr:uid="{00000000-0005-0000-0000-0000C5770000}"/>
    <cellStyle name="Note 2 6 3 3 4" xfId="32209" xr:uid="{00000000-0005-0000-0000-0000C6770000}"/>
    <cellStyle name="Note 2 6 3 4" xfId="7950" xr:uid="{00000000-0005-0000-0000-0000C7770000}"/>
    <cellStyle name="Note 2 6 3 4 2" xfId="7951" xr:uid="{00000000-0005-0000-0000-0000C8770000}"/>
    <cellStyle name="Note 2 6 3 4 2 2" xfId="15738" xr:uid="{00000000-0005-0000-0000-0000C9770000}"/>
    <cellStyle name="Note 2 6 3 4 2 3" xfId="32212" xr:uid="{00000000-0005-0000-0000-0000CA770000}"/>
    <cellStyle name="Note 2 6 3 4 3" xfId="13794" xr:uid="{00000000-0005-0000-0000-0000CB770000}"/>
    <cellStyle name="Note 2 6 3 4 3 2" xfId="27343" xr:uid="{00000000-0005-0000-0000-0000CC770000}"/>
    <cellStyle name="Note 2 6 3 4 4" xfId="32211" xr:uid="{00000000-0005-0000-0000-0000CD770000}"/>
    <cellStyle name="Note 2 6 3 5" xfId="7952" xr:uid="{00000000-0005-0000-0000-0000CE770000}"/>
    <cellStyle name="Note 2 6 3 5 2" xfId="14375" xr:uid="{00000000-0005-0000-0000-0000CF770000}"/>
    <cellStyle name="Note 2 6 3 5 2 2" xfId="27924" xr:uid="{00000000-0005-0000-0000-0000D0770000}"/>
    <cellStyle name="Note 2 6 3 5 3" xfId="32213" xr:uid="{00000000-0005-0000-0000-0000D1770000}"/>
    <cellStyle name="Note 2 6 3 6" xfId="7953" xr:uid="{00000000-0005-0000-0000-0000D2770000}"/>
    <cellStyle name="Note 2 6 3 6 2" xfId="16261" xr:uid="{00000000-0005-0000-0000-0000D3770000}"/>
    <cellStyle name="Note 2 6 3 6 2 2" xfId="29668" xr:uid="{00000000-0005-0000-0000-0000D4770000}"/>
    <cellStyle name="Note 2 6 3 6 3" xfId="32214" xr:uid="{00000000-0005-0000-0000-0000D5770000}"/>
    <cellStyle name="Note 2 6 3 7" xfId="10286" xr:uid="{00000000-0005-0000-0000-0000D6770000}"/>
    <cellStyle name="Note 2 6 3 8" xfId="32205" xr:uid="{00000000-0005-0000-0000-0000D7770000}"/>
    <cellStyle name="Note 2 6 4" xfId="7954" xr:uid="{00000000-0005-0000-0000-0000D8770000}"/>
    <cellStyle name="Note 2 6 4 2" xfId="7955" xr:uid="{00000000-0005-0000-0000-0000D9770000}"/>
    <cellStyle name="Note 2 6 4 2 2" xfId="11625" xr:uid="{00000000-0005-0000-0000-0000DA770000}"/>
    <cellStyle name="Note 2 6 4 2 3" xfId="32216" xr:uid="{00000000-0005-0000-0000-0000DB770000}"/>
    <cellStyle name="Note 2 6 4 3" xfId="7956" xr:uid="{00000000-0005-0000-0000-0000DC770000}"/>
    <cellStyle name="Note 2 6 4 3 2" xfId="16553" xr:uid="{00000000-0005-0000-0000-0000DD770000}"/>
    <cellStyle name="Note 2 6 4 3 2 2" xfId="29960" xr:uid="{00000000-0005-0000-0000-0000DE770000}"/>
    <cellStyle name="Note 2 6 4 3 3" xfId="32217" xr:uid="{00000000-0005-0000-0000-0000DF770000}"/>
    <cellStyle name="Note 2 6 4 4" xfId="10288" xr:uid="{00000000-0005-0000-0000-0000E0770000}"/>
    <cellStyle name="Note 2 6 4 5" xfId="32215" xr:uid="{00000000-0005-0000-0000-0000E1770000}"/>
    <cellStyle name="Note 2 6 5" xfId="7957" xr:uid="{00000000-0005-0000-0000-0000E2770000}"/>
    <cellStyle name="Note 2 6 5 2" xfId="7958" xr:uid="{00000000-0005-0000-0000-0000E3770000}"/>
    <cellStyle name="Note 2 6 5 2 2" xfId="13304" xr:uid="{00000000-0005-0000-0000-0000E4770000}"/>
    <cellStyle name="Note 2 6 5 2 3" xfId="32219" xr:uid="{00000000-0005-0000-0000-0000E5770000}"/>
    <cellStyle name="Note 2 6 5 3" xfId="11928" xr:uid="{00000000-0005-0000-0000-0000E6770000}"/>
    <cellStyle name="Note 2 6 5 3 2" xfId="25643" xr:uid="{00000000-0005-0000-0000-0000E7770000}"/>
    <cellStyle name="Note 2 6 5 4" xfId="32218" xr:uid="{00000000-0005-0000-0000-0000E8770000}"/>
    <cellStyle name="Note 2 6 6" xfId="7959" xr:uid="{00000000-0005-0000-0000-0000E9770000}"/>
    <cellStyle name="Note 2 6 6 2" xfId="7960" xr:uid="{00000000-0005-0000-0000-0000EA770000}"/>
    <cellStyle name="Note 2 6 6 2 2" xfId="15739" xr:uid="{00000000-0005-0000-0000-0000EB770000}"/>
    <cellStyle name="Note 2 6 6 2 3" xfId="32221" xr:uid="{00000000-0005-0000-0000-0000EC770000}"/>
    <cellStyle name="Note 2 6 6 3" xfId="13505" xr:uid="{00000000-0005-0000-0000-0000ED770000}"/>
    <cellStyle name="Note 2 6 6 3 2" xfId="27054" xr:uid="{00000000-0005-0000-0000-0000EE770000}"/>
    <cellStyle name="Note 2 6 6 4" xfId="32220" xr:uid="{00000000-0005-0000-0000-0000EF770000}"/>
    <cellStyle name="Note 2 6 7" xfId="7961" xr:uid="{00000000-0005-0000-0000-0000F0770000}"/>
    <cellStyle name="Note 2 6 7 2" xfId="14086" xr:uid="{00000000-0005-0000-0000-0000F1770000}"/>
    <cellStyle name="Note 2 6 7 2 2" xfId="27635" xr:uid="{00000000-0005-0000-0000-0000F2770000}"/>
    <cellStyle name="Note 2 6 7 3" xfId="32222" xr:uid="{00000000-0005-0000-0000-0000F3770000}"/>
    <cellStyle name="Note 2 6 8" xfId="7962" xr:uid="{00000000-0005-0000-0000-0000F4770000}"/>
    <cellStyle name="Note 2 6 8 2" xfId="15972" xr:uid="{00000000-0005-0000-0000-0000F5770000}"/>
    <cellStyle name="Note 2 6 8 2 2" xfId="29379" xr:uid="{00000000-0005-0000-0000-0000F6770000}"/>
    <cellStyle name="Note 2 6 8 3" xfId="32223" xr:uid="{00000000-0005-0000-0000-0000F7770000}"/>
    <cellStyle name="Note 2 6 9" xfId="10281" xr:uid="{00000000-0005-0000-0000-0000F8770000}"/>
    <cellStyle name="Note 2 7" xfId="7963" xr:uid="{00000000-0005-0000-0000-0000F9770000}"/>
    <cellStyle name="Note 2 7 2" xfId="7964" xr:uid="{00000000-0005-0000-0000-0000FA770000}"/>
    <cellStyle name="Note 2 7 2 2" xfId="7965" xr:uid="{00000000-0005-0000-0000-0000FB770000}"/>
    <cellStyle name="Note 2 7 2 2 2" xfId="7966" xr:uid="{00000000-0005-0000-0000-0000FC770000}"/>
    <cellStyle name="Note 2 7 2 2 2 2" xfId="11626" xr:uid="{00000000-0005-0000-0000-0000FD770000}"/>
    <cellStyle name="Note 2 7 2 2 2 3" xfId="32227" xr:uid="{00000000-0005-0000-0000-0000FE770000}"/>
    <cellStyle name="Note 2 7 2 2 3" xfId="7967" xr:uid="{00000000-0005-0000-0000-0000FF770000}"/>
    <cellStyle name="Note 2 7 2 2 3 2" xfId="16862" xr:uid="{00000000-0005-0000-0000-000000780000}"/>
    <cellStyle name="Note 2 7 2 2 3 2 2" xfId="30269" xr:uid="{00000000-0005-0000-0000-000001780000}"/>
    <cellStyle name="Note 2 7 2 2 3 3" xfId="32228" xr:uid="{00000000-0005-0000-0000-000002780000}"/>
    <cellStyle name="Note 2 7 2 2 4" xfId="10291" xr:uid="{00000000-0005-0000-0000-000003780000}"/>
    <cellStyle name="Note 2 7 2 2 5" xfId="32226" xr:uid="{00000000-0005-0000-0000-000004780000}"/>
    <cellStyle name="Note 2 7 2 3" xfId="7968" xr:uid="{00000000-0005-0000-0000-000005780000}"/>
    <cellStyle name="Note 2 7 2 3 2" xfId="7969" xr:uid="{00000000-0005-0000-0000-000006780000}"/>
    <cellStyle name="Note 2 7 2 3 2 2" xfId="13305" xr:uid="{00000000-0005-0000-0000-000007780000}"/>
    <cellStyle name="Note 2 7 2 3 2 3" xfId="32230" xr:uid="{00000000-0005-0000-0000-000008780000}"/>
    <cellStyle name="Note 2 7 2 3 3" xfId="12250" xr:uid="{00000000-0005-0000-0000-000009780000}"/>
    <cellStyle name="Note 2 7 2 3 3 2" xfId="25962" xr:uid="{00000000-0005-0000-0000-00000A780000}"/>
    <cellStyle name="Note 2 7 2 3 4" xfId="32229" xr:uid="{00000000-0005-0000-0000-00000B780000}"/>
    <cellStyle name="Note 2 7 2 4" xfId="7970" xr:uid="{00000000-0005-0000-0000-00000C780000}"/>
    <cellStyle name="Note 2 7 2 4 2" xfId="7971" xr:uid="{00000000-0005-0000-0000-00000D780000}"/>
    <cellStyle name="Note 2 7 2 4 2 2" xfId="15740" xr:uid="{00000000-0005-0000-0000-00000E780000}"/>
    <cellStyle name="Note 2 7 2 4 2 3" xfId="32232" xr:uid="{00000000-0005-0000-0000-00000F780000}"/>
    <cellStyle name="Note 2 7 2 4 3" xfId="13814" xr:uid="{00000000-0005-0000-0000-000010780000}"/>
    <cellStyle name="Note 2 7 2 4 3 2" xfId="27363" xr:uid="{00000000-0005-0000-0000-000011780000}"/>
    <cellStyle name="Note 2 7 2 4 4" xfId="32231" xr:uid="{00000000-0005-0000-0000-000012780000}"/>
    <cellStyle name="Note 2 7 2 5" xfId="7972" xr:uid="{00000000-0005-0000-0000-000013780000}"/>
    <cellStyle name="Note 2 7 2 5 2" xfId="14395" xr:uid="{00000000-0005-0000-0000-000014780000}"/>
    <cellStyle name="Note 2 7 2 5 2 2" xfId="27944" xr:uid="{00000000-0005-0000-0000-000015780000}"/>
    <cellStyle name="Note 2 7 2 5 3" xfId="32233" xr:uid="{00000000-0005-0000-0000-000016780000}"/>
    <cellStyle name="Note 2 7 2 6" xfId="7973" xr:uid="{00000000-0005-0000-0000-000017780000}"/>
    <cellStyle name="Note 2 7 2 6 2" xfId="16281" xr:uid="{00000000-0005-0000-0000-000018780000}"/>
    <cellStyle name="Note 2 7 2 6 2 2" xfId="29688" xr:uid="{00000000-0005-0000-0000-000019780000}"/>
    <cellStyle name="Note 2 7 2 6 3" xfId="32234" xr:uid="{00000000-0005-0000-0000-00001A780000}"/>
    <cellStyle name="Note 2 7 2 7" xfId="10290" xr:uid="{00000000-0005-0000-0000-00001B780000}"/>
    <cellStyle name="Note 2 7 2 8" xfId="32225" xr:uid="{00000000-0005-0000-0000-00001C780000}"/>
    <cellStyle name="Note 2 7 3" xfId="7974" xr:uid="{00000000-0005-0000-0000-00001D780000}"/>
    <cellStyle name="Note 2 7 3 2" xfId="7975" xr:uid="{00000000-0005-0000-0000-00001E780000}"/>
    <cellStyle name="Note 2 7 3 2 2" xfId="11627" xr:uid="{00000000-0005-0000-0000-00001F780000}"/>
    <cellStyle name="Note 2 7 3 2 3" xfId="32236" xr:uid="{00000000-0005-0000-0000-000020780000}"/>
    <cellStyle name="Note 2 7 3 3" xfId="7976" xr:uid="{00000000-0005-0000-0000-000021780000}"/>
    <cellStyle name="Note 2 7 3 3 2" xfId="16573" xr:uid="{00000000-0005-0000-0000-000022780000}"/>
    <cellStyle name="Note 2 7 3 3 2 2" xfId="29980" xr:uid="{00000000-0005-0000-0000-000023780000}"/>
    <cellStyle name="Note 2 7 3 3 3" xfId="32237" xr:uid="{00000000-0005-0000-0000-000024780000}"/>
    <cellStyle name="Note 2 7 3 4" xfId="10292" xr:uid="{00000000-0005-0000-0000-000025780000}"/>
    <cellStyle name="Note 2 7 3 5" xfId="32235" xr:uid="{00000000-0005-0000-0000-000026780000}"/>
    <cellStyle name="Note 2 7 4" xfId="7977" xr:uid="{00000000-0005-0000-0000-000027780000}"/>
    <cellStyle name="Note 2 7 4 2" xfId="7978" xr:uid="{00000000-0005-0000-0000-000028780000}"/>
    <cellStyle name="Note 2 7 4 2 2" xfId="13306" xr:uid="{00000000-0005-0000-0000-000029780000}"/>
    <cellStyle name="Note 2 7 4 2 3" xfId="32239" xr:uid="{00000000-0005-0000-0000-00002A780000}"/>
    <cellStyle name="Note 2 7 4 3" xfId="11950" xr:uid="{00000000-0005-0000-0000-00002B780000}"/>
    <cellStyle name="Note 2 7 4 3 2" xfId="25665" xr:uid="{00000000-0005-0000-0000-00002C780000}"/>
    <cellStyle name="Note 2 7 4 4" xfId="32238" xr:uid="{00000000-0005-0000-0000-00002D780000}"/>
    <cellStyle name="Note 2 7 5" xfId="7979" xr:uid="{00000000-0005-0000-0000-00002E780000}"/>
    <cellStyle name="Note 2 7 5 2" xfId="7980" xr:uid="{00000000-0005-0000-0000-00002F780000}"/>
    <cellStyle name="Note 2 7 5 2 2" xfId="15741" xr:uid="{00000000-0005-0000-0000-000030780000}"/>
    <cellStyle name="Note 2 7 5 2 3" xfId="32241" xr:uid="{00000000-0005-0000-0000-000031780000}"/>
    <cellStyle name="Note 2 7 5 3" xfId="13525" xr:uid="{00000000-0005-0000-0000-000032780000}"/>
    <cellStyle name="Note 2 7 5 3 2" xfId="27074" xr:uid="{00000000-0005-0000-0000-000033780000}"/>
    <cellStyle name="Note 2 7 5 4" xfId="32240" xr:uid="{00000000-0005-0000-0000-000034780000}"/>
    <cellStyle name="Note 2 7 6" xfId="7981" xr:uid="{00000000-0005-0000-0000-000035780000}"/>
    <cellStyle name="Note 2 7 6 2" xfId="14106" xr:uid="{00000000-0005-0000-0000-000036780000}"/>
    <cellStyle name="Note 2 7 6 2 2" xfId="27655" xr:uid="{00000000-0005-0000-0000-000037780000}"/>
    <cellStyle name="Note 2 7 6 3" xfId="32242" xr:uid="{00000000-0005-0000-0000-000038780000}"/>
    <cellStyle name="Note 2 7 7" xfId="7982" xr:uid="{00000000-0005-0000-0000-000039780000}"/>
    <cellStyle name="Note 2 7 7 2" xfId="15992" xr:uid="{00000000-0005-0000-0000-00003A780000}"/>
    <cellStyle name="Note 2 7 7 2 2" xfId="29399" xr:uid="{00000000-0005-0000-0000-00003B780000}"/>
    <cellStyle name="Note 2 7 7 3" xfId="32243" xr:uid="{00000000-0005-0000-0000-00003C780000}"/>
    <cellStyle name="Note 2 7 8" xfId="10289" xr:uid="{00000000-0005-0000-0000-00003D780000}"/>
    <cellStyle name="Note 2 7 9" xfId="32224" xr:uid="{00000000-0005-0000-0000-00003E780000}"/>
    <cellStyle name="Note 2 8" xfId="7983" xr:uid="{00000000-0005-0000-0000-00003F780000}"/>
    <cellStyle name="Note 2 8 2" xfId="7984" xr:uid="{00000000-0005-0000-0000-000040780000}"/>
    <cellStyle name="Note 2 8 2 2" xfId="7985" xr:uid="{00000000-0005-0000-0000-000041780000}"/>
    <cellStyle name="Note 2 8 2 2 2" xfId="11628" xr:uid="{00000000-0005-0000-0000-000042780000}"/>
    <cellStyle name="Note 2 8 2 2 3" xfId="32246" xr:uid="{00000000-0005-0000-0000-000043780000}"/>
    <cellStyle name="Note 2 8 2 3" xfId="7986" xr:uid="{00000000-0005-0000-0000-000044780000}"/>
    <cellStyle name="Note 2 8 2 3 2" xfId="16718" xr:uid="{00000000-0005-0000-0000-000045780000}"/>
    <cellStyle name="Note 2 8 2 3 2 2" xfId="30125" xr:uid="{00000000-0005-0000-0000-000046780000}"/>
    <cellStyle name="Note 2 8 2 3 3" xfId="32247" xr:uid="{00000000-0005-0000-0000-000047780000}"/>
    <cellStyle name="Note 2 8 2 4" xfId="10294" xr:uid="{00000000-0005-0000-0000-000048780000}"/>
    <cellStyle name="Note 2 8 2 5" xfId="32245" xr:uid="{00000000-0005-0000-0000-000049780000}"/>
    <cellStyle name="Note 2 8 3" xfId="7987" xr:uid="{00000000-0005-0000-0000-00004A780000}"/>
    <cellStyle name="Note 2 8 3 2" xfId="7988" xr:uid="{00000000-0005-0000-0000-00004B780000}"/>
    <cellStyle name="Note 2 8 3 2 2" xfId="13307" xr:uid="{00000000-0005-0000-0000-00004C780000}"/>
    <cellStyle name="Note 2 8 3 2 3" xfId="32249" xr:uid="{00000000-0005-0000-0000-00004D780000}"/>
    <cellStyle name="Note 2 8 3 3" xfId="12106" xr:uid="{00000000-0005-0000-0000-00004E780000}"/>
    <cellStyle name="Note 2 8 3 3 2" xfId="25818" xr:uid="{00000000-0005-0000-0000-00004F780000}"/>
    <cellStyle name="Note 2 8 3 4" xfId="32248" xr:uid="{00000000-0005-0000-0000-000050780000}"/>
    <cellStyle name="Note 2 8 4" xfId="7989" xr:uid="{00000000-0005-0000-0000-000051780000}"/>
    <cellStyle name="Note 2 8 4 2" xfId="7990" xr:uid="{00000000-0005-0000-0000-000052780000}"/>
    <cellStyle name="Note 2 8 4 2 2" xfId="15742" xr:uid="{00000000-0005-0000-0000-000053780000}"/>
    <cellStyle name="Note 2 8 4 2 3" xfId="32251" xr:uid="{00000000-0005-0000-0000-000054780000}"/>
    <cellStyle name="Note 2 8 4 3" xfId="13670" xr:uid="{00000000-0005-0000-0000-000055780000}"/>
    <cellStyle name="Note 2 8 4 3 2" xfId="27219" xr:uid="{00000000-0005-0000-0000-000056780000}"/>
    <cellStyle name="Note 2 8 4 4" xfId="32250" xr:uid="{00000000-0005-0000-0000-000057780000}"/>
    <cellStyle name="Note 2 8 5" xfId="7991" xr:uid="{00000000-0005-0000-0000-000058780000}"/>
    <cellStyle name="Note 2 8 5 2" xfId="14251" xr:uid="{00000000-0005-0000-0000-000059780000}"/>
    <cellStyle name="Note 2 8 5 2 2" xfId="27800" xr:uid="{00000000-0005-0000-0000-00005A780000}"/>
    <cellStyle name="Note 2 8 5 3" xfId="32252" xr:uid="{00000000-0005-0000-0000-00005B780000}"/>
    <cellStyle name="Note 2 8 6" xfId="7992" xr:uid="{00000000-0005-0000-0000-00005C780000}"/>
    <cellStyle name="Note 2 8 6 2" xfId="16137" xr:uid="{00000000-0005-0000-0000-00005D780000}"/>
    <cellStyle name="Note 2 8 6 2 2" xfId="29544" xr:uid="{00000000-0005-0000-0000-00005E780000}"/>
    <cellStyle name="Note 2 8 6 3" xfId="32253" xr:uid="{00000000-0005-0000-0000-00005F780000}"/>
    <cellStyle name="Note 2 8 7" xfId="10293" xr:uid="{00000000-0005-0000-0000-000060780000}"/>
    <cellStyle name="Note 2 8 8" xfId="32244" xr:uid="{00000000-0005-0000-0000-000061780000}"/>
    <cellStyle name="Note 2 9" xfId="7993" xr:uid="{00000000-0005-0000-0000-000062780000}"/>
    <cellStyle name="Note 2 9 2" xfId="7994" xr:uid="{00000000-0005-0000-0000-000063780000}"/>
    <cellStyle name="Note 2 9 2 2" xfId="13308" xr:uid="{00000000-0005-0000-0000-000064780000}"/>
    <cellStyle name="Note 2 9 2 3" xfId="32255" xr:uid="{00000000-0005-0000-0000-000065780000}"/>
    <cellStyle name="Note 2 9 3" xfId="7995" xr:uid="{00000000-0005-0000-0000-000066780000}"/>
    <cellStyle name="Note 2 9 3 2" xfId="17041" xr:uid="{00000000-0005-0000-0000-000067780000}"/>
    <cellStyle name="Note 2 9 3 2 2" xfId="30440" xr:uid="{00000000-0005-0000-0000-000068780000}"/>
    <cellStyle name="Note 2 9 3 3" xfId="32256" xr:uid="{00000000-0005-0000-0000-000069780000}"/>
    <cellStyle name="Note 2 9 4" xfId="10295" xr:uid="{00000000-0005-0000-0000-00006A780000}"/>
    <cellStyle name="Note 2 9 5" xfId="32254" xr:uid="{00000000-0005-0000-0000-00006B780000}"/>
    <cellStyle name="Note 3" xfId="7996" xr:uid="{00000000-0005-0000-0000-00006C780000}"/>
    <cellStyle name="Note 3 10" xfId="10296" xr:uid="{00000000-0005-0000-0000-00006D780000}"/>
    <cellStyle name="Note 3 11" xfId="32257" xr:uid="{00000000-0005-0000-0000-00006E780000}"/>
    <cellStyle name="Note 3 2" xfId="7997" xr:uid="{00000000-0005-0000-0000-00006F780000}"/>
    <cellStyle name="Note 3 2 10" xfId="32258" xr:uid="{00000000-0005-0000-0000-000070780000}"/>
    <cellStyle name="Note 3 2 2" xfId="7998" xr:uid="{00000000-0005-0000-0000-000071780000}"/>
    <cellStyle name="Note 3 2 2 2" xfId="7999" xr:uid="{00000000-0005-0000-0000-000072780000}"/>
    <cellStyle name="Note 3 2 2 2 2" xfId="8000" xr:uid="{00000000-0005-0000-0000-000073780000}"/>
    <cellStyle name="Note 3 2 2 2 2 2" xfId="8001" xr:uid="{00000000-0005-0000-0000-000074780000}"/>
    <cellStyle name="Note 3 2 2 2 2 2 2" xfId="11629" xr:uid="{00000000-0005-0000-0000-000075780000}"/>
    <cellStyle name="Note 3 2 2 2 2 2 3" xfId="32262" xr:uid="{00000000-0005-0000-0000-000076780000}"/>
    <cellStyle name="Note 3 2 2 2 2 3" xfId="8002" xr:uid="{00000000-0005-0000-0000-000077780000}"/>
    <cellStyle name="Note 3 2 2 2 2 3 2" xfId="16949" xr:uid="{00000000-0005-0000-0000-000078780000}"/>
    <cellStyle name="Note 3 2 2 2 2 3 2 2" xfId="30356" xr:uid="{00000000-0005-0000-0000-000079780000}"/>
    <cellStyle name="Note 3 2 2 2 2 3 3" xfId="32263" xr:uid="{00000000-0005-0000-0000-00007A780000}"/>
    <cellStyle name="Note 3 2 2 2 2 4" xfId="10300" xr:uid="{00000000-0005-0000-0000-00007B780000}"/>
    <cellStyle name="Note 3 2 2 2 2 5" xfId="32261" xr:uid="{00000000-0005-0000-0000-00007C780000}"/>
    <cellStyle name="Note 3 2 2 2 3" xfId="8003" xr:uid="{00000000-0005-0000-0000-00007D780000}"/>
    <cellStyle name="Note 3 2 2 2 3 2" xfId="8004" xr:uid="{00000000-0005-0000-0000-00007E780000}"/>
    <cellStyle name="Note 3 2 2 2 3 2 2" xfId="13309" xr:uid="{00000000-0005-0000-0000-00007F780000}"/>
    <cellStyle name="Note 3 2 2 2 3 2 3" xfId="32265" xr:uid="{00000000-0005-0000-0000-000080780000}"/>
    <cellStyle name="Note 3 2 2 2 3 3" xfId="12337" xr:uid="{00000000-0005-0000-0000-000081780000}"/>
    <cellStyle name="Note 3 2 2 2 3 3 2" xfId="26049" xr:uid="{00000000-0005-0000-0000-000082780000}"/>
    <cellStyle name="Note 3 2 2 2 3 4" xfId="32264" xr:uid="{00000000-0005-0000-0000-000083780000}"/>
    <cellStyle name="Note 3 2 2 2 4" xfId="8005" xr:uid="{00000000-0005-0000-0000-000084780000}"/>
    <cellStyle name="Note 3 2 2 2 4 2" xfId="8006" xr:uid="{00000000-0005-0000-0000-000085780000}"/>
    <cellStyle name="Note 3 2 2 2 4 2 2" xfId="15743" xr:uid="{00000000-0005-0000-0000-000086780000}"/>
    <cellStyle name="Note 3 2 2 2 4 2 3" xfId="32267" xr:uid="{00000000-0005-0000-0000-000087780000}"/>
    <cellStyle name="Note 3 2 2 2 4 3" xfId="13901" xr:uid="{00000000-0005-0000-0000-000088780000}"/>
    <cellStyle name="Note 3 2 2 2 4 3 2" xfId="27450" xr:uid="{00000000-0005-0000-0000-000089780000}"/>
    <cellStyle name="Note 3 2 2 2 4 4" xfId="32266" xr:uid="{00000000-0005-0000-0000-00008A780000}"/>
    <cellStyle name="Note 3 2 2 2 5" xfId="8007" xr:uid="{00000000-0005-0000-0000-00008B780000}"/>
    <cellStyle name="Note 3 2 2 2 5 2" xfId="14482" xr:uid="{00000000-0005-0000-0000-00008C780000}"/>
    <cellStyle name="Note 3 2 2 2 5 2 2" xfId="28031" xr:uid="{00000000-0005-0000-0000-00008D780000}"/>
    <cellStyle name="Note 3 2 2 2 5 3" xfId="32268" xr:uid="{00000000-0005-0000-0000-00008E780000}"/>
    <cellStyle name="Note 3 2 2 2 6" xfId="8008" xr:uid="{00000000-0005-0000-0000-00008F780000}"/>
    <cellStyle name="Note 3 2 2 2 6 2" xfId="16368" xr:uid="{00000000-0005-0000-0000-000090780000}"/>
    <cellStyle name="Note 3 2 2 2 6 2 2" xfId="29775" xr:uid="{00000000-0005-0000-0000-000091780000}"/>
    <cellStyle name="Note 3 2 2 2 6 3" xfId="32269" xr:uid="{00000000-0005-0000-0000-000092780000}"/>
    <cellStyle name="Note 3 2 2 2 7" xfId="10299" xr:uid="{00000000-0005-0000-0000-000093780000}"/>
    <cellStyle name="Note 3 2 2 2 8" xfId="32260" xr:uid="{00000000-0005-0000-0000-000094780000}"/>
    <cellStyle name="Note 3 2 2 3" xfId="8009" xr:uid="{00000000-0005-0000-0000-000095780000}"/>
    <cellStyle name="Note 3 2 2 3 2" xfId="8010" xr:uid="{00000000-0005-0000-0000-000096780000}"/>
    <cellStyle name="Note 3 2 2 3 2 2" xfId="11630" xr:uid="{00000000-0005-0000-0000-000097780000}"/>
    <cellStyle name="Note 3 2 2 3 2 3" xfId="32271" xr:uid="{00000000-0005-0000-0000-000098780000}"/>
    <cellStyle name="Note 3 2 2 3 3" xfId="8011" xr:uid="{00000000-0005-0000-0000-000099780000}"/>
    <cellStyle name="Note 3 2 2 3 3 2" xfId="16660" xr:uid="{00000000-0005-0000-0000-00009A780000}"/>
    <cellStyle name="Note 3 2 2 3 3 2 2" xfId="30067" xr:uid="{00000000-0005-0000-0000-00009B780000}"/>
    <cellStyle name="Note 3 2 2 3 3 3" xfId="32272" xr:uid="{00000000-0005-0000-0000-00009C780000}"/>
    <cellStyle name="Note 3 2 2 3 4" xfId="10301" xr:uid="{00000000-0005-0000-0000-00009D780000}"/>
    <cellStyle name="Note 3 2 2 3 5" xfId="32270" xr:uid="{00000000-0005-0000-0000-00009E780000}"/>
    <cellStyle name="Note 3 2 2 4" xfId="8012" xr:uid="{00000000-0005-0000-0000-00009F780000}"/>
    <cellStyle name="Note 3 2 2 4 2" xfId="8013" xr:uid="{00000000-0005-0000-0000-0000A0780000}"/>
    <cellStyle name="Note 3 2 2 4 2 2" xfId="13310" xr:uid="{00000000-0005-0000-0000-0000A1780000}"/>
    <cellStyle name="Note 3 2 2 4 2 3" xfId="32274" xr:uid="{00000000-0005-0000-0000-0000A2780000}"/>
    <cellStyle name="Note 3 2 2 4 3" xfId="12037" xr:uid="{00000000-0005-0000-0000-0000A3780000}"/>
    <cellStyle name="Note 3 2 2 4 3 2" xfId="25752" xr:uid="{00000000-0005-0000-0000-0000A4780000}"/>
    <cellStyle name="Note 3 2 2 4 4" xfId="32273" xr:uid="{00000000-0005-0000-0000-0000A5780000}"/>
    <cellStyle name="Note 3 2 2 5" xfId="8014" xr:uid="{00000000-0005-0000-0000-0000A6780000}"/>
    <cellStyle name="Note 3 2 2 5 2" xfId="8015" xr:uid="{00000000-0005-0000-0000-0000A7780000}"/>
    <cellStyle name="Note 3 2 2 5 2 2" xfId="15744" xr:uid="{00000000-0005-0000-0000-0000A8780000}"/>
    <cellStyle name="Note 3 2 2 5 2 3" xfId="32276" xr:uid="{00000000-0005-0000-0000-0000A9780000}"/>
    <cellStyle name="Note 3 2 2 5 3" xfId="13612" xr:uid="{00000000-0005-0000-0000-0000AA780000}"/>
    <cellStyle name="Note 3 2 2 5 3 2" xfId="27161" xr:uid="{00000000-0005-0000-0000-0000AB780000}"/>
    <cellStyle name="Note 3 2 2 5 4" xfId="32275" xr:uid="{00000000-0005-0000-0000-0000AC780000}"/>
    <cellStyle name="Note 3 2 2 6" xfId="8016" xr:uid="{00000000-0005-0000-0000-0000AD780000}"/>
    <cellStyle name="Note 3 2 2 6 2" xfId="14193" xr:uid="{00000000-0005-0000-0000-0000AE780000}"/>
    <cellStyle name="Note 3 2 2 6 2 2" xfId="27742" xr:uid="{00000000-0005-0000-0000-0000AF780000}"/>
    <cellStyle name="Note 3 2 2 6 3" xfId="32277" xr:uid="{00000000-0005-0000-0000-0000B0780000}"/>
    <cellStyle name="Note 3 2 2 7" xfId="8017" xr:uid="{00000000-0005-0000-0000-0000B1780000}"/>
    <cellStyle name="Note 3 2 2 7 2" xfId="16079" xr:uid="{00000000-0005-0000-0000-0000B2780000}"/>
    <cellStyle name="Note 3 2 2 7 2 2" xfId="29486" xr:uid="{00000000-0005-0000-0000-0000B3780000}"/>
    <cellStyle name="Note 3 2 2 7 3" xfId="32278" xr:uid="{00000000-0005-0000-0000-0000B4780000}"/>
    <cellStyle name="Note 3 2 2 8" xfId="10298" xr:uid="{00000000-0005-0000-0000-0000B5780000}"/>
    <cellStyle name="Note 3 2 2 9" xfId="32259" xr:uid="{00000000-0005-0000-0000-0000B6780000}"/>
    <cellStyle name="Note 3 2 3" xfId="8018" xr:uid="{00000000-0005-0000-0000-0000B7780000}"/>
    <cellStyle name="Note 3 2 3 2" xfId="8019" xr:uid="{00000000-0005-0000-0000-0000B8780000}"/>
    <cellStyle name="Note 3 2 3 2 2" xfId="8020" xr:uid="{00000000-0005-0000-0000-0000B9780000}"/>
    <cellStyle name="Note 3 2 3 2 2 2" xfId="11631" xr:uid="{00000000-0005-0000-0000-0000BA780000}"/>
    <cellStyle name="Note 3 2 3 2 2 3" xfId="32281" xr:uid="{00000000-0005-0000-0000-0000BB780000}"/>
    <cellStyle name="Note 3 2 3 2 3" xfId="8021" xr:uid="{00000000-0005-0000-0000-0000BC780000}"/>
    <cellStyle name="Note 3 2 3 2 3 2" xfId="16806" xr:uid="{00000000-0005-0000-0000-0000BD780000}"/>
    <cellStyle name="Note 3 2 3 2 3 2 2" xfId="30213" xr:uid="{00000000-0005-0000-0000-0000BE780000}"/>
    <cellStyle name="Note 3 2 3 2 3 3" xfId="32282" xr:uid="{00000000-0005-0000-0000-0000BF780000}"/>
    <cellStyle name="Note 3 2 3 2 4" xfId="10303" xr:uid="{00000000-0005-0000-0000-0000C0780000}"/>
    <cellStyle name="Note 3 2 3 2 5" xfId="32280" xr:uid="{00000000-0005-0000-0000-0000C1780000}"/>
    <cellStyle name="Note 3 2 3 3" xfId="8022" xr:uid="{00000000-0005-0000-0000-0000C2780000}"/>
    <cellStyle name="Note 3 2 3 3 2" xfId="8023" xr:uid="{00000000-0005-0000-0000-0000C3780000}"/>
    <cellStyle name="Note 3 2 3 3 2 2" xfId="13311" xr:uid="{00000000-0005-0000-0000-0000C4780000}"/>
    <cellStyle name="Note 3 2 3 3 2 3" xfId="32284" xr:uid="{00000000-0005-0000-0000-0000C5780000}"/>
    <cellStyle name="Note 3 2 3 3 3" xfId="12194" xr:uid="{00000000-0005-0000-0000-0000C6780000}"/>
    <cellStyle name="Note 3 2 3 3 3 2" xfId="25906" xr:uid="{00000000-0005-0000-0000-0000C7780000}"/>
    <cellStyle name="Note 3 2 3 3 4" xfId="32283" xr:uid="{00000000-0005-0000-0000-0000C8780000}"/>
    <cellStyle name="Note 3 2 3 4" xfId="8024" xr:uid="{00000000-0005-0000-0000-0000C9780000}"/>
    <cellStyle name="Note 3 2 3 4 2" xfId="8025" xr:uid="{00000000-0005-0000-0000-0000CA780000}"/>
    <cellStyle name="Note 3 2 3 4 2 2" xfId="15745" xr:uid="{00000000-0005-0000-0000-0000CB780000}"/>
    <cellStyle name="Note 3 2 3 4 2 3" xfId="32286" xr:uid="{00000000-0005-0000-0000-0000CC780000}"/>
    <cellStyle name="Note 3 2 3 4 3" xfId="13758" xr:uid="{00000000-0005-0000-0000-0000CD780000}"/>
    <cellStyle name="Note 3 2 3 4 3 2" xfId="27307" xr:uid="{00000000-0005-0000-0000-0000CE780000}"/>
    <cellStyle name="Note 3 2 3 4 4" xfId="32285" xr:uid="{00000000-0005-0000-0000-0000CF780000}"/>
    <cellStyle name="Note 3 2 3 5" xfId="8026" xr:uid="{00000000-0005-0000-0000-0000D0780000}"/>
    <cellStyle name="Note 3 2 3 5 2" xfId="14339" xr:uid="{00000000-0005-0000-0000-0000D1780000}"/>
    <cellStyle name="Note 3 2 3 5 2 2" xfId="27888" xr:uid="{00000000-0005-0000-0000-0000D2780000}"/>
    <cellStyle name="Note 3 2 3 5 3" xfId="32287" xr:uid="{00000000-0005-0000-0000-0000D3780000}"/>
    <cellStyle name="Note 3 2 3 6" xfId="8027" xr:uid="{00000000-0005-0000-0000-0000D4780000}"/>
    <cellStyle name="Note 3 2 3 6 2" xfId="16225" xr:uid="{00000000-0005-0000-0000-0000D5780000}"/>
    <cellStyle name="Note 3 2 3 6 2 2" xfId="29632" xr:uid="{00000000-0005-0000-0000-0000D6780000}"/>
    <cellStyle name="Note 3 2 3 6 3" xfId="32288" xr:uid="{00000000-0005-0000-0000-0000D7780000}"/>
    <cellStyle name="Note 3 2 3 7" xfId="10302" xr:uid="{00000000-0005-0000-0000-0000D8780000}"/>
    <cellStyle name="Note 3 2 3 8" xfId="32279" xr:uid="{00000000-0005-0000-0000-0000D9780000}"/>
    <cellStyle name="Note 3 2 4" xfId="8028" xr:uid="{00000000-0005-0000-0000-0000DA780000}"/>
    <cellStyle name="Note 3 2 4 2" xfId="8029" xr:uid="{00000000-0005-0000-0000-0000DB780000}"/>
    <cellStyle name="Note 3 2 4 2 2" xfId="11632" xr:uid="{00000000-0005-0000-0000-0000DC780000}"/>
    <cellStyle name="Note 3 2 4 2 3" xfId="32290" xr:uid="{00000000-0005-0000-0000-0000DD780000}"/>
    <cellStyle name="Note 3 2 4 3" xfId="8030" xr:uid="{00000000-0005-0000-0000-0000DE780000}"/>
    <cellStyle name="Note 3 2 4 3 2" xfId="17153" xr:uid="{00000000-0005-0000-0000-0000DF780000}"/>
    <cellStyle name="Note 3 2 4 3 2 2" xfId="30512" xr:uid="{00000000-0005-0000-0000-0000E0780000}"/>
    <cellStyle name="Note 3 2 4 3 3" xfId="32291" xr:uid="{00000000-0005-0000-0000-0000E1780000}"/>
    <cellStyle name="Note 3 2 4 4" xfId="10304" xr:uid="{00000000-0005-0000-0000-0000E2780000}"/>
    <cellStyle name="Note 3 2 4 5" xfId="32289" xr:uid="{00000000-0005-0000-0000-0000E3780000}"/>
    <cellStyle name="Note 3 2 5" xfId="8031" xr:uid="{00000000-0005-0000-0000-0000E4780000}"/>
    <cellStyle name="Note 3 2 5 2" xfId="8032" xr:uid="{00000000-0005-0000-0000-0000E5780000}"/>
    <cellStyle name="Note 3 2 5 2 2" xfId="13312" xr:uid="{00000000-0005-0000-0000-0000E6780000}"/>
    <cellStyle name="Note 3 2 5 2 3" xfId="32293" xr:uid="{00000000-0005-0000-0000-0000E7780000}"/>
    <cellStyle name="Note 3 2 5 3" xfId="8033" xr:uid="{00000000-0005-0000-0000-0000E8780000}"/>
    <cellStyle name="Note 3 2 5 3 2" xfId="17242" xr:uid="{00000000-0005-0000-0000-0000E9780000}"/>
    <cellStyle name="Note 3 2 5 3 2 2" xfId="30601" xr:uid="{00000000-0005-0000-0000-0000EA780000}"/>
    <cellStyle name="Note 3 2 5 3 3" xfId="32294" xr:uid="{00000000-0005-0000-0000-0000EB780000}"/>
    <cellStyle name="Note 3 2 5 4" xfId="11892" xr:uid="{00000000-0005-0000-0000-0000EC780000}"/>
    <cellStyle name="Note 3 2 5 4 2" xfId="25607" xr:uid="{00000000-0005-0000-0000-0000ED780000}"/>
    <cellStyle name="Note 3 2 5 5" xfId="32292" xr:uid="{00000000-0005-0000-0000-0000EE780000}"/>
    <cellStyle name="Note 3 2 6" xfId="8034" xr:uid="{00000000-0005-0000-0000-0000EF780000}"/>
    <cellStyle name="Note 3 2 6 2" xfId="8035" xr:uid="{00000000-0005-0000-0000-0000F0780000}"/>
    <cellStyle name="Note 3 2 6 2 2" xfId="15746" xr:uid="{00000000-0005-0000-0000-0000F1780000}"/>
    <cellStyle name="Note 3 2 6 2 3" xfId="32296" xr:uid="{00000000-0005-0000-0000-0000F2780000}"/>
    <cellStyle name="Note 3 2 6 3" xfId="8036" xr:uid="{00000000-0005-0000-0000-0000F3780000}"/>
    <cellStyle name="Note 3 2 6 3 2" xfId="16517" xr:uid="{00000000-0005-0000-0000-0000F4780000}"/>
    <cellStyle name="Note 3 2 6 3 2 2" xfId="29924" xr:uid="{00000000-0005-0000-0000-0000F5780000}"/>
    <cellStyle name="Note 3 2 6 3 3" xfId="32297" xr:uid="{00000000-0005-0000-0000-0000F6780000}"/>
    <cellStyle name="Note 3 2 6 4" xfId="13469" xr:uid="{00000000-0005-0000-0000-0000F7780000}"/>
    <cellStyle name="Note 3 2 6 4 2" xfId="27018" xr:uid="{00000000-0005-0000-0000-0000F8780000}"/>
    <cellStyle name="Note 3 2 6 5" xfId="32295" xr:uid="{00000000-0005-0000-0000-0000F9780000}"/>
    <cellStyle name="Note 3 2 7" xfId="8037" xr:uid="{00000000-0005-0000-0000-0000FA780000}"/>
    <cellStyle name="Note 3 2 7 2" xfId="14050" xr:uid="{00000000-0005-0000-0000-0000FB780000}"/>
    <cellStyle name="Note 3 2 7 2 2" xfId="27599" xr:uid="{00000000-0005-0000-0000-0000FC780000}"/>
    <cellStyle name="Note 3 2 7 3" xfId="32298" xr:uid="{00000000-0005-0000-0000-0000FD780000}"/>
    <cellStyle name="Note 3 2 8" xfId="8038" xr:uid="{00000000-0005-0000-0000-0000FE780000}"/>
    <cellStyle name="Note 3 2 8 2" xfId="15936" xr:uid="{00000000-0005-0000-0000-0000FF780000}"/>
    <cellStyle name="Note 3 2 8 2 2" xfId="29343" xr:uid="{00000000-0005-0000-0000-000000790000}"/>
    <cellStyle name="Note 3 2 8 3" xfId="32299" xr:uid="{00000000-0005-0000-0000-000001790000}"/>
    <cellStyle name="Note 3 2 9" xfId="10297" xr:uid="{00000000-0005-0000-0000-000002790000}"/>
    <cellStyle name="Note 3 3" xfId="8039" xr:uid="{00000000-0005-0000-0000-000003790000}"/>
    <cellStyle name="Note 3 3 2" xfId="8040" xr:uid="{00000000-0005-0000-0000-000004790000}"/>
    <cellStyle name="Note 3 3 2 2" xfId="8041" xr:uid="{00000000-0005-0000-0000-000005790000}"/>
    <cellStyle name="Note 3 3 2 2 2" xfId="8042" xr:uid="{00000000-0005-0000-0000-000006790000}"/>
    <cellStyle name="Note 3 3 2 2 2 2" xfId="11633" xr:uid="{00000000-0005-0000-0000-000007790000}"/>
    <cellStyle name="Note 3 3 2 2 2 3" xfId="32303" xr:uid="{00000000-0005-0000-0000-000008790000}"/>
    <cellStyle name="Note 3 3 2 2 3" xfId="8043" xr:uid="{00000000-0005-0000-0000-000009790000}"/>
    <cellStyle name="Note 3 3 2 2 3 2" xfId="16903" xr:uid="{00000000-0005-0000-0000-00000A790000}"/>
    <cellStyle name="Note 3 3 2 2 3 2 2" xfId="30310" xr:uid="{00000000-0005-0000-0000-00000B790000}"/>
    <cellStyle name="Note 3 3 2 2 3 3" xfId="32304" xr:uid="{00000000-0005-0000-0000-00000C790000}"/>
    <cellStyle name="Note 3 3 2 2 4" xfId="10307" xr:uid="{00000000-0005-0000-0000-00000D790000}"/>
    <cellStyle name="Note 3 3 2 2 5" xfId="32302" xr:uid="{00000000-0005-0000-0000-00000E790000}"/>
    <cellStyle name="Note 3 3 2 3" xfId="8044" xr:uid="{00000000-0005-0000-0000-00000F790000}"/>
    <cellStyle name="Note 3 3 2 3 2" xfId="8045" xr:uid="{00000000-0005-0000-0000-000010790000}"/>
    <cellStyle name="Note 3 3 2 3 2 2" xfId="13313" xr:uid="{00000000-0005-0000-0000-000011790000}"/>
    <cellStyle name="Note 3 3 2 3 2 3" xfId="32306" xr:uid="{00000000-0005-0000-0000-000012790000}"/>
    <cellStyle name="Note 3 3 2 3 3" xfId="12291" xr:uid="{00000000-0005-0000-0000-000013790000}"/>
    <cellStyle name="Note 3 3 2 3 3 2" xfId="26003" xr:uid="{00000000-0005-0000-0000-000014790000}"/>
    <cellStyle name="Note 3 3 2 3 4" xfId="32305" xr:uid="{00000000-0005-0000-0000-000015790000}"/>
    <cellStyle name="Note 3 3 2 4" xfId="8046" xr:uid="{00000000-0005-0000-0000-000016790000}"/>
    <cellStyle name="Note 3 3 2 4 2" xfId="8047" xr:uid="{00000000-0005-0000-0000-000017790000}"/>
    <cellStyle name="Note 3 3 2 4 2 2" xfId="15747" xr:uid="{00000000-0005-0000-0000-000018790000}"/>
    <cellStyle name="Note 3 3 2 4 2 3" xfId="32308" xr:uid="{00000000-0005-0000-0000-000019790000}"/>
    <cellStyle name="Note 3 3 2 4 3" xfId="13855" xr:uid="{00000000-0005-0000-0000-00001A790000}"/>
    <cellStyle name="Note 3 3 2 4 3 2" xfId="27404" xr:uid="{00000000-0005-0000-0000-00001B790000}"/>
    <cellStyle name="Note 3 3 2 4 4" xfId="32307" xr:uid="{00000000-0005-0000-0000-00001C790000}"/>
    <cellStyle name="Note 3 3 2 5" xfId="8048" xr:uid="{00000000-0005-0000-0000-00001D790000}"/>
    <cellStyle name="Note 3 3 2 5 2" xfId="14436" xr:uid="{00000000-0005-0000-0000-00001E790000}"/>
    <cellStyle name="Note 3 3 2 5 2 2" xfId="27985" xr:uid="{00000000-0005-0000-0000-00001F790000}"/>
    <cellStyle name="Note 3 3 2 5 3" xfId="32309" xr:uid="{00000000-0005-0000-0000-000020790000}"/>
    <cellStyle name="Note 3 3 2 6" xfId="8049" xr:uid="{00000000-0005-0000-0000-000021790000}"/>
    <cellStyle name="Note 3 3 2 6 2" xfId="16322" xr:uid="{00000000-0005-0000-0000-000022790000}"/>
    <cellStyle name="Note 3 3 2 6 2 2" xfId="29729" xr:uid="{00000000-0005-0000-0000-000023790000}"/>
    <cellStyle name="Note 3 3 2 6 3" xfId="32310" xr:uid="{00000000-0005-0000-0000-000024790000}"/>
    <cellStyle name="Note 3 3 2 7" xfId="10306" xr:uid="{00000000-0005-0000-0000-000025790000}"/>
    <cellStyle name="Note 3 3 2 8" xfId="32301" xr:uid="{00000000-0005-0000-0000-000026790000}"/>
    <cellStyle name="Note 3 3 3" xfId="8050" xr:uid="{00000000-0005-0000-0000-000027790000}"/>
    <cellStyle name="Note 3 3 3 2" xfId="8051" xr:uid="{00000000-0005-0000-0000-000028790000}"/>
    <cellStyle name="Note 3 3 3 2 2" xfId="11634" xr:uid="{00000000-0005-0000-0000-000029790000}"/>
    <cellStyle name="Note 3 3 3 2 3" xfId="32312" xr:uid="{00000000-0005-0000-0000-00002A790000}"/>
    <cellStyle name="Note 3 3 3 3" xfId="8052" xr:uid="{00000000-0005-0000-0000-00002B790000}"/>
    <cellStyle name="Note 3 3 3 3 2" xfId="16614" xr:uid="{00000000-0005-0000-0000-00002C790000}"/>
    <cellStyle name="Note 3 3 3 3 2 2" xfId="30021" xr:uid="{00000000-0005-0000-0000-00002D790000}"/>
    <cellStyle name="Note 3 3 3 3 3" xfId="32313" xr:uid="{00000000-0005-0000-0000-00002E790000}"/>
    <cellStyle name="Note 3 3 3 4" xfId="10308" xr:uid="{00000000-0005-0000-0000-00002F790000}"/>
    <cellStyle name="Note 3 3 3 5" xfId="32311" xr:uid="{00000000-0005-0000-0000-000030790000}"/>
    <cellStyle name="Note 3 3 4" xfId="8053" xr:uid="{00000000-0005-0000-0000-000031790000}"/>
    <cellStyle name="Note 3 3 4 2" xfId="8054" xr:uid="{00000000-0005-0000-0000-000032790000}"/>
    <cellStyle name="Note 3 3 4 2 2" xfId="13314" xr:uid="{00000000-0005-0000-0000-000033790000}"/>
    <cellStyle name="Note 3 3 4 2 3" xfId="32315" xr:uid="{00000000-0005-0000-0000-000034790000}"/>
    <cellStyle name="Note 3 3 4 3" xfId="11991" xr:uid="{00000000-0005-0000-0000-000035790000}"/>
    <cellStyle name="Note 3 3 4 3 2" xfId="25706" xr:uid="{00000000-0005-0000-0000-000036790000}"/>
    <cellStyle name="Note 3 3 4 4" xfId="32314" xr:uid="{00000000-0005-0000-0000-000037790000}"/>
    <cellStyle name="Note 3 3 5" xfId="8055" xr:uid="{00000000-0005-0000-0000-000038790000}"/>
    <cellStyle name="Note 3 3 5 2" xfId="8056" xr:uid="{00000000-0005-0000-0000-000039790000}"/>
    <cellStyle name="Note 3 3 5 2 2" xfId="15748" xr:uid="{00000000-0005-0000-0000-00003A790000}"/>
    <cellStyle name="Note 3 3 5 2 3" xfId="32317" xr:uid="{00000000-0005-0000-0000-00003B790000}"/>
    <cellStyle name="Note 3 3 5 3" xfId="13566" xr:uid="{00000000-0005-0000-0000-00003C790000}"/>
    <cellStyle name="Note 3 3 5 3 2" xfId="27115" xr:uid="{00000000-0005-0000-0000-00003D790000}"/>
    <cellStyle name="Note 3 3 5 4" xfId="32316" xr:uid="{00000000-0005-0000-0000-00003E790000}"/>
    <cellStyle name="Note 3 3 6" xfId="8057" xr:uid="{00000000-0005-0000-0000-00003F790000}"/>
    <cellStyle name="Note 3 3 6 2" xfId="14147" xr:uid="{00000000-0005-0000-0000-000040790000}"/>
    <cellStyle name="Note 3 3 6 2 2" xfId="27696" xr:uid="{00000000-0005-0000-0000-000041790000}"/>
    <cellStyle name="Note 3 3 6 3" xfId="32318" xr:uid="{00000000-0005-0000-0000-000042790000}"/>
    <cellStyle name="Note 3 3 7" xfId="8058" xr:uid="{00000000-0005-0000-0000-000043790000}"/>
    <cellStyle name="Note 3 3 7 2" xfId="16033" xr:uid="{00000000-0005-0000-0000-000044790000}"/>
    <cellStyle name="Note 3 3 7 2 2" xfId="29440" xr:uid="{00000000-0005-0000-0000-000045790000}"/>
    <cellStyle name="Note 3 3 7 3" xfId="32319" xr:uid="{00000000-0005-0000-0000-000046790000}"/>
    <cellStyle name="Note 3 3 8" xfId="10305" xr:uid="{00000000-0005-0000-0000-000047790000}"/>
    <cellStyle name="Note 3 3 9" xfId="32300" xr:uid="{00000000-0005-0000-0000-000048790000}"/>
    <cellStyle name="Note 3 4" xfId="8059" xr:uid="{00000000-0005-0000-0000-000049790000}"/>
    <cellStyle name="Note 3 4 2" xfId="8060" xr:uid="{00000000-0005-0000-0000-00004A790000}"/>
    <cellStyle name="Note 3 4 2 2" xfId="8061" xr:uid="{00000000-0005-0000-0000-00004B790000}"/>
    <cellStyle name="Note 3 4 2 2 2" xfId="11635" xr:uid="{00000000-0005-0000-0000-00004C790000}"/>
    <cellStyle name="Note 3 4 2 2 3" xfId="32322" xr:uid="{00000000-0005-0000-0000-00004D790000}"/>
    <cellStyle name="Note 3 4 2 3" xfId="8062" xr:uid="{00000000-0005-0000-0000-00004E790000}"/>
    <cellStyle name="Note 3 4 2 3 2" xfId="16760" xr:uid="{00000000-0005-0000-0000-00004F790000}"/>
    <cellStyle name="Note 3 4 2 3 2 2" xfId="30167" xr:uid="{00000000-0005-0000-0000-000050790000}"/>
    <cellStyle name="Note 3 4 2 3 3" xfId="32323" xr:uid="{00000000-0005-0000-0000-000051790000}"/>
    <cellStyle name="Note 3 4 2 4" xfId="10310" xr:uid="{00000000-0005-0000-0000-000052790000}"/>
    <cellStyle name="Note 3 4 2 5" xfId="32321" xr:uid="{00000000-0005-0000-0000-000053790000}"/>
    <cellStyle name="Note 3 4 3" xfId="8063" xr:uid="{00000000-0005-0000-0000-000054790000}"/>
    <cellStyle name="Note 3 4 3 2" xfId="8064" xr:uid="{00000000-0005-0000-0000-000055790000}"/>
    <cellStyle name="Note 3 4 3 2 2" xfId="13315" xr:uid="{00000000-0005-0000-0000-000056790000}"/>
    <cellStyle name="Note 3 4 3 2 3" xfId="32325" xr:uid="{00000000-0005-0000-0000-000057790000}"/>
    <cellStyle name="Note 3 4 3 3" xfId="12148" xr:uid="{00000000-0005-0000-0000-000058790000}"/>
    <cellStyle name="Note 3 4 3 3 2" xfId="25860" xr:uid="{00000000-0005-0000-0000-000059790000}"/>
    <cellStyle name="Note 3 4 3 4" xfId="32324" xr:uid="{00000000-0005-0000-0000-00005A790000}"/>
    <cellStyle name="Note 3 4 4" xfId="8065" xr:uid="{00000000-0005-0000-0000-00005B790000}"/>
    <cellStyle name="Note 3 4 4 2" xfId="8066" xr:uid="{00000000-0005-0000-0000-00005C790000}"/>
    <cellStyle name="Note 3 4 4 2 2" xfId="15749" xr:uid="{00000000-0005-0000-0000-00005D790000}"/>
    <cellStyle name="Note 3 4 4 2 3" xfId="32327" xr:uid="{00000000-0005-0000-0000-00005E790000}"/>
    <cellStyle name="Note 3 4 4 3" xfId="13712" xr:uid="{00000000-0005-0000-0000-00005F790000}"/>
    <cellStyle name="Note 3 4 4 3 2" xfId="27261" xr:uid="{00000000-0005-0000-0000-000060790000}"/>
    <cellStyle name="Note 3 4 4 4" xfId="32326" xr:uid="{00000000-0005-0000-0000-000061790000}"/>
    <cellStyle name="Note 3 4 5" xfId="8067" xr:uid="{00000000-0005-0000-0000-000062790000}"/>
    <cellStyle name="Note 3 4 5 2" xfId="14293" xr:uid="{00000000-0005-0000-0000-000063790000}"/>
    <cellStyle name="Note 3 4 5 2 2" xfId="27842" xr:uid="{00000000-0005-0000-0000-000064790000}"/>
    <cellStyle name="Note 3 4 5 3" xfId="32328" xr:uid="{00000000-0005-0000-0000-000065790000}"/>
    <cellStyle name="Note 3 4 6" xfId="8068" xr:uid="{00000000-0005-0000-0000-000066790000}"/>
    <cellStyle name="Note 3 4 6 2" xfId="16179" xr:uid="{00000000-0005-0000-0000-000067790000}"/>
    <cellStyle name="Note 3 4 6 2 2" xfId="29586" xr:uid="{00000000-0005-0000-0000-000068790000}"/>
    <cellStyle name="Note 3 4 6 3" xfId="32329" xr:uid="{00000000-0005-0000-0000-000069790000}"/>
    <cellStyle name="Note 3 4 7" xfId="10309" xr:uid="{00000000-0005-0000-0000-00006A790000}"/>
    <cellStyle name="Note 3 4 8" xfId="32320" xr:uid="{00000000-0005-0000-0000-00006B790000}"/>
    <cellStyle name="Note 3 5" xfId="8069" xr:uid="{00000000-0005-0000-0000-00006C790000}"/>
    <cellStyle name="Note 3 5 2" xfId="8070" xr:uid="{00000000-0005-0000-0000-00006D790000}"/>
    <cellStyle name="Note 3 5 2 2" xfId="11636" xr:uid="{00000000-0005-0000-0000-00006E790000}"/>
    <cellStyle name="Note 3 5 2 3" xfId="32331" xr:uid="{00000000-0005-0000-0000-00006F790000}"/>
    <cellStyle name="Note 3 5 3" xfId="8071" xr:uid="{00000000-0005-0000-0000-000070790000}"/>
    <cellStyle name="Note 3 5 3 2" xfId="17107" xr:uid="{00000000-0005-0000-0000-000071790000}"/>
    <cellStyle name="Note 3 5 3 2 2" xfId="30466" xr:uid="{00000000-0005-0000-0000-000072790000}"/>
    <cellStyle name="Note 3 5 3 3" xfId="32332" xr:uid="{00000000-0005-0000-0000-000073790000}"/>
    <cellStyle name="Note 3 5 4" xfId="10311" xr:uid="{00000000-0005-0000-0000-000074790000}"/>
    <cellStyle name="Note 3 5 5" xfId="32330" xr:uid="{00000000-0005-0000-0000-000075790000}"/>
    <cellStyle name="Note 3 6" xfId="8072" xr:uid="{00000000-0005-0000-0000-000076790000}"/>
    <cellStyle name="Note 3 6 2" xfId="8073" xr:uid="{00000000-0005-0000-0000-000077790000}"/>
    <cellStyle name="Note 3 6 2 2" xfId="13316" xr:uid="{00000000-0005-0000-0000-000078790000}"/>
    <cellStyle name="Note 3 6 2 3" xfId="32334" xr:uid="{00000000-0005-0000-0000-000079790000}"/>
    <cellStyle name="Note 3 6 3" xfId="8074" xr:uid="{00000000-0005-0000-0000-00007A790000}"/>
    <cellStyle name="Note 3 6 3 2" xfId="17196" xr:uid="{00000000-0005-0000-0000-00007B790000}"/>
    <cellStyle name="Note 3 6 3 2 2" xfId="30555" xr:uid="{00000000-0005-0000-0000-00007C790000}"/>
    <cellStyle name="Note 3 6 3 3" xfId="32335" xr:uid="{00000000-0005-0000-0000-00007D790000}"/>
    <cellStyle name="Note 3 6 4" xfId="11823" xr:uid="{00000000-0005-0000-0000-00007E790000}"/>
    <cellStyle name="Note 3 6 4 2" xfId="25538" xr:uid="{00000000-0005-0000-0000-00007F790000}"/>
    <cellStyle name="Note 3 6 5" xfId="32333" xr:uid="{00000000-0005-0000-0000-000080790000}"/>
    <cellStyle name="Note 3 7" xfId="8075" xr:uid="{00000000-0005-0000-0000-000081790000}"/>
    <cellStyle name="Note 3 7 2" xfId="8076" xr:uid="{00000000-0005-0000-0000-000082790000}"/>
    <cellStyle name="Note 3 7 2 2" xfId="15750" xr:uid="{00000000-0005-0000-0000-000083790000}"/>
    <cellStyle name="Note 3 7 2 3" xfId="32337" xr:uid="{00000000-0005-0000-0000-000084790000}"/>
    <cellStyle name="Note 3 7 3" xfId="8077" xr:uid="{00000000-0005-0000-0000-000085790000}"/>
    <cellStyle name="Note 3 7 3 2" xfId="16471" xr:uid="{00000000-0005-0000-0000-000086790000}"/>
    <cellStyle name="Note 3 7 3 2 2" xfId="29878" xr:uid="{00000000-0005-0000-0000-000087790000}"/>
    <cellStyle name="Note 3 7 3 3" xfId="32338" xr:uid="{00000000-0005-0000-0000-000088790000}"/>
    <cellStyle name="Note 3 7 4" xfId="13423" xr:uid="{00000000-0005-0000-0000-000089790000}"/>
    <cellStyle name="Note 3 7 4 2" xfId="26972" xr:uid="{00000000-0005-0000-0000-00008A790000}"/>
    <cellStyle name="Note 3 7 5" xfId="32336" xr:uid="{00000000-0005-0000-0000-00008B790000}"/>
    <cellStyle name="Note 3 8" xfId="8078" xr:uid="{00000000-0005-0000-0000-00008C790000}"/>
    <cellStyle name="Note 3 8 2" xfId="14004" xr:uid="{00000000-0005-0000-0000-00008D790000}"/>
    <cellStyle name="Note 3 8 2 2" xfId="27553" xr:uid="{00000000-0005-0000-0000-00008E790000}"/>
    <cellStyle name="Note 3 8 3" xfId="32339" xr:uid="{00000000-0005-0000-0000-00008F790000}"/>
    <cellStyle name="Note 3 9" xfId="8079" xr:uid="{00000000-0005-0000-0000-000090790000}"/>
    <cellStyle name="Note 3 9 2" xfId="15890" xr:uid="{00000000-0005-0000-0000-000091790000}"/>
    <cellStyle name="Note 3 9 2 2" xfId="29297" xr:uid="{00000000-0005-0000-0000-000092790000}"/>
    <cellStyle name="Note 3 9 3" xfId="32340" xr:uid="{00000000-0005-0000-0000-000093790000}"/>
    <cellStyle name="Note 4" xfId="17362" xr:uid="{00000000-0005-0000-0000-000094790000}"/>
    <cellStyle name="Note 4 2" xfId="30678" xr:uid="{00000000-0005-0000-0000-000095790000}"/>
    <cellStyle name="Note 5" xfId="17283" xr:uid="{00000000-0005-0000-0000-000096790000}"/>
    <cellStyle name="Note 5 2" xfId="30642" xr:uid="{00000000-0005-0000-0000-000097790000}"/>
    <cellStyle name="Output" xfId="13" builtinId="21" customBuiltin="1"/>
    <cellStyle name="Output 10" xfId="8080" xr:uid="{00000000-0005-0000-0000-000099790000}"/>
    <cellStyle name="Output 10 2" xfId="10313" xr:uid="{00000000-0005-0000-0000-00009A790000}"/>
    <cellStyle name="Output 10 3" xfId="32341" xr:uid="{00000000-0005-0000-0000-00009B790000}"/>
    <cellStyle name="Output 11" xfId="8081" xr:uid="{00000000-0005-0000-0000-00009C790000}"/>
    <cellStyle name="Output 11 2" xfId="10314" xr:uid="{00000000-0005-0000-0000-00009D790000}"/>
    <cellStyle name="Output 11 3" xfId="32342" xr:uid="{00000000-0005-0000-0000-00009E790000}"/>
    <cellStyle name="Output 12" xfId="8082" xr:uid="{00000000-0005-0000-0000-00009F790000}"/>
    <cellStyle name="Output 12 2" xfId="8083" xr:uid="{00000000-0005-0000-0000-0000A0790000}"/>
    <cellStyle name="Output 12 2 2" xfId="15751" xr:uid="{00000000-0005-0000-0000-0000A1790000}"/>
    <cellStyle name="Output 12 2 3" xfId="32344" xr:uid="{00000000-0005-0000-0000-0000A2790000}"/>
    <cellStyle name="Output 12 3" xfId="10488" xr:uid="{00000000-0005-0000-0000-0000A3790000}"/>
    <cellStyle name="Output 12 4" xfId="32343" xr:uid="{00000000-0005-0000-0000-0000A4790000}"/>
    <cellStyle name="Output 13" xfId="8084" xr:uid="{00000000-0005-0000-0000-0000A5790000}"/>
    <cellStyle name="Output 13 2" xfId="11637" xr:uid="{00000000-0005-0000-0000-0000A6790000}"/>
    <cellStyle name="Output 13 3" xfId="32345" xr:uid="{00000000-0005-0000-0000-0000A7790000}"/>
    <cellStyle name="Output 14" xfId="8085" xr:uid="{00000000-0005-0000-0000-0000A8790000}"/>
    <cellStyle name="Output 14 2" xfId="10312" xr:uid="{00000000-0005-0000-0000-0000A9790000}"/>
    <cellStyle name="Output 14 3" xfId="32346" xr:uid="{00000000-0005-0000-0000-0000AA790000}"/>
    <cellStyle name="Output 2" xfId="8086" xr:uid="{00000000-0005-0000-0000-0000AB790000}"/>
    <cellStyle name="Output 2 2" xfId="10315" xr:uid="{00000000-0005-0000-0000-0000AC790000}"/>
    <cellStyle name="Output 2 3" xfId="32347" xr:uid="{00000000-0005-0000-0000-0000AD790000}"/>
    <cellStyle name="Output 3" xfId="8087" xr:uid="{00000000-0005-0000-0000-0000AE790000}"/>
    <cellStyle name="Output 3 2" xfId="8088" xr:uid="{00000000-0005-0000-0000-0000AF790000}"/>
    <cellStyle name="Output 3 2 2" xfId="10317" xr:uid="{00000000-0005-0000-0000-0000B0790000}"/>
    <cellStyle name="Output 3 2 3" xfId="32349" xr:uid="{00000000-0005-0000-0000-0000B1790000}"/>
    <cellStyle name="Output 3 3" xfId="10316" xr:uid="{00000000-0005-0000-0000-0000B2790000}"/>
    <cellStyle name="Output 3 4" xfId="32348" xr:uid="{00000000-0005-0000-0000-0000B3790000}"/>
    <cellStyle name="Output 4" xfId="8089" xr:uid="{00000000-0005-0000-0000-0000B4790000}"/>
    <cellStyle name="Output 4 2" xfId="8090" xr:uid="{00000000-0005-0000-0000-0000B5790000}"/>
    <cellStyle name="Output 4 2 2" xfId="13318" xr:uid="{00000000-0005-0000-0000-0000B6790000}"/>
    <cellStyle name="Output 4 2 3" xfId="32351" xr:uid="{00000000-0005-0000-0000-0000B7790000}"/>
    <cellStyle name="Output 4 3" xfId="8091" xr:uid="{00000000-0005-0000-0000-0000B8790000}"/>
    <cellStyle name="Output 4 3 2" xfId="13317" xr:uid="{00000000-0005-0000-0000-0000B9790000}"/>
    <cellStyle name="Output 4 3 3" xfId="32352" xr:uid="{00000000-0005-0000-0000-0000BA790000}"/>
    <cellStyle name="Output 4 4" xfId="10318" xr:uid="{00000000-0005-0000-0000-0000BB790000}"/>
    <cellStyle name="Output 4 5" xfId="32350" xr:uid="{00000000-0005-0000-0000-0000BC790000}"/>
    <cellStyle name="Output 5" xfId="8092" xr:uid="{00000000-0005-0000-0000-0000BD790000}"/>
    <cellStyle name="Output 5 2" xfId="8093" xr:uid="{00000000-0005-0000-0000-0000BE790000}"/>
    <cellStyle name="Output 5 2 2" xfId="10320" xr:uid="{00000000-0005-0000-0000-0000BF790000}"/>
    <cellStyle name="Output 5 2 3" xfId="32354" xr:uid="{00000000-0005-0000-0000-0000C0790000}"/>
    <cellStyle name="Output 5 3" xfId="10319" xr:uid="{00000000-0005-0000-0000-0000C1790000}"/>
    <cellStyle name="Output 5 4" xfId="32353" xr:uid="{00000000-0005-0000-0000-0000C2790000}"/>
    <cellStyle name="Output 6" xfId="8094" xr:uid="{00000000-0005-0000-0000-0000C3790000}"/>
    <cellStyle name="Output 6 2" xfId="10321" xr:uid="{00000000-0005-0000-0000-0000C4790000}"/>
    <cellStyle name="Output 6 3" xfId="32355" xr:uid="{00000000-0005-0000-0000-0000C5790000}"/>
    <cellStyle name="Output 7" xfId="8095" xr:uid="{00000000-0005-0000-0000-0000C6790000}"/>
    <cellStyle name="Output 7 2" xfId="10322" xr:uid="{00000000-0005-0000-0000-0000C7790000}"/>
    <cellStyle name="Output 7 3" xfId="32356" xr:uid="{00000000-0005-0000-0000-0000C8790000}"/>
    <cellStyle name="Output 8" xfId="8096" xr:uid="{00000000-0005-0000-0000-0000C9790000}"/>
    <cellStyle name="Output 8 2" xfId="10323" xr:uid="{00000000-0005-0000-0000-0000CA790000}"/>
    <cellStyle name="Output 8 3" xfId="32357" xr:uid="{00000000-0005-0000-0000-0000CB790000}"/>
    <cellStyle name="Output 9" xfId="8097" xr:uid="{00000000-0005-0000-0000-0000CC790000}"/>
    <cellStyle name="Output 9 2" xfId="10324" xr:uid="{00000000-0005-0000-0000-0000CD790000}"/>
    <cellStyle name="Output 9 3" xfId="32358" xr:uid="{00000000-0005-0000-0000-0000CE790000}"/>
    <cellStyle name="Percent" xfId="3" builtinId="5"/>
    <cellStyle name="Percent 10" xfId="10325" xr:uid="{00000000-0005-0000-0000-0000D0790000}"/>
    <cellStyle name="Percent 11" xfId="17363" xr:uid="{00000000-0005-0000-0000-0000D1790000}"/>
    <cellStyle name="Percent 11 2" xfId="30679" xr:uid="{00000000-0005-0000-0000-0000D2790000}"/>
    <cellStyle name="Percent 12" xfId="8776" xr:uid="{00000000-0005-0000-0000-0000D3790000}"/>
    <cellStyle name="Percent 13" xfId="33032" xr:uid="{76C478F3-A8FE-4F05-85F9-D36C72B38F29}"/>
    <cellStyle name="Percent 2" xfId="8098" xr:uid="{00000000-0005-0000-0000-0000D4790000}"/>
    <cellStyle name="Percent 2 10" xfId="8099" xr:uid="{00000000-0005-0000-0000-0000D5790000}"/>
    <cellStyle name="Percent 2 10 2" xfId="10327" xr:uid="{00000000-0005-0000-0000-0000D6790000}"/>
    <cellStyle name="Percent 2 10 3" xfId="32359" xr:uid="{00000000-0005-0000-0000-0000D7790000}"/>
    <cellStyle name="Percent 2 11" xfId="8100" xr:uid="{00000000-0005-0000-0000-0000D8790000}"/>
    <cellStyle name="Percent 2 11 2" xfId="8101" xr:uid="{00000000-0005-0000-0000-0000D9790000}"/>
    <cellStyle name="Percent 2 11 2 2" xfId="13319" xr:uid="{00000000-0005-0000-0000-0000DA790000}"/>
    <cellStyle name="Percent 2 11 2 3" xfId="32361" xr:uid="{00000000-0005-0000-0000-0000DB790000}"/>
    <cellStyle name="Percent 2 11 3" xfId="8102" xr:uid="{00000000-0005-0000-0000-0000DC790000}"/>
    <cellStyle name="Percent 2 11 3 2" xfId="17043" xr:uid="{00000000-0005-0000-0000-0000DD790000}"/>
    <cellStyle name="Percent 2 11 3 2 2" xfId="30442" xr:uid="{00000000-0005-0000-0000-0000DE790000}"/>
    <cellStyle name="Percent 2 11 3 3" xfId="32362" xr:uid="{00000000-0005-0000-0000-0000DF790000}"/>
    <cellStyle name="Percent 2 11 4" xfId="10328" xr:uid="{00000000-0005-0000-0000-0000E0790000}"/>
    <cellStyle name="Percent 2 11 5" xfId="32360" xr:uid="{00000000-0005-0000-0000-0000E1790000}"/>
    <cellStyle name="Percent 2 12" xfId="8103" xr:uid="{00000000-0005-0000-0000-0000E2790000}"/>
    <cellStyle name="Percent 2 12 2" xfId="8104" xr:uid="{00000000-0005-0000-0000-0000E3790000}"/>
    <cellStyle name="Percent 2 12 2 2" xfId="13321" xr:uid="{00000000-0005-0000-0000-0000E4790000}"/>
    <cellStyle name="Percent 2 12 2 3" xfId="32364" xr:uid="{00000000-0005-0000-0000-0000E5790000}"/>
    <cellStyle name="Percent 2 12 3" xfId="8105" xr:uid="{00000000-0005-0000-0000-0000E6790000}"/>
    <cellStyle name="Percent 2 12 3 2" xfId="13320" xr:uid="{00000000-0005-0000-0000-0000E7790000}"/>
    <cellStyle name="Percent 2 12 3 2 2" xfId="26911" xr:uid="{00000000-0005-0000-0000-0000E8790000}"/>
    <cellStyle name="Percent 2 12 3 3" xfId="32365" xr:uid="{00000000-0005-0000-0000-0000E9790000}"/>
    <cellStyle name="Percent 2 12 4" xfId="8106" xr:uid="{00000000-0005-0000-0000-0000EA790000}"/>
    <cellStyle name="Percent 2 12 4 2" xfId="17101" xr:uid="{00000000-0005-0000-0000-0000EB790000}"/>
    <cellStyle name="Percent 2 12 4 2 2" xfId="30460" xr:uid="{00000000-0005-0000-0000-0000EC790000}"/>
    <cellStyle name="Percent 2 12 4 3" xfId="32366" xr:uid="{00000000-0005-0000-0000-0000ED790000}"/>
    <cellStyle name="Percent 2 12 5" xfId="10329" xr:uid="{00000000-0005-0000-0000-0000EE790000}"/>
    <cellStyle name="Percent 2 12 6" xfId="32363" xr:uid="{00000000-0005-0000-0000-0000EF790000}"/>
    <cellStyle name="Percent 2 13" xfId="8107" xr:uid="{00000000-0005-0000-0000-0000F0790000}"/>
    <cellStyle name="Percent 2 13 2" xfId="8108" xr:uid="{00000000-0005-0000-0000-0000F1790000}"/>
    <cellStyle name="Percent 2 13 2 2" xfId="17190" xr:uid="{00000000-0005-0000-0000-0000F2790000}"/>
    <cellStyle name="Percent 2 13 2 2 2" xfId="30549" xr:uid="{00000000-0005-0000-0000-0000F3790000}"/>
    <cellStyle name="Percent 2 13 2 3" xfId="32368" xr:uid="{00000000-0005-0000-0000-0000F4790000}"/>
    <cellStyle name="Percent 2 13 3" xfId="10330" xr:uid="{00000000-0005-0000-0000-0000F5790000}"/>
    <cellStyle name="Percent 2 13 4" xfId="32367" xr:uid="{00000000-0005-0000-0000-0000F6790000}"/>
    <cellStyle name="Percent 2 14" xfId="8109" xr:uid="{00000000-0005-0000-0000-0000F7790000}"/>
    <cellStyle name="Percent 2 14 2" xfId="8110" xr:uid="{00000000-0005-0000-0000-0000F8790000}"/>
    <cellStyle name="Percent 2 14 2 2" xfId="8111" xr:uid="{00000000-0005-0000-0000-0000F9790000}"/>
    <cellStyle name="Percent 2 14 2 2 2" xfId="11640" xr:uid="{00000000-0005-0000-0000-0000FA790000}"/>
    <cellStyle name="Percent 2 14 2 2 3" xfId="32371" xr:uid="{00000000-0005-0000-0000-0000FB790000}"/>
    <cellStyle name="Percent 2 14 2 3" xfId="10332" xr:uid="{00000000-0005-0000-0000-0000FC790000}"/>
    <cellStyle name="Percent 2 14 2 4" xfId="32370" xr:uid="{00000000-0005-0000-0000-0000FD790000}"/>
    <cellStyle name="Percent 2 14 3" xfId="8112" xr:uid="{00000000-0005-0000-0000-0000FE790000}"/>
    <cellStyle name="Percent 2 14 3 2" xfId="11639" xr:uid="{00000000-0005-0000-0000-0000FF790000}"/>
    <cellStyle name="Percent 2 14 3 3" xfId="32372" xr:uid="{00000000-0005-0000-0000-0000007A0000}"/>
    <cellStyle name="Percent 2 14 4" xfId="8113" xr:uid="{00000000-0005-0000-0000-0000017A0000}"/>
    <cellStyle name="Percent 2 14 4 2" xfId="17279" xr:uid="{00000000-0005-0000-0000-0000027A0000}"/>
    <cellStyle name="Percent 2 14 4 2 2" xfId="30638" xr:uid="{00000000-0005-0000-0000-0000037A0000}"/>
    <cellStyle name="Percent 2 14 4 3" xfId="32373" xr:uid="{00000000-0005-0000-0000-0000047A0000}"/>
    <cellStyle name="Percent 2 14 5" xfId="10331" xr:uid="{00000000-0005-0000-0000-0000057A0000}"/>
    <cellStyle name="Percent 2 14 6" xfId="32369" xr:uid="{00000000-0005-0000-0000-0000067A0000}"/>
    <cellStyle name="Percent 2 15" xfId="8114" xr:uid="{00000000-0005-0000-0000-0000077A0000}"/>
    <cellStyle name="Percent 2 15 2" xfId="8115" xr:uid="{00000000-0005-0000-0000-0000087A0000}"/>
    <cellStyle name="Percent 2 15 2 2" xfId="11641" xr:uid="{00000000-0005-0000-0000-0000097A0000}"/>
    <cellStyle name="Percent 2 15 2 3" xfId="32375" xr:uid="{00000000-0005-0000-0000-00000A7A0000}"/>
    <cellStyle name="Percent 2 15 3" xfId="8116" xr:uid="{00000000-0005-0000-0000-00000B7A0000}"/>
    <cellStyle name="Percent 2 15 3 2" xfId="16431" xr:uid="{00000000-0005-0000-0000-00000C7A0000}"/>
    <cellStyle name="Percent 2 15 3 2 2" xfId="29838" xr:uid="{00000000-0005-0000-0000-00000D7A0000}"/>
    <cellStyle name="Percent 2 15 3 3" xfId="32376" xr:uid="{00000000-0005-0000-0000-00000E7A0000}"/>
    <cellStyle name="Percent 2 15 4" xfId="10333" xr:uid="{00000000-0005-0000-0000-00000F7A0000}"/>
    <cellStyle name="Percent 2 15 5" xfId="32374" xr:uid="{00000000-0005-0000-0000-0000107A0000}"/>
    <cellStyle name="Percent 2 16" xfId="8117" xr:uid="{00000000-0005-0000-0000-0000117A0000}"/>
    <cellStyle name="Percent 2 16 2" xfId="8118" xr:uid="{00000000-0005-0000-0000-0000127A0000}"/>
    <cellStyle name="Percent 2 16 2 2" xfId="11642" xr:uid="{00000000-0005-0000-0000-0000137A0000}"/>
    <cellStyle name="Percent 2 16 2 3" xfId="32378" xr:uid="{00000000-0005-0000-0000-0000147A0000}"/>
    <cellStyle name="Percent 2 16 3" xfId="10334" xr:uid="{00000000-0005-0000-0000-0000157A0000}"/>
    <cellStyle name="Percent 2 16 4" xfId="32377" xr:uid="{00000000-0005-0000-0000-0000167A0000}"/>
    <cellStyle name="Percent 2 17" xfId="8119" xr:uid="{00000000-0005-0000-0000-0000177A0000}"/>
    <cellStyle name="Percent 2 17 2" xfId="8120" xr:uid="{00000000-0005-0000-0000-0000187A0000}"/>
    <cellStyle name="Percent 2 17 2 2" xfId="11643" xr:uid="{00000000-0005-0000-0000-0000197A0000}"/>
    <cellStyle name="Percent 2 17 2 3" xfId="32380" xr:uid="{00000000-0005-0000-0000-00001A7A0000}"/>
    <cellStyle name="Percent 2 17 3" xfId="10335" xr:uid="{00000000-0005-0000-0000-00001B7A0000}"/>
    <cellStyle name="Percent 2 17 4" xfId="32379" xr:uid="{00000000-0005-0000-0000-00001C7A0000}"/>
    <cellStyle name="Percent 2 18" xfId="8121" xr:uid="{00000000-0005-0000-0000-00001D7A0000}"/>
    <cellStyle name="Percent 2 18 2" xfId="8122" xr:uid="{00000000-0005-0000-0000-00001E7A0000}"/>
    <cellStyle name="Percent 2 18 2 2" xfId="11644" xr:uid="{00000000-0005-0000-0000-00001F7A0000}"/>
    <cellStyle name="Percent 2 18 2 3" xfId="32382" xr:uid="{00000000-0005-0000-0000-0000207A0000}"/>
    <cellStyle name="Percent 2 18 3" xfId="10336" xr:uid="{00000000-0005-0000-0000-0000217A0000}"/>
    <cellStyle name="Percent 2 18 4" xfId="32381" xr:uid="{00000000-0005-0000-0000-0000227A0000}"/>
    <cellStyle name="Percent 2 19" xfId="8123" xr:uid="{00000000-0005-0000-0000-0000237A0000}"/>
    <cellStyle name="Percent 2 19 2" xfId="8124" xr:uid="{00000000-0005-0000-0000-0000247A0000}"/>
    <cellStyle name="Percent 2 19 2 2" xfId="11645" xr:uid="{00000000-0005-0000-0000-0000257A0000}"/>
    <cellStyle name="Percent 2 19 2 3" xfId="32384" xr:uid="{00000000-0005-0000-0000-0000267A0000}"/>
    <cellStyle name="Percent 2 19 3" xfId="10337" xr:uid="{00000000-0005-0000-0000-0000277A0000}"/>
    <cellStyle name="Percent 2 19 4" xfId="32383" xr:uid="{00000000-0005-0000-0000-0000287A0000}"/>
    <cellStyle name="Percent 2 2" xfId="8125" xr:uid="{00000000-0005-0000-0000-0000297A0000}"/>
    <cellStyle name="Percent 2 2 10" xfId="8126" xr:uid="{00000000-0005-0000-0000-00002A7A0000}"/>
    <cellStyle name="Percent 2 2 10 2" xfId="11646" xr:uid="{00000000-0005-0000-0000-00002B7A0000}"/>
    <cellStyle name="Percent 2 2 10 3" xfId="32386" xr:uid="{00000000-0005-0000-0000-00002C7A0000}"/>
    <cellStyle name="Percent 2 2 11" xfId="8127" xr:uid="{00000000-0005-0000-0000-00002D7A0000}"/>
    <cellStyle name="Percent 2 2 11 2" xfId="8128" xr:uid="{00000000-0005-0000-0000-00002E7A0000}"/>
    <cellStyle name="Percent 2 2 11 2 2" xfId="13322" xr:uid="{00000000-0005-0000-0000-00002F7A0000}"/>
    <cellStyle name="Percent 2 2 11 2 2 2" xfId="26912" xr:uid="{00000000-0005-0000-0000-0000307A0000}"/>
    <cellStyle name="Percent 2 2 11 2 3" xfId="32388" xr:uid="{00000000-0005-0000-0000-0000317A0000}"/>
    <cellStyle name="Percent 2 2 11 3" xfId="8129" xr:uid="{00000000-0005-0000-0000-0000327A0000}"/>
    <cellStyle name="Percent 2 2 11 3 2" xfId="15752" xr:uid="{00000000-0005-0000-0000-0000337A0000}"/>
    <cellStyle name="Percent 2 2 11 3 3" xfId="32389" xr:uid="{00000000-0005-0000-0000-0000347A0000}"/>
    <cellStyle name="Percent 2 2 11 4" xfId="11722" xr:uid="{00000000-0005-0000-0000-0000357A0000}"/>
    <cellStyle name="Percent 2 2 11 5" xfId="32387" xr:uid="{00000000-0005-0000-0000-0000367A0000}"/>
    <cellStyle name="Percent 2 2 12" xfId="8130" xr:uid="{00000000-0005-0000-0000-0000377A0000}"/>
    <cellStyle name="Percent 2 2 12 2" xfId="11852" xr:uid="{00000000-0005-0000-0000-0000387A0000}"/>
    <cellStyle name="Percent 2 2 12 2 2" xfId="25567" xr:uid="{00000000-0005-0000-0000-0000397A0000}"/>
    <cellStyle name="Percent 2 2 12 3" xfId="32390" xr:uid="{00000000-0005-0000-0000-00003A7A0000}"/>
    <cellStyle name="Percent 2 2 13" xfId="8131" xr:uid="{00000000-0005-0000-0000-00003B7A0000}"/>
    <cellStyle name="Percent 2 2 13 2" xfId="13440" xr:uid="{00000000-0005-0000-0000-00003C7A0000}"/>
    <cellStyle name="Percent 2 2 13 2 2" xfId="26989" xr:uid="{00000000-0005-0000-0000-00003D7A0000}"/>
    <cellStyle name="Percent 2 2 13 3" xfId="32391" xr:uid="{00000000-0005-0000-0000-00003E7A0000}"/>
    <cellStyle name="Percent 2 2 14" xfId="8132" xr:uid="{00000000-0005-0000-0000-00003F7A0000}"/>
    <cellStyle name="Percent 2 2 14 2" xfId="14021" xr:uid="{00000000-0005-0000-0000-0000407A0000}"/>
    <cellStyle name="Percent 2 2 14 2 2" xfId="27570" xr:uid="{00000000-0005-0000-0000-0000417A0000}"/>
    <cellStyle name="Percent 2 2 14 3" xfId="32392" xr:uid="{00000000-0005-0000-0000-0000427A0000}"/>
    <cellStyle name="Percent 2 2 15" xfId="8133" xr:uid="{00000000-0005-0000-0000-0000437A0000}"/>
    <cellStyle name="Percent 2 2 15 2" xfId="15907" xr:uid="{00000000-0005-0000-0000-0000447A0000}"/>
    <cellStyle name="Percent 2 2 15 2 2" xfId="29314" xr:uid="{00000000-0005-0000-0000-0000457A0000}"/>
    <cellStyle name="Percent 2 2 15 3" xfId="32393" xr:uid="{00000000-0005-0000-0000-0000467A0000}"/>
    <cellStyle name="Percent 2 2 16" xfId="8134" xr:uid="{00000000-0005-0000-0000-0000477A0000}"/>
    <cellStyle name="Percent 2 2 16 2" xfId="10338" xr:uid="{00000000-0005-0000-0000-0000487A0000}"/>
    <cellStyle name="Percent 2 2 16 3" xfId="32394" xr:uid="{00000000-0005-0000-0000-0000497A0000}"/>
    <cellStyle name="Percent 2 2 17" xfId="8698" xr:uid="{00000000-0005-0000-0000-00004A7A0000}"/>
    <cellStyle name="Percent 2 2 18" xfId="32385" xr:uid="{00000000-0005-0000-0000-00004B7A0000}"/>
    <cellStyle name="Percent 2 2 2" xfId="8135" xr:uid="{00000000-0005-0000-0000-00004C7A0000}"/>
    <cellStyle name="Percent 2 2 2 10" xfId="10339" xr:uid="{00000000-0005-0000-0000-00004D7A0000}"/>
    <cellStyle name="Percent 2 2 2 11" xfId="32395" xr:uid="{00000000-0005-0000-0000-00004E7A0000}"/>
    <cellStyle name="Percent 2 2 2 2" xfId="8136" xr:uid="{00000000-0005-0000-0000-00004F7A0000}"/>
    <cellStyle name="Percent 2 2 2 2 2" xfId="8137" xr:uid="{00000000-0005-0000-0000-0000507A0000}"/>
    <cellStyle name="Percent 2 2 2 2 2 2" xfId="8138" xr:uid="{00000000-0005-0000-0000-0000517A0000}"/>
    <cellStyle name="Percent 2 2 2 2 2 2 2" xfId="8139" xr:uid="{00000000-0005-0000-0000-0000527A0000}"/>
    <cellStyle name="Percent 2 2 2 2 2 2 2 2" xfId="11647" xr:uid="{00000000-0005-0000-0000-0000537A0000}"/>
    <cellStyle name="Percent 2 2 2 2 2 2 2 3" xfId="32399" xr:uid="{00000000-0005-0000-0000-0000547A0000}"/>
    <cellStyle name="Percent 2 2 2 2 2 2 3" xfId="8140" xr:uid="{00000000-0005-0000-0000-0000557A0000}"/>
    <cellStyle name="Percent 2 2 2 2 2 2 3 2" xfId="16966" xr:uid="{00000000-0005-0000-0000-0000567A0000}"/>
    <cellStyle name="Percent 2 2 2 2 2 2 3 2 2" xfId="30373" xr:uid="{00000000-0005-0000-0000-0000577A0000}"/>
    <cellStyle name="Percent 2 2 2 2 2 2 3 3" xfId="32400" xr:uid="{00000000-0005-0000-0000-0000587A0000}"/>
    <cellStyle name="Percent 2 2 2 2 2 2 4" xfId="10342" xr:uid="{00000000-0005-0000-0000-0000597A0000}"/>
    <cellStyle name="Percent 2 2 2 2 2 2 5" xfId="32398" xr:uid="{00000000-0005-0000-0000-00005A7A0000}"/>
    <cellStyle name="Percent 2 2 2 2 2 3" xfId="8141" xr:uid="{00000000-0005-0000-0000-00005B7A0000}"/>
    <cellStyle name="Percent 2 2 2 2 2 3 2" xfId="8142" xr:uid="{00000000-0005-0000-0000-00005C7A0000}"/>
    <cellStyle name="Percent 2 2 2 2 2 3 2 2" xfId="13323" xr:uid="{00000000-0005-0000-0000-00005D7A0000}"/>
    <cellStyle name="Percent 2 2 2 2 2 3 2 3" xfId="32402" xr:uid="{00000000-0005-0000-0000-00005E7A0000}"/>
    <cellStyle name="Percent 2 2 2 2 2 3 3" xfId="12354" xr:uid="{00000000-0005-0000-0000-00005F7A0000}"/>
    <cellStyle name="Percent 2 2 2 2 2 3 3 2" xfId="26066" xr:uid="{00000000-0005-0000-0000-0000607A0000}"/>
    <cellStyle name="Percent 2 2 2 2 2 3 4" xfId="32401" xr:uid="{00000000-0005-0000-0000-0000617A0000}"/>
    <cellStyle name="Percent 2 2 2 2 2 4" xfId="8143" xr:uid="{00000000-0005-0000-0000-0000627A0000}"/>
    <cellStyle name="Percent 2 2 2 2 2 4 2" xfId="8144" xr:uid="{00000000-0005-0000-0000-0000637A0000}"/>
    <cellStyle name="Percent 2 2 2 2 2 4 2 2" xfId="15753" xr:uid="{00000000-0005-0000-0000-0000647A0000}"/>
    <cellStyle name="Percent 2 2 2 2 2 4 2 3" xfId="32404" xr:uid="{00000000-0005-0000-0000-0000657A0000}"/>
    <cellStyle name="Percent 2 2 2 2 2 4 3" xfId="13918" xr:uid="{00000000-0005-0000-0000-0000667A0000}"/>
    <cellStyle name="Percent 2 2 2 2 2 4 3 2" xfId="27467" xr:uid="{00000000-0005-0000-0000-0000677A0000}"/>
    <cellStyle name="Percent 2 2 2 2 2 4 4" xfId="32403" xr:uid="{00000000-0005-0000-0000-0000687A0000}"/>
    <cellStyle name="Percent 2 2 2 2 2 5" xfId="8145" xr:uid="{00000000-0005-0000-0000-0000697A0000}"/>
    <cellStyle name="Percent 2 2 2 2 2 5 2" xfId="14499" xr:uid="{00000000-0005-0000-0000-00006A7A0000}"/>
    <cellStyle name="Percent 2 2 2 2 2 5 2 2" xfId="28048" xr:uid="{00000000-0005-0000-0000-00006B7A0000}"/>
    <cellStyle name="Percent 2 2 2 2 2 5 3" xfId="32405" xr:uid="{00000000-0005-0000-0000-00006C7A0000}"/>
    <cellStyle name="Percent 2 2 2 2 2 6" xfId="8146" xr:uid="{00000000-0005-0000-0000-00006D7A0000}"/>
    <cellStyle name="Percent 2 2 2 2 2 6 2" xfId="16385" xr:uid="{00000000-0005-0000-0000-00006E7A0000}"/>
    <cellStyle name="Percent 2 2 2 2 2 6 2 2" xfId="29792" xr:uid="{00000000-0005-0000-0000-00006F7A0000}"/>
    <cellStyle name="Percent 2 2 2 2 2 6 3" xfId="32406" xr:uid="{00000000-0005-0000-0000-0000707A0000}"/>
    <cellStyle name="Percent 2 2 2 2 2 7" xfId="10341" xr:uid="{00000000-0005-0000-0000-0000717A0000}"/>
    <cellStyle name="Percent 2 2 2 2 2 8" xfId="32397" xr:uid="{00000000-0005-0000-0000-0000727A0000}"/>
    <cellStyle name="Percent 2 2 2 2 3" xfId="8147" xr:uid="{00000000-0005-0000-0000-0000737A0000}"/>
    <cellStyle name="Percent 2 2 2 2 3 2" xfId="8148" xr:uid="{00000000-0005-0000-0000-0000747A0000}"/>
    <cellStyle name="Percent 2 2 2 2 3 2 2" xfId="11648" xr:uid="{00000000-0005-0000-0000-0000757A0000}"/>
    <cellStyle name="Percent 2 2 2 2 3 2 3" xfId="32408" xr:uid="{00000000-0005-0000-0000-0000767A0000}"/>
    <cellStyle name="Percent 2 2 2 2 3 3" xfId="8149" xr:uid="{00000000-0005-0000-0000-0000777A0000}"/>
    <cellStyle name="Percent 2 2 2 2 3 3 2" xfId="16677" xr:uid="{00000000-0005-0000-0000-0000787A0000}"/>
    <cellStyle name="Percent 2 2 2 2 3 3 2 2" xfId="30084" xr:uid="{00000000-0005-0000-0000-0000797A0000}"/>
    <cellStyle name="Percent 2 2 2 2 3 3 3" xfId="32409" xr:uid="{00000000-0005-0000-0000-00007A7A0000}"/>
    <cellStyle name="Percent 2 2 2 2 3 4" xfId="10343" xr:uid="{00000000-0005-0000-0000-00007B7A0000}"/>
    <cellStyle name="Percent 2 2 2 2 3 5" xfId="32407" xr:uid="{00000000-0005-0000-0000-00007C7A0000}"/>
    <cellStyle name="Percent 2 2 2 2 4" xfId="8150" xr:uid="{00000000-0005-0000-0000-00007D7A0000}"/>
    <cellStyle name="Percent 2 2 2 2 4 2" xfId="8151" xr:uid="{00000000-0005-0000-0000-00007E7A0000}"/>
    <cellStyle name="Percent 2 2 2 2 4 2 2" xfId="13324" xr:uid="{00000000-0005-0000-0000-00007F7A0000}"/>
    <cellStyle name="Percent 2 2 2 2 4 2 3" xfId="32411" xr:uid="{00000000-0005-0000-0000-0000807A0000}"/>
    <cellStyle name="Percent 2 2 2 2 4 3" xfId="12054" xr:uid="{00000000-0005-0000-0000-0000817A0000}"/>
    <cellStyle name="Percent 2 2 2 2 4 3 2" xfId="25769" xr:uid="{00000000-0005-0000-0000-0000827A0000}"/>
    <cellStyle name="Percent 2 2 2 2 4 4" xfId="32410" xr:uid="{00000000-0005-0000-0000-0000837A0000}"/>
    <cellStyle name="Percent 2 2 2 2 5" xfId="8152" xr:uid="{00000000-0005-0000-0000-0000847A0000}"/>
    <cellStyle name="Percent 2 2 2 2 5 2" xfId="8153" xr:uid="{00000000-0005-0000-0000-0000857A0000}"/>
    <cellStyle name="Percent 2 2 2 2 5 2 2" xfId="15754" xr:uid="{00000000-0005-0000-0000-0000867A0000}"/>
    <cellStyle name="Percent 2 2 2 2 5 2 3" xfId="32413" xr:uid="{00000000-0005-0000-0000-0000877A0000}"/>
    <cellStyle name="Percent 2 2 2 2 5 3" xfId="13629" xr:uid="{00000000-0005-0000-0000-0000887A0000}"/>
    <cellStyle name="Percent 2 2 2 2 5 3 2" xfId="27178" xr:uid="{00000000-0005-0000-0000-0000897A0000}"/>
    <cellStyle name="Percent 2 2 2 2 5 4" xfId="32412" xr:uid="{00000000-0005-0000-0000-00008A7A0000}"/>
    <cellStyle name="Percent 2 2 2 2 6" xfId="8154" xr:uid="{00000000-0005-0000-0000-00008B7A0000}"/>
    <cellStyle name="Percent 2 2 2 2 6 2" xfId="14210" xr:uid="{00000000-0005-0000-0000-00008C7A0000}"/>
    <cellStyle name="Percent 2 2 2 2 6 2 2" xfId="27759" xr:uid="{00000000-0005-0000-0000-00008D7A0000}"/>
    <cellStyle name="Percent 2 2 2 2 6 3" xfId="32414" xr:uid="{00000000-0005-0000-0000-00008E7A0000}"/>
    <cellStyle name="Percent 2 2 2 2 7" xfId="8155" xr:uid="{00000000-0005-0000-0000-00008F7A0000}"/>
    <cellStyle name="Percent 2 2 2 2 7 2" xfId="16096" xr:uid="{00000000-0005-0000-0000-0000907A0000}"/>
    <cellStyle name="Percent 2 2 2 2 7 2 2" xfId="29503" xr:uid="{00000000-0005-0000-0000-0000917A0000}"/>
    <cellStyle name="Percent 2 2 2 2 7 3" xfId="32415" xr:uid="{00000000-0005-0000-0000-0000927A0000}"/>
    <cellStyle name="Percent 2 2 2 2 8" xfId="10340" xr:uid="{00000000-0005-0000-0000-0000937A0000}"/>
    <cellStyle name="Percent 2 2 2 2 9" xfId="32396" xr:uid="{00000000-0005-0000-0000-0000947A0000}"/>
    <cellStyle name="Percent 2 2 2 3" xfId="8156" xr:uid="{00000000-0005-0000-0000-0000957A0000}"/>
    <cellStyle name="Percent 2 2 2 3 2" xfId="8157" xr:uid="{00000000-0005-0000-0000-0000967A0000}"/>
    <cellStyle name="Percent 2 2 2 3 2 2" xfId="8158" xr:uid="{00000000-0005-0000-0000-0000977A0000}"/>
    <cellStyle name="Percent 2 2 2 3 2 2 2" xfId="11649" xr:uid="{00000000-0005-0000-0000-0000987A0000}"/>
    <cellStyle name="Percent 2 2 2 3 2 2 3" xfId="32418" xr:uid="{00000000-0005-0000-0000-0000997A0000}"/>
    <cellStyle name="Percent 2 2 2 3 2 3" xfId="8159" xr:uid="{00000000-0005-0000-0000-00009A7A0000}"/>
    <cellStyle name="Percent 2 2 2 3 2 3 2" xfId="16823" xr:uid="{00000000-0005-0000-0000-00009B7A0000}"/>
    <cellStyle name="Percent 2 2 2 3 2 3 2 2" xfId="30230" xr:uid="{00000000-0005-0000-0000-00009C7A0000}"/>
    <cellStyle name="Percent 2 2 2 3 2 3 3" xfId="32419" xr:uid="{00000000-0005-0000-0000-00009D7A0000}"/>
    <cellStyle name="Percent 2 2 2 3 2 4" xfId="10345" xr:uid="{00000000-0005-0000-0000-00009E7A0000}"/>
    <cellStyle name="Percent 2 2 2 3 2 5" xfId="32417" xr:uid="{00000000-0005-0000-0000-00009F7A0000}"/>
    <cellStyle name="Percent 2 2 2 3 3" xfId="8160" xr:uid="{00000000-0005-0000-0000-0000A07A0000}"/>
    <cellStyle name="Percent 2 2 2 3 3 2" xfId="8161" xr:uid="{00000000-0005-0000-0000-0000A17A0000}"/>
    <cellStyle name="Percent 2 2 2 3 3 2 2" xfId="13325" xr:uid="{00000000-0005-0000-0000-0000A27A0000}"/>
    <cellStyle name="Percent 2 2 2 3 3 2 3" xfId="32421" xr:uid="{00000000-0005-0000-0000-0000A37A0000}"/>
    <cellStyle name="Percent 2 2 2 3 3 3" xfId="12211" xr:uid="{00000000-0005-0000-0000-0000A47A0000}"/>
    <cellStyle name="Percent 2 2 2 3 3 3 2" xfId="25923" xr:uid="{00000000-0005-0000-0000-0000A57A0000}"/>
    <cellStyle name="Percent 2 2 2 3 3 4" xfId="32420" xr:uid="{00000000-0005-0000-0000-0000A67A0000}"/>
    <cellStyle name="Percent 2 2 2 3 4" xfId="8162" xr:uid="{00000000-0005-0000-0000-0000A77A0000}"/>
    <cellStyle name="Percent 2 2 2 3 4 2" xfId="8163" xr:uid="{00000000-0005-0000-0000-0000A87A0000}"/>
    <cellStyle name="Percent 2 2 2 3 4 2 2" xfId="15755" xr:uid="{00000000-0005-0000-0000-0000A97A0000}"/>
    <cellStyle name="Percent 2 2 2 3 4 2 3" xfId="32423" xr:uid="{00000000-0005-0000-0000-0000AA7A0000}"/>
    <cellStyle name="Percent 2 2 2 3 4 3" xfId="13775" xr:uid="{00000000-0005-0000-0000-0000AB7A0000}"/>
    <cellStyle name="Percent 2 2 2 3 4 3 2" xfId="27324" xr:uid="{00000000-0005-0000-0000-0000AC7A0000}"/>
    <cellStyle name="Percent 2 2 2 3 4 4" xfId="32422" xr:uid="{00000000-0005-0000-0000-0000AD7A0000}"/>
    <cellStyle name="Percent 2 2 2 3 5" xfId="8164" xr:uid="{00000000-0005-0000-0000-0000AE7A0000}"/>
    <cellStyle name="Percent 2 2 2 3 5 2" xfId="14356" xr:uid="{00000000-0005-0000-0000-0000AF7A0000}"/>
    <cellStyle name="Percent 2 2 2 3 5 2 2" xfId="27905" xr:uid="{00000000-0005-0000-0000-0000B07A0000}"/>
    <cellStyle name="Percent 2 2 2 3 5 3" xfId="32424" xr:uid="{00000000-0005-0000-0000-0000B17A0000}"/>
    <cellStyle name="Percent 2 2 2 3 6" xfId="8165" xr:uid="{00000000-0005-0000-0000-0000B27A0000}"/>
    <cellStyle name="Percent 2 2 2 3 6 2" xfId="16242" xr:uid="{00000000-0005-0000-0000-0000B37A0000}"/>
    <cellStyle name="Percent 2 2 2 3 6 2 2" xfId="29649" xr:uid="{00000000-0005-0000-0000-0000B47A0000}"/>
    <cellStyle name="Percent 2 2 2 3 6 3" xfId="32425" xr:uid="{00000000-0005-0000-0000-0000B57A0000}"/>
    <cellStyle name="Percent 2 2 2 3 7" xfId="10344" xr:uid="{00000000-0005-0000-0000-0000B67A0000}"/>
    <cellStyle name="Percent 2 2 2 3 8" xfId="32416" xr:uid="{00000000-0005-0000-0000-0000B77A0000}"/>
    <cellStyle name="Percent 2 2 2 4" xfId="8166" xr:uid="{00000000-0005-0000-0000-0000B87A0000}"/>
    <cellStyle name="Percent 2 2 2 4 2" xfId="8167" xr:uid="{00000000-0005-0000-0000-0000B97A0000}"/>
    <cellStyle name="Percent 2 2 2 4 2 2" xfId="17170" xr:uid="{00000000-0005-0000-0000-0000BA7A0000}"/>
    <cellStyle name="Percent 2 2 2 4 2 2 2" xfId="30529" xr:uid="{00000000-0005-0000-0000-0000BB7A0000}"/>
    <cellStyle name="Percent 2 2 2 4 2 3" xfId="32427" xr:uid="{00000000-0005-0000-0000-0000BC7A0000}"/>
    <cellStyle name="Percent 2 2 2 4 3" xfId="10346" xr:uid="{00000000-0005-0000-0000-0000BD7A0000}"/>
    <cellStyle name="Percent 2 2 2 4 4" xfId="32426" xr:uid="{00000000-0005-0000-0000-0000BE7A0000}"/>
    <cellStyle name="Percent 2 2 2 5" xfId="8168" xr:uid="{00000000-0005-0000-0000-0000BF7A0000}"/>
    <cellStyle name="Percent 2 2 2 5 2" xfId="8169" xr:uid="{00000000-0005-0000-0000-0000C07A0000}"/>
    <cellStyle name="Percent 2 2 2 5 2 2" xfId="11650" xr:uid="{00000000-0005-0000-0000-0000C17A0000}"/>
    <cellStyle name="Percent 2 2 2 5 2 3" xfId="32429" xr:uid="{00000000-0005-0000-0000-0000C27A0000}"/>
    <cellStyle name="Percent 2 2 2 5 3" xfId="8170" xr:uid="{00000000-0005-0000-0000-0000C37A0000}"/>
    <cellStyle name="Percent 2 2 2 5 3 2" xfId="17259" xr:uid="{00000000-0005-0000-0000-0000C47A0000}"/>
    <cellStyle name="Percent 2 2 2 5 3 2 2" xfId="30618" xr:uid="{00000000-0005-0000-0000-0000C57A0000}"/>
    <cellStyle name="Percent 2 2 2 5 3 3" xfId="32430" xr:uid="{00000000-0005-0000-0000-0000C67A0000}"/>
    <cellStyle name="Percent 2 2 2 5 4" xfId="10347" xr:uid="{00000000-0005-0000-0000-0000C77A0000}"/>
    <cellStyle name="Percent 2 2 2 5 5" xfId="32428" xr:uid="{00000000-0005-0000-0000-0000C87A0000}"/>
    <cellStyle name="Percent 2 2 2 6" xfId="8171" xr:uid="{00000000-0005-0000-0000-0000C97A0000}"/>
    <cellStyle name="Percent 2 2 2 6 2" xfId="8172" xr:uid="{00000000-0005-0000-0000-0000CA7A0000}"/>
    <cellStyle name="Percent 2 2 2 6 2 2" xfId="13326" xr:uid="{00000000-0005-0000-0000-0000CB7A0000}"/>
    <cellStyle name="Percent 2 2 2 6 2 3" xfId="32432" xr:uid="{00000000-0005-0000-0000-0000CC7A0000}"/>
    <cellStyle name="Percent 2 2 2 6 3" xfId="8173" xr:uid="{00000000-0005-0000-0000-0000CD7A0000}"/>
    <cellStyle name="Percent 2 2 2 6 3 2" xfId="16534" xr:uid="{00000000-0005-0000-0000-0000CE7A0000}"/>
    <cellStyle name="Percent 2 2 2 6 3 2 2" xfId="29941" xr:uid="{00000000-0005-0000-0000-0000CF7A0000}"/>
    <cellStyle name="Percent 2 2 2 6 3 3" xfId="32433" xr:uid="{00000000-0005-0000-0000-0000D07A0000}"/>
    <cellStyle name="Percent 2 2 2 6 4" xfId="11909" xr:uid="{00000000-0005-0000-0000-0000D17A0000}"/>
    <cellStyle name="Percent 2 2 2 6 4 2" xfId="25624" xr:uid="{00000000-0005-0000-0000-0000D27A0000}"/>
    <cellStyle name="Percent 2 2 2 6 5" xfId="32431" xr:uid="{00000000-0005-0000-0000-0000D37A0000}"/>
    <cellStyle name="Percent 2 2 2 7" xfId="8174" xr:uid="{00000000-0005-0000-0000-0000D47A0000}"/>
    <cellStyle name="Percent 2 2 2 7 2" xfId="8175" xr:uid="{00000000-0005-0000-0000-0000D57A0000}"/>
    <cellStyle name="Percent 2 2 2 7 2 2" xfId="15756" xr:uid="{00000000-0005-0000-0000-0000D67A0000}"/>
    <cellStyle name="Percent 2 2 2 7 2 3" xfId="32435" xr:uid="{00000000-0005-0000-0000-0000D77A0000}"/>
    <cellStyle name="Percent 2 2 2 7 3" xfId="13486" xr:uid="{00000000-0005-0000-0000-0000D87A0000}"/>
    <cellStyle name="Percent 2 2 2 7 3 2" xfId="27035" xr:uid="{00000000-0005-0000-0000-0000D97A0000}"/>
    <cellStyle name="Percent 2 2 2 7 4" xfId="32434" xr:uid="{00000000-0005-0000-0000-0000DA7A0000}"/>
    <cellStyle name="Percent 2 2 2 8" xfId="8176" xr:uid="{00000000-0005-0000-0000-0000DB7A0000}"/>
    <cellStyle name="Percent 2 2 2 8 2" xfId="14067" xr:uid="{00000000-0005-0000-0000-0000DC7A0000}"/>
    <cellStyle name="Percent 2 2 2 8 2 2" xfId="27616" xr:uid="{00000000-0005-0000-0000-0000DD7A0000}"/>
    <cellStyle name="Percent 2 2 2 8 3" xfId="32436" xr:uid="{00000000-0005-0000-0000-0000DE7A0000}"/>
    <cellStyle name="Percent 2 2 2 9" xfId="8177" xr:uid="{00000000-0005-0000-0000-0000DF7A0000}"/>
    <cellStyle name="Percent 2 2 2 9 2" xfId="15953" xr:uid="{00000000-0005-0000-0000-0000E07A0000}"/>
    <cellStyle name="Percent 2 2 2 9 2 2" xfId="29360" xr:uid="{00000000-0005-0000-0000-0000E17A0000}"/>
    <cellStyle name="Percent 2 2 2 9 3" xfId="32437" xr:uid="{00000000-0005-0000-0000-0000E27A0000}"/>
    <cellStyle name="Percent 2 2 3" xfId="8178" xr:uid="{00000000-0005-0000-0000-0000E37A0000}"/>
    <cellStyle name="Percent 2 2 3 2" xfId="8179" xr:uid="{00000000-0005-0000-0000-0000E47A0000}"/>
    <cellStyle name="Percent 2 2 3 2 2" xfId="8180" xr:uid="{00000000-0005-0000-0000-0000E57A0000}"/>
    <cellStyle name="Percent 2 2 3 2 2 2" xfId="8181" xr:uid="{00000000-0005-0000-0000-0000E67A0000}"/>
    <cellStyle name="Percent 2 2 3 2 2 2 2" xfId="11651" xr:uid="{00000000-0005-0000-0000-0000E77A0000}"/>
    <cellStyle name="Percent 2 2 3 2 2 2 3" xfId="32441" xr:uid="{00000000-0005-0000-0000-0000E87A0000}"/>
    <cellStyle name="Percent 2 2 3 2 2 3" xfId="8182" xr:uid="{00000000-0005-0000-0000-0000E97A0000}"/>
    <cellStyle name="Percent 2 2 3 2 2 3 2" xfId="16920" xr:uid="{00000000-0005-0000-0000-0000EA7A0000}"/>
    <cellStyle name="Percent 2 2 3 2 2 3 2 2" xfId="30327" xr:uid="{00000000-0005-0000-0000-0000EB7A0000}"/>
    <cellStyle name="Percent 2 2 3 2 2 3 3" xfId="32442" xr:uid="{00000000-0005-0000-0000-0000EC7A0000}"/>
    <cellStyle name="Percent 2 2 3 2 2 4" xfId="10350" xr:uid="{00000000-0005-0000-0000-0000ED7A0000}"/>
    <cellStyle name="Percent 2 2 3 2 2 5" xfId="32440" xr:uid="{00000000-0005-0000-0000-0000EE7A0000}"/>
    <cellStyle name="Percent 2 2 3 2 3" xfId="8183" xr:uid="{00000000-0005-0000-0000-0000EF7A0000}"/>
    <cellStyle name="Percent 2 2 3 2 3 2" xfId="8184" xr:uid="{00000000-0005-0000-0000-0000F07A0000}"/>
    <cellStyle name="Percent 2 2 3 2 3 2 2" xfId="13327" xr:uid="{00000000-0005-0000-0000-0000F17A0000}"/>
    <cellStyle name="Percent 2 2 3 2 3 2 3" xfId="32444" xr:uid="{00000000-0005-0000-0000-0000F27A0000}"/>
    <cellStyle name="Percent 2 2 3 2 3 3" xfId="12308" xr:uid="{00000000-0005-0000-0000-0000F37A0000}"/>
    <cellStyle name="Percent 2 2 3 2 3 3 2" xfId="26020" xr:uid="{00000000-0005-0000-0000-0000F47A0000}"/>
    <cellStyle name="Percent 2 2 3 2 3 4" xfId="32443" xr:uid="{00000000-0005-0000-0000-0000F57A0000}"/>
    <cellStyle name="Percent 2 2 3 2 4" xfId="8185" xr:uid="{00000000-0005-0000-0000-0000F67A0000}"/>
    <cellStyle name="Percent 2 2 3 2 4 2" xfId="8186" xr:uid="{00000000-0005-0000-0000-0000F77A0000}"/>
    <cellStyle name="Percent 2 2 3 2 4 2 2" xfId="15757" xr:uid="{00000000-0005-0000-0000-0000F87A0000}"/>
    <cellStyle name="Percent 2 2 3 2 4 2 3" xfId="32446" xr:uid="{00000000-0005-0000-0000-0000F97A0000}"/>
    <cellStyle name="Percent 2 2 3 2 4 3" xfId="13872" xr:uid="{00000000-0005-0000-0000-0000FA7A0000}"/>
    <cellStyle name="Percent 2 2 3 2 4 3 2" xfId="27421" xr:uid="{00000000-0005-0000-0000-0000FB7A0000}"/>
    <cellStyle name="Percent 2 2 3 2 4 4" xfId="32445" xr:uid="{00000000-0005-0000-0000-0000FC7A0000}"/>
    <cellStyle name="Percent 2 2 3 2 5" xfId="8187" xr:uid="{00000000-0005-0000-0000-0000FD7A0000}"/>
    <cellStyle name="Percent 2 2 3 2 5 2" xfId="14453" xr:uid="{00000000-0005-0000-0000-0000FE7A0000}"/>
    <cellStyle name="Percent 2 2 3 2 5 2 2" xfId="28002" xr:uid="{00000000-0005-0000-0000-0000FF7A0000}"/>
    <cellStyle name="Percent 2 2 3 2 5 3" xfId="32447" xr:uid="{00000000-0005-0000-0000-0000007B0000}"/>
    <cellStyle name="Percent 2 2 3 2 6" xfId="8188" xr:uid="{00000000-0005-0000-0000-0000017B0000}"/>
    <cellStyle name="Percent 2 2 3 2 6 2" xfId="16339" xr:uid="{00000000-0005-0000-0000-0000027B0000}"/>
    <cellStyle name="Percent 2 2 3 2 6 2 2" xfId="29746" xr:uid="{00000000-0005-0000-0000-0000037B0000}"/>
    <cellStyle name="Percent 2 2 3 2 6 3" xfId="32448" xr:uid="{00000000-0005-0000-0000-0000047B0000}"/>
    <cellStyle name="Percent 2 2 3 2 7" xfId="10349" xr:uid="{00000000-0005-0000-0000-0000057B0000}"/>
    <cellStyle name="Percent 2 2 3 2 8" xfId="32439" xr:uid="{00000000-0005-0000-0000-0000067B0000}"/>
    <cellStyle name="Percent 2 2 3 3" xfId="8189" xr:uid="{00000000-0005-0000-0000-0000077B0000}"/>
    <cellStyle name="Percent 2 2 3 3 2" xfId="8190" xr:uid="{00000000-0005-0000-0000-0000087B0000}"/>
    <cellStyle name="Percent 2 2 3 3 2 2" xfId="11652" xr:uid="{00000000-0005-0000-0000-0000097B0000}"/>
    <cellStyle name="Percent 2 2 3 3 2 3" xfId="32450" xr:uid="{00000000-0005-0000-0000-00000A7B0000}"/>
    <cellStyle name="Percent 2 2 3 3 3" xfId="8191" xr:uid="{00000000-0005-0000-0000-00000B7B0000}"/>
    <cellStyle name="Percent 2 2 3 3 3 2" xfId="16631" xr:uid="{00000000-0005-0000-0000-00000C7B0000}"/>
    <cellStyle name="Percent 2 2 3 3 3 2 2" xfId="30038" xr:uid="{00000000-0005-0000-0000-00000D7B0000}"/>
    <cellStyle name="Percent 2 2 3 3 3 3" xfId="32451" xr:uid="{00000000-0005-0000-0000-00000E7B0000}"/>
    <cellStyle name="Percent 2 2 3 3 4" xfId="10351" xr:uid="{00000000-0005-0000-0000-00000F7B0000}"/>
    <cellStyle name="Percent 2 2 3 3 5" xfId="32449" xr:uid="{00000000-0005-0000-0000-0000107B0000}"/>
    <cellStyle name="Percent 2 2 3 4" xfId="8192" xr:uid="{00000000-0005-0000-0000-0000117B0000}"/>
    <cellStyle name="Percent 2 2 3 4 2" xfId="8193" xr:uid="{00000000-0005-0000-0000-0000127B0000}"/>
    <cellStyle name="Percent 2 2 3 4 2 2" xfId="13328" xr:uid="{00000000-0005-0000-0000-0000137B0000}"/>
    <cellStyle name="Percent 2 2 3 4 2 3" xfId="32453" xr:uid="{00000000-0005-0000-0000-0000147B0000}"/>
    <cellStyle name="Percent 2 2 3 4 3" xfId="12008" xr:uid="{00000000-0005-0000-0000-0000157B0000}"/>
    <cellStyle name="Percent 2 2 3 4 3 2" xfId="25723" xr:uid="{00000000-0005-0000-0000-0000167B0000}"/>
    <cellStyle name="Percent 2 2 3 4 4" xfId="32452" xr:uid="{00000000-0005-0000-0000-0000177B0000}"/>
    <cellStyle name="Percent 2 2 3 5" xfId="8194" xr:uid="{00000000-0005-0000-0000-0000187B0000}"/>
    <cellStyle name="Percent 2 2 3 5 2" xfId="8195" xr:uid="{00000000-0005-0000-0000-0000197B0000}"/>
    <cellStyle name="Percent 2 2 3 5 2 2" xfId="15758" xr:uid="{00000000-0005-0000-0000-00001A7B0000}"/>
    <cellStyle name="Percent 2 2 3 5 2 3" xfId="32455" xr:uid="{00000000-0005-0000-0000-00001B7B0000}"/>
    <cellStyle name="Percent 2 2 3 5 3" xfId="13583" xr:uid="{00000000-0005-0000-0000-00001C7B0000}"/>
    <cellStyle name="Percent 2 2 3 5 3 2" xfId="27132" xr:uid="{00000000-0005-0000-0000-00001D7B0000}"/>
    <cellStyle name="Percent 2 2 3 5 4" xfId="32454" xr:uid="{00000000-0005-0000-0000-00001E7B0000}"/>
    <cellStyle name="Percent 2 2 3 6" xfId="8196" xr:uid="{00000000-0005-0000-0000-00001F7B0000}"/>
    <cellStyle name="Percent 2 2 3 6 2" xfId="14164" xr:uid="{00000000-0005-0000-0000-0000207B0000}"/>
    <cellStyle name="Percent 2 2 3 6 2 2" xfId="27713" xr:uid="{00000000-0005-0000-0000-0000217B0000}"/>
    <cellStyle name="Percent 2 2 3 6 3" xfId="32456" xr:uid="{00000000-0005-0000-0000-0000227B0000}"/>
    <cellStyle name="Percent 2 2 3 7" xfId="8197" xr:uid="{00000000-0005-0000-0000-0000237B0000}"/>
    <cellStyle name="Percent 2 2 3 7 2" xfId="16050" xr:uid="{00000000-0005-0000-0000-0000247B0000}"/>
    <cellStyle name="Percent 2 2 3 7 2 2" xfId="29457" xr:uid="{00000000-0005-0000-0000-0000257B0000}"/>
    <cellStyle name="Percent 2 2 3 7 3" xfId="32457" xr:uid="{00000000-0005-0000-0000-0000267B0000}"/>
    <cellStyle name="Percent 2 2 3 8" xfId="10348" xr:uid="{00000000-0005-0000-0000-0000277B0000}"/>
    <cellStyle name="Percent 2 2 3 9" xfId="32438" xr:uid="{00000000-0005-0000-0000-0000287B0000}"/>
    <cellStyle name="Percent 2 2 4" xfId="8198" xr:uid="{00000000-0005-0000-0000-0000297B0000}"/>
    <cellStyle name="Percent 2 2 4 2" xfId="8199" xr:uid="{00000000-0005-0000-0000-00002A7B0000}"/>
    <cellStyle name="Percent 2 2 4 2 2" xfId="8200" xr:uid="{00000000-0005-0000-0000-00002B7B0000}"/>
    <cellStyle name="Percent 2 2 4 2 2 2" xfId="11654" xr:uid="{00000000-0005-0000-0000-00002C7B0000}"/>
    <cellStyle name="Percent 2 2 4 2 2 3" xfId="32460" xr:uid="{00000000-0005-0000-0000-00002D7B0000}"/>
    <cellStyle name="Percent 2 2 4 2 3" xfId="8201" xr:uid="{00000000-0005-0000-0000-00002E7B0000}"/>
    <cellStyle name="Percent 2 2 4 2 3 2" xfId="16777" xr:uid="{00000000-0005-0000-0000-00002F7B0000}"/>
    <cellStyle name="Percent 2 2 4 2 3 2 2" xfId="30184" xr:uid="{00000000-0005-0000-0000-0000307B0000}"/>
    <cellStyle name="Percent 2 2 4 2 3 3" xfId="32461" xr:uid="{00000000-0005-0000-0000-0000317B0000}"/>
    <cellStyle name="Percent 2 2 4 2 4" xfId="10353" xr:uid="{00000000-0005-0000-0000-0000327B0000}"/>
    <cellStyle name="Percent 2 2 4 2 5" xfId="32459" xr:uid="{00000000-0005-0000-0000-0000337B0000}"/>
    <cellStyle name="Percent 2 2 4 3" xfId="8202" xr:uid="{00000000-0005-0000-0000-0000347B0000}"/>
    <cellStyle name="Percent 2 2 4 3 2" xfId="8203" xr:uid="{00000000-0005-0000-0000-0000357B0000}"/>
    <cellStyle name="Percent 2 2 4 3 2 2" xfId="13329" xr:uid="{00000000-0005-0000-0000-0000367B0000}"/>
    <cellStyle name="Percent 2 2 4 3 2 3" xfId="32463" xr:uid="{00000000-0005-0000-0000-0000377B0000}"/>
    <cellStyle name="Percent 2 2 4 3 3" xfId="12165" xr:uid="{00000000-0005-0000-0000-0000387B0000}"/>
    <cellStyle name="Percent 2 2 4 3 3 2" xfId="25877" xr:uid="{00000000-0005-0000-0000-0000397B0000}"/>
    <cellStyle name="Percent 2 2 4 3 4" xfId="32462" xr:uid="{00000000-0005-0000-0000-00003A7B0000}"/>
    <cellStyle name="Percent 2 2 4 4" xfId="8204" xr:uid="{00000000-0005-0000-0000-00003B7B0000}"/>
    <cellStyle name="Percent 2 2 4 4 2" xfId="8205" xr:uid="{00000000-0005-0000-0000-00003C7B0000}"/>
    <cellStyle name="Percent 2 2 4 4 2 2" xfId="15759" xr:uid="{00000000-0005-0000-0000-00003D7B0000}"/>
    <cellStyle name="Percent 2 2 4 4 2 3" xfId="32465" xr:uid="{00000000-0005-0000-0000-00003E7B0000}"/>
    <cellStyle name="Percent 2 2 4 4 3" xfId="13729" xr:uid="{00000000-0005-0000-0000-00003F7B0000}"/>
    <cellStyle name="Percent 2 2 4 4 3 2" xfId="27278" xr:uid="{00000000-0005-0000-0000-0000407B0000}"/>
    <cellStyle name="Percent 2 2 4 4 4" xfId="32464" xr:uid="{00000000-0005-0000-0000-0000417B0000}"/>
    <cellStyle name="Percent 2 2 4 5" xfId="8206" xr:uid="{00000000-0005-0000-0000-0000427B0000}"/>
    <cellStyle name="Percent 2 2 4 5 2" xfId="14310" xr:uid="{00000000-0005-0000-0000-0000437B0000}"/>
    <cellStyle name="Percent 2 2 4 5 2 2" xfId="27859" xr:uid="{00000000-0005-0000-0000-0000447B0000}"/>
    <cellStyle name="Percent 2 2 4 5 3" xfId="32466" xr:uid="{00000000-0005-0000-0000-0000457B0000}"/>
    <cellStyle name="Percent 2 2 4 6" xfId="8207" xr:uid="{00000000-0005-0000-0000-0000467B0000}"/>
    <cellStyle name="Percent 2 2 4 6 2" xfId="16196" xr:uid="{00000000-0005-0000-0000-0000477B0000}"/>
    <cellStyle name="Percent 2 2 4 6 2 2" xfId="29603" xr:uid="{00000000-0005-0000-0000-0000487B0000}"/>
    <cellStyle name="Percent 2 2 4 6 3" xfId="32467" xr:uid="{00000000-0005-0000-0000-0000497B0000}"/>
    <cellStyle name="Percent 2 2 4 7" xfId="10352" xr:uid="{00000000-0005-0000-0000-00004A7B0000}"/>
    <cellStyle name="Percent 2 2 4 8" xfId="32458" xr:uid="{00000000-0005-0000-0000-00004B7B0000}"/>
    <cellStyle name="Percent 2 2 5" xfId="8208" xr:uid="{00000000-0005-0000-0000-00004C7B0000}"/>
    <cellStyle name="Percent 2 2 5 2" xfId="8209" xr:uid="{00000000-0005-0000-0000-00004D7B0000}"/>
    <cellStyle name="Percent 2 2 5 2 2" xfId="8210" xr:uid="{00000000-0005-0000-0000-00004E7B0000}"/>
    <cellStyle name="Percent 2 2 5 2 2 2" xfId="11656" xr:uid="{00000000-0005-0000-0000-00004F7B0000}"/>
    <cellStyle name="Percent 2 2 5 2 2 3" xfId="32470" xr:uid="{00000000-0005-0000-0000-0000507B0000}"/>
    <cellStyle name="Percent 2 2 5 2 3" xfId="10355" xr:uid="{00000000-0005-0000-0000-0000517B0000}"/>
    <cellStyle name="Percent 2 2 5 2 4" xfId="32469" xr:uid="{00000000-0005-0000-0000-0000527B0000}"/>
    <cellStyle name="Percent 2 2 5 3" xfId="8211" xr:uid="{00000000-0005-0000-0000-0000537B0000}"/>
    <cellStyle name="Percent 2 2 5 3 2" xfId="11655" xr:uid="{00000000-0005-0000-0000-0000547B0000}"/>
    <cellStyle name="Percent 2 2 5 3 3" xfId="32471" xr:uid="{00000000-0005-0000-0000-0000557B0000}"/>
    <cellStyle name="Percent 2 2 5 4" xfId="8212" xr:uid="{00000000-0005-0000-0000-0000567B0000}"/>
    <cellStyle name="Percent 2 2 5 4 2" xfId="17044" xr:uid="{00000000-0005-0000-0000-0000577B0000}"/>
    <cellStyle name="Percent 2 2 5 4 2 2" xfId="30443" xr:uid="{00000000-0005-0000-0000-0000587B0000}"/>
    <cellStyle name="Percent 2 2 5 4 3" xfId="32472" xr:uid="{00000000-0005-0000-0000-0000597B0000}"/>
    <cellStyle name="Percent 2 2 5 5" xfId="10354" xr:uid="{00000000-0005-0000-0000-00005A7B0000}"/>
    <cellStyle name="Percent 2 2 5 6" xfId="32468" xr:uid="{00000000-0005-0000-0000-00005B7B0000}"/>
    <cellStyle name="Percent 2 2 6" xfId="8213" xr:uid="{00000000-0005-0000-0000-00005C7B0000}"/>
    <cellStyle name="Percent 2 2 6 2" xfId="8214" xr:uid="{00000000-0005-0000-0000-00005D7B0000}"/>
    <cellStyle name="Percent 2 2 6 2 2" xfId="17124" xr:uid="{00000000-0005-0000-0000-00005E7B0000}"/>
    <cellStyle name="Percent 2 2 6 2 2 2" xfId="30483" xr:uid="{00000000-0005-0000-0000-00005F7B0000}"/>
    <cellStyle name="Percent 2 2 6 2 3" xfId="32474" xr:uid="{00000000-0005-0000-0000-0000607B0000}"/>
    <cellStyle name="Percent 2 2 6 3" xfId="10356" xr:uid="{00000000-0005-0000-0000-0000617B0000}"/>
    <cellStyle name="Percent 2 2 6 4" xfId="32473" xr:uid="{00000000-0005-0000-0000-0000627B0000}"/>
    <cellStyle name="Percent 2 2 7" xfId="8215" xr:uid="{00000000-0005-0000-0000-0000637B0000}"/>
    <cellStyle name="Percent 2 2 7 2" xfId="8216" xr:uid="{00000000-0005-0000-0000-0000647B0000}"/>
    <cellStyle name="Percent 2 2 7 2 2" xfId="11657" xr:uid="{00000000-0005-0000-0000-0000657B0000}"/>
    <cellStyle name="Percent 2 2 7 2 3" xfId="32476" xr:uid="{00000000-0005-0000-0000-0000667B0000}"/>
    <cellStyle name="Percent 2 2 7 3" xfId="8217" xr:uid="{00000000-0005-0000-0000-0000677B0000}"/>
    <cellStyle name="Percent 2 2 7 3 2" xfId="17213" xr:uid="{00000000-0005-0000-0000-0000687B0000}"/>
    <cellStyle name="Percent 2 2 7 3 2 2" xfId="30572" xr:uid="{00000000-0005-0000-0000-0000697B0000}"/>
    <cellStyle name="Percent 2 2 7 3 3" xfId="32477" xr:uid="{00000000-0005-0000-0000-00006A7B0000}"/>
    <cellStyle name="Percent 2 2 7 4" xfId="10357" xr:uid="{00000000-0005-0000-0000-00006B7B0000}"/>
    <cellStyle name="Percent 2 2 7 5" xfId="32475" xr:uid="{00000000-0005-0000-0000-00006C7B0000}"/>
    <cellStyle name="Percent 2 2 8" xfId="8218" xr:uid="{00000000-0005-0000-0000-00006D7B0000}"/>
    <cellStyle name="Percent 2 2 8 2" xfId="8219" xr:uid="{00000000-0005-0000-0000-00006E7B0000}"/>
    <cellStyle name="Percent 2 2 8 2 2" xfId="11658" xr:uid="{00000000-0005-0000-0000-00006F7B0000}"/>
    <cellStyle name="Percent 2 2 8 2 3" xfId="32479" xr:uid="{00000000-0005-0000-0000-0000707B0000}"/>
    <cellStyle name="Percent 2 2 8 3" xfId="8220" xr:uid="{00000000-0005-0000-0000-0000717B0000}"/>
    <cellStyle name="Percent 2 2 8 3 2" xfId="16488" xr:uid="{00000000-0005-0000-0000-0000727B0000}"/>
    <cellStyle name="Percent 2 2 8 3 2 2" xfId="29895" xr:uid="{00000000-0005-0000-0000-0000737B0000}"/>
    <cellStyle name="Percent 2 2 8 3 3" xfId="32480" xr:uid="{00000000-0005-0000-0000-0000747B0000}"/>
    <cellStyle name="Percent 2 2 8 4" xfId="10358" xr:uid="{00000000-0005-0000-0000-0000757B0000}"/>
    <cellStyle name="Percent 2 2 8 5" xfId="32478" xr:uid="{00000000-0005-0000-0000-0000767B0000}"/>
    <cellStyle name="Percent 2 2 9" xfId="8221" xr:uid="{00000000-0005-0000-0000-0000777B0000}"/>
    <cellStyle name="Percent 2 2 9 2" xfId="8222" xr:uid="{00000000-0005-0000-0000-0000787B0000}"/>
    <cellStyle name="Percent 2 2 9 2 2" xfId="13330" xr:uid="{00000000-0005-0000-0000-0000797B0000}"/>
    <cellStyle name="Percent 2 2 9 2 2 2" xfId="26913" xr:uid="{00000000-0005-0000-0000-00007A7B0000}"/>
    <cellStyle name="Percent 2 2 9 2 3" xfId="32482" xr:uid="{00000000-0005-0000-0000-00007B7B0000}"/>
    <cellStyle name="Percent 2 2 9 3" xfId="8223" xr:uid="{00000000-0005-0000-0000-00007C7B0000}"/>
    <cellStyle name="Percent 2 2 9 3 2" xfId="15760" xr:uid="{00000000-0005-0000-0000-00007D7B0000}"/>
    <cellStyle name="Percent 2 2 9 3 3" xfId="32483" xr:uid="{00000000-0005-0000-0000-00007E7B0000}"/>
    <cellStyle name="Percent 2 2 9 4" xfId="10533" xr:uid="{00000000-0005-0000-0000-00007F7B0000}"/>
    <cellStyle name="Percent 2 2 9 4 2" xfId="24475" xr:uid="{00000000-0005-0000-0000-0000807B0000}"/>
    <cellStyle name="Percent 2 2 9 5" xfId="32481" xr:uid="{00000000-0005-0000-0000-0000817B0000}"/>
    <cellStyle name="Percent 2 20" xfId="8224" xr:uid="{00000000-0005-0000-0000-0000827B0000}"/>
    <cellStyle name="Percent 2 20 2" xfId="8225" xr:uid="{00000000-0005-0000-0000-0000837B0000}"/>
    <cellStyle name="Percent 2 20 2 2" xfId="11659" xr:uid="{00000000-0005-0000-0000-0000847B0000}"/>
    <cellStyle name="Percent 2 20 2 3" xfId="32485" xr:uid="{00000000-0005-0000-0000-0000857B0000}"/>
    <cellStyle name="Percent 2 20 3" xfId="10359" xr:uid="{00000000-0005-0000-0000-0000867B0000}"/>
    <cellStyle name="Percent 2 20 4" xfId="32484" xr:uid="{00000000-0005-0000-0000-0000877B0000}"/>
    <cellStyle name="Percent 2 21" xfId="8226" xr:uid="{00000000-0005-0000-0000-0000887B0000}"/>
    <cellStyle name="Percent 2 21 2" xfId="8227" xr:uid="{00000000-0005-0000-0000-0000897B0000}"/>
    <cellStyle name="Percent 2 21 2 2" xfId="11715" xr:uid="{00000000-0005-0000-0000-00008A7B0000}"/>
    <cellStyle name="Percent 2 21 2 2 2" xfId="25435" xr:uid="{00000000-0005-0000-0000-00008B7B0000}"/>
    <cellStyle name="Percent 2 21 2 3" xfId="32487" xr:uid="{00000000-0005-0000-0000-00008C7B0000}"/>
    <cellStyle name="Percent 2 21 3" xfId="8228" xr:uid="{00000000-0005-0000-0000-00008D7B0000}"/>
    <cellStyle name="Percent 2 21 3 2" xfId="13331" xr:uid="{00000000-0005-0000-0000-00008E7B0000}"/>
    <cellStyle name="Percent 2 21 3 2 2" xfId="26914" xr:uid="{00000000-0005-0000-0000-00008F7B0000}"/>
    <cellStyle name="Percent 2 21 3 3" xfId="32488" xr:uid="{00000000-0005-0000-0000-0000907B0000}"/>
    <cellStyle name="Percent 2 21 4" xfId="8229" xr:uid="{00000000-0005-0000-0000-0000917B0000}"/>
    <cellStyle name="Percent 2 21 4 2" xfId="15761" xr:uid="{00000000-0005-0000-0000-0000927B0000}"/>
    <cellStyle name="Percent 2 21 4 3" xfId="32489" xr:uid="{00000000-0005-0000-0000-0000937B0000}"/>
    <cellStyle name="Percent 2 21 5" xfId="10489" xr:uid="{00000000-0005-0000-0000-0000947B0000}"/>
    <cellStyle name="Percent 2 21 5 2" xfId="24439" xr:uid="{00000000-0005-0000-0000-0000957B0000}"/>
    <cellStyle name="Percent 2 21 6" xfId="32486" xr:uid="{00000000-0005-0000-0000-0000967B0000}"/>
    <cellStyle name="Percent 2 22" xfId="8230" xr:uid="{00000000-0005-0000-0000-0000977B0000}"/>
    <cellStyle name="Percent 2 22 2" xfId="8231" xr:uid="{00000000-0005-0000-0000-0000987B0000}"/>
    <cellStyle name="Percent 2 22 2 2" xfId="13332" xr:uid="{00000000-0005-0000-0000-0000997B0000}"/>
    <cellStyle name="Percent 2 22 2 2 2" xfId="26915" xr:uid="{00000000-0005-0000-0000-00009A7B0000}"/>
    <cellStyle name="Percent 2 22 2 3" xfId="32491" xr:uid="{00000000-0005-0000-0000-00009B7B0000}"/>
    <cellStyle name="Percent 2 22 3" xfId="8232" xr:uid="{00000000-0005-0000-0000-00009C7B0000}"/>
    <cellStyle name="Percent 2 22 3 2" xfId="15762" xr:uid="{00000000-0005-0000-0000-00009D7B0000}"/>
    <cellStyle name="Percent 2 22 3 3" xfId="32492" xr:uid="{00000000-0005-0000-0000-00009E7B0000}"/>
    <cellStyle name="Percent 2 22 4" xfId="10516" xr:uid="{00000000-0005-0000-0000-00009F7B0000}"/>
    <cellStyle name="Percent 2 22 4 2" xfId="24458" xr:uid="{00000000-0005-0000-0000-0000A07B0000}"/>
    <cellStyle name="Percent 2 22 5" xfId="32490" xr:uid="{00000000-0005-0000-0000-0000A17B0000}"/>
    <cellStyle name="Percent 2 23" xfId="8233" xr:uid="{00000000-0005-0000-0000-0000A27B0000}"/>
    <cellStyle name="Percent 2 23 2" xfId="11638" xr:uid="{00000000-0005-0000-0000-0000A37B0000}"/>
    <cellStyle name="Percent 2 23 3" xfId="32493" xr:uid="{00000000-0005-0000-0000-0000A47B0000}"/>
    <cellStyle name="Percent 2 24" xfId="8234" xr:uid="{00000000-0005-0000-0000-0000A57B0000}"/>
    <cellStyle name="Percent 2 24 2" xfId="11780" xr:uid="{00000000-0005-0000-0000-0000A67B0000}"/>
    <cellStyle name="Percent 2 24 2 2" xfId="25495" xr:uid="{00000000-0005-0000-0000-0000A77B0000}"/>
    <cellStyle name="Percent 2 24 3" xfId="32494" xr:uid="{00000000-0005-0000-0000-0000A87B0000}"/>
    <cellStyle name="Percent 2 25" xfId="8235" xr:uid="{00000000-0005-0000-0000-0000A97B0000}"/>
    <cellStyle name="Percent 2 25 2" xfId="13383" xr:uid="{00000000-0005-0000-0000-0000AA7B0000}"/>
    <cellStyle name="Percent 2 25 2 2" xfId="26932" xr:uid="{00000000-0005-0000-0000-0000AB7B0000}"/>
    <cellStyle name="Percent 2 25 3" xfId="32495" xr:uid="{00000000-0005-0000-0000-0000AC7B0000}"/>
    <cellStyle name="Percent 2 26" xfId="8236" xr:uid="{00000000-0005-0000-0000-0000AD7B0000}"/>
    <cellStyle name="Percent 2 26 2" xfId="13964" xr:uid="{00000000-0005-0000-0000-0000AE7B0000}"/>
    <cellStyle name="Percent 2 26 2 2" xfId="27513" xr:uid="{00000000-0005-0000-0000-0000AF7B0000}"/>
    <cellStyle name="Percent 2 26 3" xfId="32496" xr:uid="{00000000-0005-0000-0000-0000B07B0000}"/>
    <cellStyle name="Percent 2 27" xfId="8237" xr:uid="{00000000-0005-0000-0000-0000B17B0000}"/>
    <cellStyle name="Percent 2 27 2" xfId="15833" xr:uid="{00000000-0005-0000-0000-0000B27B0000}"/>
    <cellStyle name="Percent 2 27 2 2" xfId="29240" xr:uid="{00000000-0005-0000-0000-0000B37B0000}"/>
    <cellStyle name="Percent 2 27 3" xfId="32497" xr:uid="{00000000-0005-0000-0000-0000B47B0000}"/>
    <cellStyle name="Percent 2 28" xfId="8238" xr:uid="{00000000-0005-0000-0000-0000B57B0000}"/>
    <cellStyle name="Percent 2 28 2" xfId="15850" xr:uid="{00000000-0005-0000-0000-0000B67B0000}"/>
    <cellStyle name="Percent 2 28 2 2" xfId="29257" xr:uid="{00000000-0005-0000-0000-0000B77B0000}"/>
    <cellStyle name="Percent 2 28 3" xfId="32498" xr:uid="{00000000-0005-0000-0000-0000B87B0000}"/>
    <cellStyle name="Percent 2 29" xfId="8643" xr:uid="{00000000-0005-0000-0000-0000B97B0000}"/>
    <cellStyle name="Percent 2 29 2" xfId="10326" xr:uid="{00000000-0005-0000-0000-0000BA7B0000}"/>
    <cellStyle name="Percent 2 3" xfId="8239" xr:uid="{00000000-0005-0000-0000-0000BB7B0000}"/>
    <cellStyle name="Percent 2 3 10" xfId="8240" xr:uid="{00000000-0005-0000-0000-0000BC7B0000}"/>
    <cellStyle name="Percent 2 3 10 2" xfId="17340" xr:uid="{00000000-0005-0000-0000-0000BD7B0000}"/>
    <cellStyle name="Percent 2 3 10 3" xfId="32499" xr:uid="{00000000-0005-0000-0000-0000BE7B0000}"/>
    <cellStyle name="Percent 2 3 11" xfId="8737" xr:uid="{00000000-0005-0000-0000-0000BF7B0000}"/>
    <cellStyle name="Percent 2 3 12" xfId="10360" xr:uid="{00000000-0005-0000-0000-0000C07B0000}"/>
    <cellStyle name="Percent 2 3 2" xfId="8241" xr:uid="{00000000-0005-0000-0000-0000C17B0000}"/>
    <cellStyle name="Percent 2 3 2 2" xfId="8242" xr:uid="{00000000-0005-0000-0000-0000C27B0000}"/>
    <cellStyle name="Percent 2 3 2 2 2" xfId="8243" xr:uid="{00000000-0005-0000-0000-0000C37B0000}"/>
    <cellStyle name="Percent 2 3 2 2 2 2" xfId="8244" xr:uid="{00000000-0005-0000-0000-0000C47B0000}"/>
    <cellStyle name="Percent 2 3 2 2 2 2 2" xfId="11660" xr:uid="{00000000-0005-0000-0000-0000C57B0000}"/>
    <cellStyle name="Percent 2 3 2 2 2 2 3" xfId="32503" xr:uid="{00000000-0005-0000-0000-0000C67B0000}"/>
    <cellStyle name="Percent 2 3 2 2 2 3" xfId="8245" xr:uid="{00000000-0005-0000-0000-0000C77B0000}"/>
    <cellStyle name="Percent 2 3 2 2 2 3 2" xfId="16943" xr:uid="{00000000-0005-0000-0000-0000C87B0000}"/>
    <cellStyle name="Percent 2 3 2 2 2 3 2 2" xfId="30350" xr:uid="{00000000-0005-0000-0000-0000C97B0000}"/>
    <cellStyle name="Percent 2 3 2 2 2 3 3" xfId="32504" xr:uid="{00000000-0005-0000-0000-0000CA7B0000}"/>
    <cellStyle name="Percent 2 3 2 2 2 4" xfId="10363" xr:uid="{00000000-0005-0000-0000-0000CB7B0000}"/>
    <cellStyle name="Percent 2 3 2 2 2 5" xfId="32502" xr:uid="{00000000-0005-0000-0000-0000CC7B0000}"/>
    <cellStyle name="Percent 2 3 2 2 3" xfId="8246" xr:uid="{00000000-0005-0000-0000-0000CD7B0000}"/>
    <cellStyle name="Percent 2 3 2 2 3 2" xfId="8247" xr:uid="{00000000-0005-0000-0000-0000CE7B0000}"/>
    <cellStyle name="Percent 2 3 2 2 3 2 2" xfId="13333" xr:uid="{00000000-0005-0000-0000-0000CF7B0000}"/>
    <cellStyle name="Percent 2 3 2 2 3 2 3" xfId="32506" xr:uid="{00000000-0005-0000-0000-0000D07B0000}"/>
    <cellStyle name="Percent 2 3 2 2 3 3" xfId="12331" xr:uid="{00000000-0005-0000-0000-0000D17B0000}"/>
    <cellStyle name="Percent 2 3 2 2 3 3 2" xfId="26043" xr:uid="{00000000-0005-0000-0000-0000D27B0000}"/>
    <cellStyle name="Percent 2 3 2 2 3 4" xfId="32505" xr:uid="{00000000-0005-0000-0000-0000D37B0000}"/>
    <cellStyle name="Percent 2 3 2 2 4" xfId="8248" xr:uid="{00000000-0005-0000-0000-0000D47B0000}"/>
    <cellStyle name="Percent 2 3 2 2 4 2" xfId="8249" xr:uid="{00000000-0005-0000-0000-0000D57B0000}"/>
    <cellStyle name="Percent 2 3 2 2 4 2 2" xfId="15763" xr:uid="{00000000-0005-0000-0000-0000D67B0000}"/>
    <cellStyle name="Percent 2 3 2 2 4 2 3" xfId="32508" xr:uid="{00000000-0005-0000-0000-0000D77B0000}"/>
    <cellStyle name="Percent 2 3 2 2 4 3" xfId="13895" xr:uid="{00000000-0005-0000-0000-0000D87B0000}"/>
    <cellStyle name="Percent 2 3 2 2 4 3 2" xfId="27444" xr:uid="{00000000-0005-0000-0000-0000D97B0000}"/>
    <cellStyle name="Percent 2 3 2 2 4 4" xfId="32507" xr:uid="{00000000-0005-0000-0000-0000DA7B0000}"/>
    <cellStyle name="Percent 2 3 2 2 5" xfId="8250" xr:uid="{00000000-0005-0000-0000-0000DB7B0000}"/>
    <cellStyle name="Percent 2 3 2 2 5 2" xfId="14476" xr:uid="{00000000-0005-0000-0000-0000DC7B0000}"/>
    <cellStyle name="Percent 2 3 2 2 5 2 2" xfId="28025" xr:uid="{00000000-0005-0000-0000-0000DD7B0000}"/>
    <cellStyle name="Percent 2 3 2 2 5 3" xfId="32509" xr:uid="{00000000-0005-0000-0000-0000DE7B0000}"/>
    <cellStyle name="Percent 2 3 2 2 6" xfId="8251" xr:uid="{00000000-0005-0000-0000-0000DF7B0000}"/>
    <cellStyle name="Percent 2 3 2 2 6 2" xfId="16362" xr:uid="{00000000-0005-0000-0000-0000E07B0000}"/>
    <cellStyle name="Percent 2 3 2 2 6 2 2" xfId="29769" xr:uid="{00000000-0005-0000-0000-0000E17B0000}"/>
    <cellStyle name="Percent 2 3 2 2 6 3" xfId="32510" xr:uid="{00000000-0005-0000-0000-0000E27B0000}"/>
    <cellStyle name="Percent 2 3 2 2 7" xfId="10362" xr:uid="{00000000-0005-0000-0000-0000E37B0000}"/>
    <cellStyle name="Percent 2 3 2 2 8" xfId="32501" xr:uid="{00000000-0005-0000-0000-0000E47B0000}"/>
    <cellStyle name="Percent 2 3 2 3" xfId="8252" xr:uid="{00000000-0005-0000-0000-0000E57B0000}"/>
    <cellStyle name="Percent 2 3 2 3 2" xfId="8253" xr:uid="{00000000-0005-0000-0000-0000E67B0000}"/>
    <cellStyle name="Percent 2 3 2 3 2 2" xfId="11661" xr:uid="{00000000-0005-0000-0000-0000E77B0000}"/>
    <cellStyle name="Percent 2 3 2 3 2 3" xfId="32512" xr:uid="{00000000-0005-0000-0000-0000E87B0000}"/>
    <cellStyle name="Percent 2 3 2 3 3" xfId="8254" xr:uid="{00000000-0005-0000-0000-0000E97B0000}"/>
    <cellStyle name="Percent 2 3 2 3 3 2" xfId="16654" xr:uid="{00000000-0005-0000-0000-0000EA7B0000}"/>
    <cellStyle name="Percent 2 3 2 3 3 2 2" xfId="30061" xr:uid="{00000000-0005-0000-0000-0000EB7B0000}"/>
    <cellStyle name="Percent 2 3 2 3 3 3" xfId="32513" xr:uid="{00000000-0005-0000-0000-0000EC7B0000}"/>
    <cellStyle name="Percent 2 3 2 3 4" xfId="10364" xr:uid="{00000000-0005-0000-0000-0000ED7B0000}"/>
    <cellStyle name="Percent 2 3 2 3 5" xfId="32511" xr:uid="{00000000-0005-0000-0000-0000EE7B0000}"/>
    <cellStyle name="Percent 2 3 2 4" xfId="8255" xr:uid="{00000000-0005-0000-0000-0000EF7B0000}"/>
    <cellStyle name="Percent 2 3 2 4 2" xfId="8256" xr:uid="{00000000-0005-0000-0000-0000F07B0000}"/>
    <cellStyle name="Percent 2 3 2 4 2 2" xfId="13334" xr:uid="{00000000-0005-0000-0000-0000F17B0000}"/>
    <cellStyle name="Percent 2 3 2 4 2 3" xfId="32515" xr:uid="{00000000-0005-0000-0000-0000F27B0000}"/>
    <cellStyle name="Percent 2 3 2 4 3" xfId="12031" xr:uid="{00000000-0005-0000-0000-0000F37B0000}"/>
    <cellStyle name="Percent 2 3 2 4 3 2" xfId="25746" xr:uid="{00000000-0005-0000-0000-0000F47B0000}"/>
    <cellStyle name="Percent 2 3 2 4 4" xfId="32514" xr:uid="{00000000-0005-0000-0000-0000F57B0000}"/>
    <cellStyle name="Percent 2 3 2 5" xfId="8257" xr:uid="{00000000-0005-0000-0000-0000F67B0000}"/>
    <cellStyle name="Percent 2 3 2 5 2" xfId="8258" xr:uid="{00000000-0005-0000-0000-0000F77B0000}"/>
    <cellStyle name="Percent 2 3 2 5 2 2" xfId="15764" xr:uid="{00000000-0005-0000-0000-0000F87B0000}"/>
    <cellStyle name="Percent 2 3 2 5 2 3" xfId="32517" xr:uid="{00000000-0005-0000-0000-0000F97B0000}"/>
    <cellStyle name="Percent 2 3 2 5 3" xfId="13606" xr:uid="{00000000-0005-0000-0000-0000FA7B0000}"/>
    <cellStyle name="Percent 2 3 2 5 3 2" xfId="27155" xr:uid="{00000000-0005-0000-0000-0000FB7B0000}"/>
    <cellStyle name="Percent 2 3 2 5 4" xfId="32516" xr:uid="{00000000-0005-0000-0000-0000FC7B0000}"/>
    <cellStyle name="Percent 2 3 2 6" xfId="8259" xr:uid="{00000000-0005-0000-0000-0000FD7B0000}"/>
    <cellStyle name="Percent 2 3 2 6 2" xfId="14187" xr:uid="{00000000-0005-0000-0000-0000FE7B0000}"/>
    <cellStyle name="Percent 2 3 2 6 2 2" xfId="27736" xr:uid="{00000000-0005-0000-0000-0000FF7B0000}"/>
    <cellStyle name="Percent 2 3 2 6 3" xfId="32518" xr:uid="{00000000-0005-0000-0000-0000007C0000}"/>
    <cellStyle name="Percent 2 3 2 7" xfId="8260" xr:uid="{00000000-0005-0000-0000-0000017C0000}"/>
    <cellStyle name="Percent 2 3 2 7 2" xfId="16073" xr:uid="{00000000-0005-0000-0000-0000027C0000}"/>
    <cellStyle name="Percent 2 3 2 7 2 2" xfId="29480" xr:uid="{00000000-0005-0000-0000-0000037C0000}"/>
    <cellStyle name="Percent 2 3 2 7 3" xfId="32519" xr:uid="{00000000-0005-0000-0000-0000047C0000}"/>
    <cellStyle name="Percent 2 3 2 8" xfId="10361" xr:uid="{00000000-0005-0000-0000-0000057C0000}"/>
    <cellStyle name="Percent 2 3 2 9" xfId="32500" xr:uid="{00000000-0005-0000-0000-0000067C0000}"/>
    <cellStyle name="Percent 2 3 3" xfId="8261" xr:uid="{00000000-0005-0000-0000-0000077C0000}"/>
    <cellStyle name="Percent 2 3 3 2" xfId="8262" xr:uid="{00000000-0005-0000-0000-0000087C0000}"/>
    <cellStyle name="Percent 2 3 3 2 2" xfId="8263" xr:uid="{00000000-0005-0000-0000-0000097C0000}"/>
    <cellStyle name="Percent 2 3 3 2 2 2" xfId="11662" xr:uid="{00000000-0005-0000-0000-00000A7C0000}"/>
    <cellStyle name="Percent 2 3 3 2 2 3" xfId="32522" xr:uid="{00000000-0005-0000-0000-00000B7C0000}"/>
    <cellStyle name="Percent 2 3 3 2 3" xfId="8264" xr:uid="{00000000-0005-0000-0000-00000C7C0000}"/>
    <cellStyle name="Percent 2 3 3 2 3 2" xfId="16800" xr:uid="{00000000-0005-0000-0000-00000D7C0000}"/>
    <cellStyle name="Percent 2 3 3 2 3 2 2" xfId="30207" xr:uid="{00000000-0005-0000-0000-00000E7C0000}"/>
    <cellStyle name="Percent 2 3 3 2 3 3" xfId="32523" xr:uid="{00000000-0005-0000-0000-00000F7C0000}"/>
    <cellStyle name="Percent 2 3 3 2 4" xfId="10366" xr:uid="{00000000-0005-0000-0000-0000107C0000}"/>
    <cellStyle name="Percent 2 3 3 2 5" xfId="32521" xr:uid="{00000000-0005-0000-0000-0000117C0000}"/>
    <cellStyle name="Percent 2 3 3 3" xfId="8265" xr:uid="{00000000-0005-0000-0000-0000127C0000}"/>
    <cellStyle name="Percent 2 3 3 3 2" xfId="8266" xr:uid="{00000000-0005-0000-0000-0000137C0000}"/>
    <cellStyle name="Percent 2 3 3 3 2 2" xfId="13335" xr:uid="{00000000-0005-0000-0000-0000147C0000}"/>
    <cellStyle name="Percent 2 3 3 3 2 3" xfId="32525" xr:uid="{00000000-0005-0000-0000-0000157C0000}"/>
    <cellStyle name="Percent 2 3 3 3 3" xfId="12188" xr:uid="{00000000-0005-0000-0000-0000167C0000}"/>
    <cellStyle name="Percent 2 3 3 3 3 2" xfId="25900" xr:uid="{00000000-0005-0000-0000-0000177C0000}"/>
    <cellStyle name="Percent 2 3 3 3 4" xfId="32524" xr:uid="{00000000-0005-0000-0000-0000187C0000}"/>
    <cellStyle name="Percent 2 3 3 4" xfId="8267" xr:uid="{00000000-0005-0000-0000-0000197C0000}"/>
    <cellStyle name="Percent 2 3 3 4 2" xfId="8268" xr:uid="{00000000-0005-0000-0000-00001A7C0000}"/>
    <cellStyle name="Percent 2 3 3 4 2 2" xfId="15765" xr:uid="{00000000-0005-0000-0000-00001B7C0000}"/>
    <cellStyle name="Percent 2 3 3 4 2 3" xfId="32527" xr:uid="{00000000-0005-0000-0000-00001C7C0000}"/>
    <cellStyle name="Percent 2 3 3 4 3" xfId="13752" xr:uid="{00000000-0005-0000-0000-00001D7C0000}"/>
    <cellStyle name="Percent 2 3 3 4 3 2" xfId="27301" xr:uid="{00000000-0005-0000-0000-00001E7C0000}"/>
    <cellStyle name="Percent 2 3 3 4 4" xfId="32526" xr:uid="{00000000-0005-0000-0000-00001F7C0000}"/>
    <cellStyle name="Percent 2 3 3 5" xfId="8269" xr:uid="{00000000-0005-0000-0000-0000207C0000}"/>
    <cellStyle name="Percent 2 3 3 5 2" xfId="14333" xr:uid="{00000000-0005-0000-0000-0000217C0000}"/>
    <cellStyle name="Percent 2 3 3 5 2 2" xfId="27882" xr:uid="{00000000-0005-0000-0000-0000227C0000}"/>
    <cellStyle name="Percent 2 3 3 5 3" xfId="32528" xr:uid="{00000000-0005-0000-0000-0000237C0000}"/>
    <cellStyle name="Percent 2 3 3 6" xfId="8270" xr:uid="{00000000-0005-0000-0000-0000247C0000}"/>
    <cellStyle name="Percent 2 3 3 6 2" xfId="16219" xr:uid="{00000000-0005-0000-0000-0000257C0000}"/>
    <cellStyle name="Percent 2 3 3 6 2 2" xfId="29626" xr:uid="{00000000-0005-0000-0000-0000267C0000}"/>
    <cellStyle name="Percent 2 3 3 6 3" xfId="32529" xr:uid="{00000000-0005-0000-0000-0000277C0000}"/>
    <cellStyle name="Percent 2 3 3 7" xfId="10365" xr:uid="{00000000-0005-0000-0000-0000287C0000}"/>
    <cellStyle name="Percent 2 3 3 8" xfId="32520" xr:uid="{00000000-0005-0000-0000-0000297C0000}"/>
    <cellStyle name="Percent 2 3 4" xfId="8271" xr:uid="{00000000-0005-0000-0000-00002A7C0000}"/>
    <cellStyle name="Percent 2 3 4 2" xfId="8272" xr:uid="{00000000-0005-0000-0000-00002B7C0000}"/>
    <cellStyle name="Percent 2 3 4 2 2" xfId="13336" xr:uid="{00000000-0005-0000-0000-00002C7C0000}"/>
    <cellStyle name="Percent 2 3 4 2 3" xfId="32531" xr:uid="{00000000-0005-0000-0000-00002D7C0000}"/>
    <cellStyle name="Percent 2 3 4 3" xfId="8273" xr:uid="{00000000-0005-0000-0000-00002E7C0000}"/>
    <cellStyle name="Percent 2 3 4 3 2" xfId="17147" xr:uid="{00000000-0005-0000-0000-00002F7C0000}"/>
    <cellStyle name="Percent 2 3 4 3 2 2" xfId="30506" xr:uid="{00000000-0005-0000-0000-0000307C0000}"/>
    <cellStyle name="Percent 2 3 4 3 3" xfId="32532" xr:uid="{00000000-0005-0000-0000-0000317C0000}"/>
    <cellStyle name="Percent 2 3 4 4" xfId="10367" xr:uid="{00000000-0005-0000-0000-0000327C0000}"/>
    <cellStyle name="Percent 2 3 4 5" xfId="32530" xr:uid="{00000000-0005-0000-0000-0000337C0000}"/>
    <cellStyle name="Percent 2 3 5" xfId="8274" xr:uid="{00000000-0005-0000-0000-0000347C0000}"/>
    <cellStyle name="Percent 2 3 5 2" xfId="8275" xr:uid="{00000000-0005-0000-0000-0000357C0000}"/>
    <cellStyle name="Percent 2 3 5 2 2" xfId="11663" xr:uid="{00000000-0005-0000-0000-0000367C0000}"/>
    <cellStyle name="Percent 2 3 5 2 3" xfId="32534" xr:uid="{00000000-0005-0000-0000-0000377C0000}"/>
    <cellStyle name="Percent 2 3 5 3" xfId="8276" xr:uid="{00000000-0005-0000-0000-0000387C0000}"/>
    <cellStyle name="Percent 2 3 5 3 2" xfId="17236" xr:uid="{00000000-0005-0000-0000-0000397C0000}"/>
    <cellStyle name="Percent 2 3 5 3 2 2" xfId="30595" xr:uid="{00000000-0005-0000-0000-00003A7C0000}"/>
    <cellStyle name="Percent 2 3 5 3 3" xfId="32535" xr:uid="{00000000-0005-0000-0000-00003B7C0000}"/>
    <cellStyle name="Percent 2 3 5 4" xfId="10368" xr:uid="{00000000-0005-0000-0000-00003C7C0000}"/>
    <cellStyle name="Percent 2 3 5 5" xfId="32533" xr:uid="{00000000-0005-0000-0000-00003D7C0000}"/>
    <cellStyle name="Percent 2 3 6" xfId="8277" xr:uid="{00000000-0005-0000-0000-00003E7C0000}"/>
    <cellStyle name="Percent 2 3 6 2" xfId="8278" xr:uid="{00000000-0005-0000-0000-00003F7C0000}"/>
    <cellStyle name="Percent 2 3 6 2 2" xfId="15766" xr:uid="{00000000-0005-0000-0000-0000407C0000}"/>
    <cellStyle name="Percent 2 3 6 2 3" xfId="32537" xr:uid="{00000000-0005-0000-0000-0000417C0000}"/>
    <cellStyle name="Percent 2 3 6 3" xfId="8279" xr:uid="{00000000-0005-0000-0000-0000427C0000}"/>
    <cellStyle name="Percent 2 3 6 3 2" xfId="16511" xr:uid="{00000000-0005-0000-0000-0000437C0000}"/>
    <cellStyle name="Percent 2 3 6 3 2 2" xfId="29918" xr:uid="{00000000-0005-0000-0000-0000447C0000}"/>
    <cellStyle name="Percent 2 3 6 3 3" xfId="32538" xr:uid="{00000000-0005-0000-0000-0000457C0000}"/>
    <cellStyle name="Percent 2 3 6 4" xfId="11886" xr:uid="{00000000-0005-0000-0000-0000467C0000}"/>
    <cellStyle name="Percent 2 3 6 4 2" xfId="25601" xr:uid="{00000000-0005-0000-0000-0000477C0000}"/>
    <cellStyle name="Percent 2 3 6 5" xfId="32536" xr:uid="{00000000-0005-0000-0000-0000487C0000}"/>
    <cellStyle name="Percent 2 3 7" xfId="8280" xr:uid="{00000000-0005-0000-0000-0000497C0000}"/>
    <cellStyle name="Percent 2 3 7 2" xfId="13463" xr:uid="{00000000-0005-0000-0000-00004A7C0000}"/>
    <cellStyle name="Percent 2 3 7 2 2" xfId="27012" xr:uid="{00000000-0005-0000-0000-00004B7C0000}"/>
    <cellStyle name="Percent 2 3 7 3" xfId="32539" xr:uid="{00000000-0005-0000-0000-00004C7C0000}"/>
    <cellStyle name="Percent 2 3 8" xfId="8281" xr:uid="{00000000-0005-0000-0000-00004D7C0000}"/>
    <cellStyle name="Percent 2 3 8 2" xfId="14044" xr:uid="{00000000-0005-0000-0000-00004E7C0000}"/>
    <cellStyle name="Percent 2 3 8 2 2" xfId="27593" xr:uid="{00000000-0005-0000-0000-00004F7C0000}"/>
    <cellStyle name="Percent 2 3 8 3" xfId="32540" xr:uid="{00000000-0005-0000-0000-0000507C0000}"/>
    <cellStyle name="Percent 2 3 9" xfId="8282" xr:uid="{00000000-0005-0000-0000-0000517C0000}"/>
    <cellStyle name="Percent 2 3 9 2" xfId="15930" xr:uid="{00000000-0005-0000-0000-0000527C0000}"/>
    <cellStyle name="Percent 2 3 9 2 2" xfId="29337" xr:uid="{00000000-0005-0000-0000-0000537C0000}"/>
    <cellStyle name="Percent 2 3 9 3" xfId="32541" xr:uid="{00000000-0005-0000-0000-0000547C0000}"/>
    <cellStyle name="Percent 2 30" xfId="33019" xr:uid="{00000000-0005-0000-0000-0000557C0000}"/>
    <cellStyle name="Percent 2 4" xfId="8283" xr:uid="{00000000-0005-0000-0000-0000567C0000}"/>
    <cellStyle name="Percent 2 4 10" xfId="10369" xr:uid="{00000000-0005-0000-0000-0000577C0000}"/>
    <cellStyle name="Percent 2 4 11" xfId="32542" xr:uid="{00000000-0005-0000-0000-0000587C0000}"/>
    <cellStyle name="Percent 2 4 2" xfId="8284" xr:uid="{00000000-0005-0000-0000-0000597C0000}"/>
    <cellStyle name="Percent 2 4 2 2" xfId="8285" xr:uid="{00000000-0005-0000-0000-00005A7C0000}"/>
    <cellStyle name="Percent 2 4 2 2 2" xfId="8286" xr:uid="{00000000-0005-0000-0000-00005B7C0000}"/>
    <cellStyle name="Percent 2 4 2 2 2 2" xfId="8287" xr:uid="{00000000-0005-0000-0000-00005C7C0000}"/>
    <cellStyle name="Percent 2 4 2 2 2 2 2" xfId="11664" xr:uid="{00000000-0005-0000-0000-00005D7C0000}"/>
    <cellStyle name="Percent 2 4 2 2 2 2 3" xfId="32546" xr:uid="{00000000-0005-0000-0000-00005E7C0000}"/>
    <cellStyle name="Percent 2 4 2 2 2 3" xfId="8288" xr:uid="{00000000-0005-0000-0000-00005F7C0000}"/>
    <cellStyle name="Percent 2 4 2 2 2 3 2" xfId="16897" xr:uid="{00000000-0005-0000-0000-0000607C0000}"/>
    <cellStyle name="Percent 2 4 2 2 2 3 2 2" xfId="30304" xr:uid="{00000000-0005-0000-0000-0000617C0000}"/>
    <cellStyle name="Percent 2 4 2 2 2 3 3" xfId="32547" xr:uid="{00000000-0005-0000-0000-0000627C0000}"/>
    <cellStyle name="Percent 2 4 2 2 2 4" xfId="10372" xr:uid="{00000000-0005-0000-0000-0000637C0000}"/>
    <cellStyle name="Percent 2 4 2 2 2 5" xfId="32545" xr:uid="{00000000-0005-0000-0000-0000647C0000}"/>
    <cellStyle name="Percent 2 4 2 2 3" xfId="8289" xr:uid="{00000000-0005-0000-0000-0000657C0000}"/>
    <cellStyle name="Percent 2 4 2 2 3 2" xfId="8290" xr:uid="{00000000-0005-0000-0000-0000667C0000}"/>
    <cellStyle name="Percent 2 4 2 2 3 2 2" xfId="13337" xr:uid="{00000000-0005-0000-0000-0000677C0000}"/>
    <cellStyle name="Percent 2 4 2 2 3 2 3" xfId="32549" xr:uid="{00000000-0005-0000-0000-0000687C0000}"/>
    <cellStyle name="Percent 2 4 2 2 3 3" xfId="12285" xr:uid="{00000000-0005-0000-0000-0000697C0000}"/>
    <cellStyle name="Percent 2 4 2 2 3 3 2" xfId="25997" xr:uid="{00000000-0005-0000-0000-00006A7C0000}"/>
    <cellStyle name="Percent 2 4 2 2 3 4" xfId="32548" xr:uid="{00000000-0005-0000-0000-00006B7C0000}"/>
    <cellStyle name="Percent 2 4 2 2 4" xfId="8291" xr:uid="{00000000-0005-0000-0000-00006C7C0000}"/>
    <cellStyle name="Percent 2 4 2 2 4 2" xfId="8292" xr:uid="{00000000-0005-0000-0000-00006D7C0000}"/>
    <cellStyle name="Percent 2 4 2 2 4 2 2" xfId="15767" xr:uid="{00000000-0005-0000-0000-00006E7C0000}"/>
    <cellStyle name="Percent 2 4 2 2 4 2 3" xfId="32551" xr:uid="{00000000-0005-0000-0000-00006F7C0000}"/>
    <cellStyle name="Percent 2 4 2 2 4 3" xfId="13849" xr:uid="{00000000-0005-0000-0000-0000707C0000}"/>
    <cellStyle name="Percent 2 4 2 2 4 3 2" xfId="27398" xr:uid="{00000000-0005-0000-0000-0000717C0000}"/>
    <cellStyle name="Percent 2 4 2 2 4 4" xfId="32550" xr:uid="{00000000-0005-0000-0000-0000727C0000}"/>
    <cellStyle name="Percent 2 4 2 2 5" xfId="8293" xr:uid="{00000000-0005-0000-0000-0000737C0000}"/>
    <cellStyle name="Percent 2 4 2 2 5 2" xfId="14430" xr:uid="{00000000-0005-0000-0000-0000747C0000}"/>
    <cellStyle name="Percent 2 4 2 2 5 2 2" xfId="27979" xr:uid="{00000000-0005-0000-0000-0000757C0000}"/>
    <cellStyle name="Percent 2 4 2 2 5 3" xfId="32552" xr:uid="{00000000-0005-0000-0000-0000767C0000}"/>
    <cellStyle name="Percent 2 4 2 2 6" xfId="8294" xr:uid="{00000000-0005-0000-0000-0000777C0000}"/>
    <cellStyle name="Percent 2 4 2 2 6 2" xfId="16316" xr:uid="{00000000-0005-0000-0000-0000787C0000}"/>
    <cellStyle name="Percent 2 4 2 2 6 2 2" xfId="29723" xr:uid="{00000000-0005-0000-0000-0000797C0000}"/>
    <cellStyle name="Percent 2 4 2 2 6 3" xfId="32553" xr:uid="{00000000-0005-0000-0000-00007A7C0000}"/>
    <cellStyle name="Percent 2 4 2 2 7" xfId="10371" xr:uid="{00000000-0005-0000-0000-00007B7C0000}"/>
    <cellStyle name="Percent 2 4 2 2 8" xfId="32544" xr:uid="{00000000-0005-0000-0000-00007C7C0000}"/>
    <cellStyle name="Percent 2 4 2 3" xfId="8295" xr:uid="{00000000-0005-0000-0000-00007D7C0000}"/>
    <cellStyle name="Percent 2 4 2 3 2" xfId="8296" xr:uid="{00000000-0005-0000-0000-00007E7C0000}"/>
    <cellStyle name="Percent 2 4 2 3 2 2" xfId="11665" xr:uid="{00000000-0005-0000-0000-00007F7C0000}"/>
    <cellStyle name="Percent 2 4 2 3 2 3" xfId="32555" xr:uid="{00000000-0005-0000-0000-0000807C0000}"/>
    <cellStyle name="Percent 2 4 2 3 3" xfId="8297" xr:uid="{00000000-0005-0000-0000-0000817C0000}"/>
    <cellStyle name="Percent 2 4 2 3 3 2" xfId="16608" xr:uid="{00000000-0005-0000-0000-0000827C0000}"/>
    <cellStyle name="Percent 2 4 2 3 3 2 2" xfId="30015" xr:uid="{00000000-0005-0000-0000-0000837C0000}"/>
    <cellStyle name="Percent 2 4 2 3 3 3" xfId="32556" xr:uid="{00000000-0005-0000-0000-0000847C0000}"/>
    <cellStyle name="Percent 2 4 2 3 4" xfId="10373" xr:uid="{00000000-0005-0000-0000-0000857C0000}"/>
    <cellStyle name="Percent 2 4 2 3 5" xfId="32554" xr:uid="{00000000-0005-0000-0000-0000867C0000}"/>
    <cellStyle name="Percent 2 4 2 4" xfId="8298" xr:uid="{00000000-0005-0000-0000-0000877C0000}"/>
    <cellStyle name="Percent 2 4 2 4 2" xfId="8299" xr:uid="{00000000-0005-0000-0000-0000887C0000}"/>
    <cellStyle name="Percent 2 4 2 4 2 2" xfId="13338" xr:uid="{00000000-0005-0000-0000-0000897C0000}"/>
    <cellStyle name="Percent 2 4 2 4 2 3" xfId="32558" xr:uid="{00000000-0005-0000-0000-00008A7C0000}"/>
    <cellStyle name="Percent 2 4 2 4 3" xfId="11985" xr:uid="{00000000-0005-0000-0000-00008B7C0000}"/>
    <cellStyle name="Percent 2 4 2 4 3 2" xfId="25700" xr:uid="{00000000-0005-0000-0000-00008C7C0000}"/>
    <cellStyle name="Percent 2 4 2 4 4" xfId="32557" xr:uid="{00000000-0005-0000-0000-00008D7C0000}"/>
    <cellStyle name="Percent 2 4 2 5" xfId="8300" xr:uid="{00000000-0005-0000-0000-00008E7C0000}"/>
    <cellStyle name="Percent 2 4 2 5 2" xfId="8301" xr:uid="{00000000-0005-0000-0000-00008F7C0000}"/>
    <cellStyle name="Percent 2 4 2 5 2 2" xfId="15768" xr:uid="{00000000-0005-0000-0000-0000907C0000}"/>
    <cellStyle name="Percent 2 4 2 5 2 3" xfId="32560" xr:uid="{00000000-0005-0000-0000-0000917C0000}"/>
    <cellStyle name="Percent 2 4 2 5 3" xfId="13560" xr:uid="{00000000-0005-0000-0000-0000927C0000}"/>
    <cellStyle name="Percent 2 4 2 5 3 2" xfId="27109" xr:uid="{00000000-0005-0000-0000-0000937C0000}"/>
    <cellStyle name="Percent 2 4 2 5 4" xfId="32559" xr:uid="{00000000-0005-0000-0000-0000947C0000}"/>
    <cellStyle name="Percent 2 4 2 6" xfId="8302" xr:uid="{00000000-0005-0000-0000-0000957C0000}"/>
    <cellStyle name="Percent 2 4 2 6 2" xfId="14141" xr:uid="{00000000-0005-0000-0000-0000967C0000}"/>
    <cellStyle name="Percent 2 4 2 6 2 2" xfId="27690" xr:uid="{00000000-0005-0000-0000-0000977C0000}"/>
    <cellStyle name="Percent 2 4 2 6 3" xfId="32561" xr:uid="{00000000-0005-0000-0000-0000987C0000}"/>
    <cellStyle name="Percent 2 4 2 7" xfId="8303" xr:uid="{00000000-0005-0000-0000-0000997C0000}"/>
    <cellStyle name="Percent 2 4 2 7 2" xfId="16027" xr:uid="{00000000-0005-0000-0000-00009A7C0000}"/>
    <cellStyle name="Percent 2 4 2 7 2 2" xfId="29434" xr:uid="{00000000-0005-0000-0000-00009B7C0000}"/>
    <cellStyle name="Percent 2 4 2 7 3" xfId="32562" xr:uid="{00000000-0005-0000-0000-00009C7C0000}"/>
    <cellStyle name="Percent 2 4 2 8" xfId="10370" xr:uid="{00000000-0005-0000-0000-00009D7C0000}"/>
    <cellStyle name="Percent 2 4 2 9" xfId="32543" xr:uid="{00000000-0005-0000-0000-00009E7C0000}"/>
    <cellStyle name="Percent 2 4 3" xfId="8304" xr:uid="{00000000-0005-0000-0000-00009F7C0000}"/>
    <cellStyle name="Percent 2 4 3 2" xfId="8305" xr:uid="{00000000-0005-0000-0000-0000A07C0000}"/>
    <cellStyle name="Percent 2 4 3 2 2" xfId="8306" xr:uid="{00000000-0005-0000-0000-0000A17C0000}"/>
    <cellStyle name="Percent 2 4 3 2 2 2" xfId="11666" xr:uid="{00000000-0005-0000-0000-0000A27C0000}"/>
    <cellStyle name="Percent 2 4 3 2 2 3" xfId="32565" xr:uid="{00000000-0005-0000-0000-0000A37C0000}"/>
    <cellStyle name="Percent 2 4 3 2 3" xfId="8307" xr:uid="{00000000-0005-0000-0000-0000A47C0000}"/>
    <cellStyle name="Percent 2 4 3 2 3 2" xfId="16757" xr:uid="{00000000-0005-0000-0000-0000A57C0000}"/>
    <cellStyle name="Percent 2 4 3 2 3 2 2" xfId="30164" xr:uid="{00000000-0005-0000-0000-0000A67C0000}"/>
    <cellStyle name="Percent 2 4 3 2 3 3" xfId="32566" xr:uid="{00000000-0005-0000-0000-0000A77C0000}"/>
    <cellStyle name="Percent 2 4 3 2 4" xfId="10375" xr:uid="{00000000-0005-0000-0000-0000A87C0000}"/>
    <cellStyle name="Percent 2 4 3 2 5" xfId="32564" xr:uid="{00000000-0005-0000-0000-0000A97C0000}"/>
    <cellStyle name="Percent 2 4 3 3" xfId="8308" xr:uid="{00000000-0005-0000-0000-0000AA7C0000}"/>
    <cellStyle name="Percent 2 4 3 3 2" xfId="8309" xr:uid="{00000000-0005-0000-0000-0000AB7C0000}"/>
    <cellStyle name="Percent 2 4 3 3 2 2" xfId="13339" xr:uid="{00000000-0005-0000-0000-0000AC7C0000}"/>
    <cellStyle name="Percent 2 4 3 3 2 3" xfId="32568" xr:uid="{00000000-0005-0000-0000-0000AD7C0000}"/>
    <cellStyle name="Percent 2 4 3 3 3" xfId="12145" xr:uid="{00000000-0005-0000-0000-0000AE7C0000}"/>
    <cellStyle name="Percent 2 4 3 3 3 2" xfId="25857" xr:uid="{00000000-0005-0000-0000-0000AF7C0000}"/>
    <cellStyle name="Percent 2 4 3 3 4" xfId="32567" xr:uid="{00000000-0005-0000-0000-0000B07C0000}"/>
    <cellStyle name="Percent 2 4 3 4" xfId="8310" xr:uid="{00000000-0005-0000-0000-0000B17C0000}"/>
    <cellStyle name="Percent 2 4 3 4 2" xfId="8311" xr:uid="{00000000-0005-0000-0000-0000B27C0000}"/>
    <cellStyle name="Percent 2 4 3 4 2 2" xfId="15769" xr:uid="{00000000-0005-0000-0000-0000B37C0000}"/>
    <cellStyle name="Percent 2 4 3 4 2 3" xfId="32570" xr:uid="{00000000-0005-0000-0000-0000B47C0000}"/>
    <cellStyle name="Percent 2 4 3 4 3" xfId="13709" xr:uid="{00000000-0005-0000-0000-0000B57C0000}"/>
    <cellStyle name="Percent 2 4 3 4 3 2" xfId="27258" xr:uid="{00000000-0005-0000-0000-0000B67C0000}"/>
    <cellStyle name="Percent 2 4 3 4 4" xfId="32569" xr:uid="{00000000-0005-0000-0000-0000B77C0000}"/>
    <cellStyle name="Percent 2 4 3 5" xfId="8312" xr:uid="{00000000-0005-0000-0000-0000B87C0000}"/>
    <cellStyle name="Percent 2 4 3 5 2" xfId="14290" xr:uid="{00000000-0005-0000-0000-0000B97C0000}"/>
    <cellStyle name="Percent 2 4 3 5 2 2" xfId="27839" xr:uid="{00000000-0005-0000-0000-0000BA7C0000}"/>
    <cellStyle name="Percent 2 4 3 5 3" xfId="32571" xr:uid="{00000000-0005-0000-0000-0000BB7C0000}"/>
    <cellStyle name="Percent 2 4 3 6" xfId="8313" xr:uid="{00000000-0005-0000-0000-0000BC7C0000}"/>
    <cellStyle name="Percent 2 4 3 6 2" xfId="16176" xr:uid="{00000000-0005-0000-0000-0000BD7C0000}"/>
    <cellStyle name="Percent 2 4 3 6 2 2" xfId="29583" xr:uid="{00000000-0005-0000-0000-0000BE7C0000}"/>
    <cellStyle name="Percent 2 4 3 6 3" xfId="32572" xr:uid="{00000000-0005-0000-0000-0000BF7C0000}"/>
    <cellStyle name="Percent 2 4 3 7" xfId="10374" xr:uid="{00000000-0005-0000-0000-0000C07C0000}"/>
    <cellStyle name="Percent 2 4 3 8" xfId="32563" xr:uid="{00000000-0005-0000-0000-0000C17C0000}"/>
    <cellStyle name="Percent 2 4 4" xfId="8314" xr:uid="{00000000-0005-0000-0000-0000C27C0000}"/>
    <cellStyle name="Percent 2 4 4 2" xfId="8315" xr:uid="{00000000-0005-0000-0000-0000C37C0000}"/>
    <cellStyle name="Percent 2 4 4 2 2" xfId="16465" xr:uid="{00000000-0005-0000-0000-0000C47C0000}"/>
    <cellStyle name="Percent 2 4 4 2 2 2" xfId="29872" xr:uid="{00000000-0005-0000-0000-0000C57C0000}"/>
    <cellStyle name="Percent 2 4 4 2 3" xfId="32574" xr:uid="{00000000-0005-0000-0000-0000C67C0000}"/>
    <cellStyle name="Percent 2 4 4 3" xfId="10376" xr:uid="{00000000-0005-0000-0000-0000C77C0000}"/>
    <cellStyle name="Percent 2 4 4 4" xfId="32573" xr:uid="{00000000-0005-0000-0000-0000C87C0000}"/>
    <cellStyle name="Percent 2 4 5" xfId="8316" xr:uid="{00000000-0005-0000-0000-0000C97C0000}"/>
    <cellStyle name="Percent 2 4 5 2" xfId="8317" xr:uid="{00000000-0005-0000-0000-0000CA7C0000}"/>
    <cellStyle name="Percent 2 4 5 2 2" xfId="11667" xr:uid="{00000000-0005-0000-0000-0000CB7C0000}"/>
    <cellStyle name="Percent 2 4 5 2 3" xfId="32576" xr:uid="{00000000-0005-0000-0000-0000CC7C0000}"/>
    <cellStyle name="Percent 2 4 5 3" xfId="10377" xr:uid="{00000000-0005-0000-0000-0000CD7C0000}"/>
    <cellStyle name="Percent 2 4 5 4" xfId="32575" xr:uid="{00000000-0005-0000-0000-0000CE7C0000}"/>
    <cellStyle name="Percent 2 4 6" xfId="8318" xr:uid="{00000000-0005-0000-0000-0000CF7C0000}"/>
    <cellStyle name="Percent 2 4 6 2" xfId="8319" xr:uid="{00000000-0005-0000-0000-0000D07C0000}"/>
    <cellStyle name="Percent 2 4 6 2 2" xfId="13340" xr:uid="{00000000-0005-0000-0000-0000D17C0000}"/>
    <cellStyle name="Percent 2 4 6 2 3" xfId="32578" xr:uid="{00000000-0005-0000-0000-0000D27C0000}"/>
    <cellStyle name="Percent 2 4 6 3" xfId="11816" xr:uid="{00000000-0005-0000-0000-0000D37C0000}"/>
    <cellStyle name="Percent 2 4 6 3 2" xfId="25531" xr:uid="{00000000-0005-0000-0000-0000D47C0000}"/>
    <cellStyle name="Percent 2 4 6 4" xfId="32577" xr:uid="{00000000-0005-0000-0000-0000D57C0000}"/>
    <cellStyle name="Percent 2 4 7" xfId="8320" xr:uid="{00000000-0005-0000-0000-0000D67C0000}"/>
    <cellStyle name="Percent 2 4 7 2" xfId="8321" xr:uid="{00000000-0005-0000-0000-0000D77C0000}"/>
    <cellStyle name="Percent 2 4 7 2 2" xfId="15770" xr:uid="{00000000-0005-0000-0000-0000D87C0000}"/>
    <cellStyle name="Percent 2 4 7 2 3" xfId="32580" xr:uid="{00000000-0005-0000-0000-0000D97C0000}"/>
    <cellStyle name="Percent 2 4 7 3" xfId="13417" xr:uid="{00000000-0005-0000-0000-0000DA7C0000}"/>
    <cellStyle name="Percent 2 4 7 3 2" xfId="26966" xr:uid="{00000000-0005-0000-0000-0000DB7C0000}"/>
    <cellStyle name="Percent 2 4 7 4" xfId="32579" xr:uid="{00000000-0005-0000-0000-0000DC7C0000}"/>
    <cellStyle name="Percent 2 4 8" xfId="8322" xr:uid="{00000000-0005-0000-0000-0000DD7C0000}"/>
    <cellStyle name="Percent 2 4 8 2" xfId="13998" xr:uid="{00000000-0005-0000-0000-0000DE7C0000}"/>
    <cellStyle name="Percent 2 4 8 2 2" xfId="27547" xr:uid="{00000000-0005-0000-0000-0000DF7C0000}"/>
    <cellStyle name="Percent 2 4 8 3" xfId="32581" xr:uid="{00000000-0005-0000-0000-0000E07C0000}"/>
    <cellStyle name="Percent 2 4 9" xfId="8323" xr:uid="{00000000-0005-0000-0000-0000E17C0000}"/>
    <cellStyle name="Percent 2 4 9 2" xfId="15884" xr:uid="{00000000-0005-0000-0000-0000E27C0000}"/>
    <cellStyle name="Percent 2 4 9 2 2" xfId="29291" xr:uid="{00000000-0005-0000-0000-0000E37C0000}"/>
    <cellStyle name="Percent 2 4 9 3" xfId="32582" xr:uid="{00000000-0005-0000-0000-0000E47C0000}"/>
    <cellStyle name="Percent 2 5" xfId="8324" xr:uid="{00000000-0005-0000-0000-0000E57C0000}"/>
    <cellStyle name="Percent 2 5 10" xfId="10378" xr:uid="{00000000-0005-0000-0000-0000E67C0000}"/>
    <cellStyle name="Percent 2 5 11" xfId="32583" xr:uid="{00000000-0005-0000-0000-0000E77C0000}"/>
    <cellStyle name="Percent 2 5 2" xfId="8325" xr:uid="{00000000-0005-0000-0000-0000E87C0000}"/>
    <cellStyle name="Percent 2 5 2 2" xfId="8326" xr:uid="{00000000-0005-0000-0000-0000E97C0000}"/>
    <cellStyle name="Percent 2 5 2 2 2" xfId="8327" xr:uid="{00000000-0005-0000-0000-0000EA7C0000}"/>
    <cellStyle name="Percent 2 5 2 2 2 2" xfId="8328" xr:uid="{00000000-0005-0000-0000-0000EB7C0000}"/>
    <cellStyle name="Percent 2 5 2 2 2 2 2" xfId="11668" xr:uid="{00000000-0005-0000-0000-0000EC7C0000}"/>
    <cellStyle name="Percent 2 5 2 2 2 2 3" xfId="32587" xr:uid="{00000000-0005-0000-0000-0000ED7C0000}"/>
    <cellStyle name="Percent 2 5 2 2 2 3" xfId="8329" xr:uid="{00000000-0005-0000-0000-0000EE7C0000}"/>
    <cellStyle name="Percent 2 5 2 2 2 3 2" xfId="16880" xr:uid="{00000000-0005-0000-0000-0000EF7C0000}"/>
    <cellStyle name="Percent 2 5 2 2 2 3 2 2" xfId="30287" xr:uid="{00000000-0005-0000-0000-0000F07C0000}"/>
    <cellStyle name="Percent 2 5 2 2 2 3 3" xfId="32588" xr:uid="{00000000-0005-0000-0000-0000F17C0000}"/>
    <cellStyle name="Percent 2 5 2 2 2 4" xfId="10381" xr:uid="{00000000-0005-0000-0000-0000F27C0000}"/>
    <cellStyle name="Percent 2 5 2 2 2 5" xfId="32586" xr:uid="{00000000-0005-0000-0000-0000F37C0000}"/>
    <cellStyle name="Percent 2 5 2 2 3" xfId="8330" xr:uid="{00000000-0005-0000-0000-0000F47C0000}"/>
    <cellStyle name="Percent 2 5 2 2 3 2" xfId="8331" xr:uid="{00000000-0005-0000-0000-0000F57C0000}"/>
    <cellStyle name="Percent 2 5 2 2 3 2 2" xfId="13341" xr:uid="{00000000-0005-0000-0000-0000F67C0000}"/>
    <cellStyle name="Percent 2 5 2 2 3 2 3" xfId="32590" xr:uid="{00000000-0005-0000-0000-0000F77C0000}"/>
    <cellStyle name="Percent 2 5 2 2 3 3" xfId="12268" xr:uid="{00000000-0005-0000-0000-0000F87C0000}"/>
    <cellStyle name="Percent 2 5 2 2 3 3 2" xfId="25980" xr:uid="{00000000-0005-0000-0000-0000F97C0000}"/>
    <cellStyle name="Percent 2 5 2 2 3 4" xfId="32589" xr:uid="{00000000-0005-0000-0000-0000FA7C0000}"/>
    <cellStyle name="Percent 2 5 2 2 4" xfId="8332" xr:uid="{00000000-0005-0000-0000-0000FB7C0000}"/>
    <cellStyle name="Percent 2 5 2 2 4 2" xfId="8333" xr:uid="{00000000-0005-0000-0000-0000FC7C0000}"/>
    <cellStyle name="Percent 2 5 2 2 4 2 2" xfId="15771" xr:uid="{00000000-0005-0000-0000-0000FD7C0000}"/>
    <cellStyle name="Percent 2 5 2 2 4 2 3" xfId="32592" xr:uid="{00000000-0005-0000-0000-0000FE7C0000}"/>
    <cellStyle name="Percent 2 5 2 2 4 3" xfId="13832" xr:uid="{00000000-0005-0000-0000-0000FF7C0000}"/>
    <cellStyle name="Percent 2 5 2 2 4 3 2" xfId="27381" xr:uid="{00000000-0005-0000-0000-0000007D0000}"/>
    <cellStyle name="Percent 2 5 2 2 4 4" xfId="32591" xr:uid="{00000000-0005-0000-0000-0000017D0000}"/>
    <cellStyle name="Percent 2 5 2 2 5" xfId="8334" xr:uid="{00000000-0005-0000-0000-0000027D0000}"/>
    <cellStyle name="Percent 2 5 2 2 5 2" xfId="14413" xr:uid="{00000000-0005-0000-0000-0000037D0000}"/>
    <cellStyle name="Percent 2 5 2 2 5 2 2" xfId="27962" xr:uid="{00000000-0005-0000-0000-0000047D0000}"/>
    <cellStyle name="Percent 2 5 2 2 5 3" xfId="32593" xr:uid="{00000000-0005-0000-0000-0000057D0000}"/>
    <cellStyle name="Percent 2 5 2 2 6" xfId="8335" xr:uid="{00000000-0005-0000-0000-0000067D0000}"/>
    <cellStyle name="Percent 2 5 2 2 6 2" xfId="16299" xr:uid="{00000000-0005-0000-0000-0000077D0000}"/>
    <cellStyle name="Percent 2 5 2 2 6 2 2" xfId="29706" xr:uid="{00000000-0005-0000-0000-0000087D0000}"/>
    <cellStyle name="Percent 2 5 2 2 6 3" xfId="32594" xr:uid="{00000000-0005-0000-0000-0000097D0000}"/>
    <cellStyle name="Percent 2 5 2 2 7" xfId="10380" xr:uid="{00000000-0005-0000-0000-00000A7D0000}"/>
    <cellStyle name="Percent 2 5 2 2 8" xfId="32585" xr:uid="{00000000-0005-0000-0000-00000B7D0000}"/>
    <cellStyle name="Percent 2 5 2 3" xfId="8336" xr:uid="{00000000-0005-0000-0000-00000C7D0000}"/>
    <cellStyle name="Percent 2 5 2 3 2" xfId="8337" xr:uid="{00000000-0005-0000-0000-00000D7D0000}"/>
    <cellStyle name="Percent 2 5 2 3 2 2" xfId="11669" xr:uid="{00000000-0005-0000-0000-00000E7D0000}"/>
    <cellStyle name="Percent 2 5 2 3 2 3" xfId="32596" xr:uid="{00000000-0005-0000-0000-00000F7D0000}"/>
    <cellStyle name="Percent 2 5 2 3 3" xfId="8338" xr:uid="{00000000-0005-0000-0000-0000107D0000}"/>
    <cellStyle name="Percent 2 5 2 3 3 2" xfId="16591" xr:uid="{00000000-0005-0000-0000-0000117D0000}"/>
    <cellStyle name="Percent 2 5 2 3 3 2 2" xfId="29998" xr:uid="{00000000-0005-0000-0000-0000127D0000}"/>
    <cellStyle name="Percent 2 5 2 3 3 3" xfId="32597" xr:uid="{00000000-0005-0000-0000-0000137D0000}"/>
    <cellStyle name="Percent 2 5 2 3 4" xfId="10382" xr:uid="{00000000-0005-0000-0000-0000147D0000}"/>
    <cellStyle name="Percent 2 5 2 3 5" xfId="32595" xr:uid="{00000000-0005-0000-0000-0000157D0000}"/>
    <cellStyle name="Percent 2 5 2 4" xfId="8339" xr:uid="{00000000-0005-0000-0000-0000167D0000}"/>
    <cellStyle name="Percent 2 5 2 4 2" xfId="8340" xr:uid="{00000000-0005-0000-0000-0000177D0000}"/>
    <cellStyle name="Percent 2 5 2 4 2 2" xfId="13342" xr:uid="{00000000-0005-0000-0000-0000187D0000}"/>
    <cellStyle name="Percent 2 5 2 4 2 3" xfId="32599" xr:uid="{00000000-0005-0000-0000-0000197D0000}"/>
    <cellStyle name="Percent 2 5 2 4 3" xfId="11968" xr:uid="{00000000-0005-0000-0000-00001A7D0000}"/>
    <cellStyle name="Percent 2 5 2 4 3 2" xfId="25683" xr:uid="{00000000-0005-0000-0000-00001B7D0000}"/>
    <cellStyle name="Percent 2 5 2 4 4" xfId="32598" xr:uid="{00000000-0005-0000-0000-00001C7D0000}"/>
    <cellStyle name="Percent 2 5 2 5" xfId="8341" xr:uid="{00000000-0005-0000-0000-00001D7D0000}"/>
    <cellStyle name="Percent 2 5 2 5 2" xfId="8342" xr:uid="{00000000-0005-0000-0000-00001E7D0000}"/>
    <cellStyle name="Percent 2 5 2 5 2 2" xfId="15772" xr:uid="{00000000-0005-0000-0000-00001F7D0000}"/>
    <cellStyle name="Percent 2 5 2 5 2 3" xfId="32601" xr:uid="{00000000-0005-0000-0000-0000207D0000}"/>
    <cellStyle name="Percent 2 5 2 5 3" xfId="13543" xr:uid="{00000000-0005-0000-0000-0000217D0000}"/>
    <cellStyle name="Percent 2 5 2 5 3 2" xfId="27092" xr:uid="{00000000-0005-0000-0000-0000227D0000}"/>
    <cellStyle name="Percent 2 5 2 5 4" xfId="32600" xr:uid="{00000000-0005-0000-0000-0000237D0000}"/>
    <cellStyle name="Percent 2 5 2 6" xfId="8343" xr:uid="{00000000-0005-0000-0000-0000247D0000}"/>
    <cellStyle name="Percent 2 5 2 6 2" xfId="14124" xr:uid="{00000000-0005-0000-0000-0000257D0000}"/>
    <cellStyle name="Percent 2 5 2 6 2 2" xfId="27673" xr:uid="{00000000-0005-0000-0000-0000267D0000}"/>
    <cellStyle name="Percent 2 5 2 6 3" xfId="32602" xr:uid="{00000000-0005-0000-0000-0000277D0000}"/>
    <cellStyle name="Percent 2 5 2 7" xfId="8344" xr:uid="{00000000-0005-0000-0000-0000287D0000}"/>
    <cellStyle name="Percent 2 5 2 7 2" xfId="16010" xr:uid="{00000000-0005-0000-0000-0000297D0000}"/>
    <cellStyle name="Percent 2 5 2 7 2 2" xfId="29417" xr:uid="{00000000-0005-0000-0000-00002A7D0000}"/>
    <cellStyle name="Percent 2 5 2 7 3" xfId="32603" xr:uid="{00000000-0005-0000-0000-00002B7D0000}"/>
    <cellStyle name="Percent 2 5 2 8" xfId="10379" xr:uid="{00000000-0005-0000-0000-00002C7D0000}"/>
    <cellStyle name="Percent 2 5 2 9" xfId="32584" xr:uid="{00000000-0005-0000-0000-00002D7D0000}"/>
    <cellStyle name="Percent 2 5 3" xfId="8345" xr:uid="{00000000-0005-0000-0000-00002E7D0000}"/>
    <cellStyle name="Percent 2 5 3 2" xfId="8346" xr:uid="{00000000-0005-0000-0000-00002F7D0000}"/>
    <cellStyle name="Percent 2 5 3 2 2" xfId="8347" xr:uid="{00000000-0005-0000-0000-0000307D0000}"/>
    <cellStyle name="Percent 2 5 3 2 2 2" xfId="11670" xr:uid="{00000000-0005-0000-0000-0000317D0000}"/>
    <cellStyle name="Percent 2 5 3 2 2 3" xfId="32606" xr:uid="{00000000-0005-0000-0000-0000327D0000}"/>
    <cellStyle name="Percent 2 5 3 2 3" xfId="8348" xr:uid="{00000000-0005-0000-0000-0000337D0000}"/>
    <cellStyle name="Percent 2 5 3 2 3 2" xfId="16740" xr:uid="{00000000-0005-0000-0000-0000347D0000}"/>
    <cellStyle name="Percent 2 5 3 2 3 2 2" xfId="30147" xr:uid="{00000000-0005-0000-0000-0000357D0000}"/>
    <cellStyle name="Percent 2 5 3 2 3 3" xfId="32607" xr:uid="{00000000-0005-0000-0000-0000367D0000}"/>
    <cellStyle name="Percent 2 5 3 2 4" xfId="10384" xr:uid="{00000000-0005-0000-0000-0000377D0000}"/>
    <cellStyle name="Percent 2 5 3 2 5" xfId="32605" xr:uid="{00000000-0005-0000-0000-0000387D0000}"/>
    <cellStyle name="Percent 2 5 3 3" xfId="8349" xr:uid="{00000000-0005-0000-0000-0000397D0000}"/>
    <cellStyle name="Percent 2 5 3 3 2" xfId="8350" xr:uid="{00000000-0005-0000-0000-00003A7D0000}"/>
    <cellStyle name="Percent 2 5 3 3 2 2" xfId="13343" xr:uid="{00000000-0005-0000-0000-00003B7D0000}"/>
    <cellStyle name="Percent 2 5 3 3 2 3" xfId="32609" xr:uid="{00000000-0005-0000-0000-00003C7D0000}"/>
    <cellStyle name="Percent 2 5 3 3 3" xfId="12128" xr:uid="{00000000-0005-0000-0000-00003D7D0000}"/>
    <cellStyle name="Percent 2 5 3 3 3 2" xfId="25840" xr:uid="{00000000-0005-0000-0000-00003E7D0000}"/>
    <cellStyle name="Percent 2 5 3 3 4" xfId="32608" xr:uid="{00000000-0005-0000-0000-00003F7D0000}"/>
    <cellStyle name="Percent 2 5 3 4" xfId="8351" xr:uid="{00000000-0005-0000-0000-0000407D0000}"/>
    <cellStyle name="Percent 2 5 3 4 2" xfId="8352" xr:uid="{00000000-0005-0000-0000-0000417D0000}"/>
    <cellStyle name="Percent 2 5 3 4 2 2" xfId="15773" xr:uid="{00000000-0005-0000-0000-0000427D0000}"/>
    <cellStyle name="Percent 2 5 3 4 2 3" xfId="32611" xr:uid="{00000000-0005-0000-0000-0000437D0000}"/>
    <cellStyle name="Percent 2 5 3 4 3" xfId="13692" xr:uid="{00000000-0005-0000-0000-0000447D0000}"/>
    <cellStyle name="Percent 2 5 3 4 3 2" xfId="27241" xr:uid="{00000000-0005-0000-0000-0000457D0000}"/>
    <cellStyle name="Percent 2 5 3 4 4" xfId="32610" xr:uid="{00000000-0005-0000-0000-0000467D0000}"/>
    <cellStyle name="Percent 2 5 3 5" xfId="8353" xr:uid="{00000000-0005-0000-0000-0000477D0000}"/>
    <cellStyle name="Percent 2 5 3 5 2" xfId="14273" xr:uid="{00000000-0005-0000-0000-0000487D0000}"/>
    <cellStyle name="Percent 2 5 3 5 2 2" xfId="27822" xr:uid="{00000000-0005-0000-0000-0000497D0000}"/>
    <cellStyle name="Percent 2 5 3 5 3" xfId="32612" xr:uid="{00000000-0005-0000-0000-00004A7D0000}"/>
    <cellStyle name="Percent 2 5 3 6" xfId="8354" xr:uid="{00000000-0005-0000-0000-00004B7D0000}"/>
    <cellStyle name="Percent 2 5 3 6 2" xfId="16159" xr:uid="{00000000-0005-0000-0000-00004C7D0000}"/>
    <cellStyle name="Percent 2 5 3 6 2 2" xfId="29566" xr:uid="{00000000-0005-0000-0000-00004D7D0000}"/>
    <cellStyle name="Percent 2 5 3 6 3" xfId="32613" xr:uid="{00000000-0005-0000-0000-00004E7D0000}"/>
    <cellStyle name="Percent 2 5 3 7" xfId="10383" xr:uid="{00000000-0005-0000-0000-00004F7D0000}"/>
    <cellStyle name="Percent 2 5 3 8" xfId="32604" xr:uid="{00000000-0005-0000-0000-0000507D0000}"/>
    <cellStyle name="Percent 2 5 4" xfId="8355" xr:uid="{00000000-0005-0000-0000-0000517D0000}"/>
    <cellStyle name="Percent 2 5 4 2" xfId="8356" xr:uid="{00000000-0005-0000-0000-0000527D0000}"/>
    <cellStyle name="Percent 2 5 4 2 2" xfId="16448" xr:uid="{00000000-0005-0000-0000-0000537D0000}"/>
    <cellStyle name="Percent 2 5 4 2 2 2" xfId="29855" xr:uid="{00000000-0005-0000-0000-0000547D0000}"/>
    <cellStyle name="Percent 2 5 4 2 3" xfId="32615" xr:uid="{00000000-0005-0000-0000-0000557D0000}"/>
    <cellStyle name="Percent 2 5 4 3" xfId="10385" xr:uid="{00000000-0005-0000-0000-0000567D0000}"/>
    <cellStyle name="Percent 2 5 4 4" xfId="32614" xr:uid="{00000000-0005-0000-0000-0000577D0000}"/>
    <cellStyle name="Percent 2 5 5" xfId="8357" xr:uid="{00000000-0005-0000-0000-0000587D0000}"/>
    <cellStyle name="Percent 2 5 5 2" xfId="8358" xr:uid="{00000000-0005-0000-0000-0000597D0000}"/>
    <cellStyle name="Percent 2 5 5 2 2" xfId="11671" xr:uid="{00000000-0005-0000-0000-00005A7D0000}"/>
    <cellStyle name="Percent 2 5 5 2 3" xfId="32617" xr:uid="{00000000-0005-0000-0000-00005B7D0000}"/>
    <cellStyle name="Percent 2 5 5 3" xfId="10386" xr:uid="{00000000-0005-0000-0000-00005C7D0000}"/>
    <cellStyle name="Percent 2 5 5 4" xfId="32616" xr:uid="{00000000-0005-0000-0000-00005D7D0000}"/>
    <cellStyle name="Percent 2 5 6" xfId="8359" xr:uid="{00000000-0005-0000-0000-00005E7D0000}"/>
    <cellStyle name="Percent 2 5 6 2" xfId="8360" xr:uid="{00000000-0005-0000-0000-00005F7D0000}"/>
    <cellStyle name="Percent 2 5 6 2 2" xfId="13344" xr:uid="{00000000-0005-0000-0000-0000607D0000}"/>
    <cellStyle name="Percent 2 5 6 2 3" xfId="32619" xr:uid="{00000000-0005-0000-0000-0000617D0000}"/>
    <cellStyle name="Percent 2 5 6 3" xfId="11799" xr:uid="{00000000-0005-0000-0000-0000627D0000}"/>
    <cellStyle name="Percent 2 5 6 3 2" xfId="25514" xr:uid="{00000000-0005-0000-0000-0000637D0000}"/>
    <cellStyle name="Percent 2 5 6 4" xfId="32618" xr:uid="{00000000-0005-0000-0000-0000647D0000}"/>
    <cellStyle name="Percent 2 5 7" xfId="8361" xr:uid="{00000000-0005-0000-0000-0000657D0000}"/>
    <cellStyle name="Percent 2 5 7 2" xfId="8362" xr:uid="{00000000-0005-0000-0000-0000667D0000}"/>
    <cellStyle name="Percent 2 5 7 2 2" xfId="15774" xr:uid="{00000000-0005-0000-0000-0000677D0000}"/>
    <cellStyle name="Percent 2 5 7 2 3" xfId="32621" xr:uid="{00000000-0005-0000-0000-0000687D0000}"/>
    <cellStyle name="Percent 2 5 7 3" xfId="13400" xr:uid="{00000000-0005-0000-0000-0000697D0000}"/>
    <cellStyle name="Percent 2 5 7 3 2" xfId="26949" xr:uid="{00000000-0005-0000-0000-00006A7D0000}"/>
    <cellStyle name="Percent 2 5 7 4" xfId="32620" xr:uid="{00000000-0005-0000-0000-00006B7D0000}"/>
    <cellStyle name="Percent 2 5 8" xfId="8363" xr:uid="{00000000-0005-0000-0000-00006C7D0000}"/>
    <cellStyle name="Percent 2 5 8 2" xfId="13981" xr:uid="{00000000-0005-0000-0000-00006D7D0000}"/>
    <cellStyle name="Percent 2 5 8 2 2" xfId="27530" xr:uid="{00000000-0005-0000-0000-00006E7D0000}"/>
    <cellStyle name="Percent 2 5 8 3" xfId="32622" xr:uid="{00000000-0005-0000-0000-00006F7D0000}"/>
    <cellStyle name="Percent 2 5 9" xfId="8364" xr:uid="{00000000-0005-0000-0000-0000707D0000}"/>
    <cellStyle name="Percent 2 5 9 2" xfId="15867" xr:uid="{00000000-0005-0000-0000-0000717D0000}"/>
    <cellStyle name="Percent 2 5 9 2 2" xfId="29274" xr:uid="{00000000-0005-0000-0000-0000727D0000}"/>
    <cellStyle name="Percent 2 5 9 3" xfId="32623" xr:uid="{00000000-0005-0000-0000-0000737D0000}"/>
    <cellStyle name="Percent 2 6" xfId="8365" xr:uid="{00000000-0005-0000-0000-0000747D0000}"/>
    <cellStyle name="Percent 2 6 10" xfId="10387" xr:uid="{00000000-0005-0000-0000-0000757D0000}"/>
    <cellStyle name="Percent 2 6 11" xfId="32624" xr:uid="{00000000-0005-0000-0000-0000767D0000}"/>
    <cellStyle name="Percent 2 6 2" xfId="8366" xr:uid="{00000000-0005-0000-0000-0000777D0000}"/>
    <cellStyle name="Percent 2 6 2 2" xfId="8367" xr:uid="{00000000-0005-0000-0000-0000787D0000}"/>
    <cellStyle name="Percent 2 6 2 2 2" xfId="8368" xr:uid="{00000000-0005-0000-0000-0000797D0000}"/>
    <cellStyle name="Percent 2 6 2 2 2 2" xfId="8369" xr:uid="{00000000-0005-0000-0000-00007A7D0000}"/>
    <cellStyle name="Percent 2 6 2 2 2 2 2" xfId="11672" xr:uid="{00000000-0005-0000-0000-00007B7D0000}"/>
    <cellStyle name="Percent 2 6 2 2 2 2 3" xfId="32628" xr:uid="{00000000-0005-0000-0000-00007C7D0000}"/>
    <cellStyle name="Percent 2 6 2 2 2 3" xfId="8370" xr:uid="{00000000-0005-0000-0000-00007D7D0000}"/>
    <cellStyle name="Percent 2 6 2 2 2 3 2" xfId="16986" xr:uid="{00000000-0005-0000-0000-00007E7D0000}"/>
    <cellStyle name="Percent 2 6 2 2 2 3 2 2" xfId="30393" xr:uid="{00000000-0005-0000-0000-00007F7D0000}"/>
    <cellStyle name="Percent 2 6 2 2 2 3 3" xfId="32629" xr:uid="{00000000-0005-0000-0000-0000807D0000}"/>
    <cellStyle name="Percent 2 6 2 2 2 4" xfId="10390" xr:uid="{00000000-0005-0000-0000-0000817D0000}"/>
    <cellStyle name="Percent 2 6 2 2 2 5" xfId="32627" xr:uid="{00000000-0005-0000-0000-0000827D0000}"/>
    <cellStyle name="Percent 2 6 2 2 3" xfId="8371" xr:uid="{00000000-0005-0000-0000-0000837D0000}"/>
    <cellStyle name="Percent 2 6 2 2 3 2" xfId="8372" xr:uid="{00000000-0005-0000-0000-0000847D0000}"/>
    <cellStyle name="Percent 2 6 2 2 3 2 2" xfId="13345" xr:uid="{00000000-0005-0000-0000-0000857D0000}"/>
    <cellStyle name="Percent 2 6 2 2 3 2 3" xfId="32631" xr:uid="{00000000-0005-0000-0000-0000867D0000}"/>
    <cellStyle name="Percent 2 6 2 2 3 3" xfId="12374" xr:uid="{00000000-0005-0000-0000-0000877D0000}"/>
    <cellStyle name="Percent 2 6 2 2 3 3 2" xfId="26086" xr:uid="{00000000-0005-0000-0000-0000887D0000}"/>
    <cellStyle name="Percent 2 6 2 2 3 4" xfId="32630" xr:uid="{00000000-0005-0000-0000-0000897D0000}"/>
    <cellStyle name="Percent 2 6 2 2 4" xfId="8373" xr:uid="{00000000-0005-0000-0000-00008A7D0000}"/>
    <cellStyle name="Percent 2 6 2 2 4 2" xfId="8374" xr:uid="{00000000-0005-0000-0000-00008B7D0000}"/>
    <cellStyle name="Percent 2 6 2 2 4 2 2" xfId="15775" xr:uid="{00000000-0005-0000-0000-00008C7D0000}"/>
    <cellStyle name="Percent 2 6 2 2 4 2 3" xfId="32633" xr:uid="{00000000-0005-0000-0000-00008D7D0000}"/>
    <cellStyle name="Percent 2 6 2 2 4 3" xfId="13938" xr:uid="{00000000-0005-0000-0000-00008E7D0000}"/>
    <cellStyle name="Percent 2 6 2 2 4 3 2" xfId="27487" xr:uid="{00000000-0005-0000-0000-00008F7D0000}"/>
    <cellStyle name="Percent 2 6 2 2 4 4" xfId="32632" xr:uid="{00000000-0005-0000-0000-0000907D0000}"/>
    <cellStyle name="Percent 2 6 2 2 5" xfId="8375" xr:uid="{00000000-0005-0000-0000-0000917D0000}"/>
    <cellStyle name="Percent 2 6 2 2 5 2" xfId="14519" xr:uid="{00000000-0005-0000-0000-0000927D0000}"/>
    <cellStyle name="Percent 2 6 2 2 5 2 2" xfId="28068" xr:uid="{00000000-0005-0000-0000-0000937D0000}"/>
    <cellStyle name="Percent 2 6 2 2 5 3" xfId="32634" xr:uid="{00000000-0005-0000-0000-0000947D0000}"/>
    <cellStyle name="Percent 2 6 2 2 6" xfId="8376" xr:uid="{00000000-0005-0000-0000-0000957D0000}"/>
    <cellStyle name="Percent 2 6 2 2 6 2" xfId="16405" xr:uid="{00000000-0005-0000-0000-0000967D0000}"/>
    <cellStyle name="Percent 2 6 2 2 6 2 2" xfId="29812" xr:uid="{00000000-0005-0000-0000-0000977D0000}"/>
    <cellStyle name="Percent 2 6 2 2 6 3" xfId="32635" xr:uid="{00000000-0005-0000-0000-0000987D0000}"/>
    <cellStyle name="Percent 2 6 2 2 7" xfId="10389" xr:uid="{00000000-0005-0000-0000-0000997D0000}"/>
    <cellStyle name="Percent 2 6 2 2 8" xfId="32626" xr:uid="{00000000-0005-0000-0000-00009A7D0000}"/>
    <cellStyle name="Percent 2 6 2 3" xfId="8377" xr:uid="{00000000-0005-0000-0000-00009B7D0000}"/>
    <cellStyle name="Percent 2 6 2 3 2" xfId="8378" xr:uid="{00000000-0005-0000-0000-00009C7D0000}"/>
    <cellStyle name="Percent 2 6 2 3 2 2" xfId="11673" xr:uid="{00000000-0005-0000-0000-00009D7D0000}"/>
    <cellStyle name="Percent 2 6 2 3 2 3" xfId="32637" xr:uid="{00000000-0005-0000-0000-00009E7D0000}"/>
    <cellStyle name="Percent 2 6 2 3 3" xfId="8379" xr:uid="{00000000-0005-0000-0000-00009F7D0000}"/>
    <cellStyle name="Percent 2 6 2 3 3 2" xfId="16697" xr:uid="{00000000-0005-0000-0000-0000A07D0000}"/>
    <cellStyle name="Percent 2 6 2 3 3 2 2" xfId="30104" xr:uid="{00000000-0005-0000-0000-0000A17D0000}"/>
    <cellStyle name="Percent 2 6 2 3 3 3" xfId="32638" xr:uid="{00000000-0005-0000-0000-0000A27D0000}"/>
    <cellStyle name="Percent 2 6 2 3 4" xfId="10391" xr:uid="{00000000-0005-0000-0000-0000A37D0000}"/>
    <cellStyle name="Percent 2 6 2 3 5" xfId="32636" xr:uid="{00000000-0005-0000-0000-0000A47D0000}"/>
    <cellStyle name="Percent 2 6 2 4" xfId="8380" xr:uid="{00000000-0005-0000-0000-0000A57D0000}"/>
    <cellStyle name="Percent 2 6 2 4 2" xfId="8381" xr:uid="{00000000-0005-0000-0000-0000A67D0000}"/>
    <cellStyle name="Percent 2 6 2 4 2 2" xfId="13346" xr:uid="{00000000-0005-0000-0000-0000A77D0000}"/>
    <cellStyle name="Percent 2 6 2 4 2 3" xfId="32640" xr:uid="{00000000-0005-0000-0000-0000A87D0000}"/>
    <cellStyle name="Percent 2 6 2 4 3" xfId="12074" xr:uid="{00000000-0005-0000-0000-0000A97D0000}"/>
    <cellStyle name="Percent 2 6 2 4 3 2" xfId="25789" xr:uid="{00000000-0005-0000-0000-0000AA7D0000}"/>
    <cellStyle name="Percent 2 6 2 4 4" xfId="32639" xr:uid="{00000000-0005-0000-0000-0000AB7D0000}"/>
    <cellStyle name="Percent 2 6 2 5" xfId="8382" xr:uid="{00000000-0005-0000-0000-0000AC7D0000}"/>
    <cellStyle name="Percent 2 6 2 5 2" xfId="8383" xr:uid="{00000000-0005-0000-0000-0000AD7D0000}"/>
    <cellStyle name="Percent 2 6 2 5 2 2" xfId="15776" xr:uid="{00000000-0005-0000-0000-0000AE7D0000}"/>
    <cellStyle name="Percent 2 6 2 5 2 3" xfId="32642" xr:uid="{00000000-0005-0000-0000-0000AF7D0000}"/>
    <cellStyle name="Percent 2 6 2 5 3" xfId="13649" xr:uid="{00000000-0005-0000-0000-0000B07D0000}"/>
    <cellStyle name="Percent 2 6 2 5 3 2" xfId="27198" xr:uid="{00000000-0005-0000-0000-0000B17D0000}"/>
    <cellStyle name="Percent 2 6 2 5 4" xfId="32641" xr:uid="{00000000-0005-0000-0000-0000B27D0000}"/>
    <cellStyle name="Percent 2 6 2 6" xfId="8384" xr:uid="{00000000-0005-0000-0000-0000B37D0000}"/>
    <cellStyle name="Percent 2 6 2 6 2" xfId="14230" xr:uid="{00000000-0005-0000-0000-0000B47D0000}"/>
    <cellStyle name="Percent 2 6 2 6 2 2" xfId="27779" xr:uid="{00000000-0005-0000-0000-0000B57D0000}"/>
    <cellStyle name="Percent 2 6 2 6 3" xfId="32643" xr:uid="{00000000-0005-0000-0000-0000B67D0000}"/>
    <cellStyle name="Percent 2 6 2 7" xfId="8385" xr:uid="{00000000-0005-0000-0000-0000B77D0000}"/>
    <cellStyle name="Percent 2 6 2 7 2" xfId="16116" xr:uid="{00000000-0005-0000-0000-0000B87D0000}"/>
    <cellStyle name="Percent 2 6 2 7 2 2" xfId="29523" xr:uid="{00000000-0005-0000-0000-0000B97D0000}"/>
    <cellStyle name="Percent 2 6 2 7 3" xfId="32644" xr:uid="{00000000-0005-0000-0000-0000BA7D0000}"/>
    <cellStyle name="Percent 2 6 2 8" xfId="10388" xr:uid="{00000000-0005-0000-0000-0000BB7D0000}"/>
    <cellStyle name="Percent 2 6 2 9" xfId="32625" xr:uid="{00000000-0005-0000-0000-0000BC7D0000}"/>
    <cellStyle name="Percent 2 6 3" xfId="8386" xr:uid="{00000000-0005-0000-0000-0000BD7D0000}"/>
    <cellStyle name="Percent 2 6 3 2" xfId="8387" xr:uid="{00000000-0005-0000-0000-0000BE7D0000}"/>
    <cellStyle name="Percent 2 6 3 2 2" xfId="8388" xr:uid="{00000000-0005-0000-0000-0000BF7D0000}"/>
    <cellStyle name="Percent 2 6 3 2 2 2" xfId="11674" xr:uid="{00000000-0005-0000-0000-0000C07D0000}"/>
    <cellStyle name="Percent 2 6 3 2 2 3" xfId="32647" xr:uid="{00000000-0005-0000-0000-0000C17D0000}"/>
    <cellStyle name="Percent 2 6 3 2 3" xfId="8389" xr:uid="{00000000-0005-0000-0000-0000C27D0000}"/>
    <cellStyle name="Percent 2 6 3 2 3 2" xfId="16843" xr:uid="{00000000-0005-0000-0000-0000C37D0000}"/>
    <cellStyle name="Percent 2 6 3 2 3 2 2" xfId="30250" xr:uid="{00000000-0005-0000-0000-0000C47D0000}"/>
    <cellStyle name="Percent 2 6 3 2 3 3" xfId="32648" xr:uid="{00000000-0005-0000-0000-0000C57D0000}"/>
    <cellStyle name="Percent 2 6 3 2 4" xfId="10393" xr:uid="{00000000-0005-0000-0000-0000C67D0000}"/>
    <cellStyle name="Percent 2 6 3 2 5" xfId="32646" xr:uid="{00000000-0005-0000-0000-0000C77D0000}"/>
    <cellStyle name="Percent 2 6 3 3" xfId="8390" xr:uid="{00000000-0005-0000-0000-0000C87D0000}"/>
    <cellStyle name="Percent 2 6 3 3 2" xfId="8391" xr:uid="{00000000-0005-0000-0000-0000C97D0000}"/>
    <cellStyle name="Percent 2 6 3 3 2 2" xfId="13347" xr:uid="{00000000-0005-0000-0000-0000CA7D0000}"/>
    <cellStyle name="Percent 2 6 3 3 2 3" xfId="32650" xr:uid="{00000000-0005-0000-0000-0000CB7D0000}"/>
    <cellStyle name="Percent 2 6 3 3 3" xfId="12231" xr:uid="{00000000-0005-0000-0000-0000CC7D0000}"/>
    <cellStyle name="Percent 2 6 3 3 3 2" xfId="25943" xr:uid="{00000000-0005-0000-0000-0000CD7D0000}"/>
    <cellStyle name="Percent 2 6 3 3 4" xfId="32649" xr:uid="{00000000-0005-0000-0000-0000CE7D0000}"/>
    <cellStyle name="Percent 2 6 3 4" xfId="8392" xr:uid="{00000000-0005-0000-0000-0000CF7D0000}"/>
    <cellStyle name="Percent 2 6 3 4 2" xfId="8393" xr:uid="{00000000-0005-0000-0000-0000D07D0000}"/>
    <cellStyle name="Percent 2 6 3 4 2 2" xfId="15777" xr:uid="{00000000-0005-0000-0000-0000D17D0000}"/>
    <cellStyle name="Percent 2 6 3 4 2 3" xfId="32652" xr:uid="{00000000-0005-0000-0000-0000D27D0000}"/>
    <cellStyle name="Percent 2 6 3 4 3" xfId="13795" xr:uid="{00000000-0005-0000-0000-0000D37D0000}"/>
    <cellStyle name="Percent 2 6 3 4 3 2" xfId="27344" xr:uid="{00000000-0005-0000-0000-0000D47D0000}"/>
    <cellStyle name="Percent 2 6 3 4 4" xfId="32651" xr:uid="{00000000-0005-0000-0000-0000D57D0000}"/>
    <cellStyle name="Percent 2 6 3 5" xfId="8394" xr:uid="{00000000-0005-0000-0000-0000D67D0000}"/>
    <cellStyle name="Percent 2 6 3 5 2" xfId="14376" xr:uid="{00000000-0005-0000-0000-0000D77D0000}"/>
    <cellStyle name="Percent 2 6 3 5 2 2" xfId="27925" xr:uid="{00000000-0005-0000-0000-0000D87D0000}"/>
    <cellStyle name="Percent 2 6 3 5 3" xfId="32653" xr:uid="{00000000-0005-0000-0000-0000D97D0000}"/>
    <cellStyle name="Percent 2 6 3 6" xfId="8395" xr:uid="{00000000-0005-0000-0000-0000DA7D0000}"/>
    <cellStyle name="Percent 2 6 3 6 2" xfId="16262" xr:uid="{00000000-0005-0000-0000-0000DB7D0000}"/>
    <cellStyle name="Percent 2 6 3 6 2 2" xfId="29669" xr:uid="{00000000-0005-0000-0000-0000DC7D0000}"/>
    <cellStyle name="Percent 2 6 3 6 3" xfId="32654" xr:uid="{00000000-0005-0000-0000-0000DD7D0000}"/>
    <cellStyle name="Percent 2 6 3 7" xfId="10392" xr:uid="{00000000-0005-0000-0000-0000DE7D0000}"/>
    <cellStyle name="Percent 2 6 3 8" xfId="32645" xr:uid="{00000000-0005-0000-0000-0000DF7D0000}"/>
    <cellStyle name="Percent 2 6 4" xfId="8396" xr:uid="{00000000-0005-0000-0000-0000E07D0000}"/>
    <cellStyle name="Percent 2 6 4 2" xfId="8397" xr:uid="{00000000-0005-0000-0000-0000E17D0000}"/>
    <cellStyle name="Percent 2 6 4 2 2" xfId="16554" xr:uid="{00000000-0005-0000-0000-0000E27D0000}"/>
    <cellStyle name="Percent 2 6 4 2 2 2" xfId="29961" xr:uid="{00000000-0005-0000-0000-0000E37D0000}"/>
    <cellStyle name="Percent 2 6 4 2 3" xfId="32656" xr:uid="{00000000-0005-0000-0000-0000E47D0000}"/>
    <cellStyle name="Percent 2 6 4 3" xfId="10394" xr:uid="{00000000-0005-0000-0000-0000E57D0000}"/>
    <cellStyle name="Percent 2 6 4 4" xfId="32655" xr:uid="{00000000-0005-0000-0000-0000E67D0000}"/>
    <cellStyle name="Percent 2 6 5" xfId="8398" xr:uid="{00000000-0005-0000-0000-0000E77D0000}"/>
    <cellStyle name="Percent 2 6 5 2" xfId="8399" xr:uid="{00000000-0005-0000-0000-0000E87D0000}"/>
    <cellStyle name="Percent 2 6 5 2 2" xfId="11675" xr:uid="{00000000-0005-0000-0000-0000E97D0000}"/>
    <cellStyle name="Percent 2 6 5 2 3" xfId="32658" xr:uid="{00000000-0005-0000-0000-0000EA7D0000}"/>
    <cellStyle name="Percent 2 6 5 3" xfId="10395" xr:uid="{00000000-0005-0000-0000-0000EB7D0000}"/>
    <cellStyle name="Percent 2 6 5 4" xfId="32657" xr:uid="{00000000-0005-0000-0000-0000EC7D0000}"/>
    <cellStyle name="Percent 2 6 6" xfId="8400" xr:uid="{00000000-0005-0000-0000-0000ED7D0000}"/>
    <cellStyle name="Percent 2 6 6 2" xfId="8401" xr:uid="{00000000-0005-0000-0000-0000EE7D0000}"/>
    <cellStyle name="Percent 2 6 6 2 2" xfId="13348" xr:uid="{00000000-0005-0000-0000-0000EF7D0000}"/>
    <cellStyle name="Percent 2 6 6 2 3" xfId="32660" xr:uid="{00000000-0005-0000-0000-0000F07D0000}"/>
    <cellStyle name="Percent 2 6 6 3" xfId="11929" xr:uid="{00000000-0005-0000-0000-0000F17D0000}"/>
    <cellStyle name="Percent 2 6 6 3 2" xfId="25644" xr:uid="{00000000-0005-0000-0000-0000F27D0000}"/>
    <cellStyle name="Percent 2 6 6 4" xfId="32659" xr:uid="{00000000-0005-0000-0000-0000F37D0000}"/>
    <cellStyle name="Percent 2 6 7" xfId="8402" xr:uid="{00000000-0005-0000-0000-0000F47D0000}"/>
    <cellStyle name="Percent 2 6 7 2" xfId="8403" xr:uid="{00000000-0005-0000-0000-0000F57D0000}"/>
    <cellStyle name="Percent 2 6 7 2 2" xfId="15778" xr:uid="{00000000-0005-0000-0000-0000F67D0000}"/>
    <cellStyle name="Percent 2 6 7 2 3" xfId="32662" xr:uid="{00000000-0005-0000-0000-0000F77D0000}"/>
    <cellStyle name="Percent 2 6 7 3" xfId="13506" xr:uid="{00000000-0005-0000-0000-0000F87D0000}"/>
    <cellStyle name="Percent 2 6 7 3 2" xfId="27055" xr:uid="{00000000-0005-0000-0000-0000F97D0000}"/>
    <cellStyle name="Percent 2 6 7 4" xfId="32661" xr:uid="{00000000-0005-0000-0000-0000FA7D0000}"/>
    <cellStyle name="Percent 2 6 8" xfId="8404" xr:uid="{00000000-0005-0000-0000-0000FB7D0000}"/>
    <cellStyle name="Percent 2 6 8 2" xfId="14087" xr:uid="{00000000-0005-0000-0000-0000FC7D0000}"/>
    <cellStyle name="Percent 2 6 8 2 2" xfId="27636" xr:uid="{00000000-0005-0000-0000-0000FD7D0000}"/>
    <cellStyle name="Percent 2 6 8 3" xfId="32663" xr:uid="{00000000-0005-0000-0000-0000FE7D0000}"/>
    <cellStyle name="Percent 2 6 9" xfId="8405" xr:uid="{00000000-0005-0000-0000-0000FF7D0000}"/>
    <cellStyle name="Percent 2 6 9 2" xfId="15973" xr:uid="{00000000-0005-0000-0000-0000007E0000}"/>
    <cellStyle name="Percent 2 6 9 2 2" xfId="29380" xr:uid="{00000000-0005-0000-0000-0000017E0000}"/>
    <cellStyle name="Percent 2 6 9 3" xfId="32664" xr:uid="{00000000-0005-0000-0000-0000027E0000}"/>
    <cellStyle name="Percent 2 7" xfId="8406" xr:uid="{00000000-0005-0000-0000-0000037E0000}"/>
    <cellStyle name="Percent 2 7 2" xfId="8407" xr:uid="{00000000-0005-0000-0000-0000047E0000}"/>
    <cellStyle name="Percent 2 7 2 2" xfId="8408" xr:uid="{00000000-0005-0000-0000-0000057E0000}"/>
    <cellStyle name="Percent 2 7 2 2 2" xfId="8409" xr:uid="{00000000-0005-0000-0000-0000067E0000}"/>
    <cellStyle name="Percent 2 7 2 2 2 2" xfId="11676" xr:uid="{00000000-0005-0000-0000-0000077E0000}"/>
    <cellStyle name="Percent 2 7 2 2 2 3" xfId="32668" xr:uid="{00000000-0005-0000-0000-0000087E0000}"/>
    <cellStyle name="Percent 2 7 2 2 3" xfId="8410" xr:uid="{00000000-0005-0000-0000-0000097E0000}"/>
    <cellStyle name="Percent 2 7 2 2 3 2" xfId="16863" xr:uid="{00000000-0005-0000-0000-00000A7E0000}"/>
    <cellStyle name="Percent 2 7 2 2 3 2 2" xfId="30270" xr:uid="{00000000-0005-0000-0000-00000B7E0000}"/>
    <cellStyle name="Percent 2 7 2 2 3 3" xfId="32669" xr:uid="{00000000-0005-0000-0000-00000C7E0000}"/>
    <cellStyle name="Percent 2 7 2 2 4" xfId="10398" xr:uid="{00000000-0005-0000-0000-00000D7E0000}"/>
    <cellStyle name="Percent 2 7 2 2 5" xfId="32667" xr:uid="{00000000-0005-0000-0000-00000E7E0000}"/>
    <cellStyle name="Percent 2 7 2 3" xfId="8411" xr:uid="{00000000-0005-0000-0000-00000F7E0000}"/>
    <cellStyle name="Percent 2 7 2 3 2" xfId="8412" xr:uid="{00000000-0005-0000-0000-0000107E0000}"/>
    <cellStyle name="Percent 2 7 2 3 2 2" xfId="13349" xr:uid="{00000000-0005-0000-0000-0000117E0000}"/>
    <cellStyle name="Percent 2 7 2 3 2 3" xfId="32671" xr:uid="{00000000-0005-0000-0000-0000127E0000}"/>
    <cellStyle name="Percent 2 7 2 3 3" xfId="12251" xr:uid="{00000000-0005-0000-0000-0000137E0000}"/>
    <cellStyle name="Percent 2 7 2 3 3 2" xfId="25963" xr:uid="{00000000-0005-0000-0000-0000147E0000}"/>
    <cellStyle name="Percent 2 7 2 3 4" xfId="32670" xr:uid="{00000000-0005-0000-0000-0000157E0000}"/>
    <cellStyle name="Percent 2 7 2 4" xfId="8413" xr:uid="{00000000-0005-0000-0000-0000167E0000}"/>
    <cellStyle name="Percent 2 7 2 4 2" xfId="8414" xr:uid="{00000000-0005-0000-0000-0000177E0000}"/>
    <cellStyle name="Percent 2 7 2 4 2 2" xfId="15779" xr:uid="{00000000-0005-0000-0000-0000187E0000}"/>
    <cellStyle name="Percent 2 7 2 4 2 3" xfId="32673" xr:uid="{00000000-0005-0000-0000-0000197E0000}"/>
    <cellStyle name="Percent 2 7 2 4 3" xfId="13815" xr:uid="{00000000-0005-0000-0000-00001A7E0000}"/>
    <cellStyle name="Percent 2 7 2 4 3 2" xfId="27364" xr:uid="{00000000-0005-0000-0000-00001B7E0000}"/>
    <cellStyle name="Percent 2 7 2 4 4" xfId="32672" xr:uid="{00000000-0005-0000-0000-00001C7E0000}"/>
    <cellStyle name="Percent 2 7 2 5" xfId="8415" xr:uid="{00000000-0005-0000-0000-00001D7E0000}"/>
    <cellStyle name="Percent 2 7 2 5 2" xfId="14396" xr:uid="{00000000-0005-0000-0000-00001E7E0000}"/>
    <cellStyle name="Percent 2 7 2 5 2 2" xfId="27945" xr:uid="{00000000-0005-0000-0000-00001F7E0000}"/>
    <cellStyle name="Percent 2 7 2 5 3" xfId="32674" xr:uid="{00000000-0005-0000-0000-0000207E0000}"/>
    <cellStyle name="Percent 2 7 2 6" xfId="8416" xr:uid="{00000000-0005-0000-0000-0000217E0000}"/>
    <cellStyle name="Percent 2 7 2 6 2" xfId="16282" xr:uid="{00000000-0005-0000-0000-0000227E0000}"/>
    <cellStyle name="Percent 2 7 2 6 2 2" xfId="29689" xr:uid="{00000000-0005-0000-0000-0000237E0000}"/>
    <cellStyle name="Percent 2 7 2 6 3" xfId="32675" xr:uid="{00000000-0005-0000-0000-0000247E0000}"/>
    <cellStyle name="Percent 2 7 2 7" xfId="10397" xr:uid="{00000000-0005-0000-0000-0000257E0000}"/>
    <cellStyle name="Percent 2 7 2 8" xfId="32666" xr:uid="{00000000-0005-0000-0000-0000267E0000}"/>
    <cellStyle name="Percent 2 7 3" xfId="8417" xr:uid="{00000000-0005-0000-0000-0000277E0000}"/>
    <cellStyle name="Percent 2 7 3 2" xfId="8418" xr:uid="{00000000-0005-0000-0000-0000287E0000}"/>
    <cellStyle name="Percent 2 7 3 2 2" xfId="11677" xr:uid="{00000000-0005-0000-0000-0000297E0000}"/>
    <cellStyle name="Percent 2 7 3 2 3" xfId="32677" xr:uid="{00000000-0005-0000-0000-00002A7E0000}"/>
    <cellStyle name="Percent 2 7 3 3" xfId="8419" xr:uid="{00000000-0005-0000-0000-00002B7E0000}"/>
    <cellStyle name="Percent 2 7 3 3 2" xfId="16574" xr:uid="{00000000-0005-0000-0000-00002C7E0000}"/>
    <cellStyle name="Percent 2 7 3 3 2 2" xfId="29981" xr:uid="{00000000-0005-0000-0000-00002D7E0000}"/>
    <cellStyle name="Percent 2 7 3 3 3" xfId="32678" xr:uid="{00000000-0005-0000-0000-00002E7E0000}"/>
    <cellStyle name="Percent 2 7 3 4" xfId="10399" xr:uid="{00000000-0005-0000-0000-00002F7E0000}"/>
    <cellStyle name="Percent 2 7 3 5" xfId="32676" xr:uid="{00000000-0005-0000-0000-0000307E0000}"/>
    <cellStyle name="Percent 2 7 4" xfId="8420" xr:uid="{00000000-0005-0000-0000-0000317E0000}"/>
    <cellStyle name="Percent 2 7 4 2" xfId="8421" xr:uid="{00000000-0005-0000-0000-0000327E0000}"/>
    <cellStyle name="Percent 2 7 4 2 2" xfId="13350" xr:uid="{00000000-0005-0000-0000-0000337E0000}"/>
    <cellStyle name="Percent 2 7 4 2 3" xfId="32680" xr:uid="{00000000-0005-0000-0000-0000347E0000}"/>
    <cellStyle name="Percent 2 7 4 3" xfId="11951" xr:uid="{00000000-0005-0000-0000-0000357E0000}"/>
    <cellStyle name="Percent 2 7 4 3 2" xfId="25666" xr:uid="{00000000-0005-0000-0000-0000367E0000}"/>
    <cellStyle name="Percent 2 7 4 4" xfId="32679" xr:uid="{00000000-0005-0000-0000-0000377E0000}"/>
    <cellStyle name="Percent 2 7 5" xfId="8422" xr:uid="{00000000-0005-0000-0000-0000387E0000}"/>
    <cellStyle name="Percent 2 7 5 2" xfId="8423" xr:uid="{00000000-0005-0000-0000-0000397E0000}"/>
    <cellStyle name="Percent 2 7 5 2 2" xfId="15780" xr:uid="{00000000-0005-0000-0000-00003A7E0000}"/>
    <cellStyle name="Percent 2 7 5 2 3" xfId="32682" xr:uid="{00000000-0005-0000-0000-00003B7E0000}"/>
    <cellStyle name="Percent 2 7 5 3" xfId="13526" xr:uid="{00000000-0005-0000-0000-00003C7E0000}"/>
    <cellStyle name="Percent 2 7 5 3 2" xfId="27075" xr:uid="{00000000-0005-0000-0000-00003D7E0000}"/>
    <cellStyle name="Percent 2 7 5 4" xfId="32681" xr:uid="{00000000-0005-0000-0000-00003E7E0000}"/>
    <cellStyle name="Percent 2 7 6" xfId="8424" xr:uid="{00000000-0005-0000-0000-00003F7E0000}"/>
    <cellStyle name="Percent 2 7 6 2" xfId="14107" xr:uid="{00000000-0005-0000-0000-0000407E0000}"/>
    <cellStyle name="Percent 2 7 6 2 2" xfId="27656" xr:uid="{00000000-0005-0000-0000-0000417E0000}"/>
    <cellStyle name="Percent 2 7 6 3" xfId="32683" xr:uid="{00000000-0005-0000-0000-0000427E0000}"/>
    <cellStyle name="Percent 2 7 7" xfId="8425" xr:uid="{00000000-0005-0000-0000-0000437E0000}"/>
    <cellStyle name="Percent 2 7 7 2" xfId="15993" xr:uid="{00000000-0005-0000-0000-0000447E0000}"/>
    <cellStyle name="Percent 2 7 7 2 2" xfId="29400" xr:uid="{00000000-0005-0000-0000-0000457E0000}"/>
    <cellStyle name="Percent 2 7 7 3" xfId="32684" xr:uid="{00000000-0005-0000-0000-0000467E0000}"/>
    <cellStyle name="Percent 2 7 8" xfId="10396" xr:uid="{00000000-0005-0000-0000-0000477E0000}"/>
    <cellStyle name="Percent 2 7 9" xfId="32665" xr:uid="{00000000-0005-0000-0000-0000487E0000}"/>
    <cellStyle name="Percent 2 8" xfId="8426" xr:uid="{00000000-0005-0000-0000-0000497E0000}"/>
    <cellStyle name="Percent 2 8 2" xfId="8427" xr:uid="{00000000-0005-0000-0000-00004A7E0000}"/>
    <cellStyle name="Percent 2 8 2 2" xfId="8428" xr:uid="{00000000-0005-0000-0000-00004B7E0000}"/>
    <cellStyle name="Percent 2 8 2 2 2" xfId="11678" xr:uid="{00000000-0005-0000-0000-00004C7E0000}"/>
    <cellStyle name="Percent 2 8 2 2 3" xfId="32687" xr:uid="{00000000-0005-0000-0000-00004D7E0000}"/>
    <cellStyle name="Percent 2 8 2 3" xfId="8429" xr:uid="{00000000-0005-0000-0000-00004E7E0000}"/>
    <cellStyle name="Percent 2 8 2 3 2" xfId="16720" xr:uid="{00000000-0005-0000-0000-00004F7E0000}"/>
    <cellStyle name="Percent 2 8 2 3 2 2" xfId="30127" xr:uid="{00000000-0005-0000-0000-0000507E0000}"/>
    <cellStyle name="Percent 2 8 2 3 3" xfId="32688" xr:uid="{00000000-0005-0000-0000-0000517E0000}"/>
    <cellStyle name="Percent 2 8 2 4" xfId="10401" xr:uid="{00000000-0005-0000-0000-0000527E0000}"/>
    <cellStyle name="Percent 2 8 2 5" xfId="32686" xr:uid="{00000000-0005-0000-0000-0000537E0000}"/>
    <cellStyle name="Percent 2 8 3" xfId="8430" xr:uid="{00000000-0005-0000-0000-0000547E0000}"/>
    <cellStyle name="Percent 2 8 3 2" xfId="8431" xr:uid="{00000000-0005-0000-0000-0000557E0000}"/>
    <cellStyle name="Percent 2 8 3 2 2" xfId="13351" xr:uid="{00000000-0005-0000-0000-0000567E0000}"/>
    <cellStyle name="Percent 2 8 3 2 3" xfId="32690" xr:uid="{00000000-0005-0000-0000-0000577E0000}"/>
    <cellStyle name="Percent 2 8 3 3" xfId="12108" xr:uid="{00000000-0005-0000-0000-0000587E0000}"/>
    <cellStyle name="Percent 2 8 3 3 2" xfId="25820" xr:uid="{00000000-0005-0000-0000-0000597E0000}"/>
    <cellStyle name="Percent 2 8 3 4" xfId="32689" xr:uid="{00000000-0005-0000-0000-00005A7E0000}"/>
    <cellStyle name="Percent 2 8 4" xfId="8432" xr:uid="{00000000-0005-0000-0000-00005B7E0000}"/>
    <cellStyle name="Percent 2 8 4 2" xfId="8433" xr:uid="{00000000-0005-0000-0000-00005C7E0000}"/>
    <cellStyle name="Percent 2 8 4 2 2" xfId="15781" xr:uid="{00000000-0005-0000-0000-00005D7E0000}"/>
    <cellStyle name="Percent 2 8 4 2 3" xfId="32692" xr:uid="{00000000-0005-0000-0000-00005E7E0000}"/>
    <cellStyle name="Percent 2 8 4 3" xfId="13672" xr:uid="{00000000-0005-0000-0000-00005F7E0000}"/>
    <cellStyle name="Percent 2 8 4 3 2" xfId="27221" xr:uid="{00000000-0005-0000-0000-0000607E0000}"/>
    <cellStyle name="Percent 2 8 4 4" xfId="32691" xr:uid="{00000000-0005-0000-0000-0000617E0000}"/>
    <cellStyle name="Percent 2 8 5" xfId="8434" xr:uid="{00000000-0005-0000-0000-0000627E0000}"/>
    <cellStyle name="Percent 2 8 5 2" xfId="14253" xr:uid="{00000000-0005-0000-0000-0000637E0000}"/>
    <cellStyle name="Percent 2 8 5 2 2" xfId="27802" xr:uid="{00000000-0005-0000-0000-0000647E0000}"/>
    <cellStyle name="Percent 2 8 5 3" xfId="32693" xr:uid="{00000000-0005-0000-0000-0000657E0000}"/>
    <cellStyle name="Percent 2 8 6" xfId="8435" xr:uid="{00000000-0005-0000-0000-0000667E0000}"/>
    <cellStyle name="Percent 2 8 6 2" xfId="16139" xr:uid="{00000000-0005-0000-0000-0000677E0000}"/>
    <cellStyle name="Percent 2 8 6 2 2" xfId="29546" xr:uid="{00000000-0005-0000-0000-0000687E0000}"/>
    <cellStyle name="Percent 2 8 6 3" xfId="32694" xr:uid="{00000000-0005-0000-0000-0000697E0000}"/>
    <cellStyle name="Percent 2 8 7" xfId="10400" xr:uid="{00000000-0005-0000-0000-00006A7E0000}"/>
    <cellStyle name="Percent 2 8 8" xfId="32685" xr:uid="{00000000-0005-0000-0000-00006B7E0000}"/>
    <cellStyle name="Percent 2 9" xfId="8436" xr:uid="{00000000-0005-0000-0000-00006C7E0000}"/>
    <cellStyle name="Percent 2 9 2" xfId="8437" xr:uid="{00000000-0005-0000-0000-00006D7E0000}"/>
    <cellStyle name="Percent 2 9 2 2" xfId="8438" xr:uid="{00000000-0005-0000-0000-00006E7E0000}"/>
    <cellStyle name="Percent 2 9 2 2 2" xfId="11679" xr:uid="{00000000-0005-0000-0000-00006F7E0000}"/>
    <cellStyle name="Percent 2 9 2 2 3" xfId="32697" xr:uid="{00000000-0005-0000-0000-0000707E0000}"/>
    <cellStyle name="Percent 2 9 2 3" xfId="8439" xr:uid="{00000000-0005-0000-0000-0000717E0000}"/>
    <cellStyle name="Percent 2 9 2 3 2" xfId="16725" xr:uid="{00000000-0005-0000-0000-0000727E0000}"/>
    <cellStyle name="Percent 2 9 2 3 2 2" xfId="30132" xr:uid="{00000000-0005-0000-0000-0000737E0000}"/>
    <cellStyle name="Percent 2 9 2 3 3" xfId="32698" xr:uid="{00000000-0005-0000-0000-0000747E0000}"/>
    <cellStyle name="Percent 2 9 2 4" xfId="10403" xr:uid="{00000000-0005-0000-0000-0000757E0000}"/>
    <cellStyle name="Percent 2 9 2 5" xfId="32696" xr:uid="{00000000-0005-0000-0000-0000767E0000}"/>
    <cellStyle name="Percent 2 9 3" xfId="8440" xr:uid="{00000000-0005-0000-0000-0000777E0000}"/>
    <cellStyle name="Percent 2 9 3 2" xfId="8441" xr:uid="{00000000-0005-0000-0000-0000787E0000}"/>
    <cellStyle name="Percent 2 9 3 2 2" xfId="13352" xr:uid="{00000000-0005-0000-0000-0000797E0000}"/>
    <cellStyle name="Percent 2 9 3 2 3" xfId="32700" xr:uid="{00000000-0005-0000-0000-00007A7E0000}"/>
    <cellStyle name="Percent 2 9 3 3" xfId="12113" xr:uid="{00000000-0005-0000-0000-00007B7E0000}"/>
    <cellStyle name="Percent 2 9 3 3 2" xfId="25825" xr:uid="{00000000-0005-0000-0000-00007C7E0000}"/>
    <cellStyle name="Percent 2 9 3 4" xfId="32699" xr:uid="{00000000-0005-0000-0000-00007D7E0000}"/>
    <cellStyle name="Percent 2 9 4" xfId="8442" xr:uid="{00000000-0005-0000-0000-00007E7E0000}"/>
    <cellStyle name="Percent 2 9 4 2" xfId="8443" xr:uid="{00000000-0005-0000-0000-00007F7E0000}"/>
    <cellStyle name="Percent 2 9 4 2 2" xfId="15782" xr:uid="{00000000-0005-0000-0000-0000807E0000}"/>
    <cellStyle name="Percent 2 9 4 2 3" xfId="32702" xr:uid="{00000000-0005-0000-0000-0000817E0000}"/>
    <cellStyle name="Percent 2 9 4 3" xfId="13677" xr:uid="{00000000-0005-0000-0000-0000827E0000}"/>
    <cellStyle name="Percent 2 9 4 3 2" xfId="27226" xr:uid="{00000000-0005-0000-0000-0000837E0000}"/>
    <cellStyle name="Percent 2 9 4 4" xfId="32701" xr:uid="{00000000-0005-0000-0000-0000847E0000}"/>
    <cellStyle name="Percent 2 9 5" xfId="8444" xr:uid="{00000000-0005-0000-0000-0000857E0000}"/>
    <cellStyle name="Percent 2 9 5 2" xfId="14258" xr:uid="{00000000-0005-0000-0000-0000867E0000}"/>
    <cellStyle name="Percent 2 9 5 2 2" xfId="27807" xr:uid="{00000000-0005-0000-0000-0000877E0000}"/>
    <cellStyle name="Percent 2 9 5 3" xfId="32703" xr:uid="{00000000-0005-0000-0000-0000887E0000}"/>
    <cellStyle name="Percent 2 9 6" xfId="8445" xr:uid="{00000000-0005-0000-0000-0000897E0000}"/>
    <cellStyle name="Percent 2 9 6 2" xfId="16144" xr:uid="{00000000-0005-0000-0000-00008A7E0000}"/>
    <cellStyle name="Percent 2 9 6 2 2" xfId="29551" xr:uid="{00000000-0005-0000-0000-00008B7E0000}"/>
    <cellStyle name="Percent 2 9 6 3" xfId="32704" xr:uid="{00000000-0005-0000-0000-00008C7E0000}"/>
    <cellStyle name="Percent 2 9 7" xfId="10402" xr:uid="{00000000-0005-0000-0000-00008D7E0000}"/>
    <cellStyle name="Percent 2 9 8" xfId="32695" xr:uid="{00000000-0005-0000-0000-00008E7E0000}"/>
    <cellStyle name="Percent 20" xfId="33036" xr:uid="{63B77172-3944-4D11-9FF3-79BE9DEF85A9}"/>
    <cellStyle name="Percent 3" xfId="8446" xr:uid="{00000000-0005-0000-0000-00008F7E0000}"/>
    <cellStyle name="Percent 3 2" xfId="8447" xr:uid="{00000000-0005-0000-0000-0000907E0000}"/>
    <cellStyle name="Percent 3 2 2" xfId="8708" xr:uid="{00000000-0005-0000-0000-0000917E0000}"/>
    <cellStyle name="Percent 3 2 3" xfId="32706" xr:uid="{00000000-0005-0000-0000-0000927E0000}"/>
    <cellStyle name="Percent 3 2 4" xfId="32903" xr:uid="{00000000-0005-0000-0000-0000937E0000}"/>
    <cellStyle name="Percent 3 3" xfId="8448" xr:uid="{00000000-0005-0000-0000-0000947E0000}"/>
    <cellStyle name="Percent 3 3 2" xfId="8449" xr:uid="{00000000-0005-0000-0000-0000957E0000}"/>
    <cellStyle name="Percent 3 3 2 2" xfId="17341" xr:uid="{00000000-0005-0000-0000-0000967E0000}"/>
    <cellStyle name="Percent 3 3 2 3" xfId="32708" xr:uid="{00000000-0005-0000-0000-0000977E0000}"/>
    <cellStyle name="Percent 3 3 3" xfId="8738" xr:uid="{00000000-0005-0000-0000-0000987E0000}"/>
    <cellStyle name="Percent 3 3 4" xfId="10405" xr:uid="{00000000-0005-0000-0000-0000997E0000}"/>
    <cellStyle name="Percent 3 3 5" xfId="32707" xr:uid="{00000000-0005-0000-0000-00009A7E0000}"/>
    <cellStyle name="Percent 3 4" xfId="8646" xr:uid="{00000000-0005-0000-0000-00009B7E0000}"/>
    <cellStyle name="Percent 3 4 2" xfId="10404" xr:uid="{00000000-0005-0000-0000-00009C7E0000}"/>
    <cellStyle name="Percent 3 5" xfId="32705" xr:uid="{00000000-0005-0000-0000-00009D7E0000}"/>
    <cellStyle name="Percent 3 6" xfId="32902" xr:uid="{00000000-0005-0000-0000-00009E7E0000}"/>
    <cellStyle name="Percent 4" xfId="8450" xr:uid="{00000000-0005-0000-0000-00009F7E0000}"/>
    <cellStyle name="Percent 4 2" xfId="8451" xr:uid="{00000000-0005-0000-0000-0000A07E0000}"/>
    <cellStyle name="Percent 4 2 2" xfId="10407" xr:uid="{00000000-0005-0000-0000-0000A17E0000}"/>
    <cellStyle name="Percent 4 2 3" xfId="32710" xr:uid="{00000000-0005-0000-0000-0000A27E0000}"/>
    <cellStyle name="Percent 4 3" xfId="8452" xr:uid="{00000000-0005-0000-0000-0000A37E0000}"/>
    <cellStyle name="Percent 4 3 2" xfId="13353" xr:uid="{00000000-0005-0000-0000-0000A47E0000}"/>
    <cellStyle name="Percent 4 3 3" xfId="32711" xr:uid="{00000000-0005-0000-0000-0000A57E0000}"/>
    <cellStyle name="Percent 4 4" xfId="8453" xr:uid="{00000000-0005-0000-0000-0000A67E0000}"/>
    <cellStyle name="Percent 4 4 2" xfId="10406" xr:uid="{00000000-0005-0000-0000-0000A77E0000}"/>
    <cellStyle name="Percent 4 4 3" xfId="32712" xr:uid="{00000000-0005-0000-0000-0000A87E0000}"/>
    <cellStyle name="Percent 4 5" xfId="8663" xr:uid="{00000000-0005-0000-0000-0000A97E0000}"/>
    <cellStyle name="Percent 4 6" xfId="32709" xr:uid="{00000000-0005-0000-0000-0000AA7E0000}"/>
    <cellStyle name="Percent 4 7" xfId="32904" xr:uid="{00000000-0005-0000-0000-0000AB7E0000}"/>
    <cellStyle name="Percent 5" xfId="8454" xr:uid="{00000000-0005-0000-0000-0000AC7E0000}"/>
    <cellStyle name="Percent 5 2" xfId="8455" xr:uid="{00000000-0005-0000-0000-0000AD7E0000}"/>
    <cellStyle name="Percent 5 2 2" xfId="17342" xr:uid="{00000000-0005-0000-0000-0000AE7E0000}"/>
    <cellStyle name="Percent 5 2 3" xfId="32714" xr:uid="{00000000-0005-0000-0000-0000AF7E0000}"/>
    <cellStyle name="Percent 5 2 4" xfId="32934" xr:uid="{00000000-0005-0000-0000-0000B07E0000}"/>
    <cellStyle name="Percent 5 2 5" xfId="32992" xr:uid="{00000000-0005-0000-0000-0000B17E0000}"/>
    <cellStyle name="Percent 5 3" xfId="8739" xr:uid="{00000000-0005-0000-0000-0000B27E0000}"/>
    <cellStyle name="Percent 5 4" xfId="32713" xr:uid="{00000000-0005-0000-0000-0000B37E0000}"/>
    <cellStyle name="Percent 5 5" xfId="32905" xr:uid="{00000000-0005-0000-0000-0000B47E0000}"/>
    <cellStyle name="Percent 5 6" xfId="32965" xr:uid="{00000000-0005-0000-0000-0000B57E0000}"/>
    <cellStyle name="Percent 6" xfId="8456" xr:uid="{00000000-0005-0000-0000-0000B67E0000}"/>
    <cellStyle name="Percent 6 10" xfId="8740" xr:uid="{00000000-0005-0000-0000-0000B77E0000}"/>
    <cellStyle name="Percent 6 11" xfId="10408" xr:uid="{00000000-0005-0000-0000-0000B87E0000}"/>
    <cellStyle name="Percent 6 12" xfId="32715" xr:uid="{00000000-0005-0000-0000-0000B97E0000}"/>
    <cellStyle name="Percent 6 2" xfId="8457" xr:uid="{00000000-0005-0000-0000-0000BA7E0000}"/>
    <cellStyle name="Percent 6 2 2" xfId="8458" xr:uid="{00000000-0005-0000-0000-0000BB7E0000}"/>
    <cellStyle name="Percent 6 2 2 2" xfId="8459" xr:uid="{00000000-0005-0000-0000-0000BC7E0000}"/>
    <cellStyle name="Percent 6 2 2 2 2" xfId="8460" xr:uid="{00000000-0005-0000-0000-0000BD7E0000}"/>
    <cellStyle name="Percent 6 2 2 2 2 2" xfId="11684" xr:uid="{00000000-0005-0000-0000-0000BE7E0000}"/>
    <cellStyle name="Percent 6 2 2 2 2 3" xfId="32719" xr:uid="{00000000-0005-0000-0000-0000BF7E0000}"/>
    <cellStyle name="Percent 6 2 2 2 3" xfId="8461" xr:uid="{00000000-0005-0000-0000-0000C07E0000}"/>
    <cellStyle name="Percent 6 2 2 2 3 2" xfId="16926" xr:uid="{00000000-0005-0000-0000-0000C17E0000}"/>
    <cellStyle name="Percent 6 2 2 2 3 2 2" xfId="30333" xr:uid="{00000000-0005-0000-0000-0000C27E0000}"/>
    <cellStyle name="Percent 6 2 2 2 3 3" xfId="32720" xr:uid="{00000000-0005-0000-0000-0000C37E0000}"/>
    <cellStyle name="Percent 6 2 2 2 4" xfId="10411" xr:uid="{00000000-0005-0000-0000-0000C47E0000}"/>
    <cellStyle name="Percent 6 2 2 2 5" xfId="32718" xr:uid="{00000000-0005-0000-0000-0000C57E0000}"/>
    <cellStyle name="Percent 6 2 2 3" xfId="8462" xr:uid="{00000000-0005-0000-0000-0000C67E0000}"/>
    <cellStyle name="Percent 6 2 2 3 2" xfId="8463" xr:uid="{00000000-0005-0000-0000-0000C77E0000}"/>
    <cellStyle name="Percent 6 2 2 3 2 2" xfId="13354" xr:uid="{00000000-0005-0000-0000-0000C87E0000}"/>
    <cellStyle name="Percent 6 2 2 3 2 3" xfId="32722" xr:uid="{00000000-0005-0000-0000-0000C97E0000}"/>
    <cellStyle name="Percent 6 2 2 3 3" xfId="12314" xr:uid="{00000000-0005-0000-0000-0000CA7E0000}"/>
    <cellStyle name="Percent 6 2 2 3 3 2" xfId="26026" xr:uid="{00000000-0005-0000-0000-0000CB7E0000}"/>
    <cellStyle name="Percent 6 2 2 3 4" xfId="32721" xr:uid="{00000000-0005-0000-0000-0000CC7E0000}"/>
    <cellStyle name="Percent 6 2 2 4" xfId="8464" xr:uid="{00000000-0005-0000-0000-0000CD7E0000}"/>
    <cellStyle name="Percent 6 2 2 4 2" xfId="8465" xr:uid="{00000000-0005-0000-0000-0000CE7E0000}"/>
    <cellStyle name="Percent 6 2 2 4 2 2" xfId="15783" xr:uid="{00000000-0005-0000-0000-0000CF7E0000}"/>
    <cellStyle name="Percent 6 2 2 4 2 3" xfId="32724" xr:uid="{00000000-0005-0000-0000-0000D07E0000}"/>
    <cellStyle name="Percent 6 2 2 4 3" xfId="13878" xr:uid="{00000000-0005-0000-0000-0000D17E0000}"/>
    <cellStyle name="Percent 6 2 2 4 3 2" xfId="27427" xr:uid="{00000000-0005-0000-0000-0000D27E0000}"/>
    <cellStyle name="Percent 6 2 2 4 4" xfId="32723" xr:uid="{00000000-0005-0000-0000-0000D37E0000}"/>
    <cellStyle name="Percent 6 2 2 5" xfId="8466" xr:uid="{00000000-0005-0000-0000-0000D47E0000}"/>
    <cellStyle name="Percent 6 2 2 5 2" xfId="14459" xr:uid="{00000000-0005-0000-0000-0000D57E0000}"/>
    <cellStyle name="Percent 6 2 2 5 2 2" xfId="28008" xr:uid="{00000000-0005-0000-0000-0000D67E0000}"/>
    <cellStyle name="Percent 6 2 2 5 3" xfId="32725" xr:uid="{00000000-0005-0000-0000-0000D77E0000}"/>
    <cellStyle name="Percent 6 2 2 6" xfId="8467" xr:uid="{00000000-0005-0000-0000-0000D87E0000}"/>
    <cellStyle name="Percent 6 2 2 6 2" xfId="16345" xr:uid="{00000000-0005-0000-0000-0000D97E0000}"/>
    <cellStyle name="Percent 6 2 2 6 2 2" xfId="29752" xr:uid="{00000000-0005-0000-0000-0000DA7E0000}"/>
    <cellStyle name="Percent 6 2 2 6 3" xfId="32726" xr:uid="{00000000-0005-0000-0000-0000DB7E0000}"/>
    <cellStyle name="Percent 6 2 2 7" xfId="10410" xr:uid="{00000000-0005-0000-0000-0000DC7E0000}"/>
    <cellStyle name="Percent 6 2 2 8" xfId="32717" xr:uid="{00000000-0005-0000-0000-0000DD7E0000}"/>
    <cellStyle name="Percent 6 2 3" xfId="8468" xr:uid="{00000000-0005-0000-0000-0000DE7E0000}"/>
    <cellStyle name="Percent 6 2 3 2" xfId="8469" xr:uid="{00000000-0005-0000-0000-0000DF7E0000}"/>
    <cellStyle name="Percent 6 2 3 2 2" xfId="11685" xr:uid="{00000000-0005-0000-0000-0000E07E0000}"/>
    <cellStyle name="Percent 6 2 3 2 3" xfId="32728" xr:uid="{00000000-0005-0000-0000-0000E17E0000}"/>
    <cellStyle name="Percent 6 2 3 3" xfId="8470" xr:uid="{00000000-0005-0000-0000-0000E27E0000}"/>
    <cellStyle name="Percent 6 2 3 3 2" xfId="16637" xr:uid="{00000000-0005-0000-0000-0000E37E0000}"/>
    <cellStyle name="Percent 6 2 3 3 2 2" xfId="30044" xr:uid="{00000000-0005-0000-0000-0000E47E0000}"/>
    <cellStyle name="Percent 6 2 3 3 3" xfId="32729" xr:uid="{00000000-0005-0000-0000-0000E57E0000}"/>
    <cellStyle name="Percent 6 2 3 4" xfId="10412" xr:uid="{00000000-0005-0000-0000-0000E67E0000}"/>
    <cellStyle name="Percent 6 2 3 5" xfId="32727" xr:uid="{00000000-0005-0000-0000-0000E77E0000}"/>
    <cellStyle name="Percent 6 2 4" xfId="8471" xr:uid="{00000000-0005-0000-0000-0000E87E0000}"/>
    <cellStyle name="Percent 6 2 4 2" xfId="8472" xr:uid="{00000000-0005-0000-0000-0000E97E0000}"/>
    <cellStyle name="Percent 6 2 4 2 2" xfId="13355" xr:uid="{00000000-0005-0000-0000-0000EA7E0000}"/>
    <cellStyle name="Percent 6 2 4 2 3" xfId="32731" xr:uid="{00000000-0005-0000-0000-0000EB7E0000}"/>
    <cellStyle name="Percent 6 2 4 3" xfId="12014" xr:uid="{00000000-0005-0000-0000-0000EC7E0000}"/>
    <cellStyle name="Percent 6 2 4 3 2" xfId="25729" xr:uid="{00000000-0005-0000-0000-0000ED7E0000}"/>
    <cellStyle name="Percent 6 2 4 4" xfId="32730" xr:uid="{00000000-0005-0000-0000-0000EE7E0000}"/>
    <cellStyle name="Percent 6 2 5" xfId="8473" xr:uid="{00000000-0005-0000-0000-0000EF7E0000}"/>
    <cellStyle name="Percent 6 2 5 2" xfId="8474" xr:uid="{00000000-0005-0000-0000-0000F07E0000}"/>
    <cellStyle name="Percent 6 2 5 2 2" xfId="15784" xr:uid="{00000000-0005-0000-0000-0000F17E0000}"/>
    <cellStyle name="Percent 6 2 5 2 3" xfId="32733" xr:uid="{00000000-0005-0000-0000-0000F27E0000}"/>
    <cellStyle name="Percent 6 2 5 3" xfId="13589" xr:uid="{00000000-0005-0000-0000-0000F37E0000}"/>
    <cellStyle name="Percent 6 2 5 3 2" xfId="27138" xr:uid="{00000000-0005-0000-0000-0000F47E0000}"/>
    <cellStyle name="Percent 6 2 5 4" xfId="32732" xr:uid="{00000000-0005-0000-0000-0000F57E0000}"/>
    <cellStyle name="Percent 6 2 6" xfId="8475" xr:uid="{00000000-0005-0000-0000-0000F67E0000}"/>
    <cellStyle name="Percent 6 2 6 2" xfId="14170" xr:uid="{00000000-0005-0000-0000-0000F77E0000}"/>
    <cellStyle name="Percent 6 2 6 2 2" xfId="27719" xr:uid="{00000000-0005-0000-0000-0000F87E0000}"/>
    <cellStyle name="Percent 6 2 6 3" xfId="32734" xr:uid="{00000000-0005-0000-0000-0000F97E0000}"/>
    <cellStyle name="Percent 6 2 7" xfId="8476" xr:uid="{00000000-0005-0000-0000-0000FA7E0000}"/>
    <cellStyle name="Percent 6 2 7 2" xfId="16056" xr:uid="{00000000-0005-0000-0000-0000FB7E0000}"/>
    <cellStyle name="Percent 6 2 7 2 2" xfId="29463" xr:uid="{00000000-0005-0000-0000-0000FC7E0000}"/>
    <cellStyle name="Percent 6 2 7 3" xfId="32735" xr:uid="{00000000-0005-0000-0000-0000FD7E0000}"/>
    <cellStyle name="Percent 6 2 8" xfId="10409" xr:uid="{00000000-0005-0000-0000-0000FE7E0000}"/>
    <cellStyle name="Percent 6 2 9" xfId="32716" xr:uid="{00000000-0005-0000-0000-0000FF7E0000}"/>
    <cellStyle name="Percent 6 3" xfId="8477" xr:uid="{00000000-0005-0000-0000-0000007F0000}"/>
    <cellStyle name="Percent 6 3 2" xfId="8478" xr:uid="{00000000-0005-0000-0000-0000017F0000}"/>
    <cellStyle name="Percent 6 3 2 2" xfId="8479" xr:uid="{00000000-0005-0000-0000-0000027F0000}"/>
    <cellStyle name="Percent 6 3 2 2 2" xfId="11686" xr:uid="{00000000-0005-0000-0000-0000037F0000}"/>
    <cellStyle name="Percent 6 3 2 2 3" xfId="32738" xr:uid="{00000000-0005-0000-0000-0000047F0000}"/>
    <cellStyle name="Percent 6 3 2 3" xfId="8480" xr:uid="{00000000-0005-0000-0000-0000057F0000}"/>
    <cellStyle name="Percent 6 3 2 3 2" xfId="16783" xr:uid="{00000000-0005-0000-0000-0000067F0000}"/>
    <cellStyle name="Percent 6 3 2 3 2 2" xfId="30190" xr:uid="{00000000-0005-0000-0000-0000077F0000}"/>
    <cellStyle name="Percent 6 3 2 3 3" xfId="32739" xr:uid="{00000000-0005-0000-0000-0000087F0000}"/>
    <cellStyle name="Percent 6 3 2 4" xfId="10414" xr:uid="{00000000-0005-0000-0000-0000097F0000}"/>
    <cellStyle name="Percent 6 3 2 5" xfId="32737" xr:uid="{00000000-0005-0000-0000-00000A7F0000}"/>
    <cellStyle name="Percent 6 3 3" xfId="8481" xr:uid="{00000000-0005-0000-0000-00000B7F0000}"/>
    <cellStyle name="Percent 6 3 3 2" xfId="8482" xr:uid="{00000000-0005-0000-0000-00000C7F0000}"/>
    <cellStyle name="Percent 6 3 3 2 2" xfId="13356" xr:uid="{00000000-0005-0000-0000-00000D7F0000}"/>
    <cellStyle name="Percent 6 3 3 2 3" xfId="32741" xr:uid="{00000000-0005-0000-0000-00000E7F0000}"/>
    <cellStyle name="Percent 6 3 3 3" xfId="12171" xr:uid="{00000000-0005-0000-0000-00000F7F0000}"/>
    <cellStyle name="Percent 6 3 3 3 2" xfId="25883" xr:uid="{00000000-0005-0000-0000-0000107F0000}"/>
    <cellStyle name="Percent 6 3 3 4" xfId="32740" xr:uid="{00000000-0005-0000-0000-0000117F0000}"/>
    <cellStyle name="Percent 6 3 4" xfId="8483" xr:uid="{00000000-0005-0000-0000-0000127F0000}"/>
    <cellStyle name="Percent 6 3 4 2" xfId="8484" xr:uid="{00000000-0005-0000-0000-0000137F0000}"/>
    <cellStyle name="Percent 6 3 4 2 2" xfId="15785" xr:uid="{00000000-0005-0000-0000-0000147F0000}"/>
    <cellStyle name="Percent 6 3 4 2 3" xfId="32743" xr:uid="{00000000-0005-0000-0000-0000157F0000}"/>
    <cellStyle name="Percent 6 3 4 3" xfId="13735" xr:uid="{00000000-0005-0000-0000-0000167F0000}"/>
    <cellStyle name="Percent 6 3 4 3 2" xfId="27284" xr:uid="{00000000-0005-0000-0000-0000177F0000}"/>
    <cellStyle name="Percent 6 3 4 4" xfId="32742" xr:uid="{00000000-0005-0000-0000-0000187F0000}"/>
    <cellStyle name="Percent 6 3 5" xfId="8485" xr:uid="{00000000-0005-0000-0000-0000197F0000}"/>
    <cellStyle name="Percent 6 3 5 2" xfId="14316" xr:uid="{00000000-0005-0000-0000-00001A7F0000}"/>
    <cellStyle name="Percent 6 3 5 2 2" xfId="27865" xr:uid="{00000000-0005-0000-0000-00001B7F0000}"/>
    <cellStyle name="Percent 6 3 5 3" xfId="32744" xr:uid="{00000000-0005-0000-0000-00001C7F0000}"/>
    <cellStyle name="Percent 6 3 6" xfId="8486" xr:uid="{00000000-0005-0000-0000-00001D7F0000}"/>
    <cellStyle name="Percent 6 3 6 2" xfId="16202" xr:uid="{00000000-0005-0000-0000-00001E7F0000}"/>
    <cellStyle name="Percent 6 3 6 2 2" xfId="29609" xr:uid="{00000000-0005-0000-0000-00001F7F0000}"/>
    <cellStyle name="Percent 6 3 6 3" xfId="32745" xr:uid="{00000000-0005-0000-0000-0000207F0000}"/>
    <cellStyle name="Percent 6 3 7" xfId="10413" xr:uid="{00000000-0005-0000-0000-0000217F0000}"/>
    <cellStyle name="Percent 6 3 8" xfId="32736" xr:uid="{00000000-0005-0000-0000-0000227F0000}"/>
    <cellStyle name="Percent 6 4" xfId="8487" xr:uid="{00000000-0005-0000-0000-0000237F0000}"/>
    <cellStyle name="Percent 6 4 2" xfId="8488" xr:uid="{00000000-0005-0000-0000-0000247F0000}"/>
    <cellStyle name="Percent 6 4 2 2" xfId="11687" xr:uid="{00000000-0005-0000-0000-0000257F0000}"/>
    <cellStyle name="Percent 6 4 2 3" xfId="32747" xr:uid="{00000000-0005-0000-0000-0000267F0000}"/>
    <cellStyle name="Percent 6 4 3" xfId="8489" xr:uid="{00000000-0005-0000-0000-0000277F0000}"/>
    <cellStyle name="Percent 6 4 3 2" xfId="17130" xr:uid="{00000000-0005-0000-0000-0000287F0000}"/>
    <cellStyle name="Percent 6 4 3 2 2" xfId="30489" xr:uid="{00000000-0005-0000-0000-0000297F0000}"/>
    <cellStyle name="Percent 6 4 3 3" xfId="32748" xr:uid="{00000000-0005-0000-0000-00002A7F0000}"/>
    <cellStyle name="Percent 6 4 4" xfId="10415" xr:uid="{00000000-0005-0000-0000-00002B7F0000}"/>
    <cellStyle name="Percent 6 4 5" xfId="32746" xr:uid="{00000000-0005-0000-0000-00002C7F0000}"/>
    <cellStyle name="Percent 6 5" xfId="8490" xr:uid="{00000000-0005-0000-0000-00002D7F0000}"/>
    <cellStyle name="Percent 6 5 2" xfId="8491" xr:uid="{00000000-0005-0000-0000-00002E7F0000}"/>
    <cellStyle name="Percent 6 5 2 2" xfId="13357" xr:uid="{00000000-0005-0000-0000-00002F7F0000}"/>
    <cellStyle name="Percent 6 5 2 3" xfId="32750" xr:uid="{00000000-0005-0000-0000-0000307F0000}"/>
    <cellStyle name="Percent 6 5 3" xfId="8492" xr:uid="{00000000-0005-0000-0000-0000317F0000}"/>
    <cellStyle name="Percent 6 5 3 2" xfId="17219" xr:uid="{00000000-0005-0000-0000-0000327F0000}"/>
    <cellStyle name="Percent 6 5 3 2 2" xfId="30578" xr:uid="{00000000-0005-0000-0000-0000337F0000}"/>
    <cellStyle name="Percent 6 5 3 3" xfId="32751" xr:uid="{00000000-0005-0000-0000-0000347F0000}"/>
    <cellStyle name="Percent 6 5 4" xfId="11866" xr:uid="{00000000-0005-0000-0000-0000357F0000}"/>
    <cellStyle name="Percent 6 5 4 2" xfId="25581" xr:uid="{00000000-0005-0000-0000-0000367F0000}"/>
    <cellStyle name="Percent 6 5 5" xfId="32749" xr:uid="{00000000-0005-0000-0000-0000377F0000}"/>
    <cellStyle name="Percent 6 6" xfId="8493" xr:uid="{00000000-0005-0000-0000-0000387F0000}"/>
    <cellStyle name="Percent 6 6 2" xfId="8494" xr:uid="{00000000-0005-0000-0000-0000397F0000}"/>
    <cellStyle name="Percent 6 6 2 2" xfId="15786" xr:uid="{00000000-0005-0000-0000-00003A7F0000}"/>
    <cellStyle name="Percent 6 6 2 3" xfId="32753" xr:uid="{00000000-0005-0000-0000-00003B7F0000}"/>
    <cellStyle name="Percent 6 6 3" xfId="8495" xr:uid="{00000000-0005-0000-0000-00003C7F0000}"/>
    <cellStyle name="Percent 6 6 3 2" xfId="16494" xr:uid="{00000000-0005-0000-0000-00003D7F0000}"/>
    <cellStyle name="Percent 6 6 3 2 2" xfId="29901" xr:uid="{00000000-0005-0000-0000-00003E7F0000}"/>
    <cellStyle name="Percent 6 6 3 3" xfId="32754" xr:uid="{00000000-0005-0000-0000-00003F7F0000}"/>
    <cellStyle name="Percent 6 6 4" xfId="13446" xr:uid="{00000000-0005-0000-0000-0000407F0000}"/>
    <cellStyle name="Percent 6 6 4 2" xfId="26995" xr:uid="{00000000-0005-0000-0000-0000417F0000}"/>
    <cellStyle name="Percent 6 6 5" xfId="32752" xr:uid="{00000000-0005-0000-0000-0000427F0000}"/>
    <cellStyle name="Percent 6 7" xfId="8496" xr:uid="{00000000-0005-0000-0000-0000437F0000}"/>
    <cellStyle name="Percent 6 7 2" xfId="14027" xr:uid="{00000000-0005-0000-0000-0000447F0000}"/>
    <cellStyle name="Percent 6 7 2 2" xfId="27576" xr:uid="{00000000-0005-0000-0000-0000457F0000}"/>
    <cellStyle name="Percent 6 7 3" xfId="32755" xr:uid="{00000000-0005-0000-0000-0000467F0000}"/>
    <cellStyle name="Percent 6 8" xfId="8497" xr:uid="{00000000-0005-0000-0000-0000477F0000}"/>
    <cellStyle name="Percent 6 8 2" xfId="15913" xr:uid="{00000000-0005-0000-0000-0000487F0000}"/>
    <cellStyle name="Percent 6 8 2 2" xfId="29320" xr:uid="{00000000-0005-0000-0000-0000497F0000}"/>
    <cellStyle name="Percent 6 8 3" xfId="32756" xr:uid="{00000000-0005-0000-0000-00004A7F0000}"/>
    <cellStyle name="Percent 6 9" xfId="8498" xr:uid="{00000000-0005-0000-0000-00004B7F0000}"/>
    <cellStyle name="Percent 6 9 2" xfId="17343" xr:uid="{00000000-0005-0000-0000-00004C7F0000}"/>
    <cellStyle name="Percent 6 9 3" xfId="32757" xr:uid="{00000000-0005-0000-0000-00004D7F0000}"/>
    <cellStyle name="Percent 7" xfId="8499" xr:uid="{00000000-0005-0000-0000-00004E7F0000}"/>
    <cellStyle name="Percent 7 2" xfId="10416" xr:uid="{00000000-0005-0000-0000-00004F7F0000}"/>
    <cellStyle name="Percent 7 3" xfId="32758" xr:uid="{00000000-0005-0000-0000-0000507F0000}"/>
    <cellStyle name="Percent 8" xfId="8500" xr:uid="{00000000-0005-0000-0000-0000517F0000}"/>
    <cellStyle name="Percent 8 2" xfId="8501" xr:uid="{00000000-0005-0000-0000-0000527F0000}"/>
    <cellStyle name="Percent 8 2 2" xfId="10418" xr:uid="{00000000-0005-0000-0000-0000537F0000}"/>
    <cellStyle name="Percent 8 2 3" xfId="32760" xr:uid="{00000000-0005-0000-0000-0000547F0000}"/>
    <cellStyle name="Percent 8 3" xfId="8502" xr:uid="{00000000-0005-0000-0000-0000557F0000}"/>
    <cellStyle name="Percent 8 3 2" xfId="13358" xr:uid="{00000000-0005-0000-0000-0000567F0000}"/>
    <cellStyle name="Percent 8 3 3" xfId="32761" xr:uid="{00000000-0005-0000-0000-0000577F0000}"/>
    <cellStyle name="Percent 8 4" xfId="10417" xr:uid="{00000000-0005-0000-0000-0000587F0000}"/>
    <cellStyle name="Percent 8 5" xfId="32759" xr:uid="{00000000-0005-0000-0000-0000597F0000}"/>
    <cellStyle name="Percent 9" xfId="8503" xr:uid="{00000000-0005-0000-0000-00005A7F0000}"/>
    <cellStyle name="Percent 9 2" xfId="8504" xr:uid="{00000000-0005-0000-0000-00005B7F0000}"/>
    <cellStyle name="Percent 9 2 2" xfId="13360" xr:uid="{00000000-0005-0000-0000-00005C7F0000}"/>
    <cellStyle name="Percent 9 2 3" xfId="32763" xr:uid="{00000000-0005-0000-0000-00005D7F0000}"/>
    <cellStyle name="Percent 9 3" xfId="8505" xr:uid="{00000000-0005-0000-0000-00005E7F0000}"/>
    <cellStyle name="Percent 9 3 2" xfId="13359" xr:uid="{00000000-0005-0000-0000-00005F7F0000}"/>
    <cellStyle name="Percent 9 3 3" xfId="32764" xr:uid="{00000000-0005-0000-0000-0000607F0000}"/>
    <cellStyle name="Percent 9 4" xfId="10514" xr:uid="{00000000-0005-0000-0000-0000617F0000}"/>
    <cellStyle name="Percent 9 5" xfId="32762" xr:uid="{00000000-0005-0000-0000-0000627F0000}"/>
    <cellStyle name="SAPBEXaggData" xfId="8506" xr:uid="{00000000-0005-0000-0000-0000637F0000}"/>
    <cellStyle name="SAPBEXaggData 2" xfId="17045" xr:uid="{00000000-0005-0000-0000-0000647F0000}"/>
    <cellStyle name="SAPBEXaggData 3" xfId="32765" xr:uid="{00000000-0005-0000-0000-0000657F0000}"/>
    <cellStyle name="SAPBEXaggDataEmph" xfId="8507" xr:uid="{00000000-0005-0000-0000-0000667F0000}"/>
    <cellStyle name="SAPBEXaggDataEmph 2" xfId="17046" xr:uid="{00000000-0005-0000-0000-0000677F0000}"/>
    <cellStyle name="SAPBEXaggDataEmph 3" xfId="32766" xr:uid="{00000000-0005-0000-0000-0000687F0000}"/>
    <cellStyle name="SAPBEXaggItem" xfId="8508" xr:uid="{00000000-0005-0000-0000-0000697F0000}"/>
    <cellStyle name="SAPBEXaggItem 2" xfId="17047" xr:uid="{00000000-0005-0000-0000-00006A7F0000}"/>
    <cellStyle name="SAPBEXaggItem 3" xfId="32767" xr:uid="{00000000-0005-0000-0000-00006B7F0000}"/>
    <cellStyle name="SAPBEXaggItemX" xfId="8509" xr:uid="{00000000-0005-0000-0000-00006C7F0000}"/>
    <cellStyle name="SAPBEXaggItemX 2" xfId="17048" xr:uid="{00000000-0005-0000-0000-00006D7F0000}"/>
    <cellStyle name="SAPBEXaggItemX 3" xfId="32768" xr:uid="{00000000-0005-0000-0000-00006E7F0000}"/>
    <cellStyle name="SAPBEXchaText" xfId="8510" xr:uid="{00000000-0005-0000-0000-00006F7F0000}"/>
    <cellStyle name="SAPBEXchaText 2" xfId="17049" xr:uid="{00000000-0005-0000-0000-0000707F0000}"/>
    <cellStyle name="SAPBEXchaText 3" xfId="32769" xr:uid="{00000000-0005-0000-0000-0000717F0000}"/>
    <cellStyle name="SAPBEXexcBad7" xfId="8511" xr:uid="{00000000-0005-0000-0000-0000727F0000}"/>
    <cellStyle name="SAPBEXexcBad7 2" xfId="17050" xr:uid="{00000000-0005-0000-0000-0000737F0000}"/>
    <cellStyle name="SAPBEXexcBad7 3" xfId="32770" xr:uid="{00000000-0005-0000-0000-0000747F0000}"/>
    <cellStyle name="SAPBEXexcBad8" xfId="8512" xr:uid="{00000000-0005-0000-0000-0000757F0000}"/>
    <cellStyle name="SAPBEXexcBad8 2" xfId="17051" xr:uid="{00000000-0005-0000-0000-0000767F0000}"/>
    <cellStyle name="SAPBEXexcBad8 3" xfId="32771" xr:uid="{00000000-0005-0000-0000-0000777F0000}"/>
    <cellStyle name="SAPBEXexcBad9" xfId="8513" xr:uid="{00000000-0005-0000-0000-0000787F0000}"/>
    <cellStyle name="SAPBEXexcBad9 2" xfId="17052" xr:uid="{00000000-0005-0000-0000-0000797F0000}"/>
    <cellStyle name="SAPBEXexcBad9 3" xfId="32772" xr:uid="{00000000-0005-0000-0000-00007A7F0000}"/>
    <cellStyle name="SAPBEXexcCritical4" xfId="8514" xr:uid="{00000000-0005-0000-0000-00007B7F0000}"/>
    <cellStyle name="SAPBEXexcCritical4 2" xfId="17053" xr:uid="{00000000-0005-0000-0000-00007C7F0000}"/>
    <cellStyle name="SAPBEXexcCritical4 3" xfId="32773" xr:uid="{00000000-0005-0000-0000-00007D7F0000}"/>
    <cellStyle name="SAPBEXexcCritical5" xfId="8515" xr:uid="{00000000-0005-0000-0000-00007E7F0000}"/>
    <cellStyle name="SAPBEXexcCritical5 2" xfId="17054" xr:uid="{00000000-0005-0000-0000-00007F7F0000}"/>
    <cellStyle name="SAPBEXexcCritical5 3" xfId="32774" xr:uid="{00000000-0005-0000-0000-0000807F0000}"/>
    <cellStyle name="SAPBEXexcCritical6" xfId="8516" xr:uid="{00000000-0005-0000-0000-0000817F0000}"/>
    <cellStyle name="SAPBEXexcCritical6 2" xfId="17055" xr:uid="{00000000-0005-0000-0000-0000827F0000}"/>
    <cellStyle name="SAPBEXexcCritical6 3" xfId="32775" xr:uid="{00000000-0005-0000-0000-0000837F0000}"/>
    <cellStyle name="SAPBEXexcGood1" xfId="8517" xr:uid="{00000000-0005-0000-0000-0000847F0000}"/>
    <cellStyle name="SAPBEXexcGood1 2" xfId="17056" xr:uid="{00000000-0005-0000-0000-0000857F0000}"/>
    <cellStyle name="SAPBEXexcGood1 3" xfId="32776" xr:uid="{00000000-0005-0000-0000-0000867F0000}"/>
    <cellStyle name="SAPBEXexcGood2" xfId="8518" xr:uid="{00000000-0005-0000-0000-0000877F0000}"/>
    <cellStyle name="SAPBEXexcGood2 2" xfId="17057" xr:uid="{00000000-0005-0000-0000-0000887F0000}"/>
    <cellStyle name="SAPBEXexcGood2 3" xfId="32777" xr:uid="{00000000-0005-0000-0000-0000897F0000}"/>
    <cellStyle name="SAPBEXexcGood3" xfId="8519" xr:uid="{00000000-0005-0000-0000-00008A7F0000}"/>
    <cellStyle name="SAPBEXexcGood3 2" xfId="17058" xr:uid="{00000000-0005-0000-0000-00008B7F0000}"/>
    <cellStyle name="SAPBEXexcGood3 3" xfId="32778" xr:uid="{00000000-0005-0000-0000-00008C7F0000}"/>
    <cellStyle name="SAPBEXfilterDrill" xfId="8520" xr:uid="{00000000-0005-0000-0000-00008D7F0000}"/>
    <cellStyle name="SAPBEXfilterDrill 2" xfId="17059" xr:uid="{00000000-0005-0000-0000-00008E7F0000}"/>
    <cellStyle name="SAPBEXfilterDrill 3" xfId="32779" xr:uid="{00000000-0005-0000-0000-00008F7F0000}"/>
    <cellStyle name="SAPBEXfilterItem" xfId="8521" xr:uid="{00000000-0005-0000-0000-0000907F0000}"/>
    <cellStyle name="SAPBEXfilterItem 2" xfId="17060" xr:uid="{00000000-0005-0000-0000-0000917F0000}"/>
    <cellStyle name="SAPBEXfilterItem 3" xfId="32780" xr:uid="{00000000-0005-0000-0000-0000927F0000}"/>
    <cellStyle name="SAPBEXfilterText" xfId="8522" xr:uid="{00000000-0005-0000-0000-0000937F0000}"/>
    <cellStyle name="SAPBEXfilterText 2" xfId="17061" xr:uid="{00000000-0005-0000-0000-0000947F0000}"/>
    <cellStyle name="SAPBEXfilterText 3" xfId="32781" xr:uid="{00000000-0005-0000-0000-0000957F0000}"/>
    <cellStyle name="SAPBEXformats" xfId="8523" xr:uid="{00000000-0005-0000-0000-0000967F0000}"/>
    <cellStyle name="SAPBEXformats 2" xfId="17062" xr:uid="{00000000-0005-0000-0000-0000977F0000}"/>
    <cellStyle name="SAPBEXformats 3" xfId="32782" xr:uid="{00000000-0005-0000-0000-0000987F0000}"/>
    <cellStyle name="SAPBEXheaderItem" xfId="8524" xr:uid="{00000000-0005-0000-0000-0000997F0000}"/>
    <cellStyle name="SAPBEXheaderItem 2" xfId="17063" xr:uid="{00000000-0005-0000-0000-00009A7F0000}"/>
    <cellStyle name="SAPBEXheaderItem 3" xfId="32783" xr:uid="{00000000-0005-0000-0000-00009B7F0000}"/>
    <cellStyle name="SAPBEXheaderText" xfId="8525" xr:uid="{00000000-0005-0000-0000-00009C7F0000}"/>
    <cellStyle name="SAPBEXheaderText 2" xfId="17064" xr:uid="{00000000-0005-0000-0000-00009D7F0000}"/>
    <cellStyle name="SAPBEXheaderText 3" xfId="32784" xr:uid="{00000000-0005-0000-0000-00009E7F0000}"/>
    <cellStyle name="SAPBEXHLevel0" xfId="8526" xr:uid="{00000000-0005-0000-0000-00009F7F0000}"/>
    <cellStyle name="SAPBEXHLevel0 2" xfId="17065" xr:uid="{00000000-0005-0000-0000-0000A07F0000}"/>
    <cellStyle name="SAPBEXHLevel0 3" xfId="32785" xr:uid="{00000000-0005-0000-0000-0000A17F0000}"/>
    <cellStyle name="SAPBEXHLevel0X" xfId="8527" xr:uid="{00000000-0005-0000-0000-0000A27F0000}"/>
    <cellStyle name="SAPBEXHLevel0X 2" xfId="17066" xr:uid="{00000000-0005-0000-0000-0000A37F0000}"/>
    <cellStyle name="SAPBEXHLevel0X 3" xfId="32786" xr:uid="{00000000-0005-0000-0000-0000A47F0000}"/>
    <cellStyle name="SAPBEXHLevel1" xfId="8528" xr:uid="{00000000-0005-0000-0000-0000A57F0000}"/>
    <cellStyle name="SAPBEXHLevel1 2" xfId="17067" xr:uid="{00000000-0005-0000-0000-0000A67F0000}"/>
    <cellStyle name="SAPBEXHLevel1 3" xfId="32787" xr:uid="{00000000-0005-0000-0000-0000A77F0000}"/>
    <cellStyle name="SAPBEXHLevel1X" xfId="8529" xr:uid="{00000000-0005-0000-0000-0000A87F0000}"/>
    <cellStyle name="SAPBEXHLevel1X 2" xfId="17068" xr:uid="{00000000-0005-0000-0000-0000A97F0000}"/>
    <cellStyle name="SAPBEXHLevel1X 3" xfId="32788" xr:uid="{00000000-0005-0000-0000-0000AA7F0000}"/>
    <cellStyle name="SAPBEXHLevel2" xfId="8530" xr:uid="{00000000-0005-0000-0000-0000AB7F0000}"/>
    <cellStyle name="SAPBEXHLevel2 2" xfId="17069" xr:uid="{00000000-0005-0000-0000-0000AC7F0000}"/>
    <cellStyle name="SAPBEXHLevel2 3" xfId="32789" xr:uid="{00000000-0005-0000-0000-0000AD7F0000}"/>
    <cellStyle name="SAPBEXHLevel2X" xfId="8531" xr:uid="{00000000-0005-0000-0000-0000AE7F0000}"/>
    <cellStyle name="SAPBEXHLevel2X 2" xfId="17070" xr:uid="{00000000-0005-0000-0000-0000AF7F0000}"/>
    <cellStyle name="SAPBEXHLevel2X 3" xfId="32790" xr:uid="{00000000-0005-0000-0000-0000B07F0000}"/>
    <cellStyle name="SAPBEXHLevel3" xfId="8532" xr:uid="{00000000-0005-0000-0000-0000B17F0000}"/>
    <cellStyle name="SAPBEXHLevel3 2" xfId="17071" xr:uid="{00000000-0005-0000-0000-0000B27F0000}"/>
    <cellStyle name="SAPBEXHLevel3 3" xfId="32791" xr:uid="{00000000-0005-0000-0000-0000B37F0000}"/>
    <cellStyle name="SAPBEXHLevel3X" xfId="8533" xr:uid="{00000000-0005-0000-0000-0000B47F0000}"/>
    <cellStyle name="SAPBEXHLevel3X 2" xfId="17072" xr:uid="{00000000-0005-0000-0000-0000B57F0000}"/>
    <cellStyle name="SAPBEXHLevel3X 3" xfId="32792" xr:uid="{00000000-0005-0000-0000-0000B67F0000}"/>
    <cellStyle name="SAPBEXinputData" xfId="8534" xr:uid="{00000000-0005-0000-0000-0000B77F0000}"/>
    <cellStyle name="SAPBEXinputData 2" xfId="17073" xr:uid="{00000000-0005-0000-0000-0000B87F0000}"/>
    <cellStyle name="SAPBEXinputData 3" xfId="32793" xr:uid="{00000000-0005-0000-0000-0000B97F0000}"/>
    <cellStyle name="SAPBEXresData" xfId="8535" xr:uid="{00000000-0005-0000-0000-0000BA7F0000}"/>
    <cellStyle name="SAPBEXresData 2" xfId="17074" xr:uid="{00000000-0005-0000-0000-0000BB7F0000}"/>
    <cellStyle name="SAPBEXresData 3" xfId="32794" xr:uid="{00000000-0005-0000-0000-0000BC7F0000}"/>
    <cellStyle name="SAPBEXresDataEmph" xfId="8536" xr:uid="{00000000-0005-0000-0000-0000BD7F0000}"/>
    <cellStyle name="SAPBEXresDataEmph 2" xfId="17075" xr:uid="{00000000-0005-0000-0000-0000BE7F0000}"/>
    <cellStyle name="SAPBEXresDataEmph 3" xfId="32795" xr:uid="{00000000-0005-0000-0000-0000BF7F0000}"/>
    <cellStyle name="SAPBEXresItem" xfId="8537" xr:uid="{00000000-0005-0000-0000-0000C07F0000}"/>
    <cellStyle name="SAPBEXresItem 2" xfId="17076" xr:uid="{00000000-0005-0000-0000-0000C17F0000}"/>
    <cellStyle name="SAPBEXresItem 3" xfId="32796" xr:uid="{00000000-0005-0000-0000-0000C27F0000}"/>
    <cellStyle name="SAPBEXresItemX" xfId="8538" xr:uid="{00000000-0005-0000-0000-0000C37F0000}"/>
    <cellStyle name="SAPBEXresItemX 2" xfId="17077" xr:uid="{00000000-0005-0000-0000-0000C47F0000}"/>
    <cellStyle name="SAPBEXresItemX 3" xfId="32797" xr:uid="{00000000-0005-0000-0000-0000C57F0000}"/>
    <cellStyle name="SAPBEXstdData" xfId="8539" xr:uid="{00000000-0005-0000-0000-0000C67F0000}"/>
    <cellStyle name="SAPBEXstdData 2" xfId="17078" xr:uid="{00000000-0005-0000-0000-0000C77F0000}"/>
    <cellStyle name="SAPBEXstdData 3" xfId="32798" xr:uid="{00000000-0005-0000-0000-0000C87F0000}"/>
    <cellStyle name="SAPBEXstdDataEmph" xfId="8540" xr:uid="{00000000-0005-0000-0000-0000C97F0000}"/>
    <cellStyle name="SAPBEXstdDataEmph 2" xfId="17079" xr:uid="{00000000-0005-0000-0000-0000CA7F0000}"/>
    <cellStyle name="SAPBEXstdDataEmph 3" xfId="32799" xr:uid="{00000000-0005-0000-0000-0000CB7F0000}"/>
    <cellStyle name="SAPBEXstdItem" xfId="8541" xr:uid="{00000000-0005-0000-0000-0000CC7F0000}"/>
    <cellStyle name="SAPBEXstdItem 2" xfId="17080" xr:uid="{00000000-0005-0000-0000-0000CD7F0000}"/>
    <cellStyle name="SAPBEXstdItem 3" xfId="32800" xr:uid="{00000000-0005-0000-0000-0000CE7F0000}"/>
    <cellStyle name="SAPBEXstdItemX" xfId="8542" xr:uid="{00000000-0005-0000-0000-0000CF7F0000}"/>
    <cellStyle name="SAPBEXstdItemX 2" xfId="17081" xr:uid="{00000000-0005-0000-0000-0000D07F0000}"/>
    <cellStyle name="SAPBEXstdItemX 3" xfId="32801" xr:uid="{00000000-0005-0000-0000-0000D17F0000}"/>
    <cellStyle name="SAPBEXtitle" xfId="8543" xr:uid="{00000000-0005-0000-0000-0000D27F0000}"/>
    <cellStyle name="SAPBEXtitle 2" xfId="17082" xr:uid="{00000000-0005-0000-0000-0000D37F0000}"/>
    <cellStyle name="SAPBEXtitle 3" xfId="32802" xr:uid="{00000000-0005-0000-0000-0000D47F0000}"/>
    <cellStyle name="SAPBEXundefined" xfId="8544" xr:uid="{00000000-0005-0000-0000-0000D57F0000}"/>
    <cellStyle name="SAPBEXundefined 2" xfId="17083" xr:uid="{00000000-0005-0000-0000-0000D67F0000}"/>
    <cellStyle name="SAPBEXundefined 3" xfId="32803" xr:uid="{00000000-0005-0000-0000-0000D77F0000}"/>
    <cellStyle name="Sheet Title" xfId="8545" xr:uid="{00000000-0005-0000-0000-0000D87F0000}"/>
    <cellStyle name="Sheet Title 2" xfId="17084" xr:uid="{00000000-0005-0000-0000-0000D97F0000}"/>
    <cellStyle name="Sheet Title 3" xfId="32804" xr:uid="{00000000-0005-0000-0000-0000DA7F0000}"/>
    <cellStyle name="TableStyleLight1" xfId="8546" xr:uid="{00000000-0005-0000-0000-0000DB7F0000}"/>
    <cellStyle name="TableStyleLight1 2" xfId="10419" xr:uid="{00000000-0005-0000-0000-0000DC7F0000}"/>
    <cellStyle name="TableStyleLight1 3" xfId="32805" xr:uid="{00000000-0005-0000-0000-0000DD7F0000}"/>
    <cellStyle name="Title" xfId="4" builtinId="15" customBuiltin="1"/>
    <cellStyle name="Title 10" xfId="8547" xr:uid="{00000000-0005-0000-0000-0000DF7F0000}"/>
    <cellStyle name="Title 10 2" xfId="8548" xr:uid="{00000000-0005-0000-0000-0000E07F0000}"/>
    <cellStyle name="Title 10 2 2" xfId="11690" xr:uid="{00000000-0005-0000-0000-0000E17F0000}"/>
    <cellStyle name="Title 10 2 3" xfId="32807" xr:uid="{00000000-0005-0000-0000-0000E27F0000}"/>
    <cellStyle name="Title 10 3" xfId="10421" xr:uid="{00000000-0005-0000-0000-0000E37F0000}"/>
    <cellStyle name="Title 10 4" xfId="32806" xr:uid="{00000000-0005-0000-0000-0000E47F0000}"/>
    <cellStyle name="Title 11" xfId="8549" xr:uid="{00000000-0005-0000-0000-0000E57F0000}"/>
    <cellStyle name="Title 11 2" xfId="8550" xr:uid="{00000000-0005-0000-0000-0000E67F0000}"/>
    <cellStyle name="Title 11 2 2" xfId="15787" xr:uid="{00000000-0005-0000-0000-0000E77F0000}"/>
    <cellStyle name="Title 11 2 3" xfId="32809" xr:uid="{00000000-0005-0000-0000-0000E87F0000}"/>
    <cellStyle name="Title 11 3" xfId="10422" xr:uid="{00000000-0005-0000-0000-0000E97F0000}"/>
    <cellStyle name="Title 11 4" xfId="32808" xr:uid="{00000000-0005-0000-0000-0000EA7F0000}"/>
    <cellStyle name="Title 12" xfId="8551" xr:uid="{00000000-0005-0000-0000-0000EB7F0000}"/>
    <cellStyle name="Title 12 2" xfId="8552" xr:uid="{00000000-0005-0000-0000-0000EC7F0000}"/>
    <cellStyle name="Title 12 2 2" xfId="15788" xr:uid="{00000000-0005-0000-0000-0000ED7F0000}"/>
    <cellStyle name="Title 12 2 3" xfId="32811" xr:uid="{00000000-0005-0000-0000-0000EE7F0000}"/>
    <cellStyle name="Title 12 3" xfId="10490" xr:uid="{00000000-0005-0000-0000-0000EF7F0000}"/>
    <cellStyle name="Title 12 4" xfId="32810" xr:uid="{00000000-0005-0000-0000-0000F07F0000}"/>
    <cellStyle name="Title 13" xfId="8553" xr:uid="{00000000-0005-0000-0000-0000F17F0000}"/>
    <cellStyle name="Title 13 2" xfId="11689" xr:uid="{00000000-0005-0000-0000-0000F27F0000}"/>
    <cellStyle name="Title 13 3" xfId="32812" xr:uid="{00000000-0005-0000-0000-0000F37F0000}"/>
    <cellStyle name="Title 14" xfId="8554" xr:uid="{00000000-0005-0000-0000-0000F47F0000}"/>
    <cellStyle name="Title 14 2" xfId="10420" xr:uid="{00000000-0005-0000-0000-0000F57F0000}"/>
    <cellStyle name="Title 14 3" xfId="32813" xr:uid="{00000000-0005-0000-0000-0000F67F0000}"/>
    <cellStyle name="Title 2" xfId="8555" xr:uid="{00000000-0005-0000-0000-0000F77F0000}"/>
    <cellStyle name="Title 2 2" xfId="8556" xr:uid="{00000000-0005-0000-0000-0000F87F0000}"/>
    <cellStyle name="Title 2 2 2" xfId="10424" xr:uid="{00000000-0005-0000-0000-0000F97F0000}"/>
    <cellStyle name="Title 2 2 3" xfId="32815" xr:uid="{00000000-0005-0000-0000-0000FA7F0000}"/>
    <cellStyle name="Title 2 3" xfId="8557" xr:uid="{00000000-0005-0000-0000-0000FB7F0000}"/>
    <cellStyle name="Title 2 3 2" xfId="13361" xr:uid="{00000000-0005-0000-0000-0000FC7F0000}"/>
    <cellStyle name="Title 2 3 3" xfId="32816" xr:uid="{00000000-0005-0000-0000-0000FD7F0000}"/>
    <cellStyle name="Title 2 4" xfId="10423" xr:uid="{00000000-0005-0000-0000-0000FE7F0000}"/>
    <cellStyle name="Title 2 5" xfId="32814" xr:uid="{00000000-0005-0000-0000-0000FF7F0000}"/>
    <cellStyle name="Title 3" xfId="8558" xr:uid="{00000000-0005-0000-0000-000000800000}"/>
    <cellStyle name="Title 3 2" xfId="8559" xr:uid="{00000000-0005-0000-0000-000001800000}"/>
    <cellStyle name="Title 3 2 2" xfId="10426" xr:uid="{00000000-0005-0000-0000-000002800000}"/>
    <cellStyle name="Title 3 2 3" xfId="32818" xr:uid="{00000000-0005-0000-0000-000003800000}"/>
    <cellStyle name="Title 3 3" xfId="8560" xr:uid="{00000000-0005-0000-0000-000004800000}"/>
    <cellStyle name="Title 3 3 2" xfId="13363" xr:uid="{00000000-0005-0000-0000-000005800000}"/>
    <cellStyle name="Title 3 3 3" xfId="32819" xr:uid="{00000000-0005-0000-0000-000006800000}"/>
    <cellStyle name="Title 3 4" xfId="8561" xr:uid="{00000000-0005-0000-0000-000007800000}"/>
    <cellStyle name="Title 3 4 2" xfId="13362" xr:uid="{00000000-0005-0000-0000-000008800000}"/>
    <cellStyle name="Title 3 4 3" xfId="32820" xr:uid="{00000000-0005-0000-0000-000009800000}"/>
    <cellStyle name="Title 3 5" xfId="10425" xr:uid="{00000000-0005-0000-0000-00000A800000}"/>
    <cellStyle name="Title 3 6" xfId="32817" xr:uid="{00000000-0005-0000-0000-00000B800000}"/>
    <cellStyle name="Title 4" xfId="8562" xr:uid="{00000000-0005-0000-0000-00000C800000}"/>
    <cellStyle name="Title 4 2" xfId="8563" xr:uid="{00000000-0005-0000-0000-00000D800000}"/>
    <cellStyle name="Title 4 2 2" xfId="8564" xr:uid="{00000000-0005-0000-0000-00000E800000}"/>
    <cellStyle name="Title 4 2 2 2" xfId="11692" xr:uid="{00000000-0005-0000-0000-00000F800000}"/>
    <cellStyle name="Title 4 2 2 3" xfId="32823" xr:uid="{00000000-0005-0000-0000-000010800000}"/>
    <cellStyle name="Title 4 2 3" xfId="10428" xr:uid="{00000000-0005-0000-0000-000011800000}"/>
    <cellStyle name="Title 4 2 4" xfId="32822" xr:uid="{00000000-0005-0000-0000-000012800000}"/>
    <cellStyle name="Title 4 3" xfId="8565" xr:uid="{00000000-0005-0000-0000-000013800000}"/>
    <cellStyle name="Title 4 3 2" xfId="11691" xr:uid="{00000000-0005-0000-0000-000014800000}"/>
    <cellStyle name="Title 4 3 3" xfId="32824" xr:uid="{00000000-0005-0000-0000-000015800000}"/>
    <cellStyle name="Title 4 4" xfId="8566" xr:uid="{00000000-0005-0000-0000-000016800000}"/>
    <cellStyle name="Title 4 4 2" xfId="13364" xr:uid="{00000000-0005-0000-0000-000017800000}"/>
    <cellStyle name="Title 4 4 3" xfId="32825" xr:uid="{00000000-0005-0000-0000-000018800000}"/>
    <cellStyle name="Title 4 5" xfId="8567" xr:uid="{00000000-0005-0000-0000-000019800000}"/>
    <cellStyle name="Title 4 5 2" xfId="15789" xr:uid="{00000000-0005-0000-0000-00001A800000}"/>
    <cellStyle name="Title 4 5 3" xfId="32826" xr:uid="{00000000-0005-0000-0000-00001B800000}"/>
    <cellStyle name="Title 4 6" xfId="10427" xr:uid="{00000000-0005-0000-0000-00001C800000}"/>
    <cellStyle name="Title 4 7" xfId="32821" xr:uid="{00000000-0005-0000-0000-00001D800000}"/>
    <cellStyle name="Title 5" xfId="8568" xr:uid="{00000000-0005-0000-0000-00001E800000}"/>
    <cellStyle name="Title 5 2" xfId="8569" xr:uid="{00000000-0005-0000-0000-00001F800000}"/>
    <cellStyle name="Title 5 2 2" xfId="8570" xr:uid="{00000000-0005-0000-0000-000020800000}"/>
    <cellStyle name="Title 5 2 2 2" xfId="11694" xr:uid="{00000000-0005-0000-0000-000021800000}"/>
    <cellStyle name="Title 5 2 2 3" xfId="32829" xr:uid="{00000000-0005-0000-0000-000022800000}"/>
    <cellStyle name="Title 5 2 3" xfId="10430" xr:uid="{00000000-0005-0000-0000-000023800000}"/>
    <cellStyle name="Title 5 2 4" xfId="32828" xr:uid="{00000000-0005-0000-0000-000024800000}"/>
    <cellStyle name="Title 5 3" xfId="8571" xr:uid="{00000000-0005-0000-0000-000025800000}"/>
    <cellStyle name="Title 5 3 2" xfId="11693" xr:uid="{00000000-0005-0000-0000-000026800000}"/>
    <cellStyle name="Title 5 3 3" xfId="32830" xr:uid="{00000000-0005-0000-0000-000027800000}"/>
    <cellStyle name="Title 5 4" xfId="10429" xr:uid="{00000000-0005-0000-0000-000028800000}"/>
    <cellStyle name="Title 5 5" xfId="32827" xr:uid="{00000000-0005-0000-0000-000029800000}"/>
    <cellStyle name="Title 6" xfId="8572" xr:uid="{00000000-0005-0000-0000-00002A800000}"/>
    <cellStyle name="Title 6 2" xfId="8573" xr:uid="{00000000-0005-0000-0000-00002B800000}"/>
    <cellStyle name="Title 6 2 2" xfId="11695" xr:uid="{00000000-0005-0000-0000-00002C800000}"/>
    <cellStyle name="Title 6 2 3" xfId="32832" xr:uid="{00000000-0005-0000-0000-00002D800000}"/>
    <cellStyle name="Title 6 3" xfId="10431" xr:uid="{00000000-0005-0000-0000-00002E800000}"/>
    <cellStyle name="Title 6 4" xfId="32831" xr:uid="{00000000-0005-0000-0000-00002F800000}"/>
    <cellStyle name="Title 7" xfId="8574" xr:uid="{00000000-0005-0000-0000-000030800000}"/>
    <cellStyle name="Title 7 2" xfId="8575" xr:uid="{00000000-0005-0000-0000-000031800000}"/>
    <cellStyle name="Title 7 2 2" xfId="11696" xr:uid="{00000000-0005-0000-0000-000032800000}"/>
    <cellStyle name="Title 7 2 3" xfId="32834" xr:uid="{00000000-0005-0000-0000-000033800000}"/>
    <cellStyle name="Title 7 3" xfId="10432" xr:uid="{00000000-0005-0000-0000-000034800000}"/>
    <cellStyle name="Title 7 4" xfId="32833" xr:uid="{00000000-0005-0000-0000-000035800000}"/>
    <cellStyle name="Title 8" xfId="8576" xr:uid="{00000000-0005-0000-0000-000036800000}"/>
    <cellStyle name="Title 8 2" xfId="8577" xr:uid="{00000000-0005-0000-0000-000037800000}"/>
    <cellStyle name="Title 8 2 2" xfId="11697" xr:uid="{00000000-0005-0000-0000-000038800000}"/>
    <cellStyle name="Title 8 2 3" xfId="32836" xr:uid="{00000000-0005-0000-0000-000039800000}"/>
    <cellStyle name="Title 8 3" xfId="10433" xr:uid="{00000000-0005-0000-0000-00003A800000}"/>
    <cellStyle name="Title 8 4" xfId="32835" xr:uid="{00000000-0005-0000-0000-00003B800000}"/>
    <cellStyle name="Title 9" xfId="8578" xr:uid="{00000000-0005-0000-0000-00003C800000}"/>
    <cellStyle name="Title 9 2" xfId="8579" xr:uid="{00000000-0005-0000-0000-00003D800000}"/>
    <cellStyle name="Title 9 2 2" xfId="11698" xr:uid="{00000000-0005-0000-0000-00003E800000}"/>
    <cellStyle name="Title 9 2 3" xfId="32838" xr:uid="{00000000-0005-0000-0000-00003F800000}"/>
    <cellStyle name="Title 9 3" xfId="10434" xr:uid="{00000000-0005-0000-0000-000040800000}"/>
    <cellStyle name="Title 9 4" xfId="32837" xr:uid="{00000000-0005-0000-0000-000041800000}"/>
    <cellStyle name="Total" xfId="16" builtinId="25" customBuiltin="1"/>
    <cellStyle name="Total 10" xfId="8580" xr:uid="{00000000-0005-0000-0000-000043800000}"/>
    <cellStyle name="Total 10 2" xfId="8741" xr:uid="{00000000-0005-0000-0000-000044800000}"/>
    <cellStyle name="Total 10 3" xfId="32839" xr:uid="{00000000-0005-0000-0000-000045800000}"/>
    <cellStyle name="Total 11" xfId="8581" xr:uid="{00000000-0005-0000-0000-000046800000}"/>
    <cellStyle name="Total 11 2" xfId="8742" xr:uid="{00000000-0005-0000-0000-000047800000}"/>
    <cellStyle name="Total 11 3" xfId="32840" xr:uid="{00000000-0005-0000-0000-000048800000}"/>
    <cellStyle name="Total 12" xfId="8582" xr:uid="{00000000-0005-0000-0000-000049800000}"/>
    <cellStyle name="Total 12 2" xfId="8743" xr:uid="{00000000-0005-0000-0000-00004A800000}"/>
    <cellStyle name="Total 12 3" xfId="32841" xr:uid="{00000000-0005-0000-0000-00004B800000}"/>
    <cellStyle name="Total 13" xfId="8583" xr:uid="{00000000-0005-0000-0000-00004C800000}"/>
    <cellStyle name="Total 13 2" xfId="8744" xr:uid="{00000000-0005-0000-0000-00004D800000}"/>
    <cellStyle name="Total 13 3" xfId="32842" xr:uid="{00000000-0005-0000-0000-00004E800000}"/>
    <cellStyle name="Total 14" xfId="8584" xr:uid="{00000000-0005-0000-0000-00004F800000}"/>
    <cellStyle name="Total 14 2" xfId="8745" xr:uid="{00000000-0005-0000-0000-000050800000}"/>
    <cellStyle name="Total 14 3" xfId="32843" xr:uid="{00000000-0005-0000-0000-000051800000}"/>
    <cellStyle name="Total 15" xfId="8585" xr:uid="{00000000-0005-0000-0000-000052800000}"/>
    <cellStyle name="Total 15 2" xfId="8746" xr:uid="{00000000-0005-0000-0000-000053800000}"/>
    <cellStyle name="Total 15 3" xfId="32844" xr:uid="{00000000-0005-0000-0000-000054800000}"/>
    <cellStyle name="Total 16" xfId="8586" xr:uid="{00000000-0005-0000-0000-000055800000}"/>
    <cellStyle name="Total 16 2" xfId="8747" xr:uid="{00000000-0005-0000-0000-000056800000}"/>
    <cellStyle name="Total 16 3" xfId="32845" xr:uid="{00000000-0005-0000-0000-000057800000}"/>
    <cellStyle name="Total 17" xfId="8587" xr:uid="{00000000-0005-0000-0000-000058800000}"/>
    <cellStyle name="Total 17 2" xfId="8748" xr:uid="{00000000-0005-0000-0000-000059800000}"/>
    <cellStyle name="Total 17 3" xfId="32846" xr:uid="{00000000-0005-0000-0000-00005A800000}"/>
    <cellStyle name="Total 18" xfId="8588" xr:uid="{00000000-0005-0000-0000-00005B800000}"/>
    <cellStyle name="Total 18 2" xfId="8749" xr:uid="{00000000-0005-0000-0000-00005C800000}"/>
    <cellStyle name="Total 18 3" xfId="32847" xr:uid="{00000000-0005-0000-0000-00005D800000}"/>
    <cellStyle name="Total 19" xfId="8589" xr:uid="{00000000-0005-0000-0000-00005E800000}"/>
    <cellStyle name="Total 19 2" xfId="8750" xr:uid="{00000000-0005-0000-0000-00005F800000}"/>
    <cellStyle name="Total 19 3" xfId="32848" xr:uid="{00000000-0005-0000-0000-000060800000}"/>
    <cellStyle name="Total 2" xfId="8590" xr:uid="{00000000-0005-0000-0000-000061800000}"/>
    <cellStyle name="Total 2 10" xfId="8591" xr:uid="{00000000-0005-0000-0000-000062800000}"/>
    <cellStyle name="Total 2 10 2" xfId="8592" xr:uid="{00000000-0005-0000-0000-000063800000}"/>
    <cellStyle name="Total 2 10 2 2" xfId="17344" xr:uid="{00000000-0005-0000-0000-000064800000}"/>
    <cellStyle name="Total 2 10 2 3" xfId="32851" xr:uid="{00000000-0005-0000-0000-000065800000}"/>
    <cellStyle name="Total 2 10 3" xfId="8751" xr:uid="{00000000-0005-0000-0000-000066800000}"/>
    <cellStyle name="Total 2 10 4" xfId="10435" xr:uid="{00000000-0005-0000-0000-000067800000}"/>
    <cellStyle name="Total 2 10 5" xfId="32850" xr:uid="{00000000-0005-0000-0000-000068800000}"/>
    <cellStyle name="Total 2 11" xfId="8593" xr:uid="{00000000-0005-0000-0000-000069800000}"/>
    <cellStyle name="Total 2 11 2" xfId="8594" xr:uid="{00000000-0005-0000-0000-00006A800000}"/>
    <cellStyle name="Total 2 11 2 2" xfId="17345" xr:uid="{00000000-0005-0000-0000-00006B800000}"/>
    <cellStyle name="Total 2 11 2 3" xfId="32853" xr:uid="{00000000-0005-0000-0000-00006C800000}"/>
    <cellStyle name="Total 2 11 3" xfId="8752" xr:uid="{00000000-0005-0000-0000-00006D800000}"/>
    <cellStyle name="Total 2 11 4" xfId="10436" xr:uid="{00000000-0005-0000-0000-00006E800000}"/>
    <cellStyle name="Total 2 11 5" xfId="32852" xr:uid="{00000000-0005-0000-0000-00006F800000}"/>
    <cellStyle name="Total 2 12" xfId="8595" xr:uid="{00000000-0005-0000-0000-000070800000}"/>
    <cellStyle name="Total 2 12 2" xfId="8596" xr:uid="{00000000-0005-0000-0000-000071800000}"/>
    <cellStyle name="Total 2 12 2 2" xfId="17346" xr:uid="{00000000-0005-0000-0000-000072800000}"/>
    <cellStyle name="Total 2 12 2 3" xfId="32855" xr:uid="{00000000-0005-0000-0000-000073800000}"/>
    <cellStyle name="Total 2 12 3" xfId="8753" xr:uid="{00000000-0005-0000-0000-000074800000}"/>
    <cellStyle name="Total 2 12 4" xfId="10437" xr:uid="{00000000-0005-0000-0000-000075800000}"/>
    <cellStyle name="Total 2 12 5" xfId="32854" xr:uid="{00000000-0005-0000-0000-000076800000}"/>
    <cellStyle name="Total 2 13" xfId="8597" xr:uid="{00000000-0005-0000-0000-000077800000}"/>
    <cellStyle name="Total 2 13 2" xfId="8598" xr:uid="{00000000-0005-0000-0000-000078800000}"/>
    <cellStyle name="Total 2 13 2 2" xfId="17347" xr:uid="{00000000-0005-0000-0000-000079800000}"/>
    <cellStyle name="Total 2 13 2 3" xfId="32857" xr:uid="{00000000-0005-0000-0000-00007A800000}"/>
    <cellStyle name="Total 2 13 3" xfId="8754" xr:uid="{00000000-0005-0000-0000-00007B800000}"/>
    <cellStyle name="Total 2 13 4" xfId="10438" xr:uid="{00000000-0005-0000-0000-00007C800000}"/>
    <cellStyle name="Total 2 13 5" xfId="32856" xr:uid="{00000000-0005-0000-0000-00007D800000}"/>
    <cellStyle name="Total 2 14" xfId="8599" xr:uid="{00000000-0005-0000-0000-00007E800000}"/>
    <cellStyle name="Total 2 14 2" xfId="8600" xr:uid="{00000000-0005-0000-0000-00007F800000}"/>
    <cellStyle name="Total 2 14 2 2" xfId="15790" xr:uid="{00000000-0005-0000-0000-000080800000}"/>
    <cellStyle name="Total 2 14 2 3" xfId="32859" xr:uid="{00000000-0005-0000-0000-000081800000}"/>
    <cellStyle name="Total 2 14 3" xfId="8601" xr:uid="{00000000-0005-0000-0000-000082800000}"/>
    <cellStyle name="Total 2 14 3 2" xfId="17356" xr:uid="{00000000-0005-0000-0000-000083800000}"/>
    <cellStyle name="Total 2 14 3 3" xfId="32860" xr:uid="{00000000-0005-0000-0000-000084800000}"/>
    <cellStyle name="Total 2 14 4" xfId="8755" xr:uid="{00000000-0005-0000-0000-000085800000}"/>
    <cellStyle name="Total 2 14 5" xfId="10491" xr:uid="{00000000-0005-0000-0000-000086800000}"/>
    <cellStyle name="Total 2 14 6" xfId="32858" xr:uid="{00000000-0005-0000-0000-000087800000}"/>
    <cellStyle name="Total 2 15" xfId="8602" xr:uid="{00000000-0005-0000-0000-000088800000}"/>
    <cellStyle name="Total 2 15 2" xfId="8756" xr:uid="{00000000-0005-0000-0000-000089800000}"/>
    <cellStyle name="Total 2 15 3" xfId="32861" xr:uid="{00000000-0005-0000-0000-00008A800000}"/>
    <cellStyle name="Total 2 16" xfId="8603" xr:uid="{00000000-0005-0000-0000-00008B800000}"/>
    <cellStyle name="Total 2 16 2" xfId="8757" xr:uid="{00000000-0005-0000-0000-00008C800000}"/>
    <cellStyle name="Total 2 16 3" xfId="32862" xr:uid="{00000000-0005-0000-0000-00008D800000}"/>
    <cellStyle name="Total 2 17" xfId="8604" xr:uid="{00000000-0005-0000-0000-00008E800000}"/>
    <cellStyle name="Total 2 17 2" xfId="8758" xr:uid="{00000000-0005-0000-0000-00008F800000}"/>
    <cellStyle name="Total 2 17 3" xfId="32863" xr:uid="{00000000-0005-0000-0000-000090800000}"/>
    <cellStyle name="Total 2 18" xfId="8605" xr:uid="{00000000-0005-0000-0000-000091800000}"/>
    <cellStyle name="Total 2 18 2" xfId="8759" xr:uid="{00000000-0005-0000-0000-000092800000}"/>
    <cellStyle name="Total 2 18 3" xfId="32864" xr:uid="{00000000-0005-0000-0000-000093800000}"/>
    <cellStyle name="Total 2 19" xfId="8689" xr:uid="{00000000-0005-0000-0000-000094800000}"/>
    <cellStyle name="Total 2 2" xfId="8606" xr:uid="{00000000-0005-0000-0000-000095800000}"/>
    <cellStyle name="Total 2 2 2" xfId="8607" xr:uid="{00000000-0005-0000-0000-000096800000}"/>
    <cellStyle name="Total 2 2 2 2" xfId="10440" xr:uid="{00000000-0005-0000-0000-000097800000}"/>
    <cellStyle name="Total 2 2 2 3" xfId="32866" xr:uid="{00000000-0005-0000-0000-000098800000}"/>
    <cellStyle name="Total 2 2 3" xfId="8608" xr:uid="{00000000-0005-0000-0000-000099800000}"/>
    <cellStyle name="Total 2 2 3 2" xfId="8609" xr:uid="{00000000-0005-0000-0000-00009A800000}"/>
    <cellStyle name="Total 2 2 3 2 2" xfId="15791" xr:uid="{00000000-0005-0000-0000-00009B800000}"/>
    <cellStyle name="Total 2 2 3 2 3" xfId="32868" xr:uid="{00000000-0005-0000-0000-00009C800000}"/>
    <cellStyle name="Total 2 2 3 3" xfId="11723" xr:uid="{00000000-0005-0000-0000-00009D800000}"/>
    <cellStyle name="Total 2 2 3 4" xfId="32867" xr:uid="{00000000-0005-0000-0000-00009E800000}"/>
    <cellStyle name="Total 2 2 4" xfId="8610" xr:uid="{00000000-0005-0000-0000-00009F800000}"/>
    <cellStyle name="Total 2 2 4 2" xfId="12091" xr:uid="{00000000-0005-0000-0000-0000A0800000}"/>
    <cellStyle name="Total 2 2 4 3" xfId="32869" xr:uid="{00000000-0005-0000-0000-0000A1800000}"/>
    <cellStyle name="Total 2 2 5" xfId="8611" xr:uid="{00000000-0005-0000-0000-0000A2800000}"/>
    <cellStyle name="Total 2 2 5 2" xfId="17348" xr:uid="{00000000-0005-0000-0000-0000A3800000}"/>
    <cellStyle name="Total 2 2 5 3" xfId="32870" xr:uid="{00000000-0005-0000-0000-0000A4800000}"/>
    <cellStyle name="Total 2 2 6" xfId="8760" xr:uid="{00000000-0005-0000-0000-0000A5800000}"/>
    <cellStyle name="Total 2 2 7" xfId="10439" xr:uid="{00000000-0005-0000-0000-0000A6800000}"/>
    <cellStyle name="Total 2 2 8" xfId="32865" xr:uid="{00000000-0005-0000-0000-0000A7800000}"/>
    <cellStyle name="Total 2 20" xfId="32849" xr:uid="{00000000-0005-0000-0000-0000A8800000}"/>
    <cellStyle name="Total 2 3" xfId="8612" xr:uid="{00000000-0005-0000-0000-0000A9800000}"/>
    <cellStyle name="Total 2 3 2" xfId="8613" xr:uid="{00000000-0005-0000-0000-0000AA800000}"/>
    <cellStyle name="Total 2 3 2 2" xfId="10442" xr:uid="{00000000-0005-0000-0000-0000AB800000}"/>
    <cellStyle name="Total 2 3 2 3" xfId="32872" xr:uid="{00000000-0005-0000-0000-0000AC800000}"/>
    <cellStyle name="Total 2 3 3" xfId="8614" xr:uid="{00000000-0005-0000-0000-0000AD800000}"/>
    <cellStyle name="Total 2 3 3 2" xfId="17349" xr:uid="{00000000-0005-0000-0000-0000AE800000}"/>
    <cellStyle name="Total 2 3 3 3" xfId="32873" xr:uid="{00000000-0005-0000-0000-0000AF800000}"/>
    <cellStyle name="Total 2 3 4" xfId="8761" xr:uid="{00000000-0005-0000-0000-0000B0800000}"/>
    <cellStyle name="Total 2 3 5" xfId="10441" xr:uid="{00000000-0005-0000-0000-0000B1800000}"/>
    <cellStyle name="Total 2 3 6" xfId="32871" xr:uid="{00000000-0005-0000-0000-0000B2800000}"/>
    <cellStyle name="Total 2 4" xfId="8615" xr:uid="{00000000-0005-0000-0000-0000B3800000}"/>
    <cellStyle name="Total 2 4 2" xfId="8616" xr:uid="{00000000-0005-0000-0000-0000B4800000}"/>
    <cellStyle name="Total 2 4 2 2" xfId="10444" xr:uid="{00000000-0005-0000-0000-0000B5800000}"/>
    <cellStyle name="Total 2 4 2 3" xfId="32875" xr:uid="{00000000-0005-0000-0000-0000B6800000}"/>
    <cellStyle name="Total 2 4 3" xfId="8617" xr:uid="{00000000-0005-0000-0000-0000B7800000}"/>
    <cellStyle name="Total 2 4 3 2" xfId="17350" xr:uid="{00000000-0005-0000-0000-0000B8800000}"/>
    <cellStyle name="Total 2 4 3 3" xfId="32876" xr:uid="{00000000-0005-0000-0000-0000B9800000}"/>
    <cellStyle name="Total 2 4 4" xfId="8762" xr:uid="{00000000-0005-0000-0000-0000BA800000}"/>
    <cellStyle name="Total 2 4 5" xfId="10443" xr:uid="{00000000-0005-0000-0000-0000BB800000}"/>
    <cellStyle name="Total 2 4 6" xfId="32874" xr:uid="{00000000-0005-0000-0000-0000BC800000}"/>
    <cellStyle name="Total 2 5" xfId="8618" xr:uid="{00000000-0005-0000-0000-0000BD800000}"/>
    <cellStyle name="Total 2 5 2" xfId="8619" xr:uid="{00000000-0005-0000-0000-0000BE800000}"/>
    <cellStyle name="Total 2 5 2 2" xfId="13366" xr:uid="{00000000-0005-0000-0000-0000BF800000}"/>
    <cellStyle name="Total 2 5 2 3" xfId="32878" xr:uid="{00000000-0005-0000-0000-0000C0800000}"/>
    <cellStyle name="Total 2 5 3" xfId="8620" xr:uid="{00000000-0005-0000-0000-0000C1800000}"/>
    <cellStyle name="Total 2 5 3 2" xfId="13365" xr:uid="{00000000-0005-0000-0000-0000C2800000}"/>
    <cellStyle name="Total 2 5 3 3" xfId="32879" xr:uid="{00000000-0005-0000-0000-0000C3800000}"/>
    <cellStyle name="Total 2 5 4" xfId="8621" xr:uid="{00000000-0005-0000-0000-0000C4800000}"/>
    <cellStyle name="Total 2 5 4 2" xfId="17351" xr:uid="{00000000-0005-0000-0000-0000C5800000}"/>
    <cellStyle name="Total 2 5 4 3" xfId="32880" xr:uid="{00000000-0005-0000-0000-0000C6800000}"/>
    <cellStyle name="Total 2 5 5" xfId="8763" xr:uid="{00000000-0005-0000-0000-0000C7800000}"/>
    <cellStyle name="Total 2 5 6" xfId="10445" xr:uid="{00000000-0005-0000-0000-0000C8800000}"/>
    <cellStyle name="Total 2 5 7" xfId="32877" xr:uid="{00000000-0005-0000-0000-0000C9800000}"/>
    <cellStyle name="Total 2 6" xfId="8622" xr:uid="{00000000-0005-0000-0000-0000CA800000}"/>
    <cellStyle name="Total 2 6 2" xfId="8623" xr:uid="{00000000-0005-0000-0000-0000CB800000}"/>
    <cellStyle name="Total 2 6 2 2" xfId="17352" xr:uid="{00000000-0005-0000-0000-0000CC800000}"/>
    <cellStyle name="Total 2 6 2 3" xfId="32882" xr:uid="{00000000-0005-0000-0000-0000CD800000}"/>
    <cellStyle name="Total 2 6 3" xfId="8764" xr:uid="{00000000-0005-0000-0000-0000CE800000}"/>
    <cellStyle name="Total 2 6 4" xfId="10446" xr:uid="{00000000-0005-0000-0000-0000CF800000}"/>
    <cellStyle name="Total 2 6 5" xfId="32881" xr:uid="{00000000-0005-0000-0000-0000D0800000}"/>
    <cellStyle name="Total 2 7" xfId="8624" xr:uid="{00000000-0005-0000-0000-0000D1800000}"/>
    <cellStyle name="Total 2 7 2" xfId="8625" xr:uid="{00000000-0005-0000-0000-0000D2800000}"/>
    <cellStyle name="Total 2 7 2 2" xfId="10448" xr:uid="{00000000-0005-0000-0000-0000D3800000}"/>
    <cellStyle name="Total 2 7 2 3" xfId="32884" xr:uid="{00000000-0005-0000-0000-0000D4800000}"/>
    <cellStyle name="Total 2 7 3" xfId="8626" xr:uid="{00000000-0005-0000-0000-0000D5800000}"/>
    <cellStyle name="Total 2 7 3 2" xfId="17353" xr:uid="{00000000-0005-0000-0000-0000D6800000}"/>
    <cellStyle name="Total 2 7 3 3" xfId="32885" xr:uid="{00000000-0005-0000-0000-0000D7800000}"/>
    <cellStyle name="Total 2 7 4" xfId="8765" xr:uid="{00000000-0005-0000-0000-0000D8800000}"/>
    <cellStyle name="Total 2 7 5" xfId="10447" xr:uid="{00000000-0005-0000-0000-0000D9800000}"/>
    <cellStyle name="Total 2 7 6" xfId="32883" xr:uid="{00000000-0005-0000-0000-0000DA800000}"/>
    <cellStyle name="Total 2 8" xfId="8627" xr:uid="{00000000-0005-0000-0000-0000DB800000}"/>
    <cellStyle name="Total 2 8 2" xfId="8628" xr:uid="{00000000-0005-0000-0000-0000DC800000}"/>
    <cellStyle name="Total 2 8 2 2" xfId="17354" xr:uid="{00000000-0005-0000-0000-0000DD800000}"/>
    <cellStyle name="Total 2 8 2 3" xfId="32887" xr:uid="{00000000-0005-0000-0000-0000DE800000}"/>
    <cellStyle name="Total 2 8 3" xfId="8766" xr:uid="{00000000-0005-0000-0000-0000DF800000}"/>
    <cellStyle name="Total 2 8 4" xfId="10449" xr:uid="{00000000-0005-0000-0000-0000E0800000}"/>
    <cellStyle name="Total 2 8 5" xfId="32886" xr:uid="{00000000-0005-0000-0000-0000E1800000}"/>
    <cellStyle name="Total 2 9" xfId="8629" xr:uid="{00000000-0005-0000-0000-0000E2800000}"/>
    <cellStyle name="Total 2 9 2" xfId="8630" xr:uid="{00000000-0005-0000-0000-0000E3800000}"/>
    <cellStyle name="Total 2 9 2 2" xfId="17355" xr:uid="{00000000-0005-0000-0000-0000E4800000}"/>
    <cellStyle name="Total 2 9 2 3" xfId="32889" xr:uid="{00000000-0005-0000-0000-0000E5800000}"/>
    <cellStyle name="Total 2 9 3" xfId="8767" xr:uid="{00000000-0005-0000-0000-0000E6800000}"/>
    <cellStyle name="Total 2 9 4" xfId="10450" xr:uid="{00000000-0005-0000-0000-0000E7800000}"/>
    <cellStyle name="Total 2 9 5" xfId="32888" xr:uid="{00000000-0005-0000-0000-0000E8800000}"/>
    <cellStyle name="Total 20" xfId="8631" xr:uid="{00000000-0005-0000-0000-0000E9800000}"/>
    <cellStyle name="Total 20 2" xfId="8768" xr:uid="{00000000-0005-0000-0000-0000EA800000}"/>
    <cellStyle name="Total 20 3" xfId="32890" xr:uid="{00000000-0005-0000-0000-0000EB800000}"/>
    <cellStyle name="Total 3" xfId="8632" xr:uid="{00000000-0005-0000-0000-0000EC800000}"/>
    <cellStyle name="Total 3 2" xfId="8664" xr:uid="{00000000-0005-0000-0000-0000ED800000}"/>
    <cellStyle name="Total 3 3" xfId="32891" xr:uid="{00000000-0005-0000-0000-0000EE800000}"/>
    <cellStyle name="Total 4" xfId="8633" xr:uid="{00000000-0005-0000-0000-0000EF800000}"/>
    <cellStyle name="Total 4 2" xfId="8769" xr:uid="{00000000-0005-0000-0000-0000F0800000}"/>
    <cellStyle name="Total 4 3" xfId="32892" xr:uid="{00000000-0005-0000-0000-0000F1800000}"/>
    <cellStyle name="Total 5" xfId="8634" xr:uid="{00000000-0005-0000-0000-0000F2800000}"/>
    <cellStyle name="Total 5 2" xfId="8770" xr:uid="{00000000-0005-0000-0000-0000F3800000}"/>
    <cellStyle name="Total 5 3" xfId="32893" xr:uid="{00000000-0005-0000-0000-0000F4800000}"/>
    <cellStyle name="Total 6" xfId="8635" xr:uid="{00000000-0005-0000-0000-0000F5800000}"/>
    <cellStyle name="Total 6 2" xfId="8771" xr:uid="{00000000-0005-0000-0000-0000F6800000}"/>
    <cellStyle name="Total 6 3" xfId="32894" xr:uid="{00000000-0005-0000-0000-0000F7800000}"/>
    <cellStyle name="Total 7" xfId="8636" xr:uid="{00000000-0005-0000-0000-0000F8800000}"/>
    <cellStyle name="Total 7 2" xfId="8772" xr:uid="{00000000-0005-0000-0000-0000F9800000}"/>
    <cellStyle name="Total 7 3" xfId="32895" xr:uid="{00000000-0005-0000-0000-0000FA800000}"/>
    <cellStyle name="Total 8" xfId="8637" xr:uid="{00000000-0005-0000-0000-0000FB800000}"/>
    <cellStyle name="Total 8 2" xfId="8773" xr:uid="{00000000-0005-0000-0000-0000FC800000}"/>
    <cellStyle name="Total 8 3" xfId="32896" xr:uid="{00000000-0005-0000-0000-0000FD800000}"/>
    <cellStyle name="Total 9" xfId="8638" xr:uid="{00000000-0005-0000-0000-0000FE800000}"/>
    <cellStyle name="Total 9 2" xfId="8774" xr:uid="{00000000-0005-0000-0000-0000FF800000}"/>
    <cellStyle name="Total 9 3" xfId="32897" xr:uid="{00000000-0005-0000-0000-000000810000}"/>
    <cellStyle name="Warning Text" xfId="33023" builtinId="11" customBuiltin="1"/>
    <cellStyle name="Warning Text 2" xfId="8803" xr:uid="{00000000-0005-0000-0000-000002810000}"/>
    <cellStyle name="Warning Text 3" xfId="32898" xr:uid="{00000000-0005-0000-0000-000003810000}"/>
    <cellStyle name="Warning Text 4" xfId="8639" xr:uid="{00000000-0005-0000-0000-000004810000}"/>
  </cellStyles>
  <dxfs count="48">
    <dxf>
      <font>
        <b/>
        <i val="0"/>
      </font>
      <fill>
        <patternFill>
          <fgColor indexed="64"/>
          <bgColor rgb="FFFF0000"/>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6" tint="-0.24994659260841701"/>
      </font>
    </dxf>
    <dxf>
      <font>
        <b/>
        <i val="0"/>
        <color rgb="FFFF0000"/>
      </font>
    </dxf>
    <dxf>
      <font>
        <b/>
        <i val="0"/>
        <strike val="0"/>
        <color theme="0"/>
      </font>
      <fill>
        <patternFill>
          <bgColor theme="6"/>
        </patternFill>
      </fill>
    </dxf>
    <dxf>
      <font>
        <b/>
        <i val="0"/>
        <color theme="0"/>
      </font>
      <fill>
        <patternFill>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6" tint="-0.24994659260841701"/>
      </font>
    </dxf>
    <dxf>
      <font>
        <b/>
        <i val="0"/>
        <color rgb="FFFF0000"/>
      </font>
    </dxf>
    <dxf>
      <font>
        <b/>
        <i val="0"/>
        <strike val="0"/>
        <color theme="0"/>
      </font>
      <fill>
        <patternFill>
          <bgColor theme="6"/>
        </patternFill>
      </fill>
    </dxf>
    <dxf>
      <font>
        <b/>
        <i val="0"/>
        <color theme="0"/>
      </font>
      <fill>
        <patternFill>
          <bgColor rgb="FFFF0000"/>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ill>
        <patternFill>
          <bgColor rgb="FFFCD4DD"/>
        </patternFill>
      </fill>
    </dxf>
    <dxf>
      <fill>
        <patternFill>
          <bgColor theme="6"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CD4DD"/>
      <color rgb="FFCC66FF"/>
      <color rgb="FFFFB3B3"/>
      <color rgb="FFFFFFCC"/>
      <color rgb="FFE2A7FF"/>
      <color rgb="FFFFB7B7"/>
      <color rgb="FFFFCDCD"/>
      <color rgb="FFFF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4</xdr:col>
      <xdr:colOff>10309</xdr:colOff>
      <xdr:row>7</xdr:row>
      <xdr:rowOff>186465</xdr:rowOff>
    </xdr:from>
    <xdr:to>
      <xdr:col>5</xdr:col>
      <xdr:colOff>22860</xdr:colOff>
      <xdr:row>27</xdr:row>
      <xdr:rowOff>7620</xdr:rowOff>
    </xdr:to>
    <xdr:cxnSp macro="">
      <xdr:nvCxnSpPr>
        <xdr:cNvPr id="5" name="Straight Arrow Connector 4" descr="Lower marker to show an expanded data set for the Net Proceeds of Minerals revenue contribution by county.">
          <a:extLst>
            <a:ext uri="{FF2B5EF4-FFF2-40B4-BE49-F238E27FC236}">
              <a16:creationId xmlns:a16="http://schemas.microsoft.com/office/drawing/2014/main" id="{00000000-0008-0000-0600-000005000000}"/>
            </a:ext>
          </a:extLst>
        </xdr:cNvPr>
        <xdr:cNvCxnSpPr/>
      </xdr:nvCxnSpPr>
      <xdr:spPr>
        <a:xfrm>
          <a:off x="9710569" y="1420905"/>
          <a:ext cx="2329031" cy="32577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379239</xdr:colOff>
      <xdr:row>7</xdr:row>
      <xdr:rowOff>1072429</xdr:rowOff>
    </xdr:from>
    <xdr:to>
      <xdr:col>10</xdr:col>
      <xdr:colOff>511455</xdr:colOff>
      <xdr:row>8</xdr:row>
      <xdr:rowOff>608416</xdr:rowOff>
    </xdr:to>
    <xdr:sp macro="" textlink="">
      <xdr:nvSpPr>
        <xdr:cNvPr id="3" name="Rectangle 2">
          <a:extLst>
            <a:ext uri="{FF2B5EF4-FFF2-40B4-BE49-F238E27FC236}">
              <a16:creationId xmlns:a16="http://schemas.microsoft.com/office/drawing/2014/main" id="{00000000-0008-0000-1E00-000003000000}"/>
            </a:ext>
          </a:extLst>
        </xdr:cNvPr>
        <xdr:cNvSpPr/>
      </xdr:nvSpPr>
      <xdr:spPr>
        <a:xfrm>
          <a:off x="11356272" y="2317029"/>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clientData/>
  </xdr:twoCellAnchor>
  <xdr:twoCellAnchor>
    <xdr:from>
      <xdr:col>6</xdr:col>
      <xdr:colOff>391728</xdr:colOff>
      <xdr:row>9</xdr:row>
      <xdr:rowOff>905119</xdr:rowOff>
    </xdr:from>
    <xdr:to>
      <xdr:col>10</xdr:col>
      <xdr:colOff>523944</xdr:colOff>
      <xdr:row>10</xdr:row>
      <xdr:rowOff>67939</xdr:rowOff>
    </xdr:to>
    <xdr:sp macro="" textlink="">
      <xdr:nvSpPr>
        <xdr:cNvPr id="4" name="Rectangle 3">
          <a:extLst>
            <a:ext uri="{FF2B5EF4-FFF2-40B4-BE49-F238E27FC236}">
              <a16:creationId xmlns:a16="http://schemas.microsoft.com/office/drawing/2014/main" id="{00000000-0008-0000-1E00-000004000000}"/>
            </a:ext>
          </a:extLst>
        </xdr:cNvPr>
        <xdr:cNvSpPr/>
      </xdr:nvSpPr>
      <xdr:spPr>
        <a:xfrm>
          <a:off x="11368761" y="4300252"/>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clientData/>
  </xdr:twoCellAnchor>
  <xdr:twoCellAnchor>
    <xdr:from>
      <xdr:col>6</xdr:col>
      <xdr:colOff>400406</xdr:colOff>
      <xdr:row>12</xdr:row>
      <xdr:rowOff>105952</xdr:rowOff>
    </xdr:from>
    <xdr:to>
      <xdr:col>10</xdr:col>
      <xdr:colOff>532622</xdr:colOff>
      <xdr:row>16</xdr:row>
      <xdr:rowOff>159676</xdr:rowOff>
    </xdr:to>
    <xdr:sp macro="" textlink="">
      <xdr:nvSpPr>
        <xdr:cNvPr id="5" name="Rectangle 4">
          <a:extLst>
            <a:ext uri="{FF2B5EF4-FFF2-40B4-BE49-F238E27FC236}">
              <a16:creationId xmlns:a16="http://schemas.microsoft.com/office/drawing/2014/main" id="{00000000-0008-0000-1E00-000005000000}"/>
            </a:ext>
          </a:extLst>
        </xdr:cNvPr>
        <xdr:cNvSpPr/>
      </xdr:nvSpPr>
      <xdr:spPr>
        <a:xfrm>
          <a:off x="11377439" y="5469585"/>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Weighted Student Funding</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(Allocation of All Other Funds)</a:t>
          </a:r>
        </a:p>
      </xdr:txBody>
    </xdr:sp>
    <xdr:clientData/>
  </xdr:twoCellAnchor>
  <xdr:twoCellAnchor>
    <xdr:from>
      <xdr:col>6</xdr:col>
      <xdr:colOff>379239</xdr:colOff>
      <xdr:row>18</xdr:row>
      <xdr:rowOff>150651</xdr:rowOff>
    </xdr:from>
    <xdr:to>
      <xdr:col>10</xdr:col>
      <xdr:colOff>511455</xdr:colOff>
      <xdr:row>23</xdr:row>
      <xdr:rowOff>36947</xdr:rowOff>
    </xdr:to>
    <xdr:sp macro="" textlink="">
      <xdr:nvSpPr>
        <xdr:cNvPr id="6" name="Rectangle 5">
          <a:extLst>
            <a:ext uri="{FF2B5EF4-FFF2-40B4-BE49-F238E27FC236}">
              <a16:creationId xmlns:a16="http://schemas.microsoft.com/office/drawing/2014/main" id="{00000000-0008-0000-1E00-000006000000}"/>
            </a:ext>
          </a:extLst>
        </xdr:cNvPr>
        <xdr:cNvSpPr/>
      </xdr:nvSpPr>
      <xdr:spPr>
        <a:xfrm>
          <a:off x="11356272" y="6589551"/>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clientData/>
  </xdr:twoCellAnchor>
  <xdr:twoCellAnchor>
    <xdr:from>
      <xdr:col>6</xdr:col>
      <xdr:colOff>364067</xdr:colOff>
      <xdr:row>7</xdr:row>
      <xdr:rowOff>84244</xdr:rowOff>
    </xdr:from>
    <xdr:to>
      <xdr:col>10</xdr:col>
      <xdr:colOff>522817</xdr:colOff>
      <xdr:row>7</xdr:row>
      <xdr:rowOff>712047</xdr:rowOff>
    </xdr:to>
    <xdr:sp macro="" textlink="">
      <xdr:nvSpPr>
        <xdr:cNvPr id="7" name="Rectangle 6">
          <a:extLst>
            <a:ext uri="{FF2B5EF4-FFF2-40B4-BE49-F238E27FC236}">
              <a16:creationId xmlns:a16="http://schemas.microsoft.com/office/drawing/2014/main" id="{00000000-0008-0000-1E00-000007000000}"/>
            </a:ext>
          </a:extLst>
        </xdr:cNvPr>
        <xdr:cNvSpPr/>
      </xdr:nvSpPr>
      <xdr:spPr>
        <a:xfrm>
          <a:off x="11341100" y="1328844"/>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8</xdr:col>
      <xdr:colOff>435822</xdr:colOff>
      <xdr:row>7</xdr:row>
      <xdr:rowOff>712047</xdr:rowOff>
    </xdr:from>
    <xdr:to>
      <xdr:col>8</xdr:col>
      <xdr:colOff>440584</xdr:colOff>
      <xdr:row>7</xdr:row>
      <xdr:rowOff>1033357</xdr:rowOff>
    </xdr:to>
    <xdr:cxnSp macro="">
      <xdr:nvCxnSpPr>
        <xdr:cNvPr id="8" name="Straight Arrow Connector 7">
          <a:extLst>
            <a:ext uri="{FF2B5EF4-FFF2-40B4-BE49-F238E27FC236}">
              <a16:creationId xmlns:a16="http://schemas.microsoft.com/office/drawing/2014/main" id="{00000000-0008-0000-1E00-000008000000}"/>
            </a:ext>
          </a:extLst>
        </xdr:cNvPr>
        <xdr:cNvCxnSpPr>
          <a:stCxn id="7" idx="2"/>
        </xdr:cNvCxnSpPr>
      </xdr:nvCxnSpPr>
      <xdr:spPr>
        <a:xfrm flipH="1">
          <a:off x="12691322" y="1956647"/>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366395</xdr:colOff>
      <xdr:row>3</xdr:row>
      <xdr:rowOff>71967</xdr:rowOff>
    </xdr:from>
    <xdr:to>
      <xdr:col>10</xdr:col>
      <xdr:colOff>523240</xdr:colOff>
      <xdr:row>6</xdr:row>
      <xdr:rowOff>157692</xdr:rowOff>
    </xdr:to>
    <xdr:sp macro="" textlink="">
      <xdr:nvSpPr>
        <xdr:cNvPr id="9" name="Rectangle 8">
          <a:extLst>
            <a:ext uri="{FF2B5EF4-FFF2-40B4-BE49-F238E27FC236}">
              <a16:creationId xmlns:a16="http://schemas.microsoft.com/office/drawing/2014/main" id="{00000000-0008-0000-1E00-000009000000}"/>
            </a:ext>
          </a:extLst>
        </xdr:cNvPr>
        <xdr:cNvSpPr/>
      </xdr:nvSpPr>
      <xdr:spPr>
        <a:xfrm>
          <a:off x="11343428" y="605367"/>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8</xdr:col>
      <xdr:colOff>429472</xdr:colOff>
      <xdr:row>8</xdr:row>
      <xdr:rowOff>644314</xdr:rowOff>
    </xdr:from>
    <xdr:to>
      <xdr:col>8</xdr:col>
      <xdr:colOff>430424</xdr:colOff>
      <xdr:row>9</xdr:row>
      <xdr:rowOff>63924</xdr:rowOff>
    </xdr:to>
    <xdr:cxnSp macro="">
      <xdr:nvCxnSpPr>
        <xdr:cNvPr id="10" name="Straight Arrow Connector 9">
          <a:extLst>
            <a:ext uri="{FF2B5EF4-FFF2-40B4-BE49-F238E27FC236}">
              <a16:creationId xmlns:a16="http://schemas.microsoft.com/office/drawing/2014/main" id="{00000000-0008-0000-1E00-00000A000000}"/>
            </a:ext>
          </a:extLst>
        </xdr:cNvPr>
        <xdr:cNvCxnSpPr/>
      </xdr:nvCxnSpPr>
      <xdr:spPr>
        <a:xfrm flipH="1">
          <a:off x="12684972" y="3141981"/>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394056</xdr:colOff>
      <xdr:row>9</xdr:row>
      <xdr:rowOff>109769</xdr:rowOff>
    </xdr:from>
    <xdr:to>
      <xdr:col>10</xdr:col>
      <xdr:colOff>526272</xdr:colOff>
      <xdr:row>9</xdr:row>
      <xdr:rowOff>516467</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11371089" y="3504902"/>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lientData/>
  </xdr:twoCellAnchor>
  <xdr:twoCellAnchor>
    <xdr:from>
      <xdr:col>8</xdr:col>
      <xdr:colOff>427567</xdr:colOff>
      <xdr:row>9</xdr:row>
      <xdr:rowOff>559224</xdr:rowOff>
    </xdr:from>
    <xdr:to>
      <xdr:col>8</xdr:col>
      <xdr:colOff>428519</xdr:colOff>
      <xdr:row>9</xdr:row>
      <xdr:rowOff>880533</xdr:rowOff>
    </xdr:to>
    <xdr:cxnSp macro="">
      <xdr:nvCxnSpPr>
        <xdr:cNvPr id="12" name="Straight Arrow Connector 11">
          <a:extLst>
            <a:ext uri="{FF2B5EF4-FFF2-40B4-BE49-F238E27FC236}">
              <a16:creationId xmlns:a16="http://schemas.microsoft.com/office/drawing/2014/main" id="{00000000-0008-0000-1E00-00000C000000}"/>
            </a:ext>
          </a:extLst>
        </xdr:cNvPr>
        <xdr:cNvCxnSpPr/>
      </xdr:nvCxnSpPr>
      <xdr:spPr>
        <a:xfrm flipH="1">
          <a:off x="12683067" y="3954357"/>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446829</xdr:colOff>
      <xdr:row>10</xdr:row>
      <xdr:rowOff>83186</xdr:rowOff>
    </xdr:from>
    <xdr:to>
      <xdr:col>8</xdr:col>
      <xdr:colOff>447781</xdr:colOff>
      <xdr:row>12</xdr:row>
      <xdr:rowOff>46778</xdr:rowOff>
    </xdr:to>
    <xdr:cxnSp macro="">
      <xdr:nvCxnSpPr>
        <xdr:cNvPr id="13" name="Straight Arrow Connector 12">
          <a:extLst>
            <a:ext uri="{FF2B5EF4-FFF2-40B4-BE49-F238E27FC236}">
              <a16:creationId xmlns:a16="http://schemas.microsoft.com/office/drawing/2014/main" id="{00000000-0008-0000-1E00-00000D000000}"/>
            </a:ext>
          </a:extLst>
        </xdr:cNvPr>
        <xdr:cNvCxnSpPr/>
      </xdr:nvCxnSpPr>
      <xdr:spPr>
        <a:xfrm flipH="1">
          <a:off x="12702329" y="5091219"/>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466091</xdr:colOff>
      <xdr:row>16</xdr:row>
      <xdr:rowOff>175895</xdr:rowOff>
    </xdr:from>
    <xdr:to>
      <xdr:col>8</xdr:col>
      <xdr:colOff>467043</xdr:colOff>
      <xdr:row>18</xdr:row>
      <xdr:rowOff>131867</xdr:rowOff>
    </xdr:to>
    <xdr:cxnSp macro="">
      <xdr:nvCxnSpPr>
        <xdr:cNvPr id="14" name="Straight Arrow Connector 13">
          <a:extLst>
            <a:ext uri="{FF2B5EF4-FFF2-40B4-BE49-F238E27FC236}">
              <a16:creationId xmlns:a16="http://schemas.microsoft.com/office/drawing/2014/main" id="{00000000-0008-0000-1E00-00000E000000}"/>
            </a:ext>
          </a:extLst>
        </xdr:cNvPr>
        <xdr:cNvCxnSpPr/>
      </xdr:nvCxnSpPr>
      <xdr:spPr>
        <a:xfrm flipH="1">
          <a:off x="12721591" y="6259195"/>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10</xdr:row>
      <xdr:rowOff>0</xdr:rowOff>
    </xdr:from>
    <xdr:to>
      <xdr:col>5</xdr:col>
      <xdr:colOff>11205</xdr:colOff>
      <xdr:row>11</xdr:row>
      <xdr:rowOff>11206</xdr:rowOff>
    </xdr:to>
    <xdr:cxnSp macro="">
      <xdr:nvCxnSpPr>
        <xdr:cNvPr id="2" name="Straight Arrow Connector 1" descr="Upper marker to show an expanded data set for the Net Proceeds of Minerals revenue contribution by county.">
          <a:extLst>
            <a:ext uri="{FF2B5EF4-FFF2-40B4-BE49-F238E27FC236}">
              <a16:creationId xmlns:a16="http://schemas.microsoft.com/office/drawing/2014/main" id="{8A4A3A2C-87C8-4349-9F6F-3C025E1B4A98}"/>
            </a:ext>
          </a:extLst>
        </xdr:cNvPr>
        <xdr:cNvCxnSpPr/>
      </xdr:nvCxnSpPr>
      <xdr:spPr>
        <a:xfrm>
          <a:off x="13447059" y="1580029"/>
          <a:ext cx="1748117" cy="20170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11</xdr:row>
      <xdr:rowOff>0</xdr:rowOff>
    </xdr:from>
    <xdr:to>
      <xdr:col>5</xdr:col>
      <xdr:colOff>11205</xdr:colOff>
      <xdr:row>28</xdr:row>
      <xdr:rowOff>11206</xdr:rowOff>
    </xdr:to>
    <xdr:cxnSp macro="">
      <xdr:nvCxnSpPr>
        <xdr:cNvPr id="3" name="Straight Arrow Connector 2" descr="Lower marker to show an expanded data set for the Net Proceeds of Minerals revenue contribution by county.">
          <a:extLst>
            <a:ext uri="{FF2B5EF4-FFF2-40B4-BE49-F238E27FC236}">
              <a16:creationId xmlns:a16="http://schemas.microsoft.com/office/drawing/2014/main" id="{8F72D15D-43EA-471A-9534-F570C23F2A1E}"/>
            </a:ext>
          </a:extLst>
        </xdr:cNvPr>
        <xdr:cNvCxnSpPr/>
      </xdr:nvCxnSpPr>
      <xdr:spPr>
        <a:xfrm>
          <a:off x="13447059" y="1770529"/>
          <a:ext cx="1748117" cy="32833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524933</xdr:colOff>
      <xdr:row>3</xdr:row>
      <xdr:rowOff>135466</xdr:rowOff>
    </xdr:from>
    <xdr:to>
      <xdr:col>11</xdr:col>
      <xdr:colOff>54255</xdr:colOff>
      <xdr:row>28</xdr:row>
      <xdr:rowOff>1006380</xdr:rowOff>
    </xdr:to>
    <xdr:grpSp>
      <xdr:nvGrpSpPr>
        <xdr:cNvPr id="14" name="Group 13">
          <a:extLst>
            <a:ext uri="{FF2B5EF4-FFF2-40B4-BE49-F238E27FC236}">
              <a16:creationId xmlns:a16="http://schemas.microsoft.com/office/drawing/2014/main" id="{00000000-0008-0000-0B00-00000E000000}"/>
            </a:ext>
          </a:extLst>
        </xdr:cNvPr>
        <xdr:cNvGrpSpPr/>
      </xdr:nvGrpSpPr>
      <xdr:grpSpPr>
        <a:xfrm>
          <a:off x="10811933" y="764116"/>
          <a:ext cx="2434447" cy="8205164"/>
          <a:chOff x="11781366" y="275166"/>
          <a:chExt cx="2725489" cy="6767947"/>
        </a:xfrm>
      </xdr:grpSpPr>
      <xdr:sp macro="" textlink="">
        <xdr:nvSpPr>
          <xdr:cNvPr id="2" name="Rectangle 1">
            <a:extLst>
              <a:ext uri="{FF2B5EF4-FFF2-40B4-BE49-F238E27FC236}">
                <a16:creationId xmlns:a16="http://schemas.microsoft.com/office/drawing/2014/main" id="{00000000-0008-0000-0B00-000002000000}"/>
              </a:ext>
            </a:extLst>
          </xdr:cNvPr>
          <xdr:cNvSpPr/>
        </xdr:nvSpPr>
        <xdr:spPr>
          <a:xfrm>
            <a:off x="11796538" y="1986828"/>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sp macro="" textlink="">
        <xdr:nvSpPr>
          <xdr:cNvPr id="3" name="Rectangle 2">
            <a:extLst>
              <a:ext uri="{FF2B5EF4-FFF2-40B4-BE49-F238E27FC236}">
                <a16:creationId xmlns:a16="http://schemas.microsoft.com/office/drawing/2014/main" id="{00000000-0008-0000-0B00-000003000000}"/>
              </a:ext>
            </a:extLst>
          </xdr:cNvPr>
          <xdr:cNvSpPr/>
        </xdr:nvSpPr>
        <xdr:spPr>
          <a:xfrm>
            <a:off x="11809027" y="3970051"/>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sp macro="" textlink="">
        <xdr:nvSpPr>
          <xdr:cNvPr id="4" name="Rectangle 3">
            <a:extLst>
              <a:ext uri="{FF2B5EF4-FFF2-40B4-BE49-F238E27FC236}">
                <a16:creationId xmlns:a16="http://schemas.microsoft.com/office/drawing/2014/main" id="{00000000-0008-0000-0B00-000004000000}"/>
              </a:ext>
            </a:extLst>
          </xdr:cNvPr>
          <xdr:cNvSpPr/>
        </xdr:nvSpPr>
        <xdr:spPr>
          <a:xfrm>
            <a:off x="11817705" y="5139384"/>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Weighted Student Funding</a:t>
            </a:r>
            <a:br>
              <a:rPr lang="en-US" sz="1600">
                <a:latin typeface="Arial Narrow" panose="020B0606020202030204" pitchFamily="34" charset="0"/>
              </a:rPr>
            </a:br>
            <a:r>
              <a:rPr lang="en-US" sz="1600">
                <a:latin typeface="Arial Narrow" panose="020B0606020202030204" pitchFamily="34" charset="0"/>
              </a:rPr>
              <a:t>(Allocation of All Other Funds)</a:t>
            </a: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a:xfrm>
            <a:off x="11796538" y="6259350"/>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a:xfrm>
            <a:off x="11781366" y="998643"/>
            <a:ext cx="2715684" cy="627803"/>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State of Nevada</a:t>
            </a:r>
            <a:br>
              <a:rPr lang="en-US" sz="1600" b="1">
                <a:solidFill>
                  <a:sysClr val="windowText" lastClr="000000"/>
                </a:solidFill>
                <a:latin typeface="Arial Narrow" panose="020B0606020202030204" pitchFamily="34" charset="0"/>
              </a:rPr>
            </a:br>
            <a:r>
              <a:rPr lang="en-US" sz="1600" b="1">
                <a:solidFill>
                  <a:sysClr val="windowText" lastClr="000000"/>
                </a:solidFill>
                <a:latin typeface="Arial Narrow" panose="020B0606020202030204" pitchFamily="34" charset="0"/>
              </a:rPr>
              <a:t>Education Fund</a:t>
            </a:r>
          </a:p>
        </xdr:txBody>
      </xdr:sp>
      <xdr:cxnSp macro="">
        <xdr:nvCxnSpPr>
          <xdr:cNvPr id="7" name="Straight Arrow Connector 6">
            <a:extLst>
              <a:ext uri="{FF2B5EF4-FFF2-40B4-BE49-F238E27FC236}">
                <a16:creationId xmlns:a16="http://schemas.microsoft.com/office/drawing/2014/main" id="{00000000-0008-0000-0B00-000007000000}"/>
              </a:ext>
            </a:extLst>
          </xdr:cNvPr>
          <xdr:cNvCxnSpPr>
            <a:stCxn id="6" idx="2"/>
          </xdr:cNvCxnSpPr>
        </xdr:nvCxnSpPr>
        <xdr:spPr>
          <a:xfrm flipH="1">
            <a:off x="13131588" y="1626446"/>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Rectangle 7">
            <a:extLst>
              <a:ext uri="{FF2B5EF4-FFF2-40B4-BE49-F238E27FC236}">
                <a16:creationId xmlns:a16="http://schemas.microsoft.com/office/drawing/2014/main" id="{00000000-0008-0000-0B00-000008000000}"/>
              </a:ext>
            </a:extLst>
          </xdr:cNvPr>
          <xdr:cNvSpPr/>
        </xdr:nvSpPr>
        <xdr:spPr>
          <a:xfrm>
            <a:off x="11783694" y="275166"/>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xnSp macro="">
        <xdr:nvCxnSpPr>
          <xdr:cNvPr id="9" name="Straight Arrow Connector 8">
            <a:extLst>
              <a:ext uri="{FF2B5EF4-FFF2-40B4-BE49-F238E27FC236}">
                <a16:creationId xmlns:a16="http://schemas.microsoft.com/office/drawing/2014/main" id="{00000000-0008-0000-0B00-000009000000}"/>
              </a:ext>
            </a:extLst>
          </xdr:cNvPr>
          <xdr:cNvCxnSpPr/>
        </xdr:nvCxnSpPr>
        <xdr:spPr>
          <a:xfrm flipH="1">
            <a:off x="13125238" y="2811780"/>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Rectangle 9">
            <a:extLst>
              <a:ext uri="{FF2B5EF4-FFF2-40B4-BE49-F238E27FC236}">
                <a16:creationId xmlns:a16="http://schemas.microsoft.com/office/drawing/2014/main" id="{00000000-0008-0000-0B00-00000A000000}"/>
              </a:ext>
            </a:extLst>
          </xdr:cNvPr>
          <xdr:cNvSpPr/>
        </xdr:nvSpPr>
        <xdr:spPr>
          <a:xfrm>
            <a:off x="11811355" y="3174701"/>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H="1">
            <a:off x="13123333" y="3624156"/>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00000000-0008-0000-0B00-00000C000000}"/>
              </a:ext>
            </a:extLst>
          </xdr:cNvPr>
          <xdr:cNvCxnSpPr/>
        </xdr:nvCxnSpPr>
        <xdr:spPr>
          <a:xfrm flipH="1">
            <a:off x="13142595" y="4761018"/>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00000000-0008-0000-0B00-00000D000000}"/>
              </a:ext>
            </a:extLst>
          </xdr:cNvPr>
          <xdr:cNvCxnSpPr/>
        </xdr:nvCxnSpPr>
        <xdr:spPr>
          <a:xfrm flipH="1">
            <a:off x="13161857" y="5928994"/>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2472</xdr:colOff>
      <xdr:row>7</xdr:row>
      <xdr:rowOff>390861</xdr:rowOff>
    </xdr:from>
    <xdr:to>
      <xdr:col>11</xdr:col>
      <xdr:colOff>134688</xdr:colOff>
      <xdr:row>10</xdr:row>
      <xdr:rowOff>108882</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11563705" y="2202728"/>
          <a:ext cx="2689150" cy="789054"/>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State Administrative,  Oversight and Non-District Programs</a:t>
          </a:r>
        </a:p>
      </xdr:txBody>
    </xdr:sp>
    <xdr:clientData/>
  </xdr:twoCellAnchor>
  <xdr:twoCellAnchor>
    <xdr:from>
      <xdr:col>7</xdr:col>
      <xdr:colOff>14961</xdr:colOff>
      <xdr:row>17</xdr:row>
      <xdr:rowOff>49984</xdr:rowOff>
    </xdr:from>
    <xdr:to>
      <xdr:col>11</xdr:col>
      <xdr:colOff>147177</xdr:colOff>
      <xdr:row>21</xdr:row>
      <xdr:rowOff>110271</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1576194" y="4185951"/>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clientData/>
  </xdr:twoCellAnchor>
  <xdr:twoCellAnchor>
    <xdr:from>
      <xdr:col>7</xdr:col>
      <xdr:colOff>23639</xdr:colOff>
      <xdr:row>22</xdr:row>
      <xdr:rowOff>326084</xdr:rowOff>
    </xdr:from>
    <xdr:to>
      <xdr:col>11</xdr:col>
      <xdr:colOff>155855</xdr:colOff>
      <xdr:row>27</xdr:row>
      <xdr:rowOff>11508</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1584872" y="5355284"/>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Weighted Student Funding</a:t>
          </a:r>
          <a:br>
            <a:rPr lang="en-US" sz="1600">
              <a:latin typeface="Arial Narrow" panose="020B0606020202030204" pitchFamily="34" charset="0"/>
            </a:rPr>
          </a:br>
          <a:r>
            <a:rPr lang="en-US" sz="1600">
              <a:latin typeface="Arial Narrow" panose="020B0606020202030204" pitchFamily="34" charset="0"/>
            </a:rPr>
            <a:t>(Allocation of All Other Funds)</a:t>
          </a:r>
        </a:p>
      </xdr:txBody>
    </xdr:sp>
    <xdr:clientData/>
  </xdr:twoCellAnchor>
  <xdr:twoCellAnchor>
    <xdr:from>
      <xdr:col>7</xdr:col>
      <xdr:colOff>2472</xdr:colOff>
      <xdr:row>29</xdr:row>
      <xdr:rowOff>2483</xdr:rowOff>
    </xdr:from>
    <xdr:to>
      <xdr:col>11</xdr:col>
      <xdr:colOff>134688</xdr:colOff>
      <xdr:row>33</xdr:row>
      <xdr:rowOff>75046</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11563705" y="6475250"/>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clientData/>
  </xdr:twoCellAnchor>
  <xdr:twoCellAnchor>
    <xdr:from>
      <xdr:col>6</xdr:col>
      <xdr:colOff>626533</xdr:colOff>
      <xdr:row>6</xdr:row>
      <xdr:rowOff>147743</xdr:rowOff>
    </xdr:from>
    <xdr:to>
      <xdr:col>11</xdr:col>
      <xdr:colOff>146050</xdr:colOff>
      <xdr:row>7</xdr:row>
      <xdr:rowOff>30479</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11548533" y="1214543"/>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9</xdr:col>
      <xdr:colOff>59055</xdr:colOff>
      <xdr:row>7</xdr:row>
      <xdr:rowOff>30479</xdr:rowOff>
    </xdr:from>
    <xdr:to>
      <xdr:col>9</xdr:col>
      <xdr:colOff>63817</xdr:colOff>
      <xdr:row>7</xdr:row>
      <xdr:rowOff>351789</xdr:rowOff>
    </xdr:to>
    <xdr:cxnSp macro="">
      <xdr:nvCxnSpPr>
        <xdr:cNvPr id="8" name="Straight Arrow Connector 7">
          <a:extLst>
            <a:ext uri="{FF2B5EF4-FFF2-40B4-BE49-F238E27FC236}">
              <a16:creationId xmlns:a16="http://schemas.microsoft.com/office/drawing/2014/main" id="{00000000-0008-0000-0C00-000008000000}"/>
            </a:ext>
          </a:extLst>
        </xdr:cNvPr>
        <xdr:cNvCxnSpPr>
          <a:stCxn id="7" idx="2"/>
        </xdr:cNvCxnSpPr>
      </xdr:nvCxnSpPr>
      <xdr:spPr>
        <a:xfrm flipH="1">
          <a:off x="12898755" y="1842346"/>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628861</xdr:colOff>
      <xdr:row>2</xdr:row>
      <xdr:rowOff>135466</xdr:rowOff>
    </xdr:from>
    <xdr:to>
      <xdr:col>11</xdr:col>
      <xdr:colOff>146473</xdr:colOff>
      <xdr:row>6</xdr:row>
      <xdr:rowOff>43391</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1550861" y="491066"/>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9</xdr:col>
      <xdr:colOff>52705</xdr:colOff>
      <xdr:row>10</xdr:row>
      <xdr:rowOff>144780</xdr:rowOff>
    </xdr:from>
    <xdr:to>
      <xdr:col>9</xdr:col>
      <xdr:colOff>53657</xdr:colOff>
      <xdr:row>12</xdr:row>
      <xdr:rowOff>106256</xdr:rowOff>
    </xdr:to>
    <xdr:cxnSp macro="">
      <xdr:nvCxnSpPr>
        <xdr:cNvPr id="10" name="Straight Arrow Connector 9">
          <a:extLst>
            <a:ext uri="{FF2B5EF4-FFF2-40B4-BE49-F238E27FC236}">
              <a16:creationId xmlns:a16="http://schemas.microsoft.com/office/drawing/2014/main" id="{00000000-0008-0000-0C00-00000A000000}"/>
            </a:ext>
          </a:extLst>
        </xdr:cNvPr>
        <xdr:cNvCxnSpPr/>
      </xdr:nvCxnSpPr>
      <xdr:spPr>
        <a:xfrm flipH="1">
          <a:off x="12892405" y="3027680"/>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17289</xdr:colOff>
      <xdr:row>12</xdr:row>
      <xdr:rowOff>152101</xdr:rowOff>
    </xdr:from>
    <xdr:to>
      <xdr:col>11</xdr:col>
      <xdr:colOff>149505</xdr:colOff>
      <xdr:row>15</xdr:row>
      <xdr:rowOff>21166</xdr:rowOff>
    </xdr:to>
    <xdr:sp macro="" textlink="">
      <xdr:nvSpPr>
        <xdr:cNvPr id="11" name="Rectangle 10">
          <a:extLst>
            <a:ext uri="{FF2B5EF4-FFF2-40B4-BE49-F238E27FC236}">
              <a16:creationId xmlns:a16="http://schemas.microsoft.com/office/drawing/2014/main" id="{00000000-0008-0000-0C00-00000B000000}"/>
            </a:ext>
          </a:extLst>
        </xdr:cNvPr>
        <xdr:cNvSpPr/>
      </xdr:nvSpPr>
      <xdr:spPr>
        <a:xfrm>
          <a:off x="11578522" y="3390601"/>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lientData/>
  </xdr:twoCellAnchor>
  <xdr:twoCellAnchor>
    <xdr:from>
      <xdr:col>9</xdr:col>
      <xdr:colOff>50800</xdr:colOff>
      <xdr:row>15</xdr:row>
      <xdr:rowOff>63923</xdr:rowOff>
    </xdr:from>
    <xdr:to>
      <xdr:col>9</xdr:col>
      <xdr:colOff>51752</xdr:colOff>
      <xdr:row>17</xdr:row>
      <xdr:rowOff>25398</xdr:rowOff>
    </xdr:to>
    <xdr:cxnSp macro="">
      <xdr:nvCxnSpPr>
        <xdr:cNvPr id="12" name="Straight Arrow Connector 11">
          <a:extLst>
            <a:ext uri="{FF2B5EF4-FFF2-40B4-BE49-F238E27FC236}">
              <a16:creationId xmlns:a16="http://schemas.microsoft.com/office/drawing/2014/main" id="{00000000-0008-0000-0C00-00000C000000}"/>
            </a:ext>
          </a:extLst>
        </xdr:cNvPr>
        <xdr:cNvCxnSpPr/>
      </xdr:nvCxnSpPr>
      <xdr:spPr>
        <a:xfrm flipH="1">
          <a:off x="12890500" y="3840056"/>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70062</xdr:colOff>
      <xdr:row>21</xdr:row>
      <xdr:rowOff>125518</xdr:rowOff>
    </xdr:from>
    <xdr:to>
      <xdr:col>9</xdr:col>
      <xdr:colOff>71014</xdr:colOff>
      <xdr:row>22</xdr:row>
      <xdr:rowOff>266910</xdr:rowOff>
    </xdr:to>
    <xdr:cxnSp macro="">
      <xdr:nvCxnSpPr>
        <xdr:cNvPr id="13" name="Straight Arrow Connector 12">
          <a:extLst>
            <a:ext uri="{FF2B5EF4-FFF2-40B4-BE49-F238E27FC236}">
              <a16:creationId xmlns:a16="http://schemas.microsoft.com/office/drawing/2014/main" id="{00000000-0008-0000-0C00-00000D000000}"/>
            </a:ext>
          </a:extLst>
        </xdr:cNvPr>
        <xdr:cNvCxnSpPr/>
      </xdr:nvCxnSpPr>
      <xdr:spPr>
        <a:xfrm flipH="1">
          <a:off x="12909762" y="4976918"/>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89324</xdr:colOff>
      <xdr:row>27</xdr:row>
      <xdr:rowOff>27727</xdr:rowOff>
    </xdr:from>
    <xdr:to>
      <xdr:col>9</xdr:col>
      <xdr:colOff>90276</xdr:colOff>
      <xdr:row>28</xdr:row>
      <xdr:rowOff>161499</xdr:rowOff>
    </xdr:to>
    <xdr:cxnSp macro="">
      <xdr:nvCxnSpPr>
        <xdr:cNvPr id="14" name="Straight Arrow Connector 13">
          <a:extLst>
            <a:ext uri="{FF2B5EF4-FFF2-40B4-BE49-F238E27FC236}">
              <a16:creationId xmlns:a16="http://schemas.microsoft.com/office/drawing/2014/main" id="{00000000-0008-0000-0C00-00000E000000}"/>
            </a:ext>
          </a:extLst>
        </xdr:cNvPr>
        <xdr:cNvCxnSpPr/>
      </xdr:nvCxnSpPr>
      <xdr:spPr>
        <a:xfrm flipH="1">
          <a:off x="12929024" y="6144894"/>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476605</xdr:colOff>
      <xdr:row>7</xdr:row>
      <xdr:rowOff>513628</xdr:rowOff>
    </xdr:from>
    <xdr:to>
      <xdr:col>10</xdr:col>
      <xdr:colOff>608822</xdr:colOff>
      <xdr:row>12</xdr:row>
      <xdr:rowOff>53849</xdr:rowOff>
    </xdr:to>
    <xdr:sp macro="" textlink="">
      <xdr:nvSpPr>
        <xdr:cNvPr id="15" name="Rectangle 14">
          <a:extLst>
            <a:ext uri="{FF2B5EF4-FFF2-40B4-BE49-F238E27FC236}">
              <a16:creationId xmlns:a16="http://schemas.microsoft.com/office/drawing/2014/main" id="{00000000-0008-0000-0E00-00000F000000}"/>
            </a:ext>
          </a:extLst>
        </xdr:cNvPr>
        <xdr:cNvSpPr/>
      </xdr:nvSpPr>
      <xdr:spPr>
        <a:xfrm>
          <a:off x="11398605" y="2325495"/>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clientData/>
  </xdr:twoCellAnchor>
  <xdr:twoCellAnchor>
    <xdr:from>
      <xdr:col>6</xdr:col>
      <xdr:colOff>489094</xdr:colOff>
      <xdr:row>17</xdr:row>
      <xdr:rowOff>168518</xdr:rowOff>
    </xdr:from>
    <xdr:to>
      <xdr:col>10</xdr:col>
      <xdr:colOff>621311</xdr:colOff>
      <xdr:row>22</xdr:row>
      <xdr:rowOff>42538</xdr:rowOff>
    </xdr:to>
    <xdr:sp macro="" textlink="">
      <xdr:nvSpPr>
        <xdr:cNvPr id="16" name="Rectangle 15">
          <a:extLst>
            <a:ext uri="{FF2B5EF4-FFF2-40B4-BE49-F238E27FC236}">
              <a16:creationId xmlns:a16="http://schemas.microsoft.com/office/drawing/2014/main" id="{00000000-0008-0000-0E00-000010000000}"/>
            </a:ext>
          </a:extLst>
        </xdr:cNvPr>
        <xdr:cNvSpPr/>
      </xdr:nvSpPr>
      <xdr:spPr>
        <a:xfrm>
          <a:off x="11411094" y="4308718"/>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clientData/>
  </xdr:twoCellAnchor>
  <xdr:twoCellAnchor>
    <xdr:from>
      <xdr:col>6</xdr:col>
      <xdr:colOff>497772</xdr:colOff>
      <xdr:row>24</xdr:row>
      <xdr:rowOff>80551</xdr:rowOff>
    </xdr:from>
    <xdr:to>
      <xdr:col>10</xdr:col>
      <xdr:colOff>629989</xdr:colOff>
      <xdr:row>27</xdr:row>
      <xdr:rowOff>121575</xdr:rowOff>
    </xdr:to>
    <xdr:sp macro="" textlink="">
      <xdr:nvSpPr>
        <xdr:cNvPr id="17" name="Rectangle 16">
          <a:extLst>
            <a:ext uri="{FF2B5EF4-FFF2-40B4-BE49-F238E27FC236}">
              <a16:creationId xmlns:a16="http://schemas.microsoft.com/office/drawing/2014/main" id="{00000000-0008-0000-0E00-000011000000}"/>
            </a:ext>
          </a:extLst>
        </xdr:cNvPr>
        <xdr:cNvSpPr/>
      </xdr:nvSpPr>
      <xdr:spPr>
        <a:xfrm>
          <a:off x="11419772" y="5478051"/>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Weighted Student Funding</a:t>
          </a:r>
          <a:br>
            <a:rPr lang="en-US" sz="1600">
              <a:latin typeface="Arial Narrow" panose="020B0606020202030204" pitchFamily="34" charset="0"/>
            </a:rPr>
          </a:br>
          <a:r>
            <a:rPr lang="en-US" sz="1600">
              <a:latin typeface="Arial Narrow" panose="020B0606020202030204" pitchFamily="34" charset="0"/>
            </a:rPr>
            <a:t>(Allocation of All Other Funds)</a:t>
          </a:r>
        </a:p>
      </xdr:txBody>
    </xdr:sp>
    <xdr:clientData/>
  </xdr:twoCellAnchor>
  <xdr:twoCellAnchor>
    <xdr:from>
      <xdr:col>6</xdr:col>
      <xdr:colOff>476605</xdr:colOff>
      <xdr:row>29</xdr:row>
      <xdr:rowOff>112550</xdr:rowOff>
    </xdr:from>
    <xdr:to>
      <xdr:col>10</xdr:col>
      <xdr:colOff>608822</xdr:colOff>
      <xdr:row>34</xdr:row>
      <xdr:rowOff>7313</xdr:rowOff>
    </xdr:to>
    <xdr:sp macro="" textlink="">
      <xdr:nvSpPr>
        <xdr:cNvPr id="18" name="Rectangle 17">
          <a:extLst>
            <a:ext uri="{FF2B5EF4-FFF2-40B4-BE49-F238E27FC236}">
              <a16:creationId xmlns:a16="http://schemas.microsoft.com/office/drawing/2014/main" id="{00000000-0008-0000-0E00-000012000000}"/>
            </a:ext>
          </a:extLst>
        </xdr:cNvPr>
        <xdr:cNvSpPr/>
      </xdr:nvSpPr>
      <xdr:spPr>
        <a:xfrm>
          <a:off x="11398605" y="6598017"/>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clientData/>
  </xdr:twoCellAnchor>
  <xdr:twoCellAnchor>
    <xdr:from>
      <xdr:col>6</xdr:col>
      <xdr:colOff>461433</xdr:colOff>
      <xdr:row>6</xdr:row>
      <xdr:rowOff>270510</xdr:rowOff>
    </xdr:from>
    <xdr:to>
      <xdr:col>10</xdr:col>
      <xdr:colOff>620184</xdr:colOff>
      <xdr:row>7</xdr:row>
      <xdr:rowOff>153246</xdr:rowOff>
    </xdr:to>
    <xdr:sp macro="" textlink="">
      <xdr:nvSpPr>
        <xdr:cNvPr id="19" name="Rectangle 18">
          <a:extLst>
            <a:ext uri="{FF2B5EF4-FFF2-40B4-BE49-F238E27FC236}">
              <a16:creationId xmlns:a16="http://schemas.microsoft.com/office/drawing/2014/main" id="{00000000-0008-0000-0E00-000013000000}"/>
            </a:ext>
          </a:extLst>
        </xdr:cNvPr>
        <xdr:cNvSpPr/>
      </xdr:nvSpPr>
      <xdr:spPr>
        <a:xfrm>
          <a:off x="11383433" y="1337310"/>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8</xdr:col>
      <xdr:colOff>533188</xdr:colOff>
      <xdr:row>7</xdr:row>
      <xdr:rowOff>153246</xdr:rowOff>
    </xdr:from>
    <xdr:to>
      <xdr:col>8</xdr:col>
      <xdr:colOff>537950</xdr:colOff>
      <xdr:row>7</xdr:row>
      <xdr:rowOff>474556</xdr:rowOff>
    </xdr:to>
    <xdr:cxnSp macro="">
      <xdr:nvCxnSpPr>
        <xdr:cNvPr id="20" name="Straight Arrow Connector 19">
          <a:extLst>
            <a:ext uri="{FF2B5EF4-FFF2-40B4-BE49-F238E27FC236}">
              <a16:creationId xmlns:a16="http://schemas.microsoft.com/office/drawing/2014/main" id="{00000000-0008-0000-0E00-000014000000}"/>
            </a:ext>
          </a:extLst>
        </xdr:cNvPr>
        <xdr:cNvCxnSpPr>
          <a:stCxn id="19" idx="2"/>
        </xdr:cNvCxnSpPr>
      </xdr:nvCxnSpPr>
      <xdr:spPr>
        <a:xfrm flipH="1">
          <a:off x="12733655" y="1965113"/>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463761</xdr:colOff>
      <xdr:row>3</xdr:row>
      <xdr:rowOff>80433</xdr:rowOff>
    </xdr:from>
    <xdr:to>
      <xdr:col>10</xdr:col>
      <xdr:colOff>620607</xdr:colOff>
      <xdr:row>6</xdr:row>
      <xdr:rowOff>166158</xdr:rowOff>
    </xdr:to>
    <xdr:sp macro="" textlink="">
      <xdr:nvSpPr>
        <xdr:cNvPr id="21" name="Rectangle 20">
          <a:extLst>
            <a:ext uri="{FF2B5EF4-FFF2-40B4-BE49-F238E27FC236}">
              <a16:creationId xmlns:a16="http://schemas.microsoft.com/office/drawing/2014/main" id="{00000000-0008-0000-0E00-000015000000}"/>
            </a:ext>
          </a:extLst>
        </xdr:cNvPr>
        <xdr:cNvSpPr/>
      </xdr:nvSpPr>
      <xdr:spPr>
        <a:xfrm>
          <a:off x="11385761" y="613833"/>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8</xdr:col>
      <xdr:colOff>526838</xdr:colOff>
      <xdr:row>12</xdr:row>
      <xdr:rowOff>89747</xdr:rowOff>
    </xdr:from>
    <xdr:to>
      <xdr:col>8</xdr:col>
      <xdr:colOff>527790</xdr:colOff>
      <xdr:row>13</xdr:row>
      <xdr:rowOff>42756</xdr:rowOff>
    </xdr:to>
    <xdr:cxnSp macro="">
      <xdr:nvCxnSpPr>
        <xdr:cNvPr id="22" name="Straight Arrow Connector 21">
          <a:extLst>
            <a:ext uri="{FF2B5EF4-FFF2-40B4-BE49-F238E27FC236}">
              <a16:creationId xmlns:a16="http://schemas.microsoft.com/office/drawing/2014/main" id="{00000000-0008-0000-0E00-000016000000}"/>
            </a:ext>
          </a:extLst>
        </xdr:cNvPr>
        <xdr:cNvCxnSpPr/>
      </xdr:nvCxnSpPr>
      <xdr:spPr>
        <a:xfrm flipH="1">
          <a:off x="12727305" y="3150447"/>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491422</xdr:colOff>
      <xdr:row>13</xdr:row>
      <xdr:rowOff>88601</xdr:rowOff>
    </xdr:from>
    <xdr:to>
      <xdr:col>10</xdr:col>
      <xdr:colOff>623639</xdr:colOff>
      <xdr:row>15</xdr:row>
      <xdr:rowOff>139699</xdr:rowOff>
    </xdr:to>
    <xdr:sp macro="" textlink="">
      <xdr:nvSpPr>
        <xdr:cNvPr id="23" name="Rectangle 22">
          <a:extLst>
            <a:ext uri="{FF2B5EF4-FFF2-40B4-BE49-F238E27FC236}">
              <a16:creationId xmlns:a16="http://schemas.microsoft.com/office/drawing/2014/main" id="{00000000-0008-0000-0E00-000017000000}"/>
            </a:ext>
          </a:extLst>
        </xdr:cNvPr>
        <xdr:cNvSpPr/>
      </xdr:nvSpPr>
      <xdr:spPr>
        <a:xfrm>
          <a:off x="11413422" y="3513368"/>
          <a:ext cx="2689150" cy="406698"/>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Ancillary Operating Costs</a:t>
          </a:r>
        </a:p>
      </xdr:txBody>
    </xdr:sp>
    <xdr:clientData/>
  </xdr:twoCellAnchor>
  <xdr:twoCellAnchor>
    <xdr:from>
      <xdr:col>8</xdr:col>
      <xdr:colOff>524933</xdr:colOff>
      <xdr:row>16</xdr:row>
      <xdr:rowOff>4656</xdr:rowOff>
    </xdr:from>
    <xdr:to>
      <xdr:col>8</xdr:col>
      <xdr:colOff>525885</xdr:colOff>
      <xdr:row>17</xdr:row>
      <xdr:rowOff>143932</xdr:rowOff>
    </xdr:to>
    <xdr:cxnSp macro="">
      <xdr:nvCxnSpPr>
        <xdr:cNvPr id="24" name="Straight Arrow Connector 23">
          <a:extLst>
            <a:ext uri="{FF2B5EF4-FFF2-40B4-BE49-F238E27FC236}">
              <a16:creationId xmlns:a16="http://schemas.microsoft.com/office/drawing/2014/main" id="{00000000-0008-0000-0E00-000018000000}"/>
            </a:ext>
          </a:extLst>
        </xdr:cNvPr>
        <xdr:cNvCxnSpPr/>
      </xdr:nvCxnSpPr>
      <xdr:spPr>
        <a:xfrm flipH="1">
          <a:off x="12725400" y="3962823"/>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544195</xdr:colOff>
      <xdr:row>22</xdr:row>
      <xdr:rowOff>57785</xdr:rowOff>
    </xdr:from>
    <xdr:to>
      <xdr:col>8</xdr:col>
      <xdr:colOff>545147</xdr:colOff>
      <xdr:row>24</xdr:row>
      <xdr:rowOff>21377</xdr:rowOff>
    </xdr:to>
    <xdr:cxnSp macro="">
      <xdr:nvCxnSpPr>
        <xdr:cNvPr id="25" name="Straight Arrow Connector 24">
          <a:extLst>
            <a:ext uri="{FF2B5EF4-FFF2-40B4-BE49-F238E27FC236}">
              <a16:creationId xmlns:a16="http://schemas.microsoft.com/office/drawing/2014/main" id="{00000000-0008-0000-0E00-000019000000}"/>
            </a:ext>
          </a:extLst>
        </xdr:cNvPr>
        <xdr:cNvCxnSpPr/>
      </xdr:nvCxnSpPr>
      <xdr:spPr>
        <a:xfrm flipH="1">
          <a:off x="12744662" y="5099685"/>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563457</xdr:colOff>
      <xdr:row>27</xdr:row>
      <xdr:rowOff>137794</xdr:rowOff>
    </xdr:from>
    <xdr:to>
      <xdr:col>8</xdr:col>
      <xdr:colOff>564409</xdr:colOff>
      <xdr:row>29</xdr:row>
      <xdr:rowOff>93766</xdr:rowOff>
    </xdr:to>
    <xdr:cxnSp macro="">
      <xdr:nvCxnSpPr>
        <xdr:cNvPr id="26" name="Straight Arrow Connector 25">
          <a:extLst>
            <a:ext uri="{FF2B5EF4-FFF2-40B4-BE49-F238E27FC236}">
              <a16:creationId xmlns:a16="http://schemas.microsoft.com/office/drawing/2014/main" id="{00000000-0008-0000-0E00-00001A000000}"/>
            </a:ext>
          </a:extLst>
        </xdr:cNvPr>
        <xdr:cNvCxnSpPr/>
      </xdr:nvCxnSpPr>
      <xdr:spPr>
        <a:xfrm flipH="1">
          <a:off x="12763924" y="6267661"/>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303038</xdr:colOff>
      <xdr:row>6</xdr:row>
      <xdr:rowOff>1250229</xdr:rowOff>
    </xdr:from>
    <xdr:to>
      <xdr:col>10</xdr:col>
      <xdr:colOff>435255</xdr:colOff>
      <xdr:row>6</xdr:row>
      <xdr:rowOff>2039283</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11284305" y="2317029"/>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clientData/>
  </xdr:twoCellAnchor>
  <xdr:twoCellAnchor>
    <xdr:from>
      <xdr:col>6</xdr:col>
      <xdr:colOff>315527</xdr:colOff>
      <xdr:row>11</xdr:row>
      <xdr:rowOff>16119</xdr:rowOff>
    </xdr:from>
    <xdr:to>
      <xdr:col>10</xdr:col>
      <xdr:colOff>447744</xdr:colOff>
      <xdr:row>15</xdr:row>
      <xdr:rowOff>80639</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1296794" y="4300252"/>
          <a:ext cx="2689150" cy="775720"/>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Base Student Funding</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(Inflation + Enrollment Growth)</a:t>
          </a:r>
        </a:p>
      </xdr:txBody>
    </xdr:sp>
    <xdr:clientData/>
  </xdr:twoCellAnchor>
  <xdr:twoCellAnchor>
    <xdr:from>
      <xdr:col>6</xdr:col>
      <xdr:colOff>324205</xdr:colOff>
      <xdr:row>17</xdr:row>
      <xdr:rowOff>118652</xdr:rowOff>
    </xdr:from>
    <xdr:to>
      <xdr:col>10</xdr:col>
      <xdr:colOff>456422</xdr:colOff>
      <xdr:row>22</xdr:row>
      <xdr:rowOff>3043</xdr:rowOff>
    </xdr:to>
    <xdr:sp macro="" textlink="">
      <xdr:nvSpPr>
        <xdr:cNvPr id="17" name="Rectangle 16">
          <a:extLst>
            <a:ext uri="{FF2B5EF4-FFF2-40B4-BE49-F238E27FC236}">
              <a16:creationId xmlns:a16="http://schemas.microsoft.com/office/drawing/2014/main" id="{00000000-0008-0000-0F00-000011000000}"/>
            </a:ext>
          </a:extLst>
        </xdr:cNvPr>
        <xdr:cNvSpPr/>
      </xdr:nvSpPr>
      <xdr:spPr>
        <a:xfrm>
          <a:off x="11305472" y="5469585"/>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Weighted Student Funding</a:t>
          </a:r>
          <a:br>
            <a:rPr lang="en-US" sz="1600">
              <a:latin typeface="Arial Narrow" panose="020B0606020202030204" pitchFamily="34" charset="0"/>
            </a:rPr>
          </a:br>
          <a:r>
            <a:rPr lang="en-US" sz="1600">
              <a:latin typeface="Arial Narrow" panose="020B0606020202030204" pitchFamily="34" charset="0"/>
            </a:rPr>
            <a:t>(Allocation of All Other Funds)</a:t>
          </a:r>
        </a:p>
      </xdr:txBody>
    </xdr:sp>
    <xdr:clientData/>
  </xdr:twoCellAnchor>
  <xdr:twoCellAnchor>
    <xdr:from>
      <xdr:col>6</xdr:col>
      <xdr:colOff>303038</xdr:colOff>
      <xdr:row>23</xdr:row>
      <xdr:rowOff>171818</xdr:rowOff>
    </xdr:from>
    <xdr:to>
      <xdr:col>10</xdr:col>
      <xdr:colOff>435255</xdr:colOff>
      <xdr:row>27</xdr:row>
      <xdr:rowOff>45414</xdr:rowOff>
    </xdr:to>
    <xdr:sp macro="" textlink="">
      <xdr:nvSpPr>
        <xdr:cNvPr id="18" name="Rectangle 17">
          <a:extLst>
            <a:ext uri="{FF2B5EF4-FFF2-40B4-BE49-F238E27FC236}">
              <a16:creationId xmlns:a16="http://schemas.microsoft.com/office/drawing/2014/main" id="{00000000-0008-0000-0F00-000012000000}"/>
            </a:ext>
          </a:extLst>
        </xdr:cNvPr>
        <xdr:cNvSpPr/>
      </xdr:nvSpPr>
      <xdr:spPr>
        <a:xfrm>
          <a:off x="11284305" y="6589551"/>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clientData/>
  </xdr:twoCellAnchor>
  <xdr:twoCellAnchor>
    <xdr:from>
      <xdr:col>6</xdr:col>
      <xdr:colOff>287866</xdr:colOff>
      <xdr:row>6</xdr:row>
      <xdr:rowOff>262044</xdr:rowOff>
    </xdr:from>
    <xdr:to>
      <xdr:col>10</xdr:col>
      <xdr:colOff>446617</xdr:colOff>
      <xdr:row>6</xdr:row>
      <xdr:rowOff>889847</xdr:rowOff>
    </xdr:to>
    <xdr:sp macro="" textlink="">
      <xdr:nvSpPr>
        <xdr:cNvPr id="19" name="Rectangle 18">
          <a:extLst>
            <a:ext uri="{FF2B5EF4-FFF2-40B4-BE49-F238E27FC236}">
              <a16:creationId xmlns:a16="http://schemas.microsoft.com/office/drawing/2014/main" id="{00000000-0008-0000-0F00-000013000000}"/>
            </a:ext>
          </a:extLst>
        </xdr:cNvPr>
        <xdr:cNvSpPr/>
      </xdr:nvSpPr>
      <xdr:spPr>
        <a:xfrm>
          <a:off x="11269133" y="1328844"/>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8</xdr:col>
      <xdr:colOff>359622</xdr:colOff>
      <xdr:row>6</xdr:row>
      <xdr:rowOff>889847</xdr:rowOff>
    </xdr:from>
    <xdr:to>
      <xdr:col>8</xdr:col>
      <xdr:colOff>364384</xdr:colOff>
      <xdr:row>6</xdr:row>
      <xdr:rowOff>1211157</xdr:rowOff>
    </xdr:to>
    <xdr:cxnSp macro="">
      <xdr:nvCxnSpPr>
        <xdr:cNvPr id="20" name="Straight Arrow Connector 19">
          <a:extLst>
            <a:ext uri="{FF2B5EF4-FFF2-40B4-BE49-F238E27FC236}">
              <a16:creationId xmlns:a16="http://schemas.microsoft.com/office/drawing/2014/main" id="{00000000-0008-0000-0F00-000014000000}"/>
            </a:ext>
          </a:extLst>
        </xdr:cNvPr>
        <xdr:cNvCxnSpPr>
          <a:stCxn id="19" idx="2"/>
        </xdr:cNvCxnSpPr>
      </xdr:nvCxnSpPr>
      <xdr:spPr>
        <a:xfrm flipH="1">
          <a:off x="12619355" y="1956647"/>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290194</xdr:colOff>
      <xdr:row>3</xdr:row>
      <xdr:rowOff>71967</xdr:rowOff>
    </xdr:from>
    <xdr:to>
      <xdr:col>10</xdr:col>
      <xdr:colOff>447040</xdr:colOff>
      <xdr:row>6</xdr:row>
      <xdr:rowOff>157692</xdr:rowOff>
    </xdr:to>
    <xdr:sp macro="" textlink="">
      <xdr:nvSpPr>
        <xdr:cNvPr id="21" name="Rectangle 20">
          <a:extLst>
            <a:ext uri="{FF2B5EF4-FFF2-40B4-BE49-F238E27FC236}">
              <a16:creationId xmlns:a16="http://schemas.microsoft.com/office/drawing/2014/main" id="{00000000-0008-0000-0F00-000015000000}"/>
            </a:ext>
          </a:extLst>
        </xdr:cNvPr>
        <xdr:cNvSpPr/>
      </xdr:nvSpPr>
      <xdr:spPr>
        <a:xfrm>
          <a:off x="11271461" y="605367"/>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8</xdr:col>
      <xdr:colOff>353272</xdr:colOff>
      <xdr:row>6</xdr:row>
      <xdr:rowOff>2075181</xdr:rowOff>
    </xdr:from>
    <xdr:to>
      <xdr:col>8</xdr:col>
      <xdr:colOff>354224</xdr:colOff>
      <xdr:row>6</xdr:row>
      <xdr:rowOff>2392257</xdr:rowOff>
    </xdr:to>
    <xdr:cxnSp macro="">
      <xdr:nvCxnSpPr>
        <xdr:cNvPr id="22" name="Straight Arrow Connector 21">
          <a:extLst>
            <a:ext uri="{FF2B5EF4-FFF2-40B4-BE49-F238E27FC236}">
              <a16:creationId xmlns:a16="http://schemas.microsoft.com/office/drawing/2014/main" id="{00000000-0008-0000-0F00-000016000000}"/>
            </a:ext>
          </a:extLst>
        </xdr:cNvPr>
        <xdr:cNvCxnSpPr/>
      </xdr:nvCxnSpPr>
      <xdr:spPr>
        <a:xfrm flipH="1">
          <a:off x="12613005" y="3141981"/>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317855</xdr:colOff>
      <xdr:row>6</xdr:row>
      <xdr:rowOff>2438102</xdr:rowOff>
    </xdr:from>
    <xdr:to>
      <xdr:col>10</xdr:col>
      <xdr:colOff>450072</xdr:colOff>
      <xdr:row>8</xdr:row>
      <xdr:rowOff>160867</xdr:rowOff>
    </xdr:to>
    <xdr:sp macro="" textlink="">
      <xdr:nvSpPr>
        <xdr:cNvPr id="23" name="Rectangle 22">
          <a:extLst>
            <a:ext uri="{FF2B5EF4-FFF2-40B4-BE49-F238E27FC236}">
              <a16:creationId xmlns:a16="http://schemas.microsoft.com/office/drawing/2014/main" id="{00000000-0008-0000-0F00-000017000000}"/>
            </a:ext>
          </a:extLst>
        </xdr:cNvPr>
        <xdr:cNvSpPr/>
      </xdr:nvSpPr>
      <xdr:spPr>
        <a:xfrm>
          <a:off x="11299122" y="3504902"/>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lientData/>
  </xdr:twoCellAnchor>
  <xdr:twoCellAnchor>
    <xdr:from>
      <xdr:col>8</xdr:col>
      <xdr:colOff>351367</xdr:colOff>
      <xdr:row>9</xdr:row>
      <xdr:rowOff>25824</xdr:rowOff>
    </xdr:from>
    <xdr:to>
      <xdr:col>8</xdr:col>
      <xdr:colOff>352319</xdr:colOff>
      <xdr:row>10</xdr:row>
      <xdr:rowOff>169333</xdr:rowOff>
    </xdr:to>
    <xdr:cxnSp macro="">
      <xdr:nvCxnSpPr>
        <xdr:cNvPr id="24" name="Straight Arrow Connector 23">
          <a:extLst>
            <a:ext uri="{FF2B5EF4-FFF2-40B4-BE49-F238E27FC236}">
              <a16:creationId xmlns:a16="http://schemas.microsoft.com/office/drawing/2014/main" id="{00000000-0008-0000-0F00-000018000000}"/>
            </a:ext>
          </a:extLst>
        </xdr:cNvPr>
        <xdr:cNvCxnSpPr/>
      </xdr:nvCxnSpPr>
      <xdr:spPr>
        <a:xfrm flipH="1">
          <a:off x="12611100" y="3954357"/>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370629</xdr:colOff>
      <xdr:row>15</xdr:row>
      <xdr:rowOff>95886</xdr:rowOff>
    </xdr:from>
    <xdr:to>
      <xdr:col>8</xdr:col>
      <xdr:colOff>371581</xdr:colOff>
      <xdr:row>17</xdr:row>
      <xdr:rowOff>59478</xdr:rowOff>
    </xdr:to>
    <xdr:cxnSp macro="">
      <xdr:nvCxnSpPr>
        <xdr:cNvPr id="25" name="Straight Arrow Connector 24">
          <a:extLst>
            <a:ext uri="{FF2B5EF4-FFF2-40B4-BE49-F238E27FC236}">
              <a16:creationId xmlns:a16="http://schemas.microsoft.com/office/drawing/2014/main" id="{00000000-0008-0000-0F00-000019000000}"/>
            </a:ext>
          </a:extLst>
        </xdr:cNvPr>
        <xdr:cNvCxnSpPr/>
      </xdr:nvCxnSpPr>
      <xdr:spPr>
        <a:xfrm flipH="1">
          <a:off x="12630362" y="5091219"/>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389891</xdr:colOff>
      <xdr:row>22</xdr:row>
      <xdr:rowOff>19262</xdr:rowOff>
    </xdr:from>
    <xdr:to>
      <xdr:col>8</xdr:col>
      <xdr:colOff>390843</xdr:colOff>
      <xdr:row>23</xdr:row>
      <xdr:rowOff>153034</xdr:rowOff>
    </xdr:to>
    <xdr:cxnSp macro="">
      <xdr:nvCxnSpPr>
        <xdr:cNvPr id="26" name="Straight Arrow Connector 25">
          <a:extLst>
            <a:ext uri="{FF2B5EF4-FFF2-40B4-BE49-F238E27FC236}">
              <a16:creationId xmlns:a16="http://schemas.microsoft.com/office/drawing/2014/main" id="{00000000-0008-0000-0F00-00001A000000}"/>
            </a:ext>
          </a:extLst>
        </xdr:cNvPr>
        <xdr:cNvCxnSpPr/>
      </xdr:nvCxnSpPr>
      <xdr:spPr>
        <a:xfrm flipH="1">
          <a:off x="12649624" y="6259195"/>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523171</xdr:colOff>
      <xdr:row>8</xdr:row>
      <xdr:rowOff>136861</xdr:rowOff>
    </xdr:from>
    <xdr:to>
      <xdr:col>11</xdr:col>
      <xdr:colOff>16154</xdr:colOff>
      <xdr:row>10</xdr:row>
      <xdr:rowOff>28449</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2080171" y="2456728"/>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clientData/>
  </xdr:twoCellAnchor>
  <xdr:twoCellAnchor>
    <xdr:from>
      <xdr:col>6</xdr:col>
      <xdr:colOff>535660</xdr:colOff>
      <xdr:row>11</xdr:row>
      <xdr:rowOff>684984</xdr:rowOff>
    </xdr:from>
    <xdr:to>
      <xdr:col>11</xdr:col>
      <xdr:colOff>28643</xdr:colOff>
      <xdr:row>12</xdr:row>
      <xdr:rowOff>554771</xdr:rowOff>
    </xdr:to>
    <xdr:sp macro="" textlink="">
      <xdr:nvSpPr>
        <xdr:cNvPr id="4" name="Rectangle 3">
          <a:extLst>
            <a:ext uri="{FF2B5EF4-FFF2-40B4-BE49-F238E27FC236}">
              <a16:creationId xmlns:a16="http://schemas.microsoft.com/office/drawing/2014/main" id="{00000000-0008-0000-1500-000004000000}"/>
            </a:ext>
          </a:extLst>
        </xdr:cNvPr>
        <xdr:cNvSpPr/>
      </xdr:nvSpPr>
      <xdr:spPr>
        <a:xfrm>
          <a:off x="12092660" y="4439951"/>
          <a:ext cx="2689150" cy="775720"/>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Base Student Funding</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(Inflation + Enrollment Growth)</a:t>
          </a:r>
        </a:p>
      </xdr:txBody>
    </xdr:sp>
    <xdr:clientData/>
  </xdr:twoCellAnchor>
  <xdr:twoCellAnchor>
    <xdr:from>
      <xdr:col>6</xdr:col>
      <xdr:colOff>544338</xdr:colOff>
      <xdr:row>13</xdr:row>
      <xdr:rowOff>232951</xdr:rowOff>
    </xdr:from>
    <xdr:to>
      <xdr:col>11</xdr:col>
      <xdr:colOff>37321</xdr:colOff>
      <xdr:row>13</xdr:row>
      <xdr:rowOff>1006342</xdr:rowOff>
    </xdr:to>
    <xdr:sp macro="" textlink="">
      <xdr:nvSpPr>
        <xdr:cNvPr id="5" name="Rectangle 4">
          <a:extLst>
            <a:ext uri="{FF2B5EF4-FFF2-40B4-BE49-F238E27FC236}">
              <a16:creationId xmlns:a16="http://schemas.microsoft.com/office/drawing/2014/main" id="{00000000-0008-0000-1500-000005000000}"/>
            </a:ext>
          </a:extLst>
        </xdr:cNvPr>
        <xdr:cNvSpPr/>
      </xdr:nvSpPr>
      <xdr:spPr>
        <a:xfrm>
          <a:off x="12101338" y="5609284"/>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Weighted Student Funding</a:t>
          </a:r>
          <a:br>
            <a:rPr lang="en-US" sz="1600">
              <a:latin typeface="Arial Narrow" panose="020B0606020202030204" pitchFamily="34" charset="0"/>
            </a:rPr>
          </a:br>
          <a:r>
            <a:rPr lang="en-US" sz="1600">
              <a:latin typeface="Arial Narrow" panose="020B0606020202030204" pitchFamily="34" charset="0"/>
            </a:rPr>
            <a:t>(Allocation of All Other Funds)</a:t>
          </a:r>
        </a:p>
      </xdr:txBody>
    </xdr:sp>
    <xdr:clientData/>
  </xdr:twoCellAnchor>
  <xdr:twoCellAnchor>
    <xdr:from>
      <xdr:col>6</xdr:col>
      <xdr:colOff>523171</xdr:colOff>
      <xdr:row>13</xdr:row>
      <xdr:rowOff>1352917</xdr:rowOff>
    </xdr:from>
    <xdr:to>
      <xdr:col>11</xdr:col>
      <xdr:colOff>16154</xdr:colOff>
      <xdr:row>14</xdr:row>
      <xdr:rowOff>705813</xdr:rowOff>
    </xdr:to>
    <xdr:sp macro="" textlink="">
      <xdr:nvSpPr>
        <xdr:cNvPr id="6" name="Rectangle 5">
          <a:extLst>
            <a:ext uri="{FF2B5EF4-FFF2-40B4-BE49-F238E27FC236}">
              <a16:creationId xmlns:a16="http://schemas.microsoft.com/office/drawing/2014/main" id="{00000000-0008-0000-1500-000006000000}"/>
            </a:ext>
          </a:extLst>
        </xdr:cNvPr>
        <xdr:cNvSpPr/>
      </xdr:nvSpPr>
      <xdr:spPr>
        <a:xfrm>
          <a:off x="12080171" y="6729250"/>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clientData/>
  </xdr:twoCellAnchor>
  <xdr:twoCellAnchor>
    <xdr:from>
      <xdr:col>6</xdr:col>
      <xdr:colOff>507999</xdr:colOff>
      <xdr:row>6</xdr:row>
      <xdr:rowOff>401743</xdr:rowOff>
    </xdr:from>
    <xdr:to>
      <xdr:col>11</xdr:col>
      <xdr:colOff>27516</xdr:colOff>
      <xdr:row>7</xdr:row>
      <xdr:rowOff>314113</xdr:rowOff>
    </xdr:to>
    <xdr:sp macro="" textlink="">
      <xdr:nvSpPr>
        <xdr:cNvPr id="7" name="Rectangle 6">
          <a:extLst>
            <a:ext uri="{FF2B5EF4-FFF2-40B4-BE49-F238E27FC236}">
              <a16:creationId xmlns:a16="http://schemas.microsoft.com/office/drawing/2014/main" id="{00000000-0008-0000-1500-000007000000}"/>
            </a:ext>
          </a:extLst>
        </xdr:cNvPr>
        <xdr:cNvSpPr/>
      </xdr:nvSpPr>
      <xdr:spPr>
        <a:xfrm>
          <a:off x="12064999" y="1468543"/>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8</xdr:col>
      <xdr:colOff>579754</xdr:colOff>
      <xdr:row>7</xdr:row>
      <xdr:rowOff>314113</xdr:rowOff>
    </xdr:from>
    <xdr:to>
      <xdr:col>8</xdr:col>
      <xdr:colOff>584516</xdr:colOff>
      <xdr:row>8</xdr:row>
      <xdr:rowOff>97789</xdr:rowOff>
    </xdr:to>
    <xdr:cxnSp macro="">
      <xdr:nvCxnSpPr>
        <xdr:cNvPr id="8" name="Straight Arrow Connector 7">
          <a:extLst>
            <a:ext uri="{FF2B5EF4-FFF2-40B4-BE49-F238E27FC236}">
              <a16:creationId xmlns:a16="http://schemas.microsoft.com/office/drawing/2014/main" id="{00000000-0008-0000-1500-000008000000}"/>
            </a:ext>
          </a:extLst>
        </xdr:cNvPr>
        <xdr:cNvCxnSpPr>
          <a:stCxn id="7" idx="2"/>
        </xdr:cNvCxnSpPr>
      </xdr:nvCxnSpPr>
      <xdr:spPr>
        <a:xfrm flipH="1">
          <a:off x="13415221" y="2096346"/>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510327</xdr:colOff>
      <xdr:row>4</xdr:row>
      <xdr:rowOff>33866</xdr:rowOff>
    </xdr:from>
    <xdr:to>
      <xdr:col>11</xdr:col>
      <xdr:colOff>27939</xdr:colOff>
      <xdr:row>6</xdr:row>
      <xdr:rowOff>297391</xdr:rowOff>
    </xdr:to>
    <xdr:sp macro="" textlink="">
      <xdr:nvSpPr>
        <xdr:cNvPr id="9" name="Rectangle 8">
          <a:extLst>
            <a:ext uri="{FF2B5EF4-FFF2-40B4-BE49-F238E27FC236}">
              <a16:creationId xmlns:a16="http://schemas.microsoft.com/office/drawing/2014/main" id="{00000000-0008-0000-1500-000009000000}"/>
            </a:ext>
          </a:extLst>
        </xdr:cNvPr>
        <xdr:cNvSpPr/>
      </xdr:nvSpPr>
      <xdr:spPr>
        <a:xfrm>
          <a:off x="12067327" y="745066"/>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8</xdr:col>
      <xdr:colOff>573404</xdr:colOff>
      <xdr:row>10</xdr:row>
      <xdr:rowOff>64347</xdr:rowOff>
    </xdr:from>
    <xdr:to>
      <xdr:col>8</xdr:col>
      <xdr:colOff>574356</xdr:colOff>
      <xdr:row>10</xdr:row>
      <xdr:rowOff>381423</xdr:rowOff>
    </xdr:to>
    <xdr:cxnSp macro="">
      <xdr:nvCxnSpPr>
        <xdr:cNvPr id="10" name="Straight Arrow Connector 9">
          <a:extLst>
            <a:ext uri="{FF2B5EF4-FFF2-40B4-BE49-F238E27FC236}">
              <a16:creationId xmlns:a16="http://schemas.microsoft.com/office/drawing/2014/main" id="{00000000-0008-0000-1500-00000A000000}"/>
            </a:ext>
          </a:extLst>
        </xdr:cNvPr>
        <xdr:cNvCxnSpPr/>
      </xdr:nvCxnSpPr>
      <xdr:spPr>
        <a:xfrm flipH="1">
          <a:off x="13408871" y="3281680"/>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537988</xdr:colOff>
      <xdr:row>10</xdr:row>
      <xdr:rowOff>427268</xdr:rowOff>
    </xdr:from>
    <xdr:to>
      <xdr:col>11</xdr:col>
      <xdr:colOff>30971</xdr:colOff>
      <xdr:row>11</xdr:row>
      <xdr:rowOff>296332</xdr:rowOff>
    </xdr:to>
    <xdr:sp macro="" textlink="">
      <xdr:nvSpPr>
        <xdr:cNvPr id="11" name="Rectangle 10">
          <a:extLst>
            <a:ext uri="{FF2B5EF4-FFF2-40B4-BE49-F238E27FC236}">
              <a16:creationId xmlns:a16="http://schemas.microsoft.com/office/drawing/2014/main" id="{00000000-0008-0000-1500-00000B000000}"/>
            </a:ext>
          </a:extLst>
        </xdr:cNvPr>
        <xdr:cNvSpPr/>
      </xdr:nvSpPr>
      <xdr:spPr>
        <a:xfrm>
          <a:off x="12094988" y="3644601"/>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lientData/>
  </xdr:twoCellAnchor>
  <xdr:twoCellAnchor>
    <xdr:from>
      <xdr:col>8</xdr:col>
      <xdr:colOff>571499</xdr:colOff>
      <xdr:row>11</xdr:row>
      <xdr:rowOff>339089</xdr:rowOff>
    </xdr:from>
    <xdr:to>
      <xdr:col>8</xdr:col>
      <xdr:colOff>572451</xdr:colOff>
      <xdr:row>11</xdr:row>
      <xdr:rowOff>660398</xdr:rowOff>
    </xdr:to>
    <xdr:cxnSp macro="">
      <xdr:nvCxnSpPr>
        <xdr:cNvPr id="12" name="Straight Arrow Connector 11">
          <a:extLst>
            <a:ext uri="{FF2B5EF4-FFF2-40B4-BE49-F238E27FC236}">
              <a16:creationId xmlns:a16="http://schemas.microsoft.com/office/drawing/2014/main" id="{00000000-0008-0000-1500-00000C000000}"/>
            </a:ext>
          </a:extLst>
        </xdr:cNvPr>
        <xdr:cNvCxnSpPr/>
      </xdr:nvCxnSpPr>
      <xdr:spPr>
        <a:xfrm flipH="1">
          <a:off x="13406966" y="4094056"/>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590761</xdr:colOff>
      <xdr:row>12</xdr:row>
      <xdr:rowOff>570018</xdr:rowOff>
    </xdr:from>
    <xdr:to>
      <xdr:col>8</xdr:col>
      <xdr:colOff>591713</xdr:colOff>
      <xdr:row>13</xdr:row>
      <xdr:rowOff>173777</xdr:rowOff>
    </xdr:to>
    <xdr:cxnSp macro="">
      <xdr:nvCxnSpPr>
        <xdr:cNvPr id="13" name="Straight Arrow Connector 12">
          <a:extLst>
            <a:ext uri="{FF2B5EF4-FFF2-40B4-BE49-F238E27FC236}">
              <a16:creationId xmlns:a16="http://schemas.microsoft.com/office/drawing/2014/main" id="{00000000-0008-0000-1500-00000D000000}"/>
            </a:ext>
          </a:extLst>
        </xdr:cNvPr>
        <xdr:cNvCxnSpPr/>
      </xdr:nvCxnSpPr>
      <xdr:spPr>
        <a:xfrm flipH="1">
          <a:off x="13426228" y="5230918"/>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610023</xdr:colOff>
      <xdr:row>13</xdr:row>
      <xdr:rowOff>1022561</xdr:rowOff>
    </xdr:from>
    <xdr:to>
      <xdr:col>8</xdr:col>
      <xdr:colOff>610975</xdr:colOff>
      <xdr:row>13</xdr:row>
      <xdr:rowOff>1334133</xdr:rowOff>
    </xdr:to>
    <xdr:cxnSp macro="">
      <xdr:nvCxnSpPr>
        <xdr:cNvPr id="14" name="Straight Arrow Connector 13">
          <a:extLst>
            <a:ext uri="{FF2B5EF4-FFF2-40B4-BE49-F238E27FC236}">
              <a16:creationId xmlns:a16="http://schemas.microsoft.com/office/drawing/2014/main" id="{00000000-0008-0000-1500-00000E000000}"/>
            </a:ext>
          </a:extLst>
        </xdr:cNvPr>
        <xdr:cNvCxnSpPr/>
      </xdr:nvCxnSpPr>
      <xdr:spPr>
        <a:xfrm flipH="1">
          <a:off x="13445490" y="6398894"/>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482600</xdr:colOff>
      <xdr:row>4</xdr:row>
      <xdr:rowOff>71966</xdr:rowOff>
    </xdr:from>
    <xdr:to>
      <xdr:col>11</xdr:col>
      <xdr:colOff>11922</xdr:colOff>
      <xdr:row>16</xdr:row>
      <xdr:rowOff>7313</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10741025" y="910166"/>
          <a:ext cx="2434447" cy="8374497"/>
          <a:chOff x="11645900" y="783166"/>
          <a:chExt cx="2725489" cy="6767947"/>
        </a:xfrm>
      </xdr:grpSpPr>
      <xdr:sp macro="" textlink="">
        <xdr:nvSpPr>
          <xdr:cNvPr id="3" name="Rectangle 2">
            <a:extLst>
              <a:ext uri="{FF2B5EF4-FFF2-40B4-BE49-F238E27FC236}">
                <a16:creationId xmlns:a16="http://schemas.microsoft.com/office/drawing/2014/main" id="{00000000-0008-0000-1700-000003000000}"/>
              </a:ext>
            </a:extLst>
          </xdr:cNvPr>
          <xdr:cNvSpPr/>
        </xdr:nvSpPr>
        <xdr:spPr>
          <a:xfrm>
            <a:off x="11661072" y="2494828"/>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sp macro="" textlink="">
        <xdr:nvSpPr>
          <xdr:cNvPr id="4" name="Rectangle 3">
            <a:extLst>
              <a:ext uri="{FF2B5EF4-FFF2-40B4-BE49-F238E27FC236}">
                <a16:creationId xmlns:a16="http://schemas.microsoft.com/office/drawing/2014/main" id="{00000000-0008-0000-1700-000004000000}"/>
              </a:ext>
            </a:extLst>
          </xdr:cNvPr>
          <xdr:cNvSpPr/>
        </xdr:nvSpPr>
        <xdr:spPr>
          <a:xfrm>
            <a:off x="11673561" y="4478051"/>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a:xfrm>
            <a:off x="11682239" y="5647384"/>
            <a:ext cx="2689150" cy="773391"/>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Weighted Student Funding</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(Allocation of All Other Funds)</a:t>
            </a:r>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a:xfrm>
            <a:off x="11661072" y="6767350"/>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sp macro="" textlink="">
        <xdr:nvSpPr>
          <xdr:cNvPr id="7" name="Rectangle 6">
            <a:extLst>
              <a:ext uri="{FF2B5EF4-FFF2-40B4-BE49-F238E27FC236}">
                <a16:creationId xmlns:a16="http://schemas.microsoft.com/office/drawing/2014/main" id="{00000000-0008-0000-1700-000007000000}"/>
              </a:ext>
            </a:extLst>
          </xdr:cNvPr>
          <xdr:cNvSpPr/>
        </xdr:nvSpPr>
        <xdr:spPr>
          <a:xfrm>
            <a:off x="11645900" y="1506643"/>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xnSp macro="">
        <xdr:nvCxnSpPr>
          <xdr:cNvPr id="8" name="Straight Arrow Connector 7">
            <a:extLst>
              <a:ext uri="{FF2B5EF4-FFF2-40B4-BE49-F238E27FC236}">
                <a16:creationId xmlns:a16="http://schemas.microsoft.com/office/drawing/2014/main" id="{00000000-0008-0000-1700-000008000000}"/>
              </a:ext>
            </a:extLst>
          </xdr:cNvPr>
          <xdr:cNvCxnSpPr>
            <a:stCxn id="7" idx="2"/>
          </xdr:cNvCxnSpPr>
        </xdr:nvCxnSpPr>
        <xdr:spPr>
          <a:xfrm flipH="1">
            <a:off x="12996122" y="2134446"/>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Rectangle 8">
            <a:extLst>
              <a:ext uri="{FF2B5EF4-FFF2-40B4-BE49-F238E27FC236}">
                <a16:creationId xmlns:a16="http://schemas.microsoft.com/office/drawing/2014/main" id="{00000000-0008-0000-1700-000009000000}"/>
              </a:ext>
            </a:extLst>
          </xdr:cNvPr>
          <xdr:cNvSpPr/>
        </xdr:nvSpPr>
        <xdr:spPr>
          <a:xfrm>
            <a:off x="11648228" y="783166"/>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xnSp macro="">
        <xdr:nvCxnSpPr>
          <xdr:cNvPr id="10" name="Straight Arrow Connector 9">
            <a:extLst>
              <a:ext uri="{FF2B5EF4-FFF2-40B4-BE49-F238E27FC236}">
                <a16:creationId xmlns:a16="http://schemas.microsoft.com/office/drawing/2014/main" id="{00000000-0008-0000-1700-00000A000000}"/>
              </a:ext>
            </a:extLst>
          </xdr:cNvPr>
          <xdr:cNvCxnSpPr/>
        </xdr:nvCxnSpPr>
        <xdr:spPr>
          <a:xfrm flipH="1">
            <a:off x="12989772" y="3319780"/>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Rectangle 10">
            <a:extLst>
              <a:ext uri="{FF2B5EF4-FFF2-40B4-BE49-F238E27FC236}">
                <a16:creationId xmlns:a16="http://schemas.microsoft.com/office/drawing/2014/main" id="{00000000-0008-0000-1700-00000B000000}"/>
              </a:ext>
            </a:extLst>
          </xdr:cNvPr>
          <xdr:cNvSpPr/>
        </xdr:nvSpPr>
        <xdr:spPr>
          <a:xfrm>
            <a:off x="11675889" y="3682701"/>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xnSp macro="">
        <xdr:nvCxnSpPr>
          <xdr:cNvPr id="12" name="Straight Arrow Connector 11">
            <a:extLst>
              <a:ext uri="{FF2B5EF4-FFF2-40B4-BE49-F238E27FC236}">
                <a16:creationId xmlns:a16="http://schemas.microsoft.com/office/drawing/2014/main" id="{00000000-0008-0000-1700-00000C000000}"/>
              </a:ext>
            </a:extLst>
          </xdr:cNvPr>
          <xdr:cNvCxnSpPr/>
        </xdr:nvCxnSpPr>
        <xdr:spPr>
          <a:xfrm flipH="1">
            <a:off x="12987867" y="4132156"/>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00000000-0008-0000-1700-00000D000000}"/>
              </a:ext>
            </a:extLst>
          </xdr:cNvPr>
          <xdr:cNvCxnSpPr/>
        </xdr:nvCxnSpPr>
        <xdr:spPr>
          <a:xfrm flipH="1">
            <a:off x="13007129" y="5269018"/>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00000000-0008-0000-1700-00000E000000}"/>
              </a:ext>
            </a:extLst>
          </xdr:cNvPr>
          <xdr:cNvCxnSpPr/>
        </xdr:nvCxnSpPr>
        <xdr:spPr>
          <a:xfrm flipH="1">
            <a:off x="13026391" y="6436994"/>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448734</xdr:colOff>
      <xdr:row>3</xdr:row>
      <xdr:rowOff>131233</xdr:rowOff>
    </xdr:from>
    <xdr:to>
      <xdr:col>10</xdr:col>
      <xdr:colOff>617289</xdr:colOff>
      <xdr:row>12</xdr:row>
      <xdr:rowOff>633847</xdr:rowOff>
    </xdr:to>
    <xdr:grpSp>
      <xdr:nvGrpSpPr>
        <xdr:cNvPr id="2" name="Group 1">
          <a:extLst>
            <a:ext uri="{FF2B5EF4-FFF2-40B4-BE49-F238E27FC236}">
              <a16:creationId xmlns:a16="http://schemas.microsoft.com/office/drawing/2014/main" id="{00000000-0008-0000-1800-000002000000}"/>
            </a:ext>
          </a:extLst>
        </xdr:cNvPr>
        <xdr:cNvGrpSpPr/>
      </xdr:nvGrpSpPr>
      <xdr:grpSpPr>
        <a:xfrm>
          <a:off x="10535709" y="759883"/>
          <a:ext cx="2454555" cy="8675064"/>
          <a:chOff x="11645900" y="783166"/>
          <a:chExt cx="2725489" cy="6767947"/>
        </a:xfrm>
      </xdr:grpSpPr>
      <xdr:sp macro="" textlink="">
        <xdr:nvSpPr>
          <xdr:cNvPr id="3" name="Rectangle 2">
            <a:extLst>
              <a:ext uri="{FF2B5EF4-FFF2-40B4-BE49-F238E27FC236}">
                <a16:creationId xmlns:a16="http://schemas.microsoft.com/office/drawing/2014/main" id="{00000000-0008-0000-1800-000003000000}"/>
              </a:ext>
            </a:extLst>
          </xdr:cNvPr>
          <xdr:cNvSpPr/>
        </xdr:nvSpPr>
        <xdr:spPr>
          <a:xfrm>
            <a:off x="11661072" y="2494828"/>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sp macro="" textlink="">
        <xdr:nvSpPr>
          <xdr:cNvPr id="4" name="Rectangle 3">
            <a:extLst>
              <a:ext uri="{FF2B5EF4-FFF2-40B4-BE49-F238E27FC236}">
                <a16:creationId xmlns:a16="http://schemas.microsoft.com/office/drawing/2014/main" id="{00000000-0008-0000-1800-000004000000}"/>
              </a:ext>
            </a:extLst>
          </xdr:cNvPr>
          <xdr:cNvSpPr/>
        </xdr:nvSpPr>
        <xdr:spPr>
          <a:xfrm>
            <a:off x="11673561" y="4478051"/>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a:xfrm>
            <a:off x="11682239" y="5647384"/>
            <a:ext cx="2689150" cy="773391"/>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Weighted Student Funding</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(Allocation of All Other Funds)</a:t>
            </a:r>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a:xfrm>
            <a:off x="11661072" y="6767350"/>
            <a:ext cx="2689150" cy="78376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 Allocation of Excess Funds</a:t>
            </a:r>
            <a:br>
              <a:rPr lang="en-US" sz="1600">
                <a:latin typeface="Arial Narrow" panose="020B0606020202030204" pitchFamily="34" charset="0"/>
              </a:rPr>
            </a:br>
            <a:r>
              <a:rPr lang="en-US" sz="1600">
                <a:latin typeface="Arial Narrow" panose="020B0606020202030204" pitchFamily="34" charset="0"/>
              </a:rPr>
              <a:t>(Distribution of </a:t>
            </a:r>
            <a:br>
              <a:rPr lang="en-US" sz="1600">
                <a:latin typeface="Arial Narrow" panose="020B0606020202030204" pitchFamily="34" charset="0"/>
              </a:rPr>
            </a:br>
            <a:r>
              <a:rPr lang="en-US" sz="1600">
                <a:latin typeface="Arial Narrow" panose="020B0606020202030204" pitchFamily="34" charset="0"/>
              </a:rPr>
              <a:t>Funds After Parity)</a:t>
            </a:r>
          </a:p>
        </xdr:txBody>
      </xdr:sp>
      <xdr:sp macro="" textlink="">
        <xdr:nvSpPr>
          <xdr:cNvPr id="7" name="Rectangle 6">
            <a:extLst>
              <a:ext uri="{FF2B5EF4-FFF2-40B4-BE49-F238E27FC236}">
                <a16:creationId xmlns:a16="http://schemas.microsoft.com/office/drawing/2014/main" id="{00000000-0008-0000-1800-000007000000}"/>
              </a:ext>
            </a:extLst>
          </xdr:cNvPr>
          <xdr:cNvSpPr/>
        </xdr:nvSpPr>
        <xdr:spPr>
          <a:xfrm>
            <a:off x="11645900" y="1506643"/>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xnSp macro="">
        <xdr:nvCxnSpPr>
          <xdr:cNvPr id="8" name="Straight Arrow Connector 7">
            <a:extLst>
              <a:ext uri="{FF2B5EF4-FFF2-40B4-BE49-F238E27FC236}">
                <a16:creationId xmlns:a16="http://schemas.microsoft.com/office/drawing/2014/main" id="{00000000-0008-0000-1800-000008000000}"/>
              </a:ext>
            </a:extLst>
          </xdr:cNvPr>
          <xdr:cNvCxnSpPr>
            <a:stCxn id="7" idx="2"/>
          </xdr:cNvCxnSpPr>
        </xdr:nvCxnSpPr>
        <xdr:spPr>
          <a:xfrm flipH="1">
            <a:off x="12996122" y="2134446"/>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Rectangle 8">
            <a:extLst>
              <a:ext uri="{FF2B5EF4-FFF2-40B4-BE49-F238E27FC236}">
                <a16:creationId xmlns:a16="http://schemas.microsoft.com/office/drawing/2014/main" id="{00000000-0008-0000-1800-000009000000}"/>
              </a:ext>
            </a:extLst>
          </xdr:cNvPr>
          <xdr:cNvSpPr/>
        </xdr:nvSpPr>
        <xdr:spPr>
          <a:xfrm>
            <a:off x="11648228" y="783166"/>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xnSp macro="">
        <xdr:nvCxnSpPr>
          <xdr:cNvPr id="10" name="Straight Arrow Connector 9">
            <a:extLst>
              <a:ext uri="{FF2B5EF4-FFF2-40B4-BE49-F238E27FC236}">
                <a16:creationId xmlns:a16="http://schemas.microsoft.com/office/drawing/2014/main" id="{00000000-0008-0000-1800-00000A000000}"/>
              </a:ext>
            </a:extLst>
          </xdr:cNvPr>
          <xdr:cNvCxnSpPr/>
        </xdr:nvCxnSpPr>
        <xdr:spPr>
          <a:xfrm flipH="1">
            <a:off x="12989772" y="3319780"/>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Rectangle 10">
            <a:extLst>
              <a:ext uri="{FF2B5EF4-FFF2-40B4-BE49-F238E27FC236}">
                <a16:creationId xmlns:a16="http://schemas.microsoft.com/office/drawing/2014/main" id="{00000000-0008-0000-1800-00000B000000}"/>
              </a:ext>
            </a:extLst>
          </xdr:cNvPr>
          <xdr:cNvSpPr/>
        </xdr:nvSpPr>
        <xdr:spPr>
          <a:xfrm>
            <a:off x="11675889" y="3682701"/>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xnSp macro="">
        <xdr:nvCxnSpPr>
          <xdr:cNvPr id="12" name="Straight Arrow Connector 11">
            <a:extLst>
              <a:ext uri="{FF2B5EF4-FFF2-40B4-BE49-F238E27FC236}">
                <a16:creationId xmlns:a16="http://schemas.microsoft.com/office/drawing/2014/main" id="{00000000-0008-0000-1800-00000C000000}"/>
              </a:ext>
            </a:extLst>
          </xdr:cNvPr>
          <xdr:cNvCxnSpPr/>
        </xdr:nvCxnSpPr>
        <xdr:spPr>
          <a:xfrm flipH="1">
            <a:off x="12987867" y="4132156"/>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00000000-0008-0000-1800-00000D000000}"/>
              </a:ext>
            </a:extLst>
          </xdr:cNvPr>
          <xdr:cNvCxnSpPr/>
        </xdr:nvCxnSpPr>
        <xdr:spPr>
          <a:xfrm flipH="1">
            <a:off x="13007129" y="5269018"/>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00000000-0008-0000-1800-00000E000000}"/>
              </a:ext>
            </a:extLst>
          </xdr:cNvPr>
          <xdr:cNvCxnSpPr/>
        </xdr:nvCxnSpPr>
        <xdr:spPr>
          <a:xfrm flipH="1">
            <a:off x="13026391" y="6436994"/>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294571</xdr:colOff>
      <xdr:row>11</xdr:row>
      <xdr:rowOff>81829</xdr:rowOff>
    </xdr:from>
    <xdr:to>
      <xdr:col>10</xdr:col>
      <xdr:colOff>426787</xdr:colOff>
      <xdr:row>15</xdr:row>
      <xdr:rowOff>151216</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1271604" y="2397462"/>
          <a:ext cx="2689150" cy="789054"/>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State Administrative,  Oversight and Non-District Programs</a:t>
          </a:r>
        </a:p>
      </xdr:txBody>
    </xdr:sp>
    <xdr:clientData/>
  </xdr:twoCellAnchor>
  <xdr:twoCellAnchor>
    <xdr:from>
      <xdr:col>6</xdr:col>
      <xdr:colOff>307060</xdr:colOff>
      <xdr:row>22</xdr:row>
      <xdr:rowOff>92318</xdr:rowOff>
    </xdr:from>
    <xdr:to>
      <xdr:col>10</xdr:col>
      <xdr:colOff>439276</xdr:colOff>
      <xdr:row>26</xdr:row>
      <xdr:rowOff>156838</xdr:rowOff>
    </xdr:to>
    <xdr:sp macro="" textlink="">
      <xdr:nvSpPr>
        <xdr:cNvPr id="4" name="Rectangle 3">
          <a:extLst>
            <a:ext uri="{FF2B5EF4-FFF2-40B4-BE49-F238E27FC236}">
              <a16:creationId xmlns:a16="http://schemas.microsoft.com/office/drawing/2014/main" id="{00000000-0008-0000-1B00-000004000000}"/>
            </a:ext>
          </a:extLst>
        </xdr:cNvPr>
        <xdr:cNvSpPr/>
      </xdr:nvSpPr>
      <xdr:spPr>
        <a:xfrm>
          <a:off x="11284093" y="4380685"/>
          <a:ext cx="2689150" cy="775720"/>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Base Student Funding</a:t>
          </a:r>
          <a:br>
            <a:rPr lang="en-US" sz="1600">
              <a:latin typeface="Arial Narrow" panose="020B0606020202030204" pitchFamily="34" charset="0"/>
            </a:rPr>
          </a:br>
          <a:r>
            <a:rPr lang="en-US" sz="1600">
              <a:latin typeface="Arial Narrow" panose="020B0606020202030204" pitchFamily="34" charset="0"/>
            </a:rPr>
            <a:t>(Inflation + Enrollment Growth)</a:t>
          </a:r>
        </a:p>
      </xdr:txBody>
    </xdr:sp>
    <xdr:clientData/>
  </xdr:twoCellAnchor>
  <xdr:twoCellAnchor>
    <xdr:from>
      <xdr:col>6</xdr:col>
      <xdr:colOff>315738</xdr:colOff>
      <xdr:row>28</xdr:row>
      <xdr:rowOff>12818</xdr:rowOff>
    </xdr:from>
    <xdr:to>
      <xdr:col>10</xdr:col>
      <xdr:colOff>447954</xdr:colOff>
      <xdr:row>32</xdr:row>
      <xdr:rowOff>75009</xdr:rowOff>
    </xdr:to>
    <xdr:sp macro="" textlink="">
      <xdr:nvSpPr>
        <xdr:cNvPr id="5" name="Rectangle 4">
          <a:extLst>
            <a:ext uri="{FF2B5EF4-FFF2-40B4-BE49-F238E27FC236}">
              <a16:creationId xmlns:a16="http://schemas.microsoft.com/office/drawing/2014/main" id="{00000000-0008-0000-1B00-000005000000}"/>
            </a:ext>
          </a:extLst>
        </xdr:cNvPr>
        <xdr:cNvSpPr/>
      </xdr:nvSpPr>
      <xdr:spPr>
        <a:xfrm>
          <a:off x="11292771" y="5550018"/>
          <a:ext cx="2689150" cy="773391"/>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Weighted Student Funding</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(Allocation of All Other Funds)</a:t>
          </a:r>
        </a:p>
      </xdr:txBody>
    </xdr:sp>
    <xdr:clientData/>
  </xdr:twoCellAnchor>
  <xdr:twoCellAnchor>
    <xdr:from>
      <xdr:col>6</xdr:col>
      <xdr:colOff>294571</xdr:colOff>
      <xdr:row>34</xdr:row>
      <xdr:rowOff>65984</xdr:rowOff>
    </xdr:from>
    <xdr:to>
      <xdr:col>10</xdr:col>
      <xdr:colOff>426787</xdr:colOff>
      <xdr:row>38</xdr:row>
      <xdr:rowOff>138547</xdr:rowOff>
    </xdr:to>
    <xdr:sp macro="" textlink="">
      <xdr:nvSpPr>
        <xdr:cNvPr id="6" name="Rectangle 5">
          <a:extLst>
            <a:ext uri="{FF2B5EF4-FFF2-40B4-BE49-F238E27FC236}">
              <a16:creationId xmlns:a16="http://schemas.microsoft.com/office/drawing/2014/main" id="{00000000-0008-0000-1B00-000006000000}"/>
            </a:ext>
          </a:extLst>
        </xdr:cNvPr>
        <xdr:cNvSpPr/>
      </xdr:nvSpPr>
      <xdr:spPr>
        <a:xfrm>
          <a:off x="11271604" y="6669984"/>
          <a:ext cx="2689150" cy="783763"/>
        </a:xfrm>
        <a:prstGeom prst="rect">
          <a:avLst/>
        </a:prstGeom>
        <a:solidFill>
          <a:schemeClr val="accent3">
            <a:lumMod val="60000"/>
            <a:lumOff val="4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ysClr val="windowText" lastClr="000000"/>
              </a:solidFill>
              <a:latin typeface="Arial Narrow" panose="020B0606020202030204" pitchFamily="34" charset="0"/>
              <a:ea typeface="+mn-ea"/>
              <a:cs typeface="+mn-cs"/>
            </a:rPr>
            <a:t> Allocation of Excess Funds</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(Distribution of </a:t>
          </a:r>
          <a:br>
            <a:rPr lang="en-US" sz="1600" b="1" kern="1200">
              <a:solidFill>
                <a:sysClr val="windowText" lastClr="000000"/>
              </a:solidFill>
              <a:latin typeface="Arial Narrow" panose="020B0606020202030204" pitchFamily="34" charset="0"/>
              <a:ea typeface="+mn-ea"/>
              <a:cs typeface="+mn-cs"/>
            </a:rPr>
          </a:br>
          <a:r>
            <a:rPr lang="en-US" sz="1600" b="1" kern="1200">
              <a:solidFill>
                <a:sysClr val="windowText" lastClr="000000"/>
              </a:solidFill>
              <a:latin typeface="Arial Narrow" panose="020B0606020202030204" pitchFamily="34" charset="0"/>
              <a:ea typeface="+mn-ea"/>
              <a:cs typeface="+mn-cs"/>
            </a:rPr>
            <a:t>Funds After Parity)</a:t>
          </a:r>
        </a:p>
      </xdr:txBody>
    </xdr:sp>
    <xdr:clientData/>
  </xdr:twoCellAnchor>
  <xdr:twoCellAnchor>
    <xdr:from>
      <xdr:col>6</xdr:col>
      <xdr:colOff>279399</xdr:colOff>
      <xdr:row>6</xdr:row>
      <xdr:rowOff>342477</xdr:rowOff>
    </xdr:from>
    <xdr:to>
      <xdr:col>10</xdr:col>
      <xdr:colOff>438149</xdr:colOff>
      <xdr:row>9</xdr:row>
      <xdr:rowOff>77047</xdr:rowOff>
    </xdr:to>
    <xdr:sp macro="" textlink="">
      <xdr:nvSpPr>
        <xdr:cNvPr id="7" name="Rectangle 6">
          <a:extLst>
            <a:ext uri="{FF2B5EF4-FFF2-40B4-BE49-F238E27FC236}">
              <a16:creationId xmlns:a16="http://schemas.microsoft.com/office/drawing/2014/main" id="{00000000-0008-0000-1B00-000007000000}"/>
            </a:ext>
          </a:extLst>
        </xdr:cNvPr>
        <xdr:cNvSpPr/>
      </xdr:nvSpPr>
      <xdr:spPr>
        <a:xfrm>
          <a:off x="11256432" y="1409277"/>
          <a:ext cx="2715684" cy="627803"/>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US" sz="1600" b="1" kern="1200">
              <a:solidFill>
                <a:schemeClr val="lt1"/>
              </a:solidFill>
              <a:latin typeface="Arial Narrow" panose="020B0606020202030204" pitchFamily="34" charset="0"/>
              <a:ea typeface="+mn-ea"/>
              <a:cs typeface="+mn-cs"/>
            </a:rPr>
            <a:t>State of Nevada</a:t>
          </a:r>
          <a:br>
            <a:rPr lang="en-US" sz="1600" b="1" kern="1200">
              <a:solidFill>
                <a:schemeClr val="lt1"/>
              </a:solidFill>
              <a:latin typeface="Arial Narrow" panose="020B0606020202030204" pitchFamily="34" charset="0"/>
              <a:ea typeface="+mn-ea"/>
              <a:cs typeface="+mn-cs"/>
            </a:rPr>
          </a:br>
          <a:r>
            <a:rPr lang="en-US" sz="1600" b="1" kern="1200">
              <a:solidFill>
                <a:schemeClr val="lt1"/>
              </a:solidFill>
              <a:latin typeface="Arial Narrow" panose="020B0606020202030204" pitchFamily="34" charset="0"/>
              <a:ea typeface="+mn-ea"/>
              <a:cs typeface="+mn-cs"/>
            </a:rPr>
            <a:t>Education Fund</a:t>
          </a:r>
        </a:p>
      </xdr:txBody>
    </xdr:sp>
    <xdr:clientData/>
  </xdr:twoCellAnchor>
  <xdr:twoCellAnchor>
    <xdr:from>
      <xdr:col>8</xdr:col>
      <xdr:colOff>351154</xdr:colOff>
      <xdr:row>9</xdr:row>
      <xdr:rowOff>77047</xdr:rowOff>
    </xdr:from>
    <xdr:to>
      <xdr:col>8</xdr:col>
      <xdr:colOff>355916</xdr:colOff>
      <xdr:row>11</xdr:row>
      <xdr:rowOff>42757</xdr:rowOff>
    </xdr:to>
    <xdr:cxnSp macro="">
      <xdr:nvCxnSpPr>
        <xdr:cNvPr id="8" name="Straight Arrow Connector 7">
          <a:extLst>
            <a:ext uri="{FF2B5EF4-FFF2-40B4-BE49-F238E27FC236}">
              <a16:creationId xmlns:a16="http://schemas.microsoft.com/office/drawing/2014/main" id="{00000000-0008-0000-1B00-000008000000}"/>
            </a:ext>
          </a:extLst>
        </xdr:cNvPr>
        <xdr:cNvCxnSpPr>
          <a:stCxn id="7" idx="2"/>
        </xdr:cNvCxnSpPr>
      </xdr:nvCxnSpPr>
      <xdr:spPr>
        <a:xfrm flipH="1">
          <a:off x="12606654" y="2037080"/>
          <a:ext cx="4762" cy="321310"/>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281727</xdr:colOff>
      <xdr:row>3</xdr:row>
      <xdr:rowOff>152400</xdr:rowOff>
    </xdr:from>
    <xdr:to>
      <xdr:col>10</xdr:col>
      <xdr:colOff>438572</xdr:colOff>
      <xdr:row>6</xdr:row>
      <xdr:rowOff>238125</xdr:rowOff>
    </xdr:to>
    <xdr:sp macro="" textlink="">
      <xdr:nvSpPr>
        <xdr:cNvPr id="9" name="Rectangle 8">
          <a:extLst>
            <a:ext uri="{FF2B5EF4-FFF2-40B4-BE49-F238E27FC236}">
              <a16:creationId xmlns:a16="http://schemas.microsoft.com/office/drawing/2014/main" id="{00000000-0008-0000-1B00-000009000000}"/>
            </a:ext>
          </a:extLst>
        </xdr:cNvPr>
        <xdr:cNvSpPr/>
      </xdr:nvSpPr>
      <xdr:spPr>
        <a:xfrm>
          <a:off x="11258760" y="685800"/>
          <a:ext cx="2713779" cy="619125"/>
        </a:xfrm>
        <a:prstGeom prst="rect">
          <a:avLst/>
        </a:prstGeom>
        <a:solidFill>
          <a:schemeClr val="bg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solidFill>
                <a:sysClr val="windowText" lastClr="000000"/>
              </a:solidFill>
              <a:latin typeface="Arial Narrow" panose="020B0606020202030204" pitchFamily="34" charset="0"/>
            </a:rPr>
            <a:t>Pupil</a:t>
          </a:r>
          <a:r>
            <a:rPr lang="en-US" sz="1600" b="1" baseline="0">
              <a:solidFill>
                <a:sysClr val="windowText" lastClr="000000"/>
              </a:solidFill>
              <a:latin typeface="Arial Narrow" panose="020B0606020202030204" pitchFamily="34" charset="0"/>
            </a:rPr>
            <a:t> Centered Funding Plan</a:t>
          </a:r>
          <a:br>
            <a:rPr lang="en-US" sz="1600" b="1" baseline="0">
              <a:solidFill>
                <a:sysClr val="windowText" lastClr="000000"/>
              </a:solidFill>
              <a:latin typeface="Arial Narrow" panose="020B0606020202030204" pitchFamily="34" charset="0"/>
            </a:rPr>
          </a:br>
          <a:r>
            <a:rPr lang="en-US" sz="1600" b="0" baseline="0">
              <a:solidFill>
                <a:sysClr val="windowText" lastClr="000000"/>
              </a:solidFill>
              <a:latin typeface="Arial Narrow" panose="020B0606020202030204" pitchFamily="34" charset="0"/>
            </a:rPr>
            <a:t>Allocation Waterfall</a:t>
          </a:r>
          <a:endParaRPr lang="en-US" sz="1600" b="0">
            <a:solidFill>
              <a:sysClr val="windowText" lastClr="000000"/>
            </a:solidFill>
            <a:latin typeface="Arial Narrow" panose="020B0606020202030204" pitchFamily="34" charset="0"/>
          </a:endParaRPr>
        </a:p>
      </xdr:txBody>
    </xdr:sp>
    <xdr:clientData/>
  </xdr:twoCellAnchor>
  <xdr:twoCellAnchor>
    <xdr:from>
      <xdr:col>8</xdr:col>
      <xdr:colOff>344804</xdr:colOff>
      <xdr:row>16</xdr:row>
      <xdr:rowOff>9314</xdr:rowOff>
    </xdr:from>
    <xdr:to>
      <xdr:col>8</xdr:col>
      <xdr:colOff>345756</xdr:colOff>
      <xdr:row>17</xdr:row>
      <xdr:rowOff>148590</xdr:rowOff>
    </xdr:to>
    <xdr:cxnSp macro="">
      <xdr:nvCxnSpPr>
        <xdr:cNvPr id="10" name="Straight Arrow Connector 9">
          <a:extLst>
            <a:ext uri="{FF2B5EF4-FFF2-40B4-BE49-F238E27FC236}">
              <a16:creationId xmlns:a16="http://schemas.microsoft.com/office/drawing/2014/main" id="{00000000-0008-0000-1B00-00000A000000}"/>
            </a:ext>
          </a:extLst>
        </xdr:cNvPr>
        <xdr:cNvCxnSpPr/>
      </xdr:nvCxnSpPr>
      <xdr:spPr>
        <a:xfrm flipH="1">
          <a:off x="12600304" y="3222414"/>
          <a:ext cx="952" cy="317076"/>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309388</xdr:colOff>
      <xdr:row>18</xdr:row>
      <xdr:rowOff>16635</xdr:rowOff>
    </xdr:from>
    <xdr:to>
      <xdr:col>10</xdr:col>
      <xdr:colOff>441604</xdr:colOff>
      <xdr:row>20</xdr:row>
      <xdr:rowOff>59266</xdr:rowOff>
    </xdr:to>
    <xdr:sp macro="" textlink="">
      <xdr:nvSpPr>
        <xdr:cNvPr id="11" name="Rectangle 10">
          <a:extLst>
            <a:ext uri="{FF2B5EF4-FFF2-40B4-BE49-F238E27FC236}">
              <a16:creationId xmlns:a16="http://schemas.microsoft.com/office/drawing/2014/main" id="{00000000-0008-0000-1B00-00000B000000}"/>
            </a:ext>
          </a:extLst>
        </xdr:cNvPr>
        <xdr:cNvSpPr/>
      </xdr:nvSpPr>
      <xdr:spPr>
        <a:xfrm>
          <a:off x="11286421" y="3585335"/>
          <a:ext cx="2689150" cy="406698"/>
        </a:xfrm>
        <a:prstGeom prst="rect">
          <a:avLst/>
        </a:prstGeom>
        <a:solidFill>
          <a:schemeClr val="tx1"/>
        </a:solidFill>
        <a:ln w="508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b="1">
              <a:latin typeface="Arial Narrow" panose="020B0606020202030204" pitchFamily="34" charset="0"/>
            </a:rPr>
            <a:t>Ancillary</a:t>
          </a:r>
          <a:r>
            <a:rPr lang="en-US" sz="1600" b="1" baseline="0">
              <a:latin typeface="Arial Narrow" panose="020B0606020202030204" pitchFamily="34" charset="0"/>
            </a:rPr>
            <a:t> Operating Costs</a:t>
          </a:r>
          <a:endParaRPr lang="en-US" sz="1600" b="1">
            <a:latin typeface="Arial Narrow" panose="020B0606020202030204" pitchFamily="34" charset="0"/>
          </a:endParaRPr>
        </a:p>
      </xdr:txBody>
    </xdr:sp>
    <xdr:clientData/>
  </xdr:twoCellAnchor>
  <xdr:twoCellAnchor>
    <xdr:from>
      <xdr:col>8</xdr:col>
      <xdr:colOff>342899</xdr:colOff>
      <xdr:row>20</xdr:row>
      <xdr:rowOff>102023</xdr:rowOff>
    </xdr:from>
    <xdr:to>
      <xdr:col>8</xdr:col>
      <xdr:colOff>343851</xdr:colOff>
      <xdr:row>22</xdr:row>
      <xdr:rowOff>67732</xdr:rowOff>
    </xdr:to>
    <xdr:cxnSp macro="">
      <xdr:nvCxnSpPr>
        <xdr:cNvPr id="12" name="Straight Arrow Connector 11">
          <a:extLst>
            <a:ext uri="{FF2B5EF4-FFF2-40B4-BE49-F238E27FC236}">
              <a16:creationId xmlns:a16="http://schemas.microsoft.com/office/drawing/2014/main" id="{00000000-0008-0000-1B00-00000C000000}"/>
            </a:ext>
          </a:extLst>
        </xdr:cNvPr>
        <xdr:cNvCxnSpPr/>
      </xdr:nvCxnSpPr>
      <xdr:spPr>
        <a:xfrm flipH="1">
          <a:off x="12598399" y="4034790"/>
          <a:ext cx="952" cy="321309"/>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362161</xdr:colOff>
      <xdr:row>26</xdr:row>
      <xdr:rowOff>172085</xdr:rowOff>
    </xdr:from>
    <xdr:to>
      <xdr:col>8</xdr:col>
      <xdr:colOff>363113</xdr:colOff>
      <xdr:row>27</xdr:row>
      <xdr:rowOff>131444</xdr:rowOff>
    </xdr:to>
    <xdr:cxnSp macro="">
      <xdr:nvCxnSpPr>
        <xdr:cNvPr id="13" name="Straight Arrow Connector 12">
          <a:extLst>
            <a:ext uri="{FF2B5EF4-FFF2-40B4-BE49-F238E27FC236}">
              <a16:creationId xmlns:a16="http://schemas.microsoft.com/office/drawing/2014/main" id="{00000000-0008-0000-1B00-00000D000000}"/>
            </a:ext>
          </a:extLst>
        </xdr:cNvPr>
        <xdr:cNvCxnSpPr/>
      </xdr:nvCxnSpPr>
      <xdr:spPr>
        <a:xfrm flipH="1">
          <a:off x="12617661" y="5171652"/>
          <a:ext cx="952" cy="31919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381423</xdr:colOff>
      <xdr:row>32</xdr:row>
      <xdr:rowOff>91228</xdr:rowOff>
    </xdr:from>
    <xdr:to>
      <xdr:col>8</xdr:col>
      <xdr:colOff>382375</xdr:colOff>
      <xdr:row>34</xdr:row>
      <xdr:rowOff>47200</xdr:rowOff>
    </xdr:to>
    <xdr:cxnSp macro="">
      <xdr:nvCxnSpPr>
        <xdr:cNvPr id="14" name="Straight Arrow Connector 13">
          <a:extLst>
            <a:ext uri="{FF2B5EF4-FFF2-40B4-BE49-F238E27FC236}">
              <a16:creationId xmlns:a16="http://schemas.microsoft.com/office/drawing/2014/main" id="{00000000-0008-0000-1B00-00000E000000}"/>
            </a:ext>
          </a:extLst>
        </xdr:cNvPr>
        <xdr:cNvCxnSpPr/>
      </xdr:nvCxnSpPr>
      <xdr:spPr>
        <a:xfrm flipH="1">
          <a:off x="12636923" y="6339628"/>
          <a:ext cx="952" cy="311572"/>
        </a:xfrm>
        <a:prstGeom prst="straightConnector1">
          <a:avLst/>
        </a:prstGeom>
        <a:ln w="508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Beau Bennett" id="{8B550911-E652-4B7C-A640-431C284D9D57}" userId="S::bbennett@doe.nv.gov::1997d7e8-adfa-4ffc-8218-0140bcd484ad" providerId="AD"/>
  <person displayName="Megan Peterson" id="{137CD6E7-DDBF-4E30-88A4-7AA532798AD1}" userId="S::megan.peterson@doe.nv.gov::831bf0f3-b6fe-4383-ac96-c0c399f260be"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2" dT="2024-12-10T22:45:17.10" personId="{8B550911-E652-4B7C-A640-431C284D9D57}" id="{3BA5FE73-A85E-4CCD-999C-ABBC1B8662CC}">
    <text>Split estimated enrollment of 159.56 evenly among Beacon, Odyssey, and Sage</text>
  </threadedComment>
</ThreadedComments>
</file>

<file path=xl/threadedComments/threadedComment2.xml><?xml version="1.0" encoding="utf-8"?>
<ThreadedComments xmlns="http://schemas.microsoft.com/office/spreadsheetml/2018/threadedcomments" xmlns:x="http://schemas.openxmlformats.org/spreadsheetml/2006/main">
  <threadedComment ref="H13" dT="2024-12-18T21:52:16.39" personId="{137CD6E7-DDBF-4E30-88A4-7AA532798AD1}" id="{3D79EA33-8EC2-427F-B26D-43BD6E6FED7A}">
    <text>Rounded to 5 decimal places to balance the model.</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9.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58.bin"/><Relationship Id="rId4"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6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printerSettings" Target="../printerSettings/printerSettings15.bin"/><Relationship Id="rId7" Type="http://schemas.openxmlformats.org/officeDocument/2006/relationships/comments" Target="../comments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vmlDrawing" Target="../drawings/vmlDrawing3.vml"/><Relationship Id="rId5" Type="http://schemas.openxmlformats.org/officeDocument/2006/relationships/drawing" Target="../drawings/drawing1.xml"/><Relationship Id="rId4"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C44F-636D-4330-B45B-03B194C9C4BD}">
  <sheetPr>
    <pageSetUpPr autoPageBreaks="0" fitToPage="1"/>
  </sheetPr>
  <dimension ref="A9:X61"/>
  <sheetViews>
    <sheetView topLeftCell="A22" zoomScale="55" zoomScaleNormal="55" workbookViewId="0">
      <selection activeCell="AB48" sqref="AB48"/>
    </sheetView>
  </sheetViews>
  <sheetFormatPr defaultColWidth="8.7109375" defaultRowHeight="16.5" x14ac:dyDescent="0.3"/>
  <cols>
    <col min="1" max="6" width="8.7109375" style="30"/>
    <col min="7" max="7" width="21" style="30" bestFit="1" customWidth="1"/>
    <col min="8" max="8" width="21.7109375" style="30" customWidth="1"/>
    <col min="9" max="22" width="8.7109375" style="30"/>
    <col min="23" max="23" width="16" style="30" bestFit="1" customWidth="1"/>
    <col min="24" max="24" width="15.140625" style="30" bestFit="1" customWidth="1"/>
    <col min="25" max="16384" width="8.7109375" style="30"/>
  </cols>
  <sheetData>
    <row r="9" spans="1:24" x14ac:dyDescent="0.3">
      <c r="W9" s="64"/>
      <c r="X9" s="64"/>
    </row>
    <row r="10" spans="1:24" s="40" customFormat="1" ht="49.5" x14ac:dyDescent="0.65">
      <c r="A10" s="38" t="str">
        <f>CONCATENATE("Pupil Center Funding Plan | FY",'1.1 Assumption Control YR1'!D5)</f>
        <v>Pupil Center Funding Plan | FY2026</v>
      </c>
      <c r="B10" s="38"/>
      <c r="C10" s="38"/>
      <c r="D10" s="38"/>
      <c r="E10" s="38"/>
      <c r="F10" s="38"/>
      <c r="G10" s="38"/>
      <c r="H10" s="38"/>
      <c r="I10" s="38"/>
      <c r="J10" s="38"/>
      <c r="K10" s="38"/>
      <c r="L10" s="38"/>
      <c r="M10" s="38"/>
      <c r="N10" s="38"/>
      <c r="O10" s="38"/>
      <c r="P10" s="38"/>
      <c r="Q10" s="39"/>
      <c r="R10" s="39"/>
      <c r="S10" s="39"/>
      <c r="T10" s="39"/>
      <c r="U10" s="39"/>
    </row>
    <row r="11" spans="1:24" s="33" customFormat="1" ht="40.5" x14ac:dyDescent="0.55000000000000004">
      <c r="A11" s="31" t="s">
        <v>0</v>
      </c>
      <c r="B11" s="31"/>
      <c r="C11" s="31"/>
      <c r="D11" s="31"/>
      <c r="E11" s="31"/>
      <c r="F11" s="31"/>
      <c r="G11" s="31"/>
      <c r="H11" s="31"/>
      <c r="I11" s="31"/>
      <c r="J11" s="31"/>
      <c r="K11" s="31"/>
      <c r="L11" s="31"/>
      <c r="M11" s="31"/>
      <c r="N11" s="31"/>
      <c r="O11" s="31"/>
      <c r="P11" s="31"/>
      <c r="Q11" s="32"/>
      <c r="R11" s="32"/>
      <c r="S11" s="32"/>
      <c r="T11" s="32"/>
      <c r="U11" s="32"/>
    </row>
    <row r="15" spans="1:24" s="166" customFormat="1" ht="30" x14ac:dyDescent="0.4">
      <c r="H15" s="201" t="s">
        <v>1</v>
      </c>
      <c r="I15" s="201"/>
    </row>
    <row r="16" spans="1:24" s="166" customFormat="1" ht="30" x14ac:dyDescent="0.4">
      <c r="H16" s="166" t="s">
        <v>2</v>
      </c>
    </row>
    <row r="17" spans="8:19" s="166" customFormat="1" ht="30" x14ac:dyDescent="0.4">
      <c r="H17" s="166" t="s">
        <v>3</v>
      </c>
    </row>
    <row r="18" spans="8:19" s="166" customFormat="1" ht="30" x14ac:dyDescent="0.4">
      <c r="H18" s="639" t="s">
        <v>4</v>
      </c>
    </row>
    <row r="19" spans="8:19" s="166" customFormat="1" ht="30" x14ac:dyDescent="0.4">
      <c r="H19" s="639" t="s">
        <v>5</v>
      </c>
    </row>
    <row r="20" spans="8:19" s="166" customFormat="1" ht="30" x14ac:dyDescent="0.4">
      <c r="H20" s="639" t="s">
        <v>6</v>
      </c>
    </row>
    <row r="21" spans="8:19" s="166" customFormat="1" ht="30" x14ac:dyDescent="0.4">
      <c r="H21" s="639" t="s">
        <v>7</v>
      </c>
      <c r="I21" s="187"/>
      <c r="J21" s="187"/>
      <c r="K21" s="187"/>
      <c r="L21" s="187"/>
      <c r="M21" s="187"/>
      <c r="N21" s="187"/>
      <c r="O21" s="187"/>
      <c r="P21" s="187"/>
      <c r="Q21" s="187"/>
      <c r="R21" s="187"/>
      <c r="S21" s="187"/>
    </row>
    <row r="22" spans="8:19" s="166" customFormat="1" ht="30" x14ac:dyDescent="0.4">
      <c r="H22" s="1952" t="s">
        <v>8</v>
      </c>
      <c r="I22" s="187"/>
      <c r="J22" s="187"/>
      <c r="K22" s="187"/>
      <c r="L22" s="187"/>
      <c r="M22" s="187"/>
      <c r="N22" s="187"/>
      <c r="O22" s="187"/>
      <c r="P22" s="187"/>
      <c r="Q22" s="187"/>
      <c r="R22" s="187"/>
      <c r="S22" s="187"/>
    </row>
    <row r="23" spans="8:19" s="166" customFormat="1" ht="30" x14ac:dyDescent="0.4">
      <c r="H23" s="639" t="s">
        <v>9</v>
      </c>
    </row>
    <row r="24" spans="8:19" s="166" customFormat="1" ht="30" x14ac:dyDescent="0.4">
      <c r="H24" s="639" t="s">
        <v>10</v>
      </c>
    </row>
    <row r="25" spans="8:19" s="166" customFormat="1" ht="30" x14ac:dyDescent="0.4">
      <c r="H25" s="639" t="s">
        <v>11</v>
      </c>
    </row>
    <row r="26" spans="8:19" s="166" customFormat="1" ht="30" x14ac:dyDescent="0.4">
      <c r="H26" s="639" t="s">
        <v>12</v>
      </c>
    </row>
    <row r="27" spans="8:19" s="166" customFormat="1" ht="30" x14ac:dyDescent="0.4">
      <c r="H27" s="639" t="s">
        <v>13</v>
      </c>
    </row>
    <row r="28" spans="8:19" s="166" customFormat="1" ht="30" x14ac:dyDescent="0.4">
      <c r="H28" s="639"/>
    </row>
    <row r="29" spans="8:19" s="166" customFormat="1" ht="30" x14ac:dyDescent="0.4">
      <c r="H29" s="639"/>
    </row>
    <row r="30" spans="8:19" s="166" customFormat="1" ht="30" x14ac:dyDescent="0.4">
      <c r="H30" s="639"/>
    </row>
    <row r="31" spans="8:19" s="166" customFormat="1" ht="30" x14ac:dyDescent="0.4">
      <c r="H31" s="201" t="s">
        <v>2231</v>
      </c>
    </row>
    <row r="32" spans="8:19" s="166" customFormat="1" ht="30" x14ac:dyDescent="0.4">
      <c r="H32" s="166" t="s">
        <v>2227</v>
      </c>
    </row>
    <row r="33" spans="7:8" s="166" customFormat="1" ht="30" x14ac:dyDescent="0.4">
      <c r="H33" s="166" t="s">
        <v>2229</v>
      </c>
    </row>
    <row r="34" spans="7:8" s="166" customFormat="1" ht="30" x14ac:dyDescent="0.4">
      <c r="G34" s="634"/>
      <c r="H34" s="166" t="s">
        <v>2228</v>
      </c>
    </row>
    <row r="35" spans="7:8" s="166" customFormat="1" ht="30" x14ac:dyDescent="0.4">
      <c r="G35" s="639"/>
      <c r="H35" s="166" t="s">
        <v>2230</v>
      </c>
    </row>
    <row r="36" spans="7:8" s="166" customFormat="1" ht="30" x14ac:dyDescent="0.4">
      <c r="G36" s="639"/>
      <c r="H36" s="166" t="s">
        <v>2243</v>
      </c>
    </row>
    <row r="37" spans="7:8" s="166" customFormat="1" ht="30" x14ac:dyDescent="0.4">
      <c r="G37" s="639"/>
      <c r="H37" s="639" t="s">
        <v>2244</v>
      </c>
    </row>
    <row r="38" spans="7:8" s="166" customFormat="1" ht="30" x14ac:dyDescent="0.4">
      <c r="G38" s="639"/>
    </row>
    <row r="39" spans="7:8" s="166" customFormat="1" ht="30" x14ac:dyDescent="0.4">
      <c r="H39" s="201" t="s">
        <v>14</v>
      </c>
    </row>
    <row r="40" spans="7:8" ht="30" x14ac:dyDescent="0.4">
      <c r="G40" s="639"/>
      <c r="H40" s="2301" t="s">
        <v>2304</v>
      </c>
    </row>
    <row r="41" spans="7:8" ht="30" x14ac:dyDescent="0.4">
      <c r="G41" s="639"/>
      <c r="H41" s="200" t="s">
        <v>2305</v>
      </c>
    </row>
    <row r="42" spans="7:8" s="166" customFormat="1" ht="30" x14ac:dyDescent="0.4">
      <c r="G42" s="639"/>
      <c r="H42" s="200" t="s">
        <v>2306</v>
      </c>
    </row>
    <row r="43" spans="7:8" ht="30" x14ac:dyDescent="0.4">
      <c r="G43" s="639"/>
      <c r="H43" s="200" t="s">
        <v>2303</v>
      </c>
    </row>
    <row r="44" spans="7:8" ht="30" x14ac:dyDescent="0.4">
      <c r="G44" s="639"/>
      <c r="H44" s="200" t="s">
        <v>2307</v>
      </c>
    </row>
    <row r="45" spans="7:8" ht="30" x14ac:dyDescent="0.4">
      <c r="G45" s="639"/>
      <c r="H45" s="200" t="s">
        <v>2308</v>
      </c>
    </row>
    <row r="46" spans="7:8" ht="30" x14ac:dyDescent="0.4">
      <c r="G46" s="639"/>
      <c r="H46" s="200" t="s">
        <v>2322</v>
      </c>
    </row>
    <row r="47" spans="7:8" ht="30" x14ac:dyDescent="0.4">
      <c r="G47" s="639"/>
      <c r="H47" s="2301" t="s">
        <v>2323</v>
      </c>
    </row>
    <row r="48" spans="7:8" ht="30" x14ac:dyDescent="0.4">
      <c r="G48" s="639"/>
      <c r="H48" s="200" t="s">
        <v>2324</v>
      </c>
    </row>
    <row r="49" spans="7:8" ht="30" x14ac:dyDescent="0.4">
      <c r="G49" s="639"/>
      <c r="H49" s="200" t="s">
        <v>2325</v>
      </c>
    </row>
    <row r="50" spans="7:8" ht="30" x14ac:dyDescent="0.4">
      <c r="G50" s="639"/>
      <c r="H50" s="200"/>
    </row>
    <row r="51" spans="7:8" ht="30" x14ac:dyDescent="0.4">
      <c r="G51" s="639"/>
      <c r="H51" s="200"/>
    </row>
    <row r="52" spans="7:8" ht="30" x14ac:dyDescent="0.4">
      <c r="G52" s="639"/>
      <c r="H52" s="200"/>
    </row>
    <row r="53" spans="7:8" ht="30" x14ac:dyDescent="0.4">
      <c r="G53" s="639"/>
      <c r="H53" s="200"/>
    </row>
    <row r="54" spans="7:8" ht="30" x14ac:dyDescent="0.4">
      <c r="G54" s="639"/>
      <c r="H54" s="200"/>
    </row>
    <row r="55" spans="7:8" ht="30" x14ac:dyDescent="0.4">
      <c r="G55" s="639"/>
      <c r="H55" s="200"/>
    </row>
    <row r="56" spans="7:8" ht="30" x14ac:dyDescent="0.4">
      <c r="G56" s="639"/>
      <c r="H56" s="200"/>
    </row>
    <row r="57" spans="7:8" ht="30" x14ac:dyDescent="0.4">
      <c r="H57" s="200"/>
    </row>
    <row r="58" spans="7:8" ht="30" x14ac:dyDescent="0.4">
      <c r="H58" s="200"/>
    </row>
    <row r="59" spans="7:8" ht="30" x14ac:dyDescent="0.4">
      <c r="H59" s="200"/>
    </row>
    <row r="60" spans="7:8" ht="30" x14ac:dyDescent="0.4">
      <c r="H60" s="200"/>
    </row>
    <row r="61" spans="7:8" ht="30" x14ac:dyDescent="0.4">
      <c r="H61" s="200"/>
    </row>
  </sheetData>
  <customSheetViews>
    <customSheetView guid="{CA1C9262-C0F9-4BBB-95C8-A52990BD1149}" scale="80" showPageBreaks="1" fitToPage="1" printArea="1">
      <selection activeCell="D15" sqref="D15"/>
      <pageMargins left="0" right="0" top="0" bottom="0" header="0" footer="0"/>
      <printOptions horizontalCentered="1" verticalCentered="1"/>
      <pageSetup paperSize="3"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80" showPageBreaks="1" fitToPage="1" printArea="1">
      <selection activeCell="D15" sqref="D15"/>
      <pageMargins left="0" right="0" top="0" bottom="0" header="0" footer="0"/>
      <printOptions horizontalCentered="1" verticalCentered="1"/>
      <pageSetup paperSize="3"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80" fitToPage="1">
      <selection activeCell="D15" sqref="D15"/>
      <pageMargins left="0" right="0" top="0" bottom="0" header="0" footer="0"/>
      <printOptions horizontalCentered="1" verticalCentered="1"/>
      <pageSetup paperSize="3" orientation="landscape"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printOptions horizontalCentered="1" verticalCentered="1"/>
  <pageMargins left="0.7" right="0.7" top="0.75" bottom="0.75" header="0.3" footer="0.3"/>
  <pageSetup scale="35" fitToHeight="0" orientation="portrait" r:id="rId4"/>
  <headerFooter>
    <oddHeader>&amp;R&amp;"Arial Narrow,Regular"&amp;10&amp;A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3453D-A73F-4CA6-9BCA-82F61639C76C}">
  <sheetPr>
    <tabColor theme="7" tint="0.39997558519241921"/>
  </sheetPr>
  <dimension ref="A1:F6"/>
  <sheetViews>
    <sheetView workbookViewId="0"/>
  </sheetViews>
  <sheetFormatPr defaultColWidth="8.7109375" defaultRowHeight="16.5" x14ac:dyDescent="0.3"/>
  <cols>
    <col min="1" max="1" width="10.7109375" style="9" customWidth="1"/>
    <col min="2" max="2" width="92.42578125" style="9" customWidth="1"/>
    <col min="3" max="3" width="1.7109375" style="9" customWidth="1"/>
    <col min="4" max="4" width="28.7109375" style="9" customWidth="1"/>
    <col min="5" max="5" width="2" style="9" customWidth="1"/>
    <col min="6" max="6" width="35.5703125" style="9" customWidth="1"/>
    <col min="7" max="16384" width="8.7109375" style="9"/>
  </cols>
  <sheetData>
    <row r="1" spans="1:6" s="4" customFormat="1" x14ac:dyDescent="0.3">
      <c r="A1" s="4" t="s">
        <v>15</v>
      </c>
    </row>
    <row r="2" spans="1:6" x14ac:dyDescent="0.3">
      <c r="A2" s="9" t="str">
        <f>CONCATENATE("Pupil Center Funding Model | FY",'1.1 Assumption Control YR1'!D5)</f>
        <v>Pupil Center Funding Model | FY2026</v>
      </c>
    </row>
    <row r="3" spans="1:6" x14ac:dyDescent="0.3">
      <c r="A3" s="9" t="s">
        <v>1194</v>
      </c>
    </row>
    <row r="5" spans="1:6" x14ac:dyDescent="0.3">
      <c r="A5" s="4" t="s">
        <v>73</v>
      </c>
      <c r="D5" s="4" t="s">
        <v>101</v>
      </c>
      <c r="F5" s="4" t="s">
        <v>75</v>
      </c>
    </row>
    <row r="6" spans="1:6" s="11" customFormat="1" ht="49.5" x14ac:dyDescent="0.25">
      <c r="A6" s="67" t="s">
        <v>76</v>
      </c>
      <c r="B6" s="2094" t="s">
        <v>1195</v>
      </c>
      <c r="D6" s="2094" t="s">
        <v>15</v>
      </c>
      <c r="F6" s="11" t="s">
        <v>1196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A1E32-E945-4704-B811-A364A1FB3CD9}">
  <sheetPr>
    <tabColor theme="7" tint="0.39997558519241921"/>
  </sheetPr>
  <dimension ref="A1:F7"/>
  <sheetViews>
    <sheetView workbookViewId="0"/>
  </sheetViews>
  <sheetFormatPr defaultColWidth="8.7109375" defaultRowHeight="16.5" x14ac:dyDescent="0.3"/>
  <cols>
    <col min="1" max="1" width="3.5703125" style="9" customWidth="1"/>
    <col min="2" max="2" width="92.42578125" style="9" customWidth="1"/>
    <col min="3" max="3" width="1.7109375" style="9" customWidth="1"/>
    <col min="4" max="4" width="28.7109375" style="9" customWidth="1"/>
    <col min="5" max="5" width="2" style="9" customWidth="1"/>
    <col min="6" max="6" width="35.5703125" style="9" customWidth="1"/>
    <col min="7" max="16384" width="8.7109375" style="9"/>
  </cols>
  <sheetData>
    <row r="1" spans="1:6" s="4" customFormat="1" x14ac:dyDescent="0.3">
      <c r="A1" s="4" t="s">
        <v>15</v>
      </c>
    </row>
    <row r="2" spans="1:6" x14ac:dyDescent="0.3">
      <c r="A2" s="9" t="str">
        <f>CONCATENATE("Pupil Center Funding Model | FY",'1.1 Assumption Control YR1'!D5)</f>
        <v>Pupil Center Funding Model | FY2026</v>
      </c>
    </row>
    <row r="3" spans="1:6" x14ac:dyDescent="0.3">
      <c r="A3" s="9" t="s">
        <v>1197</v>
      </c>
    </row>
    <row r="5" spans="1:6" x14ac:dyDescent="0.3">
      <c r="A5" s="4" t="s">
        <v>73</v>
      </c>
      <c r="D5" s="4" t="s">
        <v>101</v>
      </c>
      <c r="F5" s="4" t="s">
        <v>75</v>
      </c>
    </row>
    <row r="6" spans="1:6" s="11" customFormat="1" ht="49.5" x14ac:dyDescent="0.25">
      <c r="A6" s="67" t="s">
        <v>76</v>
      </c>
      <c r="B6" s="2094" t="s">
        <v>1198</v>
      </c>
      <c r="D6" s="2094" t="s">
        <v>15</v>
      </c>
      <c r="F6" s="2094" t="s">
        <v>1199</v>
      </c>
    </row>
    <row r="7" spans="1:6" s="11" customFormat="1" ht="49.5" x14ac:dyDescent="0.25">
      <c r="A7" s="67" t="s">
        <v>79</v>
      </c>
      <c r="B7" s="2094" t="s">
        <v>1200</v>
      </c>
      <c r="D7" s="2094" t="s">
        <v>1201</v>
      </c>
      <c r="F7" s="2094" t="s">
        <v>1199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964-540E-4F61-828F-B1E8F59C0CC7}">
  <sheetPr>
    <tabColor rgb="FFFF0000"/>
    <pageSetUpPr fitToPage="1"/>
  </sheetPr>
  <dimension ref="A1:AB117"/>
  <sheetViews>
    <sheetView workbookViewId="0">
      <selection activeCell="B5" sqref="B5"/>
    </sheetView>
  </sheetViews>
  <sheetFormatPr defaultColWidth="8.7109375" defaultRowHeight="16.5" x14ac:dyDescent="0.3"/>
  <cols>
    <col min="1" max="1" width="1.7109375" style="9" customWidth="1"/>
    <col min="2" max="2" width="43.7109375" style="9" customWidth="1"/>
    <col min="3" max="3" width="15.140625" style="9" bestFit="1" customWidth="1"/>
    <col min="4" max="4" width="16" style="9" bestFit="1" customWidth="1"/>
    <col min="5" max="5" width="15.140625" style="9" bestFit="1" customWidth="1"/>
    <col min="6" max="6" width="17.7109375" style="9" bestFit="1" customWidth="1"/>
    <col min="7" max="7" width="2.7109375" style="9" customWidth="1"/>
    <col min="8" max="8" width="26.5703125" style="9" bestFit="1" customWidth="1"/>
    <col min="9" max="9" width="2.7109375" style="9" customWidth="1"/>
    <col min="10" max="11" width="11.5703125" style="9" bestFit="1" customWidth="1"/>
    <col min="12" max="12" width="1.7109375" style="9" customWidth="1"/>
    <col min="13" max="13" width="19.140625" style="9" customWidth="1"/>
    <col min="14" max="14" width="13.140625" style="22" bestFit="1" customWidth="1"/>
    <col min="15" max="15" width="12.140625" style="22" bestFit="1" customWidth="1"/>
    <col min="16" max="16" width="15.140625" style="22" bestFit="1" customWidth="1"/>
    <col min="17" max="17" width="10.5703125" style="22" bestFit="1" customWidth="1"/>
    <col min="18" max="18" width="8.7109375" style="9" customWidth="1"/>
    <col min="19" max="19" width="12.42578125" style="9" bestFit="1" customWidth="1"/>
    <col min="20" max="21" width="11.5703125" style="9" bestFit="1" customWidth="1"/>
    <col min="22" max="22" width="10.5703125" style="9" bestFit="1" customWidth="1"/>
    <col min="23" max="23" width="14.140625" style="9" bestFit="1" customWidth="1"/>
    <col min="24" max="24" width="10.5703125" style="9" bestFit="1" customWidth="1"/>
    <col min="25" max="25" width="12.5703125" style="9" bestFit="1" customWidth="1"/>
    <col min="26" max="26" width="21" style="9" bestFit="1" customWidth="1"/>
    <col min="27" max="27" width="22.7109375" style="9" bestFit="1" customWidth="1"/>
    <col min="28" max="28" width="9.5703125" style="9" bestFit="1" customWidth="1"/>
    <col min="29" max="16384" width="8.7109375" style="9"/>
  </cols>
  <sheetData>
    <row r="1" spans="1:28" s="4" customFormat="1" x14ac:dyDescent="0.3">
      <c r="A1" s="9" t="s">
        <v>15</v>
      </c>
      <c r="N1" s="25"/>
      <c r="O1" s="25"/>
      <c r="P1" s="25"/>
      <c r="Q1" s="25"/>
      <c r="S1" s="13"/>
    </row>
    <row r="2" spans="1:28" x14ac:dyDescent="0.3">
      <c r="A2" s="9" t="str">
        <f>CONCATENATE("Pupil Center Funding Plan | FY",'1.1 Assumption Control YR1'!D5)</f>
        <v>Pupil Center Funding Plan | FY2026</v>
      </c>
      <c r="J2" s="4"/>
      <c r="K2" s="4"/>
      <c r="L2" s="4"/>
    </row>
    <row r="3" spans="1:28" x14ac:dyDescent="0.3">
      <c r="A3" s="9" t="s">
        <v>1202</v>
      </c>
      <c r="H3" s="1640"/>
      <c r="J3" s="4"/>
      <c r="K3" s="4"/>
      <c r="L3" s="4"/>
    </row>
    <row r="4" spans="1:28" s="76" customFormat="1" ht="15.75" customHeight="1" x14ac:dyDescent="0.3">
      <c r="A4" s="79"/>
      <c r="B4" s="76" t="s">
        <v>1203</v>
      </c>
      <c r="J4" s="1641"/>
      <c r="K4" s="9"/>
      <c r="L4" s="9"/>
      <c r="N4" s="1642"/>
      <c r="O4" s="1642"/>
      <c r="P4" s="1642"/>
      <c r="Q4" s="1642"/>
      <c r="T4" s="1643"/>
      <c r="U4" s="1644"/>
    </row>
    <row r="5" spans="1:28" x14ac:dyDescent="0.3">
      <c r="B5" s="167" t="s">
        <v>240</v>
      </c>
      <c r="C5" s="2352" t="s">
        <v>1204</v>
      </c>
      <c r="D5" s="2352"/>
      <c r="E5" s="2352"/>
      <c r="F5" s="2352"/>
      <c r="H5" s="2092" t="s">
        <v>1205</v>
      </c>
      <c r="J5" s="2000" t="s">
        <v>1206</v>
      </c>
      <c r="S5" s="1645" t="s">
        <v>1207</v>
      </c>
      <c r="T5" s="1646"/>
      <c r="U5" s="1646"/>
      <c r="V5" s="1646"/>
      <c r="W5" s="1646"/>
      <c r="X5" s="1646"/>
      <c r="Y5" s="1646"/>
      <c r="Z5" s="2001"/>
      <c r="AA5" s="2001"/>
    </row>
    <row r="6" spans="1:28" s="13" customFormat="1" ht="66" x14ac:dyDescent="0.3">
      <c r="A6" s="144"/>
      <c r="B6" s="1647" t="s">
        <v>241</v>
      </c>
      <c r="C6" s="466" t="s">
        <v>1208</v>
      </c>
      <c r="D6" s="466" t="s">
        <v>1209</v>
      </c>
      <c r="E6" s="466" t="s">
        <v>1210</v>
      </c>
      <c r="F6" s="466" t="s">
        <v>1211</v>
      </c>
      <c r="G6" s="17"/>
      <c r="H6" s="631" t="s">
        <v>1212</v>
      </c>
      <c r="J6" s="551" t="s">
        <v>1213</v>
      </c>
      <c r="K6" s="76"/>
      <c r="L6" s="76"/>
      <c r="M6" s="1648" t="s">
        <v>1214</v>
      </c>
      <c r="N6" s="1649" t="s">
        <v>1215</v>
      </c>
      <c r="O6" s="1649" t="s">
        <v>1216</v>
      </c>
      <c r="P6" s="1649" t="s">
        <v>1217</v>
      </c>
      <c r="Q6" s="1650" t="s">
        <v>1218</v>
      </c>
      <c r="S6" s="278" t="s">
        <v>1219</v>
      </c>
      <c r="T6" s="279" t="s">
        <v>1220</v>
      </c>
      <c r="U6" s="279" t="s">
        <v>1221</v>
      </c>
      <c r="V6" s="279" t="s">
        <v>1222</v>
      </c>
      <c r="W6" s="279" t="s">
        <v>1223</v>
      </c>
      <c r="X6" s="279" t="s">
        <v>1224</v>
      </c>
      <c r="Y6" s="279" t="s">
        <v>1225</v>
      </c>
      <c r="Z6" s="631" t="s">
        <v>1226</v>
      </c>
      <c r="AA6" s="631" t="s">
        <v>1227</v>
      </c>
    </row>
    <row r="7" spans="1:28" ht="16.5" customHeight="1" x14ac:dyDescent="0.3">
      <c r="A7" s="4" t="s">
        <v>1228</v>
      </c>
      <c r="C7" s="206"/>
      <c r="D7" s="15"/>
      <c r="E7" s="15"/>
      <c r="M7" s="455"/>
      <c r="N7" s="1651"/>
      <c r="O7" s="1652"/>
      <c r="P7" s="1652"/>
      <c r="Q7" s="1653"/>
      <c r="S7" s="106"/>
      <c r="Z7" s="102"/>
      <c r="AA7" s="102"/>
    </row>
    <row r="8" spans="1:28" x14ac:dyDescent="0.3">
      <c r="B8" s="36" t="str">
        <f>'1.2 Budgeted Enrollment YR1'!E9</f>
        <v>Carson City</v>
      </c>
      <c r="C8" s="834">
        <v>23163558</v>
      </c>
      <c r="D8" s="834">
        <v>8067998</v>
      </c>
      <c r="E8" s="834">
        <v>41602621</v>
      </c>
      <c r="F8" s="834">
        <f>SUM(C8:E8)</f>
        <v>72834177</v>
      </c>
      <c r="G8" s="12"/>
      <c r="H8" s="1654">
        <f>ROUND(F8,0)</f>
        <v>72834177</v>
      </c>
      <c r="I8" s="12"/>
      <c r="J8" s="1655">
        <v>7703.8062179500002</v>
      </c>
      <c r="K8" s="1656">
        <f>H8/J8</f>
        <v>9454.3106276862363</v>
      </c>
      <c r="L8" s="1656"/>
      <c r="M8" s="1657">
        <f>N8-O8-P8-Q8</f>
        <v>7600000</v>
      </c>
      <c r="N8" s="1658">
        <v>13006228</v>
      </c>
      <c r="O8" s="1658">
        <v>0</v>
      </c>
      <c r="P8" s="1658">
        <v>4557321</v>
      </c>
      <c r="Q8" s="1658">
        <v>848907</v>
      </c>
      <c r="S8" s="1659">
        <v>1347600</v>
      </c>
      <c r="T8" s="1659">
        <v>766882</v>
      </c>
      <c r="U8" s="1659">
        <v>0</v>
      </c>
      <c r="V8" s="1659">
        <v>356707</v>
      </c>
      <c r="W8" s="1659">
        <v>2354421</v>
      </c>
      <c r="X8" s="1659">
        <v>529286</v>
      </c>
      <c r="Y8" s="1659">
        <v>7600000</v>
      </c>
      <c r="Z8" s="1660">
        <f>H8-SUM(S8:Y8)</f>
        <v>59879281</v>
      </c>
      <c r="AA8" s="1660">
        <f>SUM(S8:Y8)</f>
        <v>12954896</v>
      </c>
      <c r="AB8" s="108"/>
    </row>
    <row r="9" spans="1:28" x14ac:dyDescent="0.3">
      <c r="B9" s="36" t="str">
        <f>'1.2 Budgeted Enrollment YR1'!E10</f>
        <v>Churchill</v>
      </c>
      <c r="C9" s="834">
        <v>13799604</v>
      </c>
      <c r="D9" s="834">
        <v>2479095</v>
      </c>
      <c r="E9" s="834">
        <v>13114180</v>
      </c>
      <c r="F9" s="834">
        <f t="shared" ref="F9:F25" si="0">SUM(C9:E9)</f>
        <v>29392879</v>
      </c>
      <c r="G9" s="12"/>
      <c r="H9" s="1654">
        <f t="shared" ref="H9:H25" si="1">ROUND(F9,0)</f>
        <v>29392879</v>
      </c>
      <c r="I9" s="12"/>
      <c r="J9" s="1655">
        <v>3244.6133332499999</v>
      </c>
      <c r="K9" s="1656">
        <f t="shared" ref="K9:K25" si="2">H9/J9</f>
        <v>9058.9774438725872</v>
      </c>
      <c r="L9" s="1656"/>
      <c r="M9" s="1657">
        <f t="shared" ref="M9:M74" si="3">N9-O9-P9-Q9</f>
        <v>1875000</v>
      </c>
      <c r="N9" s="1658">
        <v>4785473</v>
      </c>
      <c r="O9" s="1658">
        <v>101363</v>
      </c>
      <c r="P9" s="1658">
        <v>2695486</v>
      </c>
      <c r="Q9" s="1658">
        <v>113624</v>
      </c>
      <c r="S9" s="1659">
        <v>277200</v>
      </c>
      <c r="T9" s="1659">
        <v>167408</v>
      </c>
      <c r="U9" s="1659">
        <v>0</v>
      </c>
      <c r="V9" s="1659">
        <v>0</v>
      </c>
      <c r="W9" s="1659">
        <v>1719375</v>
      </c>
      <c r="X9" s="1659">
        <v>0</v>
      </c>
      <c r="Y9" s="1659">
        <v>1874999.9999999995</v>
      </c>
      <c r="Z9" s="1660">
        <f t="shared" ref="Z9:Z25" si="4">H9-SUM(S9:Y9)</f>
        <v>25353896</v>
      </c>
      <c r="AA9" s="1660">
        <f t="shared" ref="AA9:AA24" si="5">SUM(S9:Y9)</f>
        <v>4038982.9999999995</v>
      </c>
    </row>
    <row r="10" spans="1:28" x14ac:dyDescent="0.3">
      <c r="B10" s="36" t="str">
        <f>'1.2 Budgeted Enrollment YR1'!E11</f>
        <v>Clark</v>
      </c>
      <c r="C10" s="834">
        <v>697067309</v>
      </c>
      <c r="D10" s="834">
        <v>310613563</v>
      </c>
      <c r="E10" s="834">
        <v>1576806628</v>
      </c>
      <c r="F10" s="834">
        <f t="shared" si="0"/>
        <v>2584487500</v>
      </c>
      <c r="G10" s="12"/>
      <c r="H10" s="1654">
        <f t="shared" si="1"/>
        <v>2584487500</v>
      </c>
      <c r="I10" s="12"/>
      <c r="J10" s="1655">
        <v>314756.71407050022</v>
      </c>
      <c r="K10" s="1656">
        <f t="shared" si="2"/>
        <v>8211.0639248226435</v>
      </c>
      <c r="L10" s="1656"/>
      <c r="M10" s="1657">
        <f t="shared" si="3"/>
        <v>352610751</v>
      </c>
      <c r="N10" s="1658">
        <v>489286225</v>
      </c>
      <c r="O10" s="1658">
        <v>0</v>
      </c>
      <c r="P10" s="1658">
        <v>136675474</v>
      </c>
      <c r="Q10" s="1658">
        <v>0</v>
      </c>
      <c r="S10" s="1659">
        <v>55891200</v>
      </c>
      <c r="T10" s="1659">
        <v>37981010</v>
      </c>
      <c r="U10" s="1659">
        <v>19984494</v>
      </c>
      <c r="V10" s="1659">
        <v>5330981</v>
      </c>
      <c r="W10" s="1659">
        <v>144286074</v>
      </c>
      <c r="X10" s="1659">
        <v>0</v>
      </c>
      <c r="Y10" s="1659">
        <v>352610751</v>
      </c>
      <c r="Z10" s="1660">
        <f t="shared" si="4"/>
        <v>1968402990</v>
      </c>
      <c r="AA10" s="1660">
        <f t="shared" si="5"/>
        <v>616084510</v>
      </c>
    </row>
    <row r="11" spans="1:28" x14ac:dyDescent="0.3">
      <c r="B11" s="36" t="str">
        <f>'1.2 Budgeted Enrollment YR1'!E12</f>
        <v>Douglas</v>
      </c>
      <c r="C11" s="834">
        <v>11724050</v>
      </c>
      <c r="D11" s="834">
        <v>3976883</v>
      </c>
      <c r="E11" s="834">
        <v>41045093</v>
      </c>
      <c r="F11" s="834">
        <f t="shared" si="0"/>
        <v>56746026</v>
      </c>
      <c r="G11" s="12"/>
      <c r="H11" s="1654">
        <f t="shared" si="1"/>
        <v>56746026</v>
      </c>
      <c r="I11" s="12"/>
      <c r="J11" s="1655">
        <v>5629.4090109500003</v>
      </c>
      <c r="K11" s="1656">
        <f t="shared" si="2"/>
        <v>10080.281231941208</v>
      </c>
      <c r="L11" s="1656"/>
      <c r="M11" s="1657">
        <f t="shared" si="3"/>
        <v>3811985</v>
      </c>
      <c r="N11" s="1658">
        <v>8515834</v>
      </c>
      <c r="O11" s="1658">
        <v>0</v>
      </c>
      <c r="P11" s="1658">
        <v>3846568</v>
      </c>
      <c r="Q11" s="1658">
        <v>857281</v>
      </c>
      <c r="S11" s="1659">
        <v>315600</v>
      </c>
      <c r="T11" s="1659">
        <v>216033</v>
      </c>
      <c r="U11" s="1659">
        <v>0</v>
      </c>
      <c r="V11" s="1659">
        <v>129712</v>
      </c>
      <c r="W11" s="1659">
        <v>3465564</v>
      </c>
      <c r="X11" s="1659">
        <v>0</v>
      </c>
      <c r="Y11" s="1659">
        <v>3811985</v>
      </c>
      <c r="Z11" s="1660">
        <f t="shared" si="4"/>
        <v>48807132</v>
      </c>
      <c r="AA11" s="1660">
        <f t="shared" si="5"/>
        <v>7938894</v>
      </c>
    </row>
    <row r="12" spans="1:28" x14ac:dyDescent="0.3">
      <c r="B12" s="36" t="str">
        <f>'1.2 Budgeted Enrollment YR1'!E13</f>
        <v>Elko</v>
      </c>
      <c r="C12" s="834">
        <v>30944297</v>
      </c>
      <c r="D12" s="834">
        <v>9534793</v>
      </c>
      <c r="E12" s="834">
        <v>61854856</v>
      </c>
      <c r="F12" s="834">
        <f t="shared" si="0"/>
        <v>102333946</v>
      </c>
      <c r="G12" s="12"/>
      <c r="H12" s="1654">
        <f t="shared" si="1"/>
        <v>102333946</v>
      </c>
      <c r="I12" s="12"/>
      <c r="J12" s="1655">
        <v>9933.4221988000008</v>
      </c>
      <c r="K12" s="1656">
        <f t="shared" si="2"/>
        <v>10301.98293719584</v>
      </c>
      <c r="L12" s="1656"/>
      <c r="M12" s="1657">
        <f t="shared" si="3"/>
        <v>5900591</v>
      </c>
      <c r="N12" s="1658">
        <v>10893479</v>
      </c>
      <c r="O12" s="1658">
        <v>235674</v>
      </c>
      <c r="P12" s="1658">
        <v>4757214</v>
      </c>
      <c r="Q12" s="1658">
        <v>0</v>
      </c>
      <c r="S12" s="1659">
        <v>891600</v>
      </c>
      <c r="T12" s="1659">
        <v>694639</v>
      </c>
      <c r="U12" s="1659">
        <v>1180226</v>
      </c>
      <c r="V12" s="1659">
        <v>129712</v>
      </c>
      <c r="W12" s="1659">
        <v>4285094</v>
      </c>
      <c r="X12" s="1659">
        <v>347096</v>
      </c>
      <c r="Y12" s="1659">
        <v>5900591</v>
      </c>
      <c r="Z12" s="1660">
        <f t="shared" si="4"/>
        <v>88904988</v>
      </c>
      <c r="AA12" s="1660">
        <f t="shared" si="5"/>
        <v>13428958</v>
      </c>
    </row>
    <row r="13" spans="1:28" x14ac:dyDescent="0.3">
      <c r="B13" s="36" t="str">
        <f>'1.2 Budgeted Enrollment YR1'!E14</f>
        <v>Esmeralda</v>
      </c>
      <c r="C13" s="834">
        <v>1232449</v>
      </c>
      <c r="D13" s="834">
        <v>326259</v>
      </c>
      <c r="E13" s="834">
        <v>1061220</v>
      </c>
      <c r="F13" s="834">
        <f>SUM(C13:E13)</f>
        <v>2619928</v>
      </c>
      <c r="G13" s="12"/>
      <c r="H13" s="1654">
        <f t="shared" si="1"/>
        <v>2619928</v>
      </c>
      <c r="I13" s="12"/>
      <c r="J13" s="1655">
        <v>70.707003950000001</v>
      </c>
      <c r="K13" s="1656">
        <f>H13/J13</f>
        <v>37053.302411917568</v>
      </c>
      <c r="L13" s="1656"/>
      <c r="M13" s="1657">
        <f>N13-O13-P13-Q13</f>
        <v>44620</v>
      </c>
      <c r="N13" s="1658">
        <v>119422</v>
      </c>
      <c r="O13" s="1658">
        <v>0</v>
      </c>
      <c r="P13" s="1658">
        <v>56338</v>
      </c>
      <c r="Q13" s="1658">
        <v>18464</v>
      </c>
      <c r="S13" s="1659">
        <v>16800</v>
      </c>
      <c r="T13" s="1659">
        <v>9030</v>
      </c>
      <c r="U13" s="1659">
        <v>0</v>
      </c>
      <c r="V13" s="1659">
        <v>0</v>
      </c>
      <c r="W13" s="1659">
        <v>328550</v>
      </c>
      <c r="X13" s="1659">
        <v>49284</v>
      </c>
      <c r="Y13" s="1659">
        <v>44620.000000000007</v>
      </c>
      <c r="Z13" s="1660">
        <f>H13-SUM(S13:Y13)</f>
        <v>2171644</v>
      </c>
      <c r="AA13" s="1660">
        <f>SUM(S13:Y13)</f>
        <v>448284</v>
      </c>
    </row>
    <row r="14" spans="1:28" x14ac:dyDescent="0.3">
      <c r="B14" s="36" t="str">
        <f>'1.2 Budgeted Enrollment YR1'!E15</f>
        <v>Eureka</v>
      </c>
      <c r="C14" s="834">
        <v>0</v>
      </c>
      <c r="D14" s="834">
        <v>258516</v>
      </c>
      <c r="E14" s="834">
        <v>11786179</v>
      </c>
      <c r="F14" s="834">
        <f t="shared" si="0"/>
        <v>12044695</v>
      </c>
      <c r="G14" s="12"/>
      <c r="H14" s="1654">
        <f t="shared" si="1"/>
        <v>12044695</v>
      </c>
      <c r="I14" s="12"/>
      <c r="J14" s="1655">
        <v>306.2</v>
      </c>
      <c r="K14" s="1656">
        <f t="shared" si="2"/>
        <v>39336.038536903987</v>
      </c>
      <c r="L14" s="1656"/>
      <c r="M14" s="1657">
        <f>N14-O14-P14-Q14</f>
        <v>200000</v>
      </c>
      <c r="N14" s="1658">
        <v>1180485</v>
      </c>
      <c r="O14" s="1658">
        <v>0</v>
      </c>
      <c r="P14" s="1658">
        <v>265948</v>
      </c>
      <c r="Q14" s="1658">
        <v>714537</v>
      </c>
      <c r="S14" s="1659">
        <v>2400</v>
      </c>
      <c r="T14" s="1659">
        <v>9030</v>
      </c>
      <c r="U14" s="1659">
        <v>0</v>
      </c>
      <c r="V14" s="1659">
        <v>0</v>
      </c>
      <c r="W14" s="1659">
        <v>434259</v>
      </c>
      <c r="X14" s="1659">
        <v>399223</v>
      </c>
      <c r="Y14" s="1659">
        <v>200000</v>
      </c>
      <c r="Z14" s="1660">
        <f t="shared" si="4"/>
        <v>10999783</v>
      </c>
      <c r="AA14" s="1660">
        <f>SUM(S14:Y14)</f>
        <v>1044912</v>
      </c>
    </row>
    <row r="15" spans="1:28" x14ac:dyDescent="0.3">
      <c r="B15" s="36" t="str">
        <f>'1.2 Budgeted Enrollment YR1'!E16</f>
        <v>Humboldt</v>
      </c>
      <c r="C15" s="834">
        <v>9181115</v>
      </c>
      <c r="D15" s="834">
        <v>3833355</v>
      </c>
      <c r="E15" s="834">
        <v>25089021</v>
      </c>
      <c r="F15" s="834">
        <f t="shared" si="0"/>
        <v>38103491</v>
      </c>
      <c r="G15" s="12"/>
      <c r="H15" s="1654">
        <f t="shared" si="1"/>
        <v>38103491</v>
      </c>
      <c r="I15" s="12"/>
      <c r="J15" s="1655">
        <v>3383.7675731499999</v>
      </c>
      <c r="K15" s="1656">
        <f t="shared" si="2"/>
        <v>11260.670296136472</v>
      </c>
      <c r="L15" s="1656"/>
      <c r="M15" s="1657">
        <f t="shared" si="3"/>
        <v>2391487</v>
      </c>
      <c r="N15" s="1658">
        <v>4380732</v>
      </c>
      <c r="O15" s="1658">
        <v>48309</v>
      </c>
      <c r="P15" s="1658">
        <v>1940936</v>
      </c>
      <c r="Q15" s="1658">
        <v>0</v>
      </c>
      <c r="S15" s="1659">
        <v>493200</v>
      </c>
      <c r="T15" s="1659">
        <v>245208</v>
      </c>
      <c r="U15" s="1659">
        <v>118143</v>
      </c>
      <c r="V15" s="1659">
        <v>0</v>
      </c>
      <c r="W15" s="1659">
        <v>1619978</v>
      </c>
      <c r="X15" s="1659">
        <v>56472</v>
      </c>
      <c r="Y15" s="1659">
        <v>2391487</v>
      </c>
      <c r="Z15" s="1660">
        <f t="shared" si="4"/>
        <v>33179003</v>
      </c>
      <c r="AA15" s="1660">
        <f t="shared" si="5"/>
        <v>4924488</v>
      </c>
    </row>
    <row r="16" spans="1:28" x14ac:dyDescent="0.3">
      <c r="B16" s="36" t="str">
        <f>'1.2 Budgeted Enrollment YR1'!E17</f>
        <v>Lander</v>
      </c>
      <c r="C16" s="834">
        <v>0</v>
      </c>
      <c r="D16" s="834">
        <v>808131</v>
      </c>
      <c r="E16" s="834">
        <v>11020089</v>
      </c>
      <c r="F16" s="834">
        <f t="shared" si="0"/>
        <v>11828220</v>
      </c>
      <c r="G16" s="12"/>
      <c r="H16" s="1654">
        <f t="shared" si="1"/>
        <v>11828220</v>
      </c>
      <c r="I16" s="12"/>
      <c r="J16" s="1655">
        <v>982.91822275000004</v>
      </c>
      <c r="K16" s="1656">
        <f t="shared" si="2"/>
        <v>12033.778320750946</v>
      </c>
      <c r="L16" s="1656"/>
      <c r="M16" s="1657">
        <f t="shared" si="3"/>
        <v>738065</v>
      </c>
      <c r="N16" s="1658">
        <v>1420791</v>
      </c>
      <c r="O16" s="1658">
        <v>0</v>
      </c>
      <c r="P16" s="1658">
        <v>682726</v>
      </c>
      <c r="Q16" s="1658">
        <v>0</v>
      </c>
      <c r="S16" s="1659">
        <v>58800</v>
      </c>
      <c r="T16" s="1659">
        <v>47235</v>
      </c>
      <c r="U16" s="1659">
        <v>0</v>
      </c>
      <c r="V16" s="1659">
        <v>0</v>
      </c>
      <c r="W16" s="1659">
        <v>582580</v>
      </c>
      <c r="X16" s="1659">
        <v>100000</v>
      </c>
      <c r="Y16" s="1659">
        <v>738064.99999999988</v>
      </c>
      <c r="Z16" s="1660">
        <f t="shared" si="4"/>
        <v>10301540</v>
      </c>
      <c r="AA16" s="1660">
        <f t="shared" si="5"/>
        <v>1526680</v>
      </c>
    </row>
    <row r="17" spans="1:27" x14ac:dyDescent="0.3">
      <c r="B17" s="36" t="str">
        <f>'1.2 Budgeted Enrollment YR1'!E18</f>
        <v>Lincoln</v>
      </c>
      <c r="C17" s="834">
        <v>9513170</v>
      </c>
      <c r="D17" s="834">
        <v>625489</v>
      </c>
      <c r="E17" s="834">
        <v>2583079</v>
      </c>
      <c r="F17" s="834">
        <f t="shared" si="0"/>
        <v>12721738</v>
      </c>
      <c r="G17" s="12"/>
      <c r="H17" s="1654">
        <f t="shared" si="1"/>
        <v>12721738</v>
      </c>
      <c r="I17" s="12"/>
      <c r="J17" s="1655">
        <v>855.1576710999999</v>
      </c>
      <c r="K17" s="1656">
        <f t="shared" si="2"/>
        <v>14876.48234931445</v>
      </c>
      <c r="L17" s="1656"/>
      <c r="M17" s="1657">
        <f t="shared" si="3"/>
        <v>330000</v>
      </c>
      <c r="N17" s="1658">
        <v>1618200</v>
      </c>
      <c r="O17" s="1658">
        <v>0</v>
      </c>
      <c r="P17" s="1658">
        <v>1128643</v>
      </c>
      <c r="Q17" s="1658">
        <v>159557</v>
      </c>
      <c r="S17" s="1659">
        <v>91200</v>
      </c>
      <c r="T17" s="1659">
        <v>9030</v>
      </c>
      <c r="U17" s="1659">
        <v>0</v>
      </c>
      <c r="V17" s="1659">
        <v>0</v>
      </c>
      <c r="W17" s="1659">
        <v>773153</v>
      </c>
      <c r="X17" s="1659">
        <v>70000</v>
      </c>
      <c r="Y17" s="1659">
        <v>330000</v>
      </c>
      <c r="Z17" s="1660">
        <f t="shared" si="4"/>
        <v>11448355</v>
      </c>
      <c r="AA17" s="1660">
        <f t="shared" si="5"/>
        <v>1273383</v>
      </c>
    </row>
    <row r="18" spans="1:27" x14ac:dyDescent="0.3">
      <c r="B18" s="36" t="str">
        <f>'1.2 Budgeted Enrollment YR1'!E19</f>
        <v>Lyon</v>
      </c>
      <c r="C18" s="834">
        <v>51994511</v>
      </c>
      <c r="D18" s="834">
        <v>6738013</v>
      </c>
      <c r="E18" s="834">
        <v>25643599</v>
      </c>
      <c r="F18" s="834">
        <f t="shared" si="0"/>
        <v>84376123</v>
      </c>
      <c r="G18" s="12"/>
      <c r="H18" s="1654">
        <f t="shared" si="1"/>
        <v>84376123</v>
      </c>
      <c r="I18" s="12"/>
      <c r="J18" s="1655">
        <v>8845.8018661500009</v>
      </c>
      <c r="K18" s="1656">
        <f t="shared" si="2"/>
        <v>9538.5499558700158</v>
      </c>
      <c r="L18" s="1656"/>
      <c r="M18" s="1657">
        <f t="shared" si="3"/>
        <v>8240000</v>
      </c>
      <c r="N18" s="1658">
        <v>12444130</v>
      </c>
      <c r="O18" s="1658">
        <v>0</v>
      </c>
      <c r="P18" s="1658">
        <v>4161770</v>
      </c>
      <c r="Q18" s="1658">
        <v>42360</v>
      </c>
      <c r="S18" s="1659">
        <v>1347600</v>
      </c>
      <c r="T18" s="1659">
        <v>368159</v>
      </c>
      <c r="U18" s="1659">
        <v>0</v>
      </c>
      <c r="V18" s="1659">
        <v>16214</v>
      </c>
      <c r="W18" s="1659">
        <v>4568463</v>
      </c>
      <c r="X18" s="1659">
        <v>0</v>
      </c>
      <c r="Y18" s="1659">
        <v>8240000</v>
      </c>
      <c r="Z18" s="1660">
        <f t="shared" si="4"/>
        <v>69835687</v>
      </c>
      <c r="AA18" s="1660">
        <f t="shared" si="5"/>
        <v>14540436</v>
      </c>
    </row>
    <row r="19" spans="1:27" x14ac:dyDescent="0.3">
      <c r="B19" s="36" t="str">
        <f>'1.2 Budgeted Enrollment YR1'!E20</f>
        <v>Mineral</v>
      </c>
      <c r="C19" s="834">
        <v>4442495</v>
      </c>
      <c r="D19" s="834">
        <v>929460</v>
      </c>
      <c r="E19" s="834">
        <v>2149305</v>
      </c>
      <c r="F19" s="834">
        <f t="shared" si="0"/>
        <v>7521260</v>
      </c>
      <c r="G19" s="12"/>
      <c r="H19" s="1654">
        <f t="shared" si="1"/>
        <v>7521260</v>
      </c>
      <c r="I19" s="12"/>
      <c r="J19" s="1655">
        <v>541.82059757121215</v>
      </c>
      <c r="K19" s="1656">
        <f t="shared" si="2"/>
        <v>13881.458242294806</v>
      </c>
      <c r="L19" s="1656"/>
      <c r="M19" s="1657">
        <f t="shared" si="3"/>
        <v>217168</v>
      </c>
      <c r="N19" s="1658">
        <v>849544</v>
      </c>
      <c r="O19" s="1658">
        <v>0</v>
      </c>
      <c r="P19" s="1658">
        <v>500656</v>
      </c>
      <c r="Q19" s="1658">
        <v>131720</v>
      </c>
      <c r="S19" s="1659">
        <v>134400</v>
      </c>
      <c r="T19" s="1659">
        <v>57655</v>
      </c>
      <c r="U19" s="1659">
        <v>0</v>
      </c>
      <c r="V19" s="1659">
        <v>0</v>
      </c>
      <c r="W19" s="1659">
        <v>310615</v>
      </c>
      <c r="X19" s="1659">
        <v>88000</v>
      </c>
      <c r="Y19" s="1659">
        <v>217169</v>
      </c>
      <c r="Z19" s="1660">
        <f t="shared" si="4"/>
        <v>6713421</v>
      </c>
      <c r="AA19" s="1660">
        <f t="shared" si="5"/>
        <v>807839</v>
      </c>
    </row>
    <row r="20" spans="1:27" x14ac:dyDescent="0.3">
      <c r="B20" s="36" t="str">
        <f>'1.2 Budgeted Enrollment YR1'!E21</f>
        <v>Nye</v>
      </c>
      <c r="C20" s="834">
        <v>26567417</v>
      </c>
      <c r="D20" s="834">
        <v>4905758</v>
      </c>
      <c r="E20" s="834">
        <v>26135526</v>
      </c>
      <c r="F20" s="834">
        <f t="shared" si="0"/>
        <v>57608701</v>
      </c>
      <c r="G20" s="12"/>
      <c r="H20" s="1654">
        <f t="shared" si="1"/>
        <v>57608701</v>
      </c>
      <c r="I20" s="12"/>
      <c r="J20" s="1655">
        <v>5385.5136149795999</v>
      </c>
      <c r="K20" s="1656">
        <f t="shared" si="2"/>
        <v>10696.974349811986</v>
      </c>
      <c r="L20" s="1656"/>
      <c r="M20" s="1657">
        <f t="shared" si="3"/>
        <v>7622344</v>
      </c>
      <c r="N20" s="1658">
        <v>11000387</v>
      </c>
      <c r="O20" s="1658">
        <v>0</v>
      </c>
      <c r="P20" s="1658">
        <v>3378043</v>
      </c>
      <c r="Q20" s="1658">
        <v>0</v>
      </c>
      <c r="S20" s="1659">
        <v>1071600</v>
      </c>
      <c r="T20" s="1659">
        <v>331343</v>
      </c>
      <c r="U20" s="1659">
        <v>132117</v>
      </c>
      <c r="V20" s="1659">
        <v>0</v>
      </c>
      <c r="W20" s="1659">
        <v>3846650</v>
      </c>
      <c r="X20" s="1659">
        <v>0</v>
      </c>
      <c r="Y20" s="1659">
        <v>7622343</v>
      </c>
      <c r="Z20" s="1660">
        <f t="shared" si="4"/>
        <v>44604648</v>
      </c>
      <c r="AA20" s="1660">
        <f t="shared" si="5"/>
        <v>13004053</v>
      </c>
    </row>
    <row r="21" spans="1:27" x14ac:dyDescent="0.3">
      <c r="B21" s="36" t="str">
        <f>'1.2 Budgeted Enrollment YR1'!E22</f>
        <v>Pershing</v>
      </c>
      <c r="C21" s="834">
        <v>5035248</v>
      </c>
      <c r="D21" s="834">
        <v>755926</v>
      </c>
      <c r="E21" s="834">
        <v>3270236</v>
      </c>
      <c r="F21" s="834">
        <f t="shared" si="0"/>
        <v>9061410</v>
      </c>
      <c r="G21" s="12"/>
      <c r="H21" s="1654">
        <f t="shared" si="1"/>
        <v>9061410</v>
      </c>
      <c r="I21" s="12"/>
      <c r="J21" s="1655">
        <v>665.11446960000001</v>
      </c>
      <c r="K21" s="1656">
        <f t="shared" si="2"/>
        <v>13623.83531582095</v>
      </c>
      <c r="L21" s="1656"/>
      <c r="M21" s="1657">
        <f t="shared" si="3"/>
        <v>460000</v>
      </c>
      <c r="N21" s="1658">
        <v>1356389</v>
      </c>
      <c r="O21" s="1658">
        <v>0</v>
      </c>
      <c r="P21" s="1658">
        <v>887322</v>
      </c>
      <c r="Q21" s="1658">
        <v>9067</v>
      </c>
      <c r="S21" s="1659">
        <v>118800</v>
      </c>
      <c r="T21" s="1659">
        <v>29870</v>
      </c>
      <c r="U21" s="1659">
        <v>0</v>
      </c>
      <c r="V21" s="1659">
        <v>0</v>
      </c>
      <c r="W21" s="1659">
        <v>723394.99999999988</v>
      </c>
      <c r="X21" s="1659">
        <v>60899</v>
      </c>
      <c r="Y21" s="1659">
        <v>459999.99999999983</v>
      </c>
      <c r="Z21" s="1660">
        <f t="shared" si="4"/>
        <v>7668446</v>
      </c>
      <c r="AA21" s="1660">
        <f t="shared" si="5"/>
        <v>1392963.9999999998</v>
      </c>
    </row>
    <row r="22" spans="1:27" x14ac:dyDescent="0.3">
      <c r="B22" s="36" t="str">
        <f>'1.2 Budgeted Enrollment YR1'!E23</f>
        <v>Storey</v>
      </c>
      <c r="C22" s="834">
        <v>0</v>
      </c>
      <c r="D22" s="834">
        <v>587849</v>
      </c>
      <c r="E22" s="834">
        <v>10795374</v>
      </c>
      <c r="F22" s="834">
        <f t="shared" si="0"/>
        <v>11383223</v>
      </c>
      <c r="G22" s="12"/>
      <c r="H22" s="1654">
        <f t="shared" si="1"/>
        <v>11383223</v>
      </c>
      <c r="I22" s="12"/>
      <c r="J22" s="1655">
        <v>437.81518235000004</v>
      </c>
      <c r="K22" s="1656">
        <f t="shared" si="2"/>
        <v>26000.064545271929</v>
      </c>
      <c r="L22" s="1656"/>
      <c r="M22" s="1657">
        <f t="shared" si="3"/>
        <v>55048</v>
      </c>
      <c r="N22" s="1658">
        <v>512431</v>
      </c>
      <c r="O22" s="1658">
        <v>0</v>
      </c>
      <c r="P22" s="1658">
        <v>457383</v>
      </c>
      <c r="Q22" s="1658">
        <v>0</v>
      </c>
      <c r="S22" s="1659">
        <v>27600</v>
      </c>
      <c r="T22" s="1659">
        <v>0</v>
      </c>
      <c r="U22" s="1659">
        <v>0</v>
      </c>
      <c r="V22" s="1659">
        <v>0</v>
      </c>
      <c r="W22" s="1659">
        <v>547375</v>
      </c>
      <c r="X22" s="1659">
        <v>23002</v>
      </c>
      <c r="Y22" s="1659">
        <v>55048</v>
      </c>
      <c r="Z22" s="1660">
        <f t="shared" si="4"/>
        <v>10730198</v>
      </c>
      <c r="AA22" s="1660">
        <f>SUM(S22:Y22)</f>
        <v>653025</v>
      </c>
    </row>
    <row r="23" spans="1:27" x14ac:dyDescent="0.3">
      <c r="B23" s="36" t="str">
        <f>'1.2 Budgeted Enrollment YR1'!E24</f>
        <v>Washoe</v>
      </c>
      <c r="C23" s="834">
        <v>132300329</v>
      </c>
      <c r="D23" s="834">
        <v>57557883</v>
      </c>
      <c r="E23" s="834">
        <v>344028689</v>
      </c>
      <c r="F23" s="834">
        <f t="shared" si="0"/>
        <v>533886901</v>
      </c>
      <c r="G23" s="12"/>
      <c r="H23" s="1654">
        <f t="shared" si="1"/>
        <v>533886901</v>
      </c>
      <c r="I23" s="12"/>
      <c r="J23" s="1655">
        <v>63659.88216394998</v>
      </c>
      <c r="K23" s="1656">
        <f t="shared" si="2"/>
        <v>8386.5518259211512</v>
      </c>
      <c r="L23" s="1656"/>
      <c r="M23" s="1657">
        <f t="shared" si="3"/>
        <v>46056936</v>
      </c>
      <c r="N23" s="1658">
        <v>78631046</v>
      </c>
      <c r="O23" s="1658">
        <v>0</v>
      </c>
      <c r="P23" s="1658">
        <v>32574110</v>
      </c>
      <c r="Q23" s="1658">
        <v>0</v>
      </c>
      <c r="S23" s="1659">
        <v>4376400</v>
      </c>
      <c r="T23" s="1659">
        <v>6917574</v>
      </c>
      <c r="U23" s="1659">
        <v>2957398</v>
      </c>
      <c r="V23" s="1659">
        <v>1839858</v>
      </c>
      <c r="W23" s="1659">
        <v>24043224</v>
      </c>
      <c r="X23" s="1659">
        <v>0</v>
      </c>
      <c r="Y23" s="1659">
        <v>46056936</v>
      </c>
      <c r="Z23" s="1660">
        <f t="shared" si="4"/>
        <v>447695511</v>
      </c>
      <c r="AA23" s="1660">
        <f t="shared" si="5"/>
        <v>86191390</v>
      </c>
    </row>
    <row r="24" spans="1:27" x14ac:dyDescent="0.3">
      <c r="B24" s="459" t="str">
        <f>'1.2 Budgeted Enrollment YR1'!E25</f>
        <v>White Pine</v>
      </c>
      <c r="C24" s="834">
        <v>5674979</v>
      </c>
      <c r="D24" s="834">
        <v>1389507</v>
      </c>
      <c r="E24" s="834">
        <v>8166087</v>
      </c>
      <c r="F24" s="834">
        <f t="shared" si="0"/>
        <v>15230573</v>
      </c>
      <c r="G24" s="12"/>
      <c r="H24" s="1654">
        <f t="shared" si="1"/>
        <v>15230573</v>
      </c>
      <c r="I24" s="12"/>
      <c r="J24" s="1655">
        <v>1248.6201723000001</v>
      </c>
      <c r="K24" s="1661">
        <f t="shared" si="2"/>
        <v>12197.923225879633</v>
      </c>
      <c r="L24" s="1656"/>
      <c r="M24" s="1657">
        <f t="shared" si="3"/>
        <v>520824</v>
      </c>
      <c r="N24" s="1658">
        <v>1750700</v>
      </c>
      <c r="O24" s="1658">
        <v>0</v>
      </c>
      <c r="P24" s="1658">
        <v>1194585</v>
      </c>
      <c r="Q24" s="1658">
        <v>35291</v>
      </c>
      <c r="S24" s="1659">
        <v>258000</v>
      </c>
      <c r="T24" s="1659">
        <v>23618</v>
      </c>
      <c r="U24" s="1659">
        <v>0</v>
      </c>
      <c r="V24" s="1659">
        <v>0</v>
      </c>
      <c r="W24" s="1659">
        <v>1054977.0000000002</v>
      </c>
      <c r="X24" s="1659">
        <v>89088</v>
      </c>
      <c r="Y24" s="1659">
        <v>520824</v>
      </c>
      <c r="Z24" s="1660">
        <f t="shared" si="4"/>
        <v>13284066</v>
      </c>
      <c r="AA24" s="1660">
        <f t="shared" si="5"/>
        <v>1946507.0000000002</v>
      </c>
    </row>
    <row r="25" spans="1:27" x14ac:dyDescent="0.3">
      <c r="B25" s="36" t="str">
        <f>'1.2 Budgeted Enrollment YR1'!E26</f>
        <v>Charter Schools</v>
      </c>
      <c r="C25" s="1662">
        <f>C95</f>
        <v>419484401</v>
      </c>
      <c r="D25" s="1662">
        <f>D95</f>
        <v>14322123</v>
      </c>
      <c r="E25" s="1662">
        <f>E95</f>
        <v>0</v>
      </c>
      <c r="F25" s="1662">
        <f t="shared" si="0"/>
        <v>433806524</v>
      </c>
      <c r="G25" s="12"/>
      <c r="H25" s="365">
        <f t="shared" si="1"/>
        <v>433806524</v>
      </c>
      <c r="I25" s="12"/>
      <c r="J25" s="1663">
        <f>J95</f>
        <v>57012.474131748568</v>
      </c>
      <c r="K25" s="1656">
        <f t="shared" si="2"/>
        <v>7608.9755901055678</v>
      </c>
      <c r="L25" s="1656"/>
      <c r="M25" s="1664">
        <f>N25-O25-P25-Q25</f>
        <v>6459885</v>
      </c>
      <c r="N25" s="1665">
        <f>N95</f>
        <v>19726473</v>
      </c>
      <c r="O25" s="1665">
        <f>O95</f>
        <v>0</v>
      </c>
      <c r="P25" s="1665">
        <f>P95</f>
        <v>13241554</v>
      </c>
      <c r="Q25" s="1665">
        <f>Q95</f>
        <v>25034</v>
      </c>
      <c r="S25" s="1666">
        <f>S95</f>
        <v>3217200</v>
      </c>
      <c r="T25" s="1666">
        <f>T95</f>
        <v>2076274</v>
      </c>
      <c r="U25" s="1666">
        <f>U95</f>
        <v>627558</v>
      </c>
      <c r="V25" s="1666">
        <f>V95</f>
        <v>471058</v>
      </c>
      <c r="W25" s="1666">
        <v>0</v>
      </c>
      <c r="X25" s="1666">
        <v>0</v>
      </c>
      <c r="Y25" s="1666">
        <f>Y95</f>
        <v>6459883</v>
      </c>
      <c r="Z25" s="1667">
        <f t="shared" si="4"/>
        <v>420954551</v>
      </c>
      <c r="AA25" s="1667">
        <f>SUM(S25:Y25)</f>
        <v>12851973</v>
      </c>
    </row>
    <row r="26" spans="1:27" x14ac:dyDescent="0.3">
      <c r="B26" s="36" t="str">
        <f>'1.2 Budgeted Enrollment YR1'!E27</f>
        <v>University Schools</v>
      </c>
      <c r="C26" s="834">
        <f>C100</f>
        <v>1160008</v>
      </c>
      <c r="D26" s="834">
        <f>D100</f>
        <v>1398</v>
      </c>
      <c r="E26" s="834">
        <f>E100</f>
        <v>0</v>
      </c>
      <c r="F26" s="834">
        <f>SUM(C26:E26)</f>
        <v>1161406</v>
      </c>
      <c r="G26" s="12"/>
      <c r="H26" s="1654">
        <f>ROUND(F26,0)</f>
        <v>1161406</v>
      </c>
      <c r="I26" s="12"/>
      <c r="J26" s="1655">
        <f>J100</f>
        <v>143.645726495611</v>
      </c>
      <c r="K26" s="1656">
        <f>H26/J26</f>
        <v>8085.2109445489559</v>
      </c>
      <c r="M26" s="1657">
        <f t="shared" ref="M26:M28" si="6">N26-O26-P26-Q26</f>
        <v>0</v>
      </c>
      <c r="N26" s="1658">
        <f>N94</f>
        <v>0</v>
      </c>
      <c r="O26" s="1658">
        <f>O94</f>
        <v>0</v>
      </c>
      <c r="P26" s="1658">
        <f>P94</f>
        <v>0</v>
      </c>
      <c r="Q26" s="1658">
        <f>Q94</f>
        <v>0</v>
      </c>
      <c r="S26" s="1659">
        <f t="shared" ref="S26:Y26" si="7">S100</f>
        <v>0</v>
      </c>
      <c r="T26" s="1659">
        <f t="shared" si="7"/>
        <v>0</v>
      </c>
      <c r="U26" s="1659">
        <f t="shared" si="7"/>
        <v>0</v>
      </c>
      <c r="V26" s="1659">
        <f t="shared" si="7"/>
        <v>0</v>
      </c>
      <c r="W26" s="1659">
        <f t="shared" si="7"/>
        <v>0</v>
      </c>
      <c r="X26" s="1659">
        <f t="shared" si="7"/>
        <v>0</v>
      </c>
      <c r="Y26" s="1659">
        <f t="shared" si="7"/>
        <v>0</v>
      </c>
      <c r="Z26" s="1660">
        <f t="shared" ref="Z26:Z28" si="8">H26-SUM(S26:Y26)</f>
        <v>1161406</v>
      </c>
      <c r="AA26" s="1660">
        <f t="shared" ref="AA26:AA28" si="9">SUM(S26:Y26)</f>
        <v>0</v>
      </c>
    </row>
    <row r="27" spans="1:27" x14ac:dyDescent="0.3">
      <c r="B27" s="36" t="str">
        <f>'1.2 Budgeted Enrollment YR1'!E28</f>
        <v>City of Henderson</v>
      </c>
      <c r="C27" s="834">
        <f>SUM(C105)</f>
        <v>0</v>
      </c>
      <c r="D27" s="834">
        <f>SUM(D105)</f>
        <v>0</v>
      </c>
      <c r="E27" s="834">
        <f>SUM(E105)</f>
        <v>0</v>
      </c>
      <c r="F27" s="834">
        <f t="shared" ref="F27:F28" si="10">SUM(C27:E27)</f>
        <v>0</v>
      </c>
      <c r="G27" s="12"/>
      <c r="H27" s="1654">
        <f t="shared" ref="H27:H28" si="11">ROUND(F27,0)</f>
        <v>0</v>
      </c>
      <c r="I27" s="12"/>
      <c r="J27" s="1655">
        <f>SUM(J105)</f>
        <v>0</v>
      </c>
      <c r="K27" s="1656"/>
      <c r="M27" s="1657">
        <f>N27-O27-P27-Q27</f>
        <v>0</v>
      </c>
      <c r="N27" s="1658">
        <f>SUM(N105)</f>
        <v>0</v>
      </c>
      <c r="O27" s="1658">
        <f t="shared" ref="O27:Y27" si="12">SUM(O105)</f>
        <v>0</v>
      </c>
      <c r="P27" s="1658">
        <f t="shared" si="12"/>
        <v>0</v>
      </c>
      <c r="Q27" s="1658">
        <f t="shared" si="12"/>
        <v>0</v>
      </c>
      <c r="S27" s="1659">
        <f t="shared" si="12"/>
        <v>0</v>
      </c>
      <c r="T27" s="1659">
        <f t="shared" si="12"/>
        <v>0</v>
      </c>
      <c r="U27" s="1659">
        <f t="shared" si="12"/>
        <v>0</v>
      </c>
      <c r="V27" s="1659">
        <f t="shared" si="12"/>
        <v>0</v>
      </c>
      <c r="W27" s="1659">
        <f t="shared" si="12"/>
        <v>0</v>
      </c>
      <c r="X27" s="1659">
        <f t="shared" si="12"/>
        <v>0</v>
      </c>
      <c r="Y27" s="1659">
        <f t="shared" si="12"/>
        <v>0</v>
      </c>
      <c r="Z27" s="1660">
        <f t="shared" si="8"/>
        <v>0</v>
      </c>
      <c r="AA27" s="1660">
        <f t="shared" si="9"/>
        <v>0</v>
      </c>
    </row>
    <row r="28" spans="1:27" x14ac:dyDescent="0.3">
      <c r="B28" s="36" t="str">
        <f>'1.2 Budgeted Enrollment YR1'!E29</f>
        <v>City of North Las Vegas</v>
      </c>
      <c r="C28" s="834">
        <f>C110</f>
        <v>0</v>
      </c>
      <c r="D28" s="834">
        <f>D110</f>
        <v>0</v>
      </c>
      <c r="E28" s="834">
        <f>E110</f>
        <v>0</v>
      </c>
      <c r="F28" s="834">
        <f t="shared" si="10"/>
        <v>0</v>
      </c>
      <c r="G28" s="12"/>
      <c r="H28" s="1654">
        <f t="shared" si="11"/>
        <v>0</v>
      </c>
      <c r="I28" s="12"/>
      <c r="J28" s="1655">
        <f>J110</f>
        <v>0</v>
      </c>
      <c r="K28" s="1656"/>
      <c r="M28" s="1657">
        <f t="shared" si="6"/>
        <v>0</v>
      </c>
      <c r="N28" s="1658">
        <f>N110</f>
        <v>0</v>
      </c>
      <c r="O28" s="1658">
        <f>O110</f>
        <v>0</v>
      </c>
      <c r="P28" s="1658">
        <f>P110</f>
        <v>0</v>
      </c>
      <c r="Q28" s="1658">
        <f>Q110</f>
        <v>0</v>
      </c>
      <c r="S28" s="1659">
        <f t="shared" ref="S28:Y28" si="13">S110</f>
        <v>0</v>
      </c>
      <c r="T28" s="1659">
        <f t="shared" si="13"/>
        <v>0</v>
      </c>
      <c r="U28" s="1659">
        <f t="shared" si="13"/>
        <v>0</v>
      </c>
      <c r="V28" s="1659">
        <f t="shared" si="13"/>
        <v>0</v>
      </c>
      <c r="W28" s="1659">
        <f t="shared" si="13"/>
        <v>0</v>
      </c>
      <c r="X28" s="1659">
        <f t="shared" si="13"/>
        <v>0</v>
      </c>
      <c r="Y28" s="1659">
        <f t="shared" si="13"/>
        <v>0</v>
      </c>
      <c r="Z28" s="1660">
        <f t="shared" si="8"/>
        <v>0</v>
      </c>
      <c r="AA28" s="1660">
        <f t="shared" si="9"/>
        <v>0</v>
      </c>
    </row>
    <row r="29" spans="1:27" x14ac:dyDescent="0.3">
      <c r="B29" s="4" t="s">
        <v>156</v>
      </c>
      <c r="C29" s="379">
        <f>SUM(C8:C28)</f>
        <v>1443284940</v>
      </c>
      <c r="D29" s="379">
        <f>SUM(D8:D28)</f>
        <v>427711999</v>
      </c>
      <c r="E29" s="379">
        <f>SUM(E8:E28)</f>
        <v>2206151782</v>
      </c>
      <c r="F29" s="379">
        <f>SUM(F8:F28)</f>
        <v>4077148721</v>
      </c>
      <c r="G29" s="12"/>
      <c r="H29" s="379">
        <f>SUM(H8:H28)</f>
        <v>4077148721</v>
      </c>
      <c r="I29" s="12"/>
      <c r="J29" s="431">
        <f>SUM(J8:J28)</f>
        <v>484807.40322754526</v>
      </c>
      <c r="M29" s="1668">
        <f>SUM(M8:M28)</f>
        <v>445134704</v>
      </c>
      <c r="N29" s="1668">
        <f>SUM(N8:N28)</f>
        <v>661477969</v>
      </c>
      <c r="O29" s="1668">
        <f>SUM(O8:O28)</f>
        <v>385346</v>
      </c>
      <c r="P29" s="1668">
        <f>SUM(P8:P28)</f>
        <v>213002077</v>
      </c>
      <c r="Q29" s="1668">
        <f>SUM(Q8:Q28)</f>
        <v>2955842</v>
      </c>
      <c r="S29" s="1669">
        <f t="shared" ref="S29:AA29" si="14">SUM(S8:S28)</f>
        <v>69937200</v>
      </c>
      <c r="T29" s="1669">
        <f t="shared" si="14"/>
        <v>49949998</v>
      </c>
      <c r="U29" s="1669">
        <f t="shared" si="14"/>
        <v>24999936</v>
      </c>
      <c r="V29" s="1669">
        <f t="shared" si="14"/>
        <v>8274242</v>
      </c>
      <c r="W29" s="1669">
        <f t="shared" si="14"/>
        <v>194943747</v>
      </c>
      <c r="X29" s="1669">
        <f t="shared" si="14"/>
        <v>1812350</v>
      </c>
      <c r="Y29" s="1669">
        <f t="shared" si="14"/>
        <v>445134702</v>
      </c>
      <c r="Z29" s="1669">
        <f t="shared" si="14"/>
        <v>3282096546</v>
      </c>
      <c r="AA29" s="1669">
        <f t="shared" si="14"/>
        <v>795052175</v>
      </c>
    </row>
    <row r="30" spans="1:27" ht="16.5" customHeight="1" x14ac:dyDescent="0.3">
      <c r="B30" s="4"/>
      <c r="C30" s="1670"/>
      <c r="D30" s="1670"/>
      <c r="E30" s="1670"/>
      <c r="F30" s="1670"/>
      <c r="G30" s="1670"/>
      <c r="H30" s="1670"/>
      <c r="I30" s="1670"/>
      <c r="J30" s="1670"/>
      <c r="K30" s="1670"/>
      <c r="L30" s="1670"/>
      <c r="M30" s="1671"/>
      <c r="N30" s="1671"/>
      <c r="O30" s="1671"/>
      <c r="P30" s="1671"/>
      <c r="Q30" s="1671"/>
      <c r="R30" s="1670"/>
      <c r="S30" s="1670"/>
      <c r="T30" s="1670"/>
      <c r="U30" s="1670"/>
      <c r="V30" s="1670"/>
      <c r="W30" s="1670"/>
      <c r="X30" s="1670"/>
      <c r="Y30" s="1670"/>
      <c r="Z30" s="1670"/>
      <c r="AA30" s="1670"/>
    </row>
    <row r="31" spans="1:27" ht="15.75" customHeight="1" x14ac:dyDescent="0.3">
      <c r="A31" s="4" t="s">
        <v>305</v>
      </c>
      <c r="C31" s="12"/>
      <c r="D31" s="12"/>
      <c r="E31" s="12"/>
      <c r="F31" s="12"/>
      <c r="G31" s="12"/>
      <c r="H31" s="12"/>
      <c r="I31" s="108"/>
      <c r="J31" s="490"/>
      <c r="K31" s="108"/>
      <c r="L31" s="108"/>
      <c r="M31" s="57"/>
      <c r="N31" s="57"/>
      <c r="O31" s="57"/>
      <c r="P31" s="57"/>
      <c r="Q31" s="57"/>
      <c r="R31" s="108"/>
      <c r="S31" s="108"/>
      <c r="T31" s="108"/>
      <c r="U31" s="108"/>
      <c r="V31" s="108"/>
      <c r="W31" s="108"/>
      <c r="X31" s="108"/>
      <c r="Y31" s="108"/>
      <c r="Z31" s="108"/>
    </row>
    <row r="32" spans="1:27" x14ac:dyDescent="0.3">
      <c r="B32" s="9" t="str">
        <f>'1.2 Budgeted Enrollment YR1'!E34</f>
        <v>FuturEdge (Formerly 100 Academy Of Excellence)</v>
      </c>
      <c r="C32" s="834">
        <v>3526522</v>
      </c>
      <c r="D32" s="834">
        <v>0</v>
      </c>
      <c r="E32" s="834">
        <v>0</v>
      </c>
      <c r="F32" s="834">
        <f>SUM(C32:E32)</f>
        <v>3526522</v>
      </c>
      <c r="G32" s="12"/>
      <c r="H32" s="1654">
        <f>F32</f>
        <v>3526522</v>
      </c>
      <c r="I32" s="12"/>
      <c r="J32" s="1655">
        <v>480.71396750000002</v>
      </c>
      <c r="M32" s="1657">
        <f t="shared" si="3"/>
        <v>130870</v>
      </c>
      <c r="N32" s="1658">
        <v>130870</v>
      </c>
      <c r="O32" s="1658">
        <v>0</v>
      </c>
      <c r="P32" s="1658">
        <v>0</v>
      </c>
      <c r="Q32" s="1658">
        <v>0</v>
      </c>
      <c r="R32" s="108"/>
      <c r="S32" s="1672"/>
      <c r="T32" s="1672"/>
      <c r="U32" s="1672"/>
      <c r="V32" s="1672"/>
      <c r="W32" s="1672"/>
      <c r="X32" s="1672"/>
      <c r="Y32" s="1672">
        <v>130870</v>
      </c>
      <c r="Z32" s="1673">
        <f t="shared" ref="Z32:Z63" si="15">H32-SUM(S32:Y32)</f>
        <v>3395652</v>
      </c>
    </row>
    <row r="33" spans="2:27" x14ac:dyDescent="0.3">
      <c r="B33" s="9" t="str">
        <f>'1.2 Budgeted Enrollment YR1'!E35</f>
        <v>Academy For Career Education</v>
      </c>
      <c r="C33" s="834">
        <v>1427556</v>
      </c>
      <c r="D33" s="834">
        <v>0</v>
      </c>
      <c r="E33" s="834">
        <v>0</v>
      </c>
      <c r="F33" s="834">
        <f t="shared" ref="F33:F63" si="16">SUM(C33:E33)</f>
        <v>1427556</v>
      </c>
      <c r="G33" s="12"/>
      <c r="H33" s="1654">
        <f t="shared" ref="H33:H90" si="17">F33</f>
        <v>1427556</v>
      </c>
      <c r="I33" s="575"/>
      <c r="J33" s="1655">
        <v>190.83797749999999</v>
      </c>
      <c r="M33" s="1657">
        <f t="shared" si="3"/>
        <v>95859</v>
      </c>
      <c r="N33" s="1658">
        <v>95859</v>
      </c>
      <c r="O33" s="1658">
        <v>0</v>
      </c>
      <c r="P33" s="1658">
        <v>0</v>
      </c>
      <c r="Q33" s="1658">
        <v>0</v>
      </c>
      <c r="R33" s="108"/>
      <c r="S33" s="1672"/>
      <c r="T33" s="1672"/>
      <c r="U33" s="1672"/>
      <c r="V33" s="1672"/>
      <c r="W33" s="1672"/>
      <c r="X33" s="1672"/>
      <c r="Y33" s="1672">
        <v>95859</v>
      </c>
      <c r="Z33" s="1673">
        <f t="shared" si="15"/>
        <v>1331697</v>
      </c>
    </row>
    <row r="34" spans="2:27" x14ac:dyDescent="0.3">
      <c r="B34" s="9" t="str">
        <f>'1.2 Budgeted Enrollment YR1'!E36</f>
        <v xml:space="preserve">Alpine Academy </v>
      </c>
      <c r="C34" s="834">
        <v>811375</v>
      </c>
      <c r="D34" s="834">
        <v>135508</v>
      </c>
      <c r="E34" s="834">
        <v>0</v>
      </c>
      <c r="F34" s="834">
        <f t="shared" si="16"/>
        <v>946883</v>
      </c>
      <c r="G34" s="12"/>
      <c r="H34" s="1654">
        <f t="shared" si="17"/>
        <v>946883</v>
      </c>
      <c r="I34" s="575"/>
      <c r="J34" s="1655">
        <v>103.98956000000001</v>
      </c>
      <c r="M34" s="1657">
        <f t="shared" si="3"/>
        <v>0</v>
      </c>
      <c r="N34" s="1658">
        <v>121015</v>
      </c>
      <c r="O34" s="1658">
        <v>0</v>
      </c>
      <c r="P34" s="1658">
        <v>121015</v>
      </c>
      <c r="Q34" s="1658">
        <v>0</v>
      </c>
      <c r="R34" s="108"/>
      <c r="S34" s="1672"/>
      <c r="T34" s="1672"/>
      <c r="U34" s="1672"/>
      <c r="V34" s="1672"/>
      <c r="W34" s="1672"/>
      <c r="X34" s="1672"/>
      <c r="Y34" s="1672">
        <v>0</v>
      </c>
      <c r="Z34" s="1673">
        <f t="shared" si="15"/>
        <v>946883</v>
      </c>
    </row>
    <row r="35" spans="2:27" x14ac:dyDescent="0.3">
      <c r="B35" s="9" t="str">
        <f>'1.2 Budgeted Enrollment YR1'!E37</f>
        <v xml:space="preserve">Amplus (Formerly American Preparatory Academy) </v>
      </c>
      <c r="C35" s="834">
        <v>11594140</v>
      </c>
      <c r="D35" s="834">
        <v>219853</v>
      </c>
      <c r="E35" s="834">
        <v>0</v>
      </c>
      <c r="F35" s="834">
        <f t="shared" si="16"/>
        <v>11813993</v>
      </c>
      <c r="G35" s="12"/>
      <c r="H35" s="1654">
        <f t="shared" si="17"/>
        <v>11813993</v>
      </c>
      <c r="I35" s="575"/>
      <c r="J35" s="1655">
        <v>1600.97</v>
      </c>
      <c r="M35" s="1657">
        <f t="shared" si="3"/>
        <v>0</v>
      </c>
      <c r="N35" s="1658">
        <v>293894</v>
      </c>
      <c r="O35" s="1658">
        <v>0</v>
      </c>
      <c r="P35" s="1658">
        <v>293894</v>
      </c>
      <c r="Q35" s="1658">
        <v>0</v>
      </c>
      <c r="R35" s="108"/>
      <c r="S35" s="1672"/>
      <c r="T35" s="1672"/>
      <c r="U35" s="1672"/>
      <c r="V35" s="1672"/>
      <c r="W35" s="1672"/>
      <c r="X35" s="1672"/>
      <c r="Y35" s="1672">
        <v>0</v>
      </c>
      <c r="Z35" s="1673">
        <f t="shared" si="15"/>
        <v>11813993</v>
      </c>
    </row>
    <row r="36" spans="2:27" x14ac:dyDescent="0.3">
      <c r="B36" s="9" t="str">
        <f>'1.2 Budgeted Enrollment YR1'!E38</f>
        <v>Bailey Charter School</v>
      </c>
      <c r="C36" s="834">
        <v>1985978</v>
      </c>
      <c r="D36" s="834">
        <v>0</v>
      </c>
      <c r="E36" s="834">
        <v>0</v>
      </c>
      <c r="F36" s="834">
        <f t="shared" si="16"/>
        <v>1985978</v>
      </c>
      <c r="G36" s="12"/>
      <c r="H36" s="1654">
        <f t="shared" si="17"/>
        <v>1985978</v>
      </c>
      <c r="I36" s="575"/>
      <c r="J36" s="1655">
        <v>265.87594999999999</v>
      </c>
      <c r="M36" s="1657">
        <f t="shared" si="3"/>
        <v>68241</v>
      </c>
      <c r="N36" s="1658">
        <v>68241</v>
      </c>
      <c r="O36" s="1658">
        <v>0</v>
      </c>
      <c r="P36" s="1658">
        <v>0</v>
      </c>
      <c r="Q36" s="1658">
        <v>0</v>
      </c>
      <c r="R36" s="108"/>
      <c r="S36" s="1672"/>
      <c r="T36" s="1672"/>
      <c r="U36" s="1672"/>
      <c r="V36" s="1672"/>
      <c r="W36" s="1672"/>
      <c r="X36" s="1672"/>
      <c r="Y36" s="1672">
        <v>68241</v>
      </c>
      <c r="Z36" s="1673">
        <f t="shared" si="15"/>
        <v>1917737</v>
      </c>
    </row>
    <row r="37" spans="2:27" x14ac:dyDescent="0.3">
      <c r="B37" s="9" t="str">
        <f>'1.2 Budgeted Enrollment YR1'!E39</f>
        <v>Battle Born Academy</v>
      </c>
      <c r="C37" s="1674"/>
      <c r="D37" s="1674"/>
      <c r="E37" s="1674"/>
      <c r="F37" s="1674"/>
      <c r="G37" s="12"/>
      <c r="H37" s="1674"/>
      <c r="I37" s="575"/>
      <c r="J37" s="1675"/>
      <c r="M37" s="1676"/>
      <c r="N37" s="1677"/>
      <c r="O37" s="1677"/>
      <c r="P37" s="1677"/>
      <c r="Q37" s="1677"/>
      <c r="R37" s="108"/>
      <c r="S37" s="1676"/>
      <c r="T37" s="1676"/>
      <c r="U37" s="1676"/>
      <c r="V37" s="1676"/>
      <c r="W37" s="1676"/>
      <c r="X37" s="1676"/>
      <c r="Y37" s="1676"/>
      <c r="Z37" s="1676"/>
      <c r="AA37" s="9" t="s">
        <v>1229</v>
      </c>
    </row>
    <row r="38" spans="2:27" x14ac:dyDescent="0.3">
      <c r="B38" s="9" t="str">
        <f>'1.2 Budgeted Enrollment YR1'!E40</f>
        <v>Beacon Academy</v>
      </c>
      <c r="C38" s="834">
        <v>2804180</v>
      </c>
      <c r="D38" s="834">
        <v>362606</v>
      </c>
      <c r="E38" s="834">
        <v>0</v>
      </c>
      <c r="F38" s="834">
        <f t="shared" si="16"/>
        <v>3166786</v>
      </c>
      <c r="G38" s="12"/>
      <c r="H38" s="1654">
        <f t="shared" si="17"/>
        <v>3166786</v>
      </c>
      <c r="I38" s="12"/>
      <c r="J38" s="1655">
        <v>371.10250250000001</v>
      </c>
      <c r="M38" s="1657">
        <f t="shared" si="3"/>
        <v>11927</v>
      </c>
      <c r="N38" s="1658">
        <v>288533</v>
      </c>
      <c r="O38" s="1658">
        <v>0</v>
      </c>
      <c r="P38" s="1658">
        <v>276606</v>
      </c>
      <c r="Q38" s="1658">
        <v>0</v>
      </c>
      <c r="R38" s="108"/>
      <c r="S38" s="1672">
        <v>138000</v>
      </c>
      <c r="T38" s="1672">
        <v>69319</v>
      </c>
      <c r="U38" s="1672"/>
      <c r="V38" s="1672"/>
      <c r="W38" s="1672"/>
      <c r="X38" s="1672"/>
      <c r="Y38" s="1672">
        <v>11926</v>
      </c>
      <c r="Z38" s="1673">
        <f t="shared" si="15"/>
        <v>2947541</v>
      </c>
    </row>
    <row r="39" spans="2:27" x14ac:dyDescent="0.3">
      <c r="B39" s="9" t="str">
        <f>'1.2 Budgeted Enrollment YR1'!E41</f>
        <v>Cactus Park</v>
      </c>
      <c r="C39" s="1674"/>
      <c r="D39" s="1674"/>
      <c r="E39" s="1674"/>
      <c r="F39" s="1674"/>
      <c r="G39" s="12"/>
      <c r="H39" s="1678"/>
      <c r="I39" s="12"/>
      <c r="J39" s="1675"/>
      <c r="M39" s="1679"/>
      <c r="N39" s="1677"/>
      <c r="O39" s="1677"/>
      <c r="P39" s="1677"/>
      <c r="Q39" s="1677"/>
      <c r="R39" s="108"/>
      <c r="S39" s="1676"/>
      <c r="T39" s="1676"/>
      <c r="U39" s="1676"/>
      <c r="V39" s="1676"/>
      <c r="W39" s="1676"/>
      <c r="X39" s="1676"/>
      <c r="Y39" s="1676"/>
      <c r="Z39" s="1680"/>
      <c r="AA39" s="9" t="s">
        <v>1229</v>
      </c>
    </row>
    <row r="40" spans="2:27" x14ac:dyDescent="0.3">
      <c r="B40" s="9" t="str">
        <f>'1.2 Budgeted Enrollment YR1'!E42</f>
        <v>Carson Montessori</v>
      </c>
      <c r="C40" s="834">
        <v>2359224</v>
      </c>
      <c r="D40" s="834">
        <v>0</v>
      </c>
      <c r="E40" s="834">
        <v>0</v>
      </c>
      <c r="F40" s="834">
        <f t="shared" si="16"/>
        <v>2359224</v>
      </c>
      <c r="G40" s="12"/>
      <c r="H40" s="1654">
        <f t="shared" si="17"/>
        <v>2359224</v>
      </c>
      <c r="I40" s="12"/>
      <c r="J40" s="1655">
        <v>278.55615749999998</v>
      </c>
      <c r="M40" s="1657">
        <f t="shared" si="3"/>
        <v>118188</v>
      </c>
      <c r="N40" s="1658">
        <v>118188</v>
      </c>
      <c r="O40" s="1658">
        <v>0</v>
      </c>
      <c r="P40" s="1658">
        <v>0</v>
      </c>
      <c r="Q40" s="1658">
        <v>0</v>
      </c>
      <c r="R40" s="108"/>
      <c r="S40" s="1672"/>
      <c r="T40" s="1672"/>
      <c r="U40" s="1672"/>
      <c r="V40" s="1672"/>
      <c r="W40" s="1672"/>
      <c r="X40" s="1672"/>
      <c r="Y40" s="1672">
        <v>118188</v>
      </c>
      <c r="Z40" s="1673">
        <f t="shared" si="15"/>
        <v>2241036</v>
      </c>
    </row>
    <row r="41" spans="2:27" x14ac:dyDescent="0.3">
      <c r="B41" s="9" t="str">
        <f>'1.2 Budgeted Enrollment YR1'!E43</f>
        <v>CIVICA Nevada Career &amp; Collegiate Academy</v>
      </c>
      <c r="C41" s="1674"/>
      <c r="D41" s="1674"/>
      <c r="E41" s="1674"/>
      <c r="F41" s="1674"/>
      <c r="G41" s="12"/>
      <c r="H41" s="1678"/>
      <c r="I41" s="12"/>
      <c r="J41" s="1675"/>
      <c r="M41" s="1679"/>
      <c r="N41" s="1677"/>
      <c r="O41" s="1677"/>
      <c r="P41" s="1677"/>
      <c r="Q41" s="1677"/>
      <c r="R41" s="108"/>
      <c r="S41" s="1676"/>
      <c r="T41" s="1676"/>
      <c r="U41" s="1676"/>
      <c r="V41" s="1676"/>
      <c r="W41" s="1676"/>
      <c r="X41" s="1676"/>
      <c r="Y41" s="1676"/>
      <c r="Z41" s="1680"/>
      <c r="AA41" s="9" t="s">
        <v>1229</v>
      </c>
    </row>
    <row r="42" spans="2:27" x14ac:dyDescent="0.3">
      <c r="B42" s="9" t="str">
        <f>'1.2 Budgeted Enrollment YR1'!E44</f>
        <v>Coral Academy of Science Las Vegas</v>
      </c>
      <c r="C42" s="834">
        <v>27034848</v>
      </c>
      <c r="D42" s="834">
        <v>558412</v>
      </c>
      <c r="E42" s="834">
        <v>0</v>
      </c>
      <c r="F42" s="834">
        <f t="shared" si="16"/>
        <v>27593260</v>
      </c>
      <c r="G42" s="12"/>
      <c r="H42" s="1654">
        <f t="shared" si="17"/>
        <v>27593260</v>
      </c>
      <c r="I42" s="12"/>
      <c r="J42" s="1655">
        <v>3731.6204735000006</v>
      </c>
      <c r="M42" s="1657">
        <f t="shared" si="3"/>
        <v>626261</v>
      </c>
      <c r="N42" s="1658">
        <v>1290116</v>
      </c>
      <c r="O42" s="1658">
        <v>0</v>
      </c>
      <c r="P42" s="1658">
        <v>663855</v>
      </c>
      <c r="Q42" s="1658">
        <v>0</v>
      </c>
      <c r="R42" s="108"/>
      <c r="S42" s="1672">
        <v>24000</v>
      </c>
      <c r="T42" s="1672"/>
      <c r="U42" s="1672"/>
      <c r="V42" s="1672"/>
      <c r="W42" s="1672"/>
      <c r="X42" s="1672"/>
      <c r="Y42" s="1672">
        <v>626261</v>
      </c>
      <c r="Z42" s="1673">
        <f t="shared" si="15"/>
        <v>26942999</v>
      </c>
    </row>
    <row r="43" spans="2:27" x14ac:dyDescent="0.3">
      <c r="B43" s="9" t="str">
        <f>'1.2 Budgeted Enrollment YR1'!E45</f>
        <v>Coral Academy Washoe</v>
      </c>
      <c r="C43" s="834">
        <v>10660287</v>
      </c>
      <c r="D43" s="834">
        <v>289970</v>
      </c>
      <c r="E43" s="834">
        <v>0</v>
      </c>
      <c r="F43" s="834">
        <f t="shared" si="16"/>
        <v>10950257</v>
      </c>
      <c r="G43" s="12"/>
      <c r="H43" s="1654">
        <f t="shared" si="17"/>
        <v>10950257</v>
      </c>
      <c r="I43" s="12"/>
      <c r="J43" s="1655">
        <v>1424.90155</v>
      </c>
      <c r="M43" s="1657">
        <f t="shared" si="3"/>
        <v>230064</v>
      </c>
      <c r="N43" s="1658">
        <v>230064</v>
      </c>
      <c r="O43" s="1658">
        <v>0</v>
      </c>
      <c r="P43" s="1658">
        <v>0</v>
      </c>
      <c r="Q43" s="1658">
        <v>0</v>
      </c>
      <c r="R43" s="108"/>
      <c r="S43" s="1672"/>
      <c r="T43" s="1672"/>
      <c r="U43" s="1672"/>
      <c r="V43" s="1672"/>
      <c r="W43" s="1672"/>
      <c r="X43" s="1672"/>
      <c r="Y43" s="1672">
        <v>230064</v>
      </c>
      <c r="Z43" s="1673">
        <f t="shared" si="15"/>
        <v>10720193</v>
      </c>
    </row>
    <row r="44" spans="2:27" x14ac:dyDescent="0.3">
      <c r="B44" s="9" t="str">
        <f>'1.2 Budgeted Enrollment YR1'!E46</f>
        <v>Delta Academy</v>
      </c>
      <c r="C44" s="834">
        <v>4453132</v>
      </c>
      <c r="D44" s="834">
        <v>171857</v>
      </c>
      <c r="E44" s="834">
        <v>0</v>
      </c>
      <c r="F44" s="834">
        <f t="shared" si="16"/>
        <v>4624989</v>
      </c>
      <c r="G44" s="12"/>
      <c r="H44" s="1654">
        <f t="shared" si="17"/>
        <v>4624989</v>
      </c>
      <c r="I44" s="12"/>
      <c r="J44" s="1655">
        <v>614.92500499999994</v>
      </c>
      <c r="M44" s="1657">
        <f t="shared" si="3"/>
        <v>317640</v>
      </c>
      <c r="N44" s="1658">
        <v>317640</v>
      </c>
      <c r="O44" s="1658">
        <v>0</v>
      </c>
      <c r="P44" s="1658">
        <v>0</v>
      </c>
      <c r="Q44" s="1658">
        <v>0</v>
      </c>
      <c r="R44" s="108"/>
      <c r="S44" s="1672"/>
      <c r="T44" s="1672"/>
      <c r="U44" s="1672"/>
      <c r="V44" s="1672"/>
      <c r="W44" s="1672"/>
      <c r="X44" s="1672"/>
      <c r="Y44" s="1672">
        <v>317640</v>
      </c>
      <c r="Z44" s="1673">
        <f t="shared" si="15"/>
        <v>4307349</v>
      </c>
    </row>
    <row r="45" spans="2:27" x14ac:dyDescent="0.3">
      <c r="B45" s="9" t="str">
        <f>'1.2 Budgeted Enrollment YR1'!E47</f>
        <v>Democracy Prep</v>
      </c>
      <c r="C45" s="834">
        <v>7118584</v>
      </c>
      <c r="D45" s="834">
        <v>883119</v>
      </c>
      <c r="E45" s="834">
        <v>0</v>
      </c>
      <c r="F45" s="834">
        <f t="shared" si="16"/>
        <v>8001703</v>
      </c>
      <c r="G45" s="12"/>
      <c r="H45" s="1654">
        <f t="shared" si="17"/>
        <v>8001703</v>
      </c>
      <c r="I45" s="12"/>
      <c r="J45" s="1655">
        <v>981.96345500000007</v>
      </c>
      <c r="M45" s="1657">
        <f t="shared" si="3"/>
        <v>0</v>
      </c>
      <c r="N45" s="1658">
        <v>304267</v>
      </c>
      <c r="O45" s="1658">
        <v>0</v>
      </c>
      <c r="P45" s="1658">
        <v>304267</v>
      </c>
      <c r="Q45" s="1658">
        <v>0</v>
      </c>
      <c r="R45" s="108"/>
      <c r="S45" s="1672"/>
      <c r="T45" s="1672"/>
      <c r="U45" s="1672">
        <v>627558</v>
      </c>
      <c r="V45" s="1672"/>
      <c r="W45" s="1672"/>
      <c r="X45" s="1672"/>
      <c r="Y45" s="1672">
        <v>0</v>
      </c>
      <c r="Z45" s="1673">
        <f t="shared" si="15"/>
        <v>7374145</v>
      </c>
    </row>
    <row r="46" spans="2:27" x14ac:dyDescent="0.3">
      <c r="B46" s="9" t="str">
        <f>'1.2 Budgeted Enrollment YR1'!E48</f>
        <v>Discovery Charter</v>
      </c>
      <c r="C46" s="834">
        <v>2742272</v>
      </c>
      <c r="D46" s="834">
        <v>183837</v>
      </c>
      <c r="E46" s="834">
        <v>0</v>
      </c>
      <c r="F46" s="834">
        <f t="shared" si="16"/>
        <v>2926109</v>
      </c>
      <c r="G46" s="12"/>
      <c r="H46" s="1654">
        <f t="shared" si="17"/>
        <v>2926109</v>
      </c>
      <c r="I46" s="12"/>
      <c r="J46" s="1655">
        <v>378.66546975</v>
      </c>
      <c r="M46" s="1657">
        <f t="shared" si="3"/>
        <v>18624</v>
      </c>
      <c r="N46" s="1658">
        <v>108521</v>
      </c>
      <c r="O46" s="1658">
        <v>0</v>
      </c>
      <c r="P46" s="1658">
        <v>89897</v>
      </c>
      <c r="Q46" s="1658">
        <v>0</v>
      </c>
      <c r="R46" s="108"/>
      <c r="S46" s="1672">
        <v>19200</v>
      </c>
      <c r="T46" s="1672"/>
      <c r="U46" s="1672"/>
      <c r="V46" s="1672"/>
      <c r="W46" s="1672"/>
      <c r="X46" s="1672"/>
      <c r="Y46" s="1672">
        <v>18624</v>
      </c>
      <c r="Z46" s="1673">
        <f t="shared" si="15"/>
        <v>2888285</v>
      </c>
    </row>
    <row r="47" spans="2:27" x14ac:dyDescent="0.3">
      <c r="B47" s="9" t="str">
        <f>'1.2 Budgeted Enrollment YR1'!E49</f>
        <v>Do and Be Academy of Excellence</v>
      </c>
      <c r="C47" s="1674"/>
      <c r="D47" s="1674"/>
      <c r="E47" s="1674"/>
      <c r="F47" s="1674"/>
      <c r="G47" s="12"/>
      <c r="H47" s="1678"/>
      <c r="I47" s="12"/>
      <c r="J47" s="1675"/>
      <c r="M47" s="1679"/>
      <c r="N47" s="1677"/>
      <c r="O47" s="1677"/>
      <c r="P47" s="1677"/>
      <c r="Q47" s="1677"/>
      <c r="R47" s="108"/>
      <c r="S47" s="1676"/>
      <c r="T47" s="1676"/>
      <c r="U47" s="1676"/>
      <c r="V47" s="1676"/>
      <c r="W47" s="1676"/>
      <c r="X47" s="1676"/>
      <c r="Y47" s="1676"/>
      <c r="Z47" s="1680"/>
      <c r="AA47" s="9" t="s">
        <v>1229</v>
      </c>
    </row>
    <row r="48" spans="2:27" x14ac:dyDescent="0.3">
      <c r="B48" s="9" t="str">
        <f>'1.2 Budgeted Enrollment YR1'!E50</f>
        <v>Doral Academy</v>
      </c>
      <c r="C48" s="834">
        <v>41459514</v>
      </c>
      <c r="D48" s="834">
        <v>1180635</v>
      </c>
      <c r="E48" s="834">
        <v>0</v>
      </c>
      <c r="F48" s="834">
        <f t="shared" si="16"/>
        <v>42640149</v>
      </c>
      <c r="G48" s="12"/>
      <c r="H48" s="1654">
        <f t="shared" si="17"/>
        <v>42640149</v>
      </c>
      <c r="I48" s="12"/>
      <c r="J48" s="1655">
        <v>5724.9224675000005</v>
      </c>
      <c r="M48" s="1657">
        <f t="shared" si="3"/>
        <v>0</v>
      </c>
      <c r="N48" s="1658">
        <v>1562826</v>
      </c>
      <c r="O48" s="1658">
        <v>0</v>
      </c>
      <c r="P48" s="1658">
        <v>1562826</v>
      </c>
      <c r="Q48" s="1658">
        <v>0</v>
      </c>
      <c r="R48" s="108"/>
      <c r="S48" s="1672">
        <v>97200</v>
      </c>
      <c r="T48" s="1672"/>
      <c r="U48" s="1672"/>
      <c r="V48" s="1672">
        <v>254303</v>
      </c>
      <c r="W48" s="1672"/>
      <c r="X48" s="1672"/>
      <c r="Y48" s="1672">
        <v>0</v>
      </c>
      <c r="Z48" s="1673">
        <f t="shared" si="15"/>
        <v>42288646</v>
      </c>
    </row>
    <row r="49" spans="2:27" x14ac:dyDescent="0.3">
      <c r="B49" s="9" t="str">
        <f>'1.2 Budgeted Enrollment YR1'!E51</f>
        <v>Doral Academy of Northern Nevada</v>
      </c>
      <c r="C49" s="834">
        <v>6062955</v>
      </c>
      <c r="D49" s="834">
        <v>183587</v>
      </c>
      <c r="E49" s="834">
        <v>0</v>
      </c>
      <c r="F49" s="834">
        <f t="shared" si="16"/>
        <v>6246542</v>
      </c>
      <c r="G49" s="12"/>
      <c r="H49" s="1654">
        <f t="shared" si="17"/>
        <v>6246542</v>
      </c>
      <c r="I49" s="12"/>
      <c r="J49" s="1655">
        <v>811.68888499999991</v>
      </c>
      <c r="M49" s="1657">
        <f t="shared" si="3"/>
        <v>74124</v>
      </c>
      <c r="N49" s="1658">
        <v>318555</v>
      </c>
      <c r="O49" s="1658">
        <v>0</v>
      </c>
      <c r="P49" s="1658">
        <v>244431</v>
      </c>
      <c r="Q49" s="1658">
        <v>0</v>
      </c>
      <c r="R49" s="108"/>
      <c r="S49" s="1672">
        <v>88800</v>
      </c>
      <c r="T49" s="1672"/>
      <c r="U49" s="1672"/>
      <c r="V49" s="1672"/>
      <c r="W49" s="1672"/>
      <c r="X49" s="1672"/>
      <c r="Y49" s="1672">
        <v>74123.999999999971</v>
      </c>
      <c r="Z49" s="1673">
        <f t="shared" si="15"/>
        <v>6083618</v>
      </c>
    </row>
    <row r="50" spans="2:27" x14ac:dyDescent="0.3">
      <c r="B50" s="9" t="str">
        <f>'1.2 Budgeted Enrollment YR1'!E52</f>
        <v>Eagle Charter School (CLOSED)</v>
      </c>
      <c r="C50" s="1674"/>
      <c r="D50" s="1674"/>
      <c r="E50" s="1674"/>
      <c r="F50" s="1674"/>
      <c r="G50" s="12"/>
      <c r="H50" s="1678"/>
      <c r="I50" s="12"/>
      <c r="J50" s="1675"/>
      <c r="M50" s="1679"/>
      <c r="N50" s="1677"/>
      <c r="O50" s="1677"/>
      <c r="P50" s="1677"/>
      <c r="Q50" s="1677"/>
      <c r="R50" s="108"/>
      <c r="S50" s="1676"/>
      <c r="T50" s="1676"/>
      <c r="U50" s="1676"/>
      <c r="V50" s="1676"/>
      <c r="W50" s="1676"/>
      <c r="X50" s="1676"/>
      <c r="Y50" s="1676"/>
      <c r="Z50" s="1680"/>
      <c r="AA50" s="9" t="s">
        <v>1229</v>
      </c>
    </row>
    <row r="51" spans="2:27" x14ac:dyDescent="0.3">
      <c r="B51" s="9" t="str">
        <f>'1.2 Budgeted Enrollment YR1'!E53</f>
        <v>Elko Institute for Academic Achievement</v>
      </c>
      <c r="C51" s="834">
        <v>1846480</v>
      </c>
      <c r="D51" s="834">
        <v>163879</v>
      </c>
      <c r="E51" s="834">
        <v>0</v>
      </c>
      <c r="F51" s="834">
        <f t="shared" si="16"/>
        <v>2010359</v>
      </c>
      <c r="G51" s="12"/>
      <c r="H51" s="1654">
        <f t="shared" si="17"/>
        <v>2010359</v>
      </c>
      <c r="I51" s="12"/>
      <c r="J51" s="1655">
        <v>197.48914249999996</v>
      </c>
      <c r="M51" s="1657">
        <f t="shared" si="3"/>
        <v>0</v>
      </c>
      <c r="N51" s="1658">
        <v>62236</v>
      </c>
      <c r="O51" s="1658">
        <v>0</v>
      </c>
      <c r="P51" s="1658">
        <v>62236</v>
      </c>
      <c r="Q51" s="1658">
        <v>0</v>
      </c>
      <c r="R51" s="108"/>
      <c r="S51" s="1672">
        <v>14400</v>
      </c>
      <c r="T51" s="1672"/>
      <c r="U51" s="1672"/>
      <c r="V51" s="1672"/>
      <c r="W51" s="1672"/>
      <c r="X51" s="1672"/>
      <c r="Y51" s="1672">
        <v>0</v>
      </c>
      <c r="Z51" s="1673">
        <f t="shared" si="15"/>
        <v>1995959</v>
      </c>
    </row>
    <row r="52" spans="2:27" x14ac:dyDescent="0.3">
      <c r="B52" s="9" t="str">
        <f>'1.2 Budgeted Enrollment YR1'!E54</f>
        <v>enCompass Academy</v>
      </c>
      <c r="C52" s="834">
        <v>722846</v>
      </c>
      <c r="D52" s="834">
        <v>0</v>
      </c>
      <c r="E52" s="834">
        <v>0</v>
      </c>
      <c r="F52" s="834">
        <f t="shared" si="16"/>
        <v>722846</v>
      </c>
      <c r="G52" s="12"/>
      <c r="H52" s="1654">
        <f t="shared" si="17"/>
        <v>722846</v>
      </c>
      <c r="I52" s="12"/>
      <c r="J52" s="1655">
        <v>94.269284999999996</v>
      </c>
      <c r="M52" s="1657">
        <f t="shared" si="3"/>
        <v>73202</v>
      </c>
      <c r="N52" s="1658">
        <v>73202</v>
      </c>
      <c r="O52" s="1658">
        <v>0</v>
      </c>
      <c r="P52" s="1658">
        <v>0</v>
      </c>
      <c r="Q52" s="1658">
        <v>0</v>
      </c>
      <c r="R52" s="108"/>
      <c r="S52" s="1672"/>
      <c r="T52" s="1672"/>
      <c r="U52" s="1672"/>
      <c r="V52" s="1672"/>
      <c r="W52" s="1672"/>
      <c r="X52" s="1672"/>
      <c r="Y52" s="1672">
        <v>73202</v>
      </c>
      <c r="Z52" s="1673">
        <f t="shared" si="15"/>
        <v>649644</v>
      </c>
    </row>
    <row r="53" spans="2:27" x14ac:dyDescent="0.3">
      <c r="B53" s="9" t="str">
        <f>'1.2 Budgeted Enrollment YR1'!E55</f>
        <v>Equipo Academy</v>
      </c>
      <c r="C53" s="834">
        <v>5503686</v>
      </c>
      <c r="D53" s="834">
        <v>440009</v>
      </c>
      <c r="E53" s="834">
        <v>0</v>
      </c>
      <c r="F53" s="834">
        <f t="shared" si="16"/>
        <v>5943695</v>
      </c>
      <c r="G53" s="12"/>
      <c r="H53" s="1654">
        <f t="shared" si="17"/>
        <v>5943695</v>
      </c>
      <c r="I53" s="12"/>
      <c r="J53" s="1655">
        <v>759.97385250000002</v>
      </c>
      <c r="M53" s="1657">
        <f t="shared" si="3"/>
        <v>59548</v>
      </c>
      <c r="N53" s="1658">
        <v>184041</v>
      </c>
      <c r="O53" s="1658">
        <v>0</v>
      </c>
      <c r="P53" s="1658">
        <v>124493</v>
      </c>
      <c r="Q53" s="1658">
        <v>0</v>
      </c>
      <c r="R53" s="108"/>
      <c r="S53" s="1672">
        <v>121200</v>
      </c>
      <c r="T53" s="1672">
        <v>295587</v>
      </c>
      <c r="U53" s="1672"/>
      <c r="V53" s="1672"/>
      <c r="W53" s="1672"/>
      <c r="X53" s="1672"/>
      <c r="Y53" s="1672">
        <v>59548</v>
      </c>
      <c r="Z53" s="1673">
        <f t="shared" si="15"/>
        <v>5467360</v>
      </c>
    </row>
    <row r="54" spans="2:27" x14ac:dyDescent="0.3">
      <c r="B54" s="9" t="str">
        <f>'1.2 Budgeted Enrollment YR1'!E56</f>
        <v>Explore Academy</v>
      </c>
      <c r="C54" s="1674"/>
      <c r="D54" s="1674"/>
      <c r="E54" s="1674"/>
      <c r="F54" s="1674"/>
      <c r="G54" s="12"/>
      <c r="H54" s="1678"/>
      <c r="I54" s="12"/>
      <c r="J54" s="1675"/>
      <c r="M54" s="1679"/>
      <c r="N54" s="1677"/>
      <c r="O54" s="1677"/>
      <c r="P54" s="1677"/>
      <c r="Q54" s="1677"/>
      <c r="R54" s="108"/>
      <c r="S54" s="1676"/>
      <c r="T54" s="1676"/>
      <c r="U54" s="1676"/>
      <c r="V54" s="1676"/>
      <c r="W54" s="1676"/>
      <c r="X54" s="1676"/>
      <c r="Y54" s="1676"/>
      <c r="Z54" s="1680"/>
      <c r="AA54" s="9" t="s">
        <v>1229</v>
      </c>
    </row>
    <row r="55" spans="2:27" x14ac:dyDescent="0.3">
      <c r="B55" s="9" t="str">
        <f>'1.2 Budgeted Enrollment YR1'!E57</f>
        <v>Explore Knowledge Academy</v>
      </c>
      <c r="C55" s="834">
        <v>5523529</v>
      </c>
      <c r="D55" s="834">
        <v>46600</v>
      </c>
      <c r="E55" s="834">
        <v>0</v>
      </c>
      <c r="F55" s="834">
        <f t="shared" si="16"/>
        <v>5570129</v>
      </c>
      <c r="G55" s="12"/>
      <c r="H55" s="1654">
        <f t="shared" si="17"/>
        <v>5570129</v>
      </c>
      <c r="I55" s="12"/>
      <c r="J55" s="1655">
        <v>762.71106750000013</v>
      </c>
      <c r="M55" s="1657">
        <f t="shared" si="3"/>
        <v>353411</v>
      </c>
      <c r="N55" s="1658">
        <v>353411</v>
      </c>
      <c r="O55" s="1658">
        <v>0</v>
      </c>
      <c r="P55" s="1658">
        <v>0</v>
      </c>
      <c r="Q55" s="1658">
        <v>0</v>
      </c>
      <c r="R55" s="108"/>
      <c r="S55" s="1672"/>
      <c r="T55" s="1672"/>
      <c r="U55" s="1672"/>
      <c r="V55" s="1672"/>
      <c r="W55" s="1672"/>
      <c r="X55" s="1672"/>
      <c r="Y55" s="1672">
        <v>353411</v>
      </c>
      <c r="Z55" s="1673">
        <f t="shared" si="15"/>
        <v>5216718</v>
      </c>
    </row>
    <row r="56" spans="2:27" x14ac:dyDescent="0.3">
      <c r="B56" s="9" t="str">
        <f>'1.2 Budgeted Enrollment YR1'!E58</f>
        <v>Founders Academy of Las Vegas</v>
      </c>
      <c r="C56" s="834">
        <v>5537306</v>
      </c>
      <c r="D56" s="834">
        <v>131513</v>
      </c>
      <c r="E56" s="834">
        <v>0</v>
      </c>
      <c r="F56" s="834">
        <f t="shared" si="16"/>
        <v>5668819</v>
      </c>
      <c r="G56" s="12"/>
      <c r="H56" s="1654">
        <f t="shared" si="17"/>
        <v>5668819</v>
      </c>
      <c r="I56" s="12"/>
      <c r="J56" s="1655">
        <v>764.61392499999999</v>
      </c>
      <c r="M56" s="1657">
        <f t="shared" si="3"/>
        <v>116424</v>
      </c>
      <c r="N56" s="1658">
        <v>247812</v>
      </c>
      <c r="O56" s="1658">
        <v>0</v>
      </c>
      <c r="P56" s="1658">
        <v>131388</v>
      </c>
      <c r="Q56" s="1658">
        <v>0</v>
      </c>
      <c r="R56" s="108"/>
      <c r="S56" s="1672">
        <v>37200</v>
      </c>
      <c r="T56" s="1672"/>
      <c r="U56" s="1672"/>
      <c r="V56" s="1672"/>
      <c r="W56" s="1672"/>
      <c r="X56" s="1672"/>
      <c r="Y56" s="1672">
        <v>116424</v>
      </c>
      <c r="Z56" s="1673">
        <f t="shared" si="15"/>
        <v>5515195</v>
      </c>
    </row>
    <row r="57" spans="2:27" x14ac:dyDescent="0.3">
      <c r="B57" s="9" t="str">
        <f>'1.2 Budgeted Enrollment YR1'!E59</f>
        <v>Freedom Classical Academy</v>
      </c>
      <c r="C57" s="834">
        <v>7762587</v>
      </c>
      <c r="D57" s="834">
        <v>379552</v>
      </c>
      <c r="E57" s="834">
        <v>0</v>
      </c>
      <c r="F57" s="834">
        <f t="shared" si="16"/>
        <v>8142139</v>
      </c>
      <c r="G57" s="12"/>
      <c r="H57" s="1654">
        <f t="shared" si="17"/>
        <v>8142139</v>
      </c>
      <c r="I57" s="12"/>
      <c r="J57" s="1655">
        <v>1071.2845</v>
      </c>
      <c r="M57" s="1657">
        <f t="shared" si="3"/>
        <v>303991</v>
      </c>
      <c r="N57" s="1658">
        <v>594428</v>
      </c>
      <c r="O57" s="1658">
        <v>0</v>
      </c>
      <c r="P57" s="1658">
        <v>290437</v>
      </c>
      <c r="Q57" s="1658">
        <v>0</v>
      </c>
      <c r="R57" s="108"/>
      <c r="S57" s="1672">
        <v>138000</v>
      </c>
      <c r="T57" s="1672">
        <v>137330</v>
      </c>
      <c r="U57" s="1672"/>
      <c r="V57" s="1672"/>
      <c r="W57" s="1672"/>
      <c r="X57" s="1672"/>
      <c r="Y57" s="1672">
        <v>303990.99999999994</v>
      </c>
      <c r="Z57" s="1673">
        <f t="shared" si="15"/>
        <v>7562818</v>
      </c>
    </row>
    <row r="58" spans="2:27" x14ac:dyDescent="0.3">
      <c r="B58" s="9" t="str">
        <f>'1.2 Budgeted Enrollment YR1'!E60</f>
        <v>Futuro Academy Elementary</v>
      </c>
      <c r="C58" s="834">
        <v>2468343</v>
      </c>
      <c r="D58" s="834">
        <v>150905</v>
      </c>
      <c r="E58" s="834">
        <v>0</v>
      </c>
      <c r="F58" s="834">
        <f t="shared" si="16"/>
        <v>2619248</v>
      </c>
      <c r="G58" s="12"/>
      <c r="H58" s="1654">
        <f t="shared" si="17"/>
        <v>2619248</v>
      </c>
      <c r="I58" s="12"/>
      <c r="J58" s="1655">
        <v>340.84044000000006</v>
      </c>
      <c r="M58" s="1657">
        <f t="shared" si="3"/>
        <v>0</v>
      </c>
      <c r="N58" s="1658">
        <v>41491</v>
      </c>
      <c r="O58" s="1658">
        <v>0</v>
      </c>
      <c r="P58" s="1658">
        <v>41491</v>
      </c>
      <c r="Q58" s="1658">
        <v>0</v>
      </c>
      <c r="R58" s="108"/>
      <c r="S58" s="1672"/>
      <c r="T58" s="1672">
        <v>67380</v>
      </c>
      <c r="U58" s="1672"/>
      <c r="V58" s="1672"/>
      <c r="W58" s="1672"/>
      <c r="X58" s="1672"/>
      <c r="Y58" s="1672">
        <v>0</v>
      </c>
      <c r="Z58" s="1673">
        <f t="shared" si="15"/>
        <v>2551868</v>
      </c>
    </row>
    <row r="59" spans="2:27" x14ac:dyDescent="0.3">
      <c r="B59" s="9" t="str">
        <f>'1.2 Budgeted Enrollment YR1'!E61</f>
        <v>High Desert Montessori</v>
      </c>
      <c r="C59" s="834">
        <v>2658658</v>
      </c>
      <c r="D59" s="834">
        <v>3227</v>
      </c>
      <c r="E59" s="834">
        <v>0</v>
      </c>
      <c r="F59" s="834">
        <f t="shared" si="16"/>
        <v>2661885</v>
      </c>
      <c r="G59" s="12"/>
      <c r="H59" s="1654">
        <f t="shared" si="17"/>
        <v>2661885</v>
      </c>
      <c r="I59" s="12"/>
      <c r="J59" s="1655">
        <v>346.239215</v>
      </c>
      <c r="M59" s="1657">
        <f t="shared" si="3"/>
        <v>165344</v>
      </c>
      <c r="N59" s="1658">
        <v>165344</v>
      </c>
      <c r="O59" s="1658">
        <v>0</v>
      </c>
      <c r="P59" s="1658">
        <v>0</v>
      </c>
      <c r="Q59" s="1658">
        <v>0</v>
      </c>
      <c r="R59" s="108"/>
      <c r="S59" s="1672"/>
      <c r="T59" s="1672"/>
      <c r="U59" s="1672"/>
      <c r="V59" s="1672"/>
      <c r="W59" s="1672"/>
      <c r="X59" s="1672"/>
      <c r="Y59" s="1672">
        <v>165344</v>
      </c>
      <c r="Z59" s="1673">
        <f t="shared" si="15"/>
        <v>2496541</v>
      </c>
    </row>
    <row r="60" spans="2:27" x14ac:dyDescent="0.3">
      <c r="B60" s="9" t="str">
        <f>'1.2 Budgeted Enrollment YR1'!E62</f>
        <v>Honors Academy of Literature</v>
      </c>
      <c r="C60" s="834">
        <v>1631874</v>
      </c>
      <c r="D60" s="834">
        <v>79012</v>
      </c>
      <c r="E60" s="834">
        <v>0</v>
      </c>
      <c r="F60" s="834">
        <f t="shared" si="16"/>
        <v>1710886</v>
      </c>
      <c r="G60" s="12"/>
      <c r="H60" s="1654">
        <f t="shared" si="17"/>
        <v>1710886</v>
      </c>
      <c r="I60" s="12"/>
      <c r="J60" s="1655">
        <v>218.46999250000002</v>
      </c>
      <c r="M60" s="1657">
        <f t="shared" si="3"/>
        <v>27540</v>
      </c>
      <c r="N60" s="1658">
        <v>113979</v>
      </c>
      <c r="O60" s="1658">
        <v>0</v>
      </c>
      <c r="P60" s="1658">
        <v>86439</v>
      </c>
      <c r="Q60" s="1658">
        <v>0</v>
      </c>
      <c r="R60" s="108"/>
      <c r="S60" s="1672"/>
      <c r="T60" s="1672"/>
      <c r="U60" s="1672"/>
      <c r="V60" s="1672"/>
      <c r="W60" s="1672"/>
      <c r="X60" s="1672"/>
      <c r="Y60" s="1672">
        <v>27540</v>
      </c>
      <c r="Z60" s="1673">
        <f t="shared" si="15"/>
        <v>1683346</v>
      </c>
    </row>
    <row r="61" spans="2:27" x14ac:dyDescent="0.3">
      <c r="B61" s="9" t="str">
        <f>'1.2 Budgeted Enrollment YR1'!E63</f>
        <v>Imagine School Mountain View</v>
      </c>
      <c r="C61" s="834">
        <v>5137984</v>
      </c>
      <c r="D61" s="834">
        <v>280041</v>
      </c>
      <c r="E61" s="834">
        <v>0</v>
      </c>
      <c r="F61" s="834">
        <f t="shared" si="16"/>
        <v>5418025</v>
      </c>
      <c r="G61" s="12"/>
      <c r="H61" s="1654">
        <f t="shared" si="17"/>
        <v>5418025</v>
      </c>
      <c r="I61" s="12"/>
      <c r="J61" s="1655">
        <v>709.47592499999996</v>
      </c>
      <c r="M61" s="1657">
        <f t="shared" si="3"/>
        <v>171487</v>
      </c>
      <c r="N61" s="1658">
        <v>392772</v>
      </c>
      <c r="O61" s="1658">
        <v>0</v>
      </c>
      <c r="P61" s="1658">
        <v>221285</v>
      </c>
      <c r="Q61" s="1658">
        <v>0</v>
      </c>
      <c r="R61" s="108"/>
      <c r="S61" s="1672">
        <v>56400</v>
      </c>
      <c r="T61" s="1672">
        <v>94169</v>
      </c>
      <c r="U61" s="1672"/>
      <c r="V61" s="1672"/>
      <c r="W61" s="1672"/>
      <c r="X61" s="1672"/>
      <c r="Y61" s="1672">
        <v>171487</v>
      </c>
      <c r="Z61" s="1673">
        <f t="shared" si="15"/>
        <v>5095969</v>
      </c>
    </row>
    <row r="62" spans="2:27" x14ac:dyDescent="0.3">
      <c r="B62" s="9" t="str">
        <f>'1.2 Budgeted Enrollment YR1'!E64</f>
        <v>Innovations Int'l Charter</v>
      </c>
      <c r="C62" s="834">
        <v>5810174</v>
      </c>
      <c r="D62" s="834">
        <v>0</v>
      </c>
      <c r="E62" s="834">
        <v>0</v>
      </c>
      <c r="F62" s="834">
        <f t="shared" si="16"/>
        <v>5810174</v>
      </c>
      <c r="G62" s="12"/>
      <c r="H62" s="1654">
        <f t="shared" si="17"/>
        <v>5810174</v>
      </c>
      <c r="I62" s="12"/>
      <c r="J62" s="1655">
        <v>802.28936500000009</v>
      </c>
      <c r="M62" s="1657">
        <f t="shared" si="3"/>
        <v>396196</v>
      </c>
      <c r="N62" s="1658">
        <v>396196</v>
      </c>
      <c r="O62" s="1658">
        <v>0</v>
      </c>
      <c r="P62" s="1658">
        <v>0</v>
      </c>
      <c r="Q62" s="1658">
        <v>0</v>
      </c>
      <c r="R62" s="108"/>
      <c r="S62" s="1672"/>
      <c r="T62" s="1672"/>
      <c r="U62" s="1672"/>
      <c r="V62" s="1672"/>
      <c r="W62" s="1672"/>
      <c r="X62" s="1672"/>
      <c r="Y62" s="1672">
        <v>396196</v>
      </c>
      <c r="Z62" s="1673">
        <f t="shared" si="15"/>
        <v>5413978</v>
      </c>
    </row>
    <row r="63" spans="2:27" x14ac:dyDescent="0.3">
      <c r="B63" s="9" t="str">
        <f>'1.2 Budgeted Enrollment YR1'!E65</f>
        <v>Leadership Academy of Nevada</v>
      </c>
      <c r="C63" s="834">
        <v>2097693</v>
      </c>
      <c r="D63" s="834">
        <v>21822</v>
      </c>
      <c r="E63" s="834">
        <v>0</v>
      </c>
      <c r="F63" s="834">
        <f t="shared" si="16"/>
        <v>2119515</v>
      </c>
      <c r="G63" s="12"/>
      <c r="H63" s="1654">
        <f t="shared" si="17"/>
        <v>2119515</v>
      </c>
      <c r="I63" s="12"/>
      <c r="J63" s="1655">
        <v>262.75737500000002</v>
      </c>
      <c r="M63" s="1657">
        <f t="shared" si="3"/>
        <v>0</v>
      </c>
      <c r="N63" s="1658">
        <v>70047</v>
      </c>
      <c r="O63" s="1658">
        <v>0</v>
      </c>
      <c r="P63" s="1658">
        <v>45013</v>
      </c>
      <c r="Q63" s="1658">
        <v>25034</v>
      </c>
      <c r="R63" s="108"/>
      <c r="S63" s="1672">
        <v>13200</v>
      </c>
      <c r="T63" s="1672"/>
      <c r="U63" s="1672"/>
      <c r="V63" s="1672"/>
      <c r="W63" s="1672"/>
      <c r="X63" s="1672"/>
      <c r="Y63" s="1672">
        <v>0</v>
      </c>
      <c r="Z63" s="1673">
        <f t="shared" si="15"/>
        <v>2106315</v>
      </c>
    </row>
    <row r="64" spans="2:27" x14ac:dyDescent="0.3">
      <c r="B64" s="9" t="str">
        <f>'1.2 Budgeted Enrollment YR1'!E66</f>
        <v>Learning Bridge</v>
      </c>
      <c r="C64" s="834">
        <v>2007853</v>
      </c>
      <c r="D64" s="834">
        <v>95748</v>
      </c>
      <c r="E64" s="834">
        <v>0</v>
      </c>
      <c r="F64" s="834">
        <f t="shared" ref="F64:F90" si="18">SUM(C64:E64)</f>
        <v>2103601</v>
      </c>
      <c r="G64" s="12"/>
      <c r="H64" s="1654">
        <f t="shared" si="17"/>
        <v>2103601</v>
      </c>
      <c r="I64" s="12"/>
      <c r="J64" s="1655">
        <v>180.91071249999999</v>
      </c>
      <c r="M64" s="1657">
        <f t="shared" si="3"/>
        <v>0</v>
      </c>
      <c r="N64" s="1658">
        <v>86439</v>
      </c>
      <c r="O64" s="1658">
        <v>0</v>
      </c>
      <c r="P64" s="1658">
        <v>86439</v>
      </c>
      <c r="Q64" s="1658">
        <v>0</v>
      </c>
      <c r="R64" s="108"/>
      <c r="S64" s="1672">
        <v>10800</v>
      </c>
      <c r="T64" s="1672"/>
      <c r="U64" s="1672"/>
      <c r="V64" s="1672"/>
      <c r="W64" s="1672"/>
      <c r="X64" s="1672"/>
      <c r="Y64" s="1672">
        <v>0</v>
      </c>
      <c r="Z64" s="1673">
        <f t="shared" ref="Z64:Z90" si="19">H64-SUM(S64:Y64)</f>
        <v>2092801</v>
      </c>
    </row>
    <row r="65" spans="2:27" x14ac:dyDescent="0.3">
      <c r="B65" s="9" t="str">
        <f>'1.2 Budgeted Enrollment YR1'!E67</f>
        <v>Legacy Traditional Schools</v>
      </c>
      <c r="C65" s="834">
        <v>30110813</v>
      </c>
      <c r="D65" s="834">
        <v>549792</v>
      </c>
      <c r="E65" s="834">
        <v>0</v>
      </c>
      <c r="F65" s="834">
        <f t="shared" si="18"/>
        <v>30660605</v>
      </c>
      <c r="G65" s="12"/>
      <c r="H65" s="1654">
        <f t="shared" si="17"/>
        <v>30660605</v>
      </c>
      <c r="I65" s="12"/>
      <c r="J65" s="1655">
        <v>4157.8304200000002</v>
      </c>
      <c r="M65" s="1657">
        <f t="shared" si="3"/>
        <v>0</v>
      </c>
      <c r="N65" s="1658">
        <v>667313</v>
      </c>
      <c r="O65" s="1658">
        <v>0</v>
      </c>
      <c r="P65" s="1658">
        <v>667313</v>
      </c>
      <c r="Q65" s="1658">
        <v>0</v>
      </c>
      <c r="R65" s="108"/>
      <c r="S65" s="1672">
        <v>180000</v>
      </c>
      <c r="T65" s="1672"/>
      <c r="U65" s="1672"/>
      <c r="V65" s="1672"/>
      <c r="W65" s="1672"/>
      <c r="X65" s="1672"/>
      <c r="Y65" s="1672">
        <v>0</v>
      </c>
      <c r="Z65" s="1673">
        <f t="shared" si="19"/>
        <v>30480605</v>
      </c>
    </row>
    <row r="66" spans="2:27" x14ac:dyDescent="0.3">
      <c r="B66" s="9" t="str">
        <f>'1.2 Budgeted Enrollment YR1'!E68</f>
        <v xml:space="preserve">Mariposa Language and Learning Academy </v>
      </c>
      <c r="C66" s="834">
        <v>1264461</v>
      </c>
      <c r="D66" s="834">
        <v>245</v>
      </c>
      <c r="E66" s="834">
        <v>0</v>
      </c>
      <c r="F66" s="834">
        <f t="shared" si="18"/>
        <v>1264706</v>
      </c>
      <c r="G66" s="12"/>
      <c r="H66" s="1654">
        <f t="shared" si="17"/>
        <v>1264706</v>
      </c>
      <c r="I66" s="12"/>
      <c r="J66" s="1655">
        <v>141.298315</v>
      </c>
      <c r="M66" s="1657">
        <f t="shared" si="3"/>
        <v>96945</v>
      </c>
      <c r="N66" s="1658">
        <v>96945</v>
      </c>
      <c r="O66" s="1658">
        <v>0</v>
      </c>
      <c r="P66" s="1658">
        <v>0</v>
      </c>
      <c r="Q66" s="1658">
        <v>0</v>
      </c>
      <c r="R66" s="108"/>
      <c r="S66" s="1672"/>
      <c r="T66" s="1672"/>
      <c r="U66" s="1672"/>
      <c r="V66" s="1672"/>
      <c r="W66" s="1672"/>
      <c r="X66" s="1672"/>
      <c r="Y66" s="1672">
        <v>96945</v>
      </c>
      <c r="Z66" s="1673">
        <f t="shared" si="19"/>
        <v>1167761</v>
      </c>
    </row>
    <row r="67" spans="2:27" x14ac:dyDescent="0.3">
      <c r="B67" s="9" t="str">
        <f>'1.2 Budgeted Enrollment YR1'!E69</f>
        <v>Mater Academy</v>
      </c>
      <c r="C67" s="834">
        <v>14291664</v>
      </c>
      <c r="D67" s="834">
        <v>2006367</v>
      </c>
      <c r="E67" s="834">
        <v>0</v>
      </c>
      <c r="F67" s="834">
        <f t="shared" si="18"/>
        <v>16298031</v>
      </c>
      <c r="G67" s="12"/>
      <c r="H67" s="1654">
        <f t="shared" si="17"/>
        <v>16298031</v>
      </c>
      <c r="I67" s="12"/>
      <c r="J67" s="1655">
        <v>1973.4592965000002</v>
      </c>
      <c r="M67" s="1657">
        <f t="shared" si="3"/>
        <v>0</v>
      </c>
      <c r="N67" s="1658">
        <v>577416</v>
      </c>
      <c r="O67" s="1658">
        <v>0</v>
      </c>
      <c r="P67" s="1658">
        <v>577416</v>
      </c>
      <c r="Q67" s="1658">
        <v>0</v>
      </c>
      <c r="R67" s="108"/>
      <c r="S67" s="1672">
        <v>525600</v>
      </c>
      <c r="T67" s="1672">
        <v>1102566</v>
      </c>
      <c r="U67" s="1672"/>
      <c r="V67" s="1672"/>
      <c r="W67" s="1672"/>
      <c r="X67" s="1672"/>
      <c r="Y67" s="1672">
        <v>0</v>
      </c>
      <c r="Z67" s="1673">
        <f t="shared" si="19"/>
        <v>14669865</v>
      </c>
    </row>
    <row r="68" spans="2:27" x14ac:dyDescent="0.3">
      <c r="B68" s="9" t="str">
        <f>'1.2 Budgeted Enrollment YR1'!E70</f>
        <v>Mater Academy of Northern Nevada</v>
      </c>
      <c r="C68" s="834">
        <v>2594884</v>
      </c>
      <c r="D68" s="834">
        <v>379212</v>
      </c>
      <c r="E68" s="834">
        <v>0</v>
      </c>
      <c r="F68" s="834">
        <f t="shared" si="18"/>
        <v>2974096</v>
      </c>
      <c r="G68" s="12"/>
      <c r="H68" s="1654">
        <f t="shared" si="17"/>
        <v>2974096</v>
      </c>
      <c r="I68" s="12"/>
      <c r="J68" s="1655">
        <v>347.39350000000002</v>
      </c>
      <c r="M68" s="1657">
        <f t="shared" si="3"/>
        <v>140924</v>
      </c>
      <c r="N68" s="1658">
        <v>237736</v>
      </c>
      <c r="O68" s="1658">
        <v>0</v>
      </c>
      <c r="P68" s="1658">
        <v>96812</v>
      </c>
      <c r="Q68" s="1658">
        <v>0</v>
      </c>
      <c r="R68" s="108"/>
      <c r="S68" s="1672">
        <v>80400</v>
      </c>
      <c r="T68" s="1672">
        <v>134714</v>
      </c>
      <c r="U68" s="1672"/>
      <c r="V68" s="1672"/>
      <c r="W68" s="1672"/>
      <c r="X68" s="1672"/>
      <c r="Y68" s="1672">
        <v>140924</v>
      </c>
      <c r="Z68" s="1673">
        <f t="shared" si="19"/>
        <v>2618058</v>
      </c>
    </row>
    <row r="69" spans="2:27" x14ac:dyDescent="0.3">
      <c r="B69" s="9" t="str">
        <f>'1.2 Budgeted Enrollment YR1'!E71</f>
        <v>Nevada Connections Academy</v>
      </c>
      <c r="C69" s="834">
        <v>25878077</v>
      </c>
      <c r="D69" s="834">
        <v>871546</v>
      </c>
      <c r="E69" s="834">
        <v>0</v>
      </c>
      <c r="F69" s="834">
        <f t="shared" si="18"/>
        <v>26749623</v>
      </c>
      <c r="G69" s="12"/>
      <c r="H69" s="1654">
        <f t="shared" si="17"/>
        <v>26749623</v>
      </c>
      <c r="I69" s="12"/>
      <c r="J69" s="1655">
        <v>3282.6674575360644</v>
      </c>
      <c r="M69" s="1657">
        <f t="shared" si="3"/>
        <v>0</v>
      </c>
      <c r="N69" s="1658">
        <v>1058019</v>
      </c>
      <c r="O69" s="1658">
        <v>0</v>
      </c>
      <c r="P69" s="1658">
        <v>1058019</v>
      </c>
      <c r="Q69" s="1658">
        <v>0</v>
      </c>
      <c r="R69" s="108"/>
      <c r="S69" s="1672">
        <v>609600</v>
      </c>
      <c r="T69" s="1672">
        <v>0</v>
      </c>
      <c r="U69" s="1672"/>
      <c r="V69" s="1672">
        <v>53762</v>
      </c>
      <c r="W69" s="1672"/>
      <c r="X69" s="1672"/>
      <c r="Y69" s="1672">
        <v>0</v>
      </c>
      <c r="Z69" s="1673">
        <f t="shared" si="19"/>
        <v>26086261</v>
      </c>
    </row>
    <row r="70" spans="2:27" x14ac:dyDescent="0.3">
      <c r="B70" s="9" t="str">
        <f>'1.2 Budgeted Enrollment YR1'!E72</f>
        <v>Nevada Prep</v>
      </c>
      <c r="C70" s="834">
        <v>1503087</v>
      </c>
      <c r="D70" s="834">
        <v>20955</v>
      </c>
      <c r="E70" s="834">
        <v>0</v>
      </c>
      <c r="F70" s="834">
        <f t="shared" si="18"/>
        <v>1524042</v>
      </c>
      <c r="G70" s="12"/>
      <c r="H70" s="1654">
        <f t="shared" si="17"/>
        <v>1524042</v>
      </c>
      <c r="I70" s="12"/>
      <c r="J70" s="1655">
        <v>207.55364499999999</v>
      </c>
      <c r="M70" s="1657">
        <f t="shared" si="3"/>
        <v>31230</v>
      </c>
      <c r="N70" s="1658">
        <v>79636</v>
      </c>
      <c r="O70" s="1658">
        <v>0</v>
      </c>
      <c r="P70" s="1658">
        <v>48406</v>
      </c>
      <c r="Q70" s="1658">
        <v>0</v>
      </c>
      <c r="R70" s="108"/>
      <c r="S70" s="1672"/>
      <c r="T70" s="1672">
        <v>15977</v>
      </c>
      <c r="U70" s="1672"/>
      <c r="V70" s="1672"/>
      <c r="W70" s="1672"/>
      <c r="X70" s="1672"/>
      <c r="Y70" s="1672">
        <v>31230</v>
      </c>
      <c r="Z70" s="1673">
        <f t="shared" si="19"/>
        <v>1476835</v>
      </c>
    </row>
    <row r="71" spans="2:27" x14ac:dyDescent="0.3">
      <c r="B71" s="9" t="str">
        <f>'1.2 Budgeted Enrollment YR1'!E73</f>
        <v xml:space="preserve">Nevada Rise </v>
      </c>
      <c r="C71" s="834">
        <v>1625578</v>
      </c>
      <c r="D71" s="834">
        <v>95463</v>
      </c>
      <c r="E71" s="834">
        <v>0</v>
      </c>
      <c r="F71" s="834">
        <f t="shared" si="18"/>
        <v>1721041</v>
      </c>
      <c r="G71" s="12"/>
      <c r="H71" s="1654">
        <f t="shared" si="17"/>
        <v>1721041</v>
      </c>
      <c r="I71" s="12"/>
      <c r="J71" s="1655">
        <v>224.46602000000001</v>
      </c>
      <c r="M71" s="1657">
        <f t="shared" si="3"/>
        <v>0</v>
      </c>
      <c r="N71" s="1658">
        <v>44949</v>
      </c>
      <c r="O71" s="1658">
        <v>0</v>
      </c>
      <c r="P71" s="1658">
        <v>44949</v>
      </c>
      <c r="Q71" s="1658">
        <v>0</v>
      </c>
      <c r="R71" s="108"/>
      <c r="S71" s="1672"/>
      <c r="T71" s="1672">
        <v>16671</v>
      </c>
      <c r="U71" s="1672"/>
      <c r="V71" s="1672"/>
      <c r="W71" s="1672"/>
      <c r="X71" s="1672"/>
      <c r="Y71" s="1672">
        <v>0</v>
      </c>
      <c r="Z71" s="1673">
        <f t="shared" si="19"/>
        <v>1704370</v>
      </c>
    </row>
    <row r="72" spans="2:27" x14ac:dyDescent="0.3">
      <c r="B72" s="9" t="str">
        <f>'1.2 Budgeted Enrollment YR1'!E74</f>
        <v>Nevada State High School</v>
      </c>
      <c r="C72" s="834">
        <v>5359825</v>
      </c>
      <c r="D72" s="834">
        <v>338552</v>
      </c>
      <c r="E72" s="834">
        <v>0</v>
      </c>
      <c r="F72" s="834">
        <f t="shared" si="18"/>
        <v>5698377</v>
      </c>
      <c r="G72" s="12"/>
      <c r="H72" s="1654">
        <f t="shared" si="17"/>
        <v>5698377</v>
      </c>
      <c r="I72" s="12"/>
      <c r="J72" s="1655">
        <v>738.88392750000003</v>
      </c>
      <c r="M72" s="1657">
        <f t="shared" si="3"/>
        <v>0</v>
      </c>
      <c r="N72" s="1658">
        <v>24203</v>
      </c>
      <c r="O72" s="1658">
        <v>0</v>
      </c>
      <c r="P72" s="1658">
        <v>24203</v>
      </c>
      <c r="Q72" s="1658">
        <v>0</v>
      </c>
      <c r="R72" s="108"/>
      <c r="S72" s="1672"/>
      <c r="T72" s="1672">
        <v>5231</v>
      </c>
      <c r="U72" s="1672"/>
      <c r="V72" s="1672"/>
      <c r="W72" s="1672"/>
      <c r="X72" s="1672"/>
      <c r="Y72" s="1672">
        <v>0</v>
      </c>
      <c r="Z72" s="1673">
        <f t="shared" si="19"/>
        <v>5693146</v>
      </c>
    </row>
    <row r="73" spans="2:27" x14ac:dyDescent="0.3">
      <c r="B73" s="9" t="str">
        <f>'1.2 Budgeted Enrollment YR1'!E75</f>
        <v>Nevada State High School-Meadowwood</v>
      </c>
      <c r="C73" s="834">
        <v>410737</v>
      </c>
      <c r="D73" s="834">
        <v>843</v>
      </c>
      <c r="E73" s="834">
        <v>0</v>
      </c>
      <c r="F73" s="834">
        <f t="shared" si="18"/>
        <v>411580</v>
      </c>
      <c r="G73" s="12"/>
      <c r="H73" s="1654">
        <f t="shared" si="17"/>
        <v>411580</v>
      </c>
      <c r="I73" s="12"/>
      <c r="J73" s="1655">
        <v>53.673810000000003</v>
      </c>
      <c r="M73" s="1657">
        <f t="shared" si="3"/>
        <v>0</v>
      </c>
      <c r="N73" s="1658">
        <v>0</v>
      </c>
      <c r="O73" s="1658">
        <v>0</v>
      </c>
      <c r="P73" s="1658">
        <v>0</v>
      </c>
      <c r="Q73" s="1658">
        <v>0</v>
      </c>
      <c r="R73" s="108"/>
      <c r="S73" s="1672"/>
      <c r="T73" s="1672"/>
      <c r="U73" s="1672"/>
      <c r="V73" s="1672"/>
      <c r="W73" s="1672"/>
      <c r="X73" s="1672"/>
      <c r="Y73" s="1672">
        <v>0</v>
      </c>
      <c r="Z73" s="1673">
        <f t="shared" si="19"/>
        <v>411580</v>
      </c>
    </row>
    <row r="74" spans="2:27" x14ac:dyDescent="0.3">
      <c r="B74" s="9" t="str">
        <f>'1.2 Budgeted Enrollment YR1'!E76</f>
        <v>Nevada Virtual Academy</v>
      </c>
      <c r="C74" s="834">
        <v>11136051</v>
      </c>
      <c r="D74" s="834">
        <v>401494</v>
      </c>
      <c r="E74" s="834">
        <v>0</v>
      </c>
      <c r="F74" s="834">
        <f t="shared" si="18"/>
        <v>11537545</v>
      </c>
      <c r="G74" s="12"/>
      <c r="H74" s="1654">
        <f t="shared" si="17"/>
        <v>11537545</v>
      </c>
      <c r="I74" s="12"/>
      <c r="J74" s="1655">
        <v>1486.74559</v>
      </c>
      <c r="M74" s="1657">
        <f t="shared" si="3"/>
        <v>0</v>
      </c>
      <c r="N74" s="1658">
        <v>708804</v>
      </c>
      <c r="O74" s="1658">
        <v>0</v>
      </c>
      <c r="P74" s="1658">
        <v>708804</v>
      </c>
      <c r="Q74" s="1658">
        <v>0</v>
      </c>
      <c r="R74" s="108"/>
      <c r="S74" s="1672">
        <v>270000</v>
      </c>
      <c r="T74" s="1672"/>
      <c r="U74" s="1672"/>
      <c r="V74" s="1672"/>
      <c r="W74" s="1672"/>
      <c r="X74" s="1672"/>
      <c r="Y74" s="1672">
        <v>0</v>
      </c>
      <c r="Z74" s="1673">
        <f t="shared" si="19"/>
        <v>11267545</v>
      </c>
    </row>
    <row r="75" spans="2:27" x14ac:dyDescent="0.3">
      <c r="B75" s="9" t="str">
        <f>'1.2 Budgeted Enrollment YR1'!E77</f>
        <v>Oasis Academy</v>
      </c>
      <c r="C75" s="834">
        <v>5287735</v>
      </c>
      <c r="D75" s="834">
        <v>265349</v>
      </c>
      <c r="E75" s="834">
        <v>0</v>
      </c>
      <c r="F75" s="834">
        <f t="shared" si="18"/>
        <v>5553084</v>
      </c>
      <c r="G75" s="12"/>
      <c r="H75" s="1654">
        <f t="shared" si="17"/>
        <v>5553084</v>
      </c>
      <c r="I75" s="12"/>
      <c r="J75" s="1655">
        <v>638.00608999999997</v>
      </c>
      <c r="M75" s="1657">
        <f t="shared" ref="M75:M90" si="20">N75-O75-P75-Q75</f>
        <v>208794</v>
      </c>
      <c r="N75" s="1658">
        <v>416249</v>
      </c>
      <c r="O75" s="1658">
        <v>0</v>
      </c>
      <c r="P75" s="1658">
        <v>207455</v>
      </c>
      <c r="Q75" s="1658">
        <v>0</v>
      </c>
      <c r="R75" s="108"/>
      <c r="S75" s="1672"/>
      <c r="T75" s="1672"/>
      <c r="U75" s="1672"/>
      <c r="V75" s="1672"/>
      <c r="W75" s="1672"/>
      <c r="X75" s="1672"/>
      <c r="Y75" s="1672">
        <v>208794</v>
      </c>
      <c r="Z75" s="1673">
        <f t="shared" si="19"/>
        <v>5344290</v>
      </c>
    </row>
    <row r="76" spans="2:27" x14ac:dyDescent="0.3">
      <c r="B76" s="9" t="str">
        <f>'1.2 Budgeted Enrollment YR1'!E78</f>
        <v>Odyssey Charter Schools</v>
      </c>
      <c r="C76" s="834">
        <v>15919362</v>
      </c>
      <c r="D76" s="834">
        <v>34466</v>
      </c>
      <c r="E76" s="834">
        <v>0</v>
      </c>
      <c r="F76" s="834">
        <f t="shared" si="18"/>
        <v>15953828</v>
      </c>
      <c r="G76" s="12"/>
      <c r="H76" s="1654">
        <f t="shared" si="17"/>
        <v>15953828</v>
      </c>
      <c r="I76" s="12"/>
      <c r="J76" s="1655">
        <v>2198.2159775</v>
      </c>
      <c r="M76" s="1657">
        <f t="shared" si="20"/>
        <v>2183089</v>
      </c>
      <c r="N76" s="1658">
        <v>2183089</v>
      </c>
      <c r="O76" s="1658">
        <v>0</v>
      </c>
      <c r="P76" s="1658">
        <v>0</v>
      </c>
      <c r="Q76" s="1658">
        <v>0</v>
      </c>
      <c r="R76" s="108"/>
      <c r="S76" s="1672">
        <v>4800</v>
      </c>
      <c r="T76" s="1672"/>
      <c r="U76" s="1672"/>
      <c r="V76" s="1672"/>
      <c r="W76" s="1672"/>
      <c r="X76" s="1672"/>
      <c r="Y76" s="1672">
        <v>2183089</v>
      </c>
      <c r="Z76" s="1673">
        <f t="shared" si="19"/>
        <v>13765939</v>
      </c>
    </row>
    <row r="77" spans="2:27" x14ac:dyDescent="0.3">
      <c r="B77" s="9" t="str">
        <f>'1.2 Budgeted Enrollment YR1'!E79</f>
        <v>Pinecrest Academy of Northern Nevada</v>
      </c>
      <c r="C77" s="1674"/>
      <c r="D77" s="1674"/>
      <c r="E77" s="1674"/>
      <c r="F77" s="1674"/>
      <c r="G77" s="12"/>
      <c r="H77" s="1678"/>
      <c r="I77" s="12"/>
      <c r="J77" s="1675"/>
      <c r="M77" s="1679"/>
      <c r="N77" s="1677"/>
      <c r="O77" s="1677"/>
      <c r="P77" s="1677"/>
      <c r="Q77" s="1677"/>
      <c r="R77" s="108"/>
      <c r="S77" s="1676"/>
      <c r="T77" s="1676"/>
      <c r="U77" s="1676"/>
      <c r="V77" s="1676"/>
      <c r="W77" s="1676"/>
      <c r="X77" s="1676"/>
      <c r="Y77" s="1676"/>
      <c r="Z77" s="1680"/>
      <c r="AA77" s="9" t="s">
        <v>1229</v>
      </c>
    </row>
    <row r="78" spans="2:27" x14ac:dyDescent="0.3">
      <c r="B78" s="9" t="str">
        <f>'1.2 Budgeted Enrollment YR1'!E80</f>
        <v>Pinecrest Academy of Nevada</v>
      </c>
      <c r="C78" s="834">
        <v>43226716</v>
      </c>
      <c r="D78" s="834">
        <v>1069493</v>
      </c>
      <c r="E78" s="834">
        <v>0</v>
      </c>
      <c r="F78" s="834">
        <f t="shared" si="18"/>
        <v>44296209</v>
      </c>
      <c r="G78" s="12"/>
      <c r="H78" s="1654">
        <f t="shared" si="17"/>
        <v>44296209</v>
      </c>
      <c r="I78" s="12"/>
      <c r="J78" s="1655">
        <v>5968.9445674999997</v>
      </c>
      <c r="M78" s="1657">
        <f t="shared" si="20"/>
        <v>0</v>
      </c>
      <c r="N78" s="1658">
        <v>1472929</v>
      </c>
      <c r="O78" s="1658">
        <v>0</v>
      </c>
      <c r="P78" s="1658">
        <v>1472929</v>
      </c>
      <c r="Q78" s="1658">
        <v>0</v>
      </c>
      <c r="R78" s="108"/>
      <c r="S78" s="1672"/>
      <c r="T78" s="1672"/>
      <c r="U78" s="1672"/>
      <c r="V78" s="1672">
        <v>162993</v>
      </c>
      <c r="W78" s="1672"/>
      <c r="X78" s="1672"/>
      <c r="Y78" s="1672">
        <v>0</v>
      </c>
      <c r="Z78" s="1673">
        <f t="shared" si="19"/>
        <v>44133216</v>
      </c>
    </row>
    <row r="79" spans="2:27" x14ac:dyDescent="0.3">
      <c r="B79" s="9" t="str">
        <f>'1.2 Budgeted Enrollment YR1'!E80</f>
        <v>Pinecrest Academy of Nevada</v>
      </c>
      <c r="C79" s="1674"/>
      <c r="D79" s="1674"/>
      <c r="E79" s="1674"/>
      <c r="F79" s="1674"/>
      <c r="G79" s="12"/>
      <c r="H79" s="1678"/>
      <c r="I79" s="1681"/>
      <c r="J79" s="1675"/>
      <c r="M79" s="1679"/>
      <c r="N79" s="1677"/>
      <c r="O79" s="1677"/>
      <c r="P79" s="1677"/>
      <c r="Q79" s="1677"/>
      <c r="R79" s="1682"/>
      <c r="S79" s="1676"/>
      <c r="T79" s="1676"/>
      <c r="U79" s="1676"/>
      <c r="V79" s="1676"/>
      <c r="W79" s="1676"/>
      <c r="X79" s="1676"/>
      <c r="Y79" s="1676"/>
      <c r="Z79" s="1680"/>
      <c r="AA79" s="9" t="s">
        <v>1229</v>
      </c>
    </row>
    <row r="80" spans="2:27" x14ac:dyDescent="0.3">
      <c r="B80" s="9" t="str">
        <f>'1.2 Budgeted Enrollment YR1'!E81</f>
        <v>Pioneer Technical Arts Academy</v>
      </c>
      <c r="C80" s="1674"/>
      <c r="D80" s="1674"/>
      <c r="E80" s="1674"/>
      <c r="F80" s="1674"/>
      <c r="G80" s="12"/>
      <c r="H80" s="1678"/>
      <c r="I80" s="1681"/>
      <c r="J80" s="1675"/>
      <c r="M80" s="1679"/>
      <c r="N80" s="1677"/>
      <c r="O80" s="1677"/>
      <c r="P80" s="1677"/>
      <c r="Q80" s="1677"/>
      <c r="R80" s="1682"/>
      <c r="S80" s="1676"/>
      <c r="T80" s="1676"/>
      <c r="U80" s="1676"/>
      <c r="V80" s="1676"/>
      <c r="W80" s="1676"/>
      <c r="X80" s="1676"/>
      <c r="Y80" s="1676"/>
      <c r="Z80" s="1680"/>
      <c r="AA80" s="9" t="s">
        <v>1229</v>
      </c>
    </row>
    <row r="81" spans="2:27" x14ac:dyDescent="0.3">
      <c r="B81" s="9" t="str">
        <f>'1.2 Budgeted Enrollment YR1'!E82</f>
        <v>Quest Academy</v>
      </c>
      <c r="C81" s="834">
        <v>3468035</v>
      </c>
      <c r="D81" s="834">
        <v>258050</v>
      </c>
      <c r="E81" s="834">
        <v>0</v>
      </c>
      <c r="F81" s="834">
        <f t="shared" si="18"/>
        <v>3726085</v>
      </c>
      <c r="G81" s="12"/>
      <c r="H81" s="1654">
        <f t="shared" si="17"/>
        <v>3726085</v>
      </c>
      <c r="I81" s="12"/>
      <c r="J81" s="1655">
        <v>473.36828499999996</v>
      </c>
      <c r="M81" s="1657">
        <f t="shared" si="20"/>
        <v>46605</v>
      </c>
      <c r="N81" s="1658">
        <v>174535</v>
      </c>
      <c r="O81" s="1658">
        <v>0</v>
      </c>
      <c r="P81" s="1658">
        <v>127930</v>
      </c>
      <c r="Q81" s="1658">
        <v>0</v>
      </c>
      <c r="R81" s="108"/>
      <c r="S81" s="1672">
        <v>159600</v>
      </c>
      <c r="T81" s="1672"/>
      <c r="U81" s="1672"/>
      <c r="V81" s="1672"/>
      <c r="W81" s="1672"/>
      <c r="X81" s="1672"/>
      <c r="Y81" s="1672">
        <v>46604</v>
      </c>
      <c r="Z81" s="1673">
        <f t="shared" si="19"/>
        <v>3519881</v>
      </c>
    </row>
    <row r="82" spans="2:27" x14ac:dyDescent="0.3">
      <c r="B82" s="9" t="str">
        <f>'1.2 Budgeted Enrollment YR1'!E83</f>
        <v>Rainbow Dreams Academy</v>
      </c>
      <c r="C82" s="834">
        <v>2238633</v>
      </c>
      <c r="D82" s="834">
        <v>0</v>
      </c>
      <c r="E82" s="834">
        <v>0</v>
      </c>
      <c r="F82" s="834">
        <f t="shared" si="18"/>
        <v>2238633</v>
      </c>
      <c r="G82" s="12"/>
      <c r="H82" s="1654">
        <f t="shared" si="17"/>
        <v>2238633</v>
      </c>
      <c r="I82" s="12"/>
      <c r="J82" s="1655">
        <v>309.1138657125</v>
      </c>
      <c r="M82" s="1657">
        <f t="shared" si="20"/>
        <v>40986</v>
      </c>
      <c r="N82" s="1658">
        <v>40986</v>
      </c>
      <c r="O82" s="1658">
        <v>0</v>
      </c>
      <c r="P82" s="1658">
        <v>0</v>
      </c>
      <c r="Q82" s="1658">
        <v>0</v>
      </c>
      <c r="R82" s="108"/>
      <c r="S82" s="1672"/>
      <c r="T82" s="1672"/>
      <c r="U82" s="1672"/>
      <c r="V82" s="1672"/>
      <c r="W82" s="1672"/>
      <c r="X82" s="1672"/>
      <c r="Y82" s="1672">
        <v>40986</v>
      </c>
      <c r="Z82" s="1673">
        <f t="shared" si="19"/>
        <v>2197647</v>
      </c>
    </row>
    <row r="83" spans="2:27" x14ac:dyDescent="0.3">
      <c r="B83" s="9" t="str">
        <f>'1.2 Budgeted Enrollment YR1'!E84</f>
        <v>Rooted Charter School</v>
      </c>
      <c r="C83" s="1674"/>
      <c r="D83" s="1674"/>
      <c r="E83" s="1674"/>
      <c r="F83" s="1674"/>
      <c r="G83" s="12"/>
      <c r="H83" s="1678"/>
      <c r="I83" s="12"/>
      <c r="J83" s="1675"/>
      <c r="M83" s="1679"/>
      <c r="N83" s="1677"/>
      <c r="O83" s="1677"/>
      <c r="P83" s="1677"/>
      <c r="Q83" s="1677"/>
      <c r="R83" s="108"/>
      <c r="S83" s="1676"/>
      <c r="T83" s="1676"/>
      <c r="U83" s="1676"/>
      <c r="V83" s="1676"/>
      <c r="W83" s="1676"/>
      <c r="X83" s="1676"/>
      <c r="Y83" s="1676"/>
      <c r="Z83" s="1680"/>
      <c r="AA83" s="9" t="s">
        <v>1229</v>
      </c>
    </row>
    <row r="84" spans="2:27" x14ac:dyDescent="0.3">
      <c r="B84" s="9" t="str">
        <f>'1.2 Budgeted Enrollment YR1'!E85</f>
        <v>Sage Collegiate Academy</v>
      </c>
      <c r="C84" s="1674"/>
      <c r="D84" s="1674"/>
      <c r="E84" s="1674"/>
      <c r="F84" s="1674"/>
      <c r="G84" s="12"/>
      <c r="H84" s="1678"/>
      <c r="I84" s="12"/>
      <c r="J84" s="1675"/>
      <c r="M84" s="1679"/>
      <c r="N84" s="1677"/>
      <c r="O84" s="1677"/>
      <c r="P84" s="1677"/>
      <c r="Q84" s="1677"/>
      <c r="R84" s="108"/>
      <c r="S84" s="1676"/>
      <c r="T84" s="1676"/>
      <c r="U84" s="1676"/>
      <c r="V84" s="1676"/>
      <c r="W84" s="1676"/>
      <c r="X84" s="1676"/>
      <c r="Y84" s="1676"/>
      <c r="Z84" s="1680"/>
      <c r="AA84" s="9" t="s">
        <v>1229</v>
      </c>
    </row>
    <row r="85" spans="2:27" x14ac:dyDescent="0.3">
      <c r="B85" s="9" t="str">
        <f>'1.2 Budgeted Enrollment YR1'!E86</f>
        <v>Sierra Nevada Academy Charter</v>
      </c>
      <c r="C85" s="834">
        <v>3076925</v>
      </c>
      <c r="D85" s="834">
        <v>0</v>
      </c>
      <c r="E85" s="834">
        <v>0</v>
      </c>
      <c r="F85" s="834">
        <f t="shared" si="18"/>
        <v>3076925</v>
      </c>
      <c r="G85" s="12"/>
      <c r="H85" s="1654">
        <f t="shared" si="17"/>
        <v>3076925</v>
      </c>
      <c r="I85" s="12"/>
      <c r="J85" s="1655">
        <v>383.22259250000002</v>
      </c>
      <c r="M85" s="1657">
        <f t="shared" si="20"/>
        <v>200433</v>
      </c>
      <c r="N85" s="1658">
        <v>200433</v>
      </c>
      <c r="O85" s="1658">
        <v>0</v>
      </c>
      <c r="P85" s="1658">
        <v>0</v>
      </c>
      <c r="Q85" s="1658">
        <v>0</v>
      </c>
      <c r="R85" s="108"/>
      <c r="S85" s="1672"/>
      <c r="T85" s="1672"/>
      <c r="U85" s="1672"/>
      <c r="V85" s="1672"/>
      <c r="W85" s="1672"/>
      <c r="X85" s="1672"/>
      <c r="Y85" s="1672">
        <v>200433</v>
      </c>
      <c r="Z85" s="1673">
        <f t="shared" si="19"/>
        <v>2876492</v>
      </c>
    </row>
    <row r="86" spans="2:27" x14ac:dyDescent="0.3">
      <c r="B86" s="9" t="str">
        <f>'1.2 Budgeted Enrollment YR1'!E87</f>
        <v>Signature Preparatory</v>
      </c>
      <c r="C86" s="834">
        <v>4044915</v>
      </c>
      <c r="D86" s="834">
        <v>85522</v>
      </c>
      <c r="E86" s="834">
        <v>0</v>
      </c>
      <c r="F86" s="834">
        <f t="shared" si="18"/>
        <v>4130437</v>
      </c>
      <c r="G86" s="12"/>
      <c r="H86" s="1654">
        <f t="shared" si="17"/>
        <v>4130437</v>
      </c>
      <c r="I86" s="12"/>
      <c r="J86" s="1655">
        <v>558.54129249999994</v>
      </c>
      <c r="M86" s="1657">
        <f t="shared" si="20"/>
        <v>151938</v>
      </c>
      <c r="N86" s="1658">
        <v>151938</v>
      </c>
      <c r="O86" s="1658">
        <v>0</v>
      </c>
      <c r="P86" s="1658">
        <v>0</v>
      </c>
      <c r="Q86" s="1658">
        <v>0</v>
      </c>
      <c r="R86" s="108"/>
      <c r="S86" s="1672"/>
      <c r="T86" s="1672"/>
      <c r="U86" s="1672"/>
      <c r="V86" s="1672"/>
      <c r="W86" s="1672"/>
      <c r="X86" s="1672"/>
      <c r="Y86" s="1672">
        <v>151938</v>
      </c>
      <c r="Z86" s="1673">
        <f t="shared" si="19"/>
        <v>3978499</v>
      </c>
    </row>
    <row r="87" spans="2:27" x14ac:dyDescent="0.3">
      <c r="B87" s="9" t="str">
        <f>'1.2 Budgeted Enrollment YR1'!E88</f>
        <v>Silver Sands Montessori</v>
      </c>
      <c r="C87" s="834">
        <v>2137113</v>
      </c>
      <c r="D87" s="834">
        <v>91324</v>
      </c>
      <c r="E87" s="834">
        <v>0</v>
      </c>
      <c r="F87" s="834">
        <f t="shared" si="18"/>
        <v>2228437</v>
      </c>
      <c r="G87" s="12"/>
      <c r="H87" s="1654">
        <f t="shared" si="17"/>
        <v>2228437</v>
      </c>
      <c r="I87" s="12"/>
      <c r="J87" s="1655">
        <v>295.10142875000003</v>
      </c>
      <c r="M87" s="1657">
        <f t="shared" si="20"/>
        <v>0</v>
      </c>
      <c r="N87" s="1658">
        <v>79524</v>
      </c>
      <c r="O87" s="1658">
        <v>0</v>
      </c>
      <c r="P87" s="1658">
        <v>79524</v>
      </c>
      <c r="Q87" s="1658">
        <v>0</v>
      </c>
      <c r="R87" s="108"/>
      <c r="S87" s="1672">
        <v>9600</v>
      </c>
      <c r="T87" s="1672"/>
      <c r="U87" s="1672"/>
      <c r="V87" s="1672"/>
      <c r="W87" s="1672"/>
      <c r="X87" s="1672"/>
      <c r="Y87" s="1672">
        <v>0</v>
      </c>
      <c r="Z87" s="1673">
        <f t="shared" si="19"/>
        <v>2218837</v>
      </c>
    </row>
    <row r="88" spans="2:27" x14ac:dyDescent="0.3">
      <c r="B88" s="9" t="str">
        <f>'1.2 Budgeted Enrollment YR1'!E89</f>
        <v>Somerset Academy</v>
      </c>
      <c r="C88" s="834">
        <v>65714013</v>
      </c>
      <c r="D88" s="834">
        <v>1505939</v>
      </c>
      <c r="E88" s="834">
        <v>0</v>
      </c>
      <c r="F88" s="834">
        <f t="shared" si="18"/>
        <v>67219952</v>
      </c>
      <c r="G88" s="12"/>
      <c r="H88" s="1654">
        <f t="shared" si="17"/>
        <v>67219952</v>
      </c>
      <c r="I88" s="12"/>
      <c r="J88" s="1655">
        <v>9074.0997949999983</v>
      </c>
      <c r="M88" s="1657">
        <f t="shared" si="20"/>
        <v>0</v>
      </c>
      <c r="N88" s="1658">
        <v>3177515</v>
      </c>
      <c r="O88" s="1658">
        <v>0</v>
      </c>
      <c r="P88" s="1658">
        <v>3177515</v>
      </c>
      <c r="Q88" s="1658">
        <v>0</v>
      </c>
      <c r="R88" s="108"/>
      <c r="S88" s="1672">
        <v>498000</v>
      </c>
      <c r="T88" s="1672"/>
      <c r="U88" s="1672"/>
      <c r="V88" s="1672"/>
      <c r="W88" s="1672"/>
      <c r="X88" s="1672"/>
      <c r="Y88" s="1672">
        <v>0</v>
      </c>
      <c r="Z88" s="1673">
        <f t="shared" si="19"/>
        <v>66721952</v>
      </c>
    </row>
    <row r="89" spans="2:27" x14ac:dyDescent="0.3">
      <c r="B89" s="9" t="str">
        <f>'1.2 Budgeted Enrollment YR1'!E90</f>
        <v>Southern Nevada Trade High School</v>
      </c>
      <c r="C89" s="1674"/>
      <c r="D89" s="1674"/>
      <c r="E89" s="1674"/>
      <c r="F89" s="1674"/>
      <c r="G89" s="12"/>
      <c r="H89" s="1678"/>
      <c r="I89" s="12"/>
      <c r="J89" s="1675"/>
      <c r="M89" s="1679"/>
      <c r="N89" s="1677"/>
      <c r="O89" s="1677"/>
      <c r="P89" s="1677"/>
      <c r="Q89" s="1677"/>
      <c r="R89" s="108"/>
      <c r="S89" s="1676"/>
      <c r="T89" s="1676"/>
      <c r="U89" s="1676"/>
      <c r="V89" s="1676"/>
      <c r="W89" s="1676"/>
      <c r="X89" s="1676"/>
      <c r="Y89" s="1676"/>
      <c r="Z89" s="1680"/>
      <c r="AA89" s="9" t="s">
        <v>1229</v>
      </c>
    </row>
    <row r="90" spans="2:27" x14ac:dyDescent="0.3">
      <c r="B90" s="9" t="str">
        <f>'1.2 Budgeted Enrollment YR1'!E91</f>
        <v>Sports Leadership and Management Academy</v>
      </c>
      <c r="C90" s="834">
        <v>7446197</v>
      </c>
      <c r="D90" s="834">
        <v>385819</v>
      </c>
      <c r="E90" s="834">
        <v>0</v>
      </c>
      <c r="F90" s="834">
        <f t="shared" si="18"/>
        <v>7832016</v>
      </c>
      <c r="G90" s="12"/>
      <c r="H90" s="1654">
        <f t="shared" si="17"/>
        <v>7832016</v>
      </c>
      <c r="I90" s="12"/>
      <c r="J90" s="1655">
        <v>1027.8300375000001</v>
      </c>
      <c r="M90" s="1657">
        <f t="shared" si="20"/>
        <v>0</v>
      </c>
      <c r="N90" s="1658">
        <v>304267</v>
      </c>
      <c r="O90" s="1658">
        <v>0</v>
      </c>
      <c r="P90" s="1658">
        <v>304267</v>
      </c>
      <c r="Q90" s="1658">
        <v>0</v>
      </c>
      <c r="R90" s="108"/>
      <c r="S90" s="1672">
        <v>121200</v>
      </c>
      <c r="T90" s="1672">
        <v>137330</v>
      </c>
      <c r="U90" s="1672"/>
      <c r="V90" s="1672"/>
      <c r="W90" s="1672"/>
      <c r="X90" s="1672"/>
      <c r="Y90" s="1672">
        <v>0</v>
      </c>
      <c r="Z90" s="1673">
        <f t="shared" si="19"/>
        <v>7573486</v>
      </c>
    </row>
    <row r="91" spans="2:27" s="71" customFormat="1" x14ac:dyDescent="0.3">
      <c r="B91" s="71" t="str">
        <f>'1.2 Budgeted Enrollment YR1'!E92</f>
        <v>Strong Start Academy</v>
      </c>
      <c r="C91" s="1683"/>
      <c r="D91" s="1683"/>
      <c r="E91" s="1683"/>
      <c r="F91" s="1683"/>
      <c r="G91" s="1684"/>
      <c r="H91" s="1685"/>
      <c r="I91" s="414"/>
      <c r="J91" s="1675"/>
      <c r="K91" s="414"/>
      <c r="L91" s="414"/>
      <c r="M91" s="1686"/>
      <c r="N91" s="1677"/>
      <c r="O91" s="1677"/>
      <c r="P91" s="1677"/>
      <c r="Q91" s="1677"/>
      <c r="R91" s="414"/>
      <c r="S91" s="1677"/>
      <c r="T91" s="1677"/>
      <c r="U91" s="1677"/>
      <c r="V91" s="1677"/>
      <c r="W91" s="1677"/>
      <c r="X91" s="1677"/>
      <c r="Y91" s="1677"/>
      <c r="Z91" s="1687"/>
      <c r="AA91" s="71" t="s">
        <v>1229</v>
      </c>
    </row>
    <row r="92" spans="2:27" s="71" customFormat="1" x14ac:dyDescent="0.3">
      <c r="B92" s="71" t="str">
        <f>'1.2 Budgeted Enrollment YR1'!E93</f>
        <v>ThrivePoint</v>
      </c>
      <c r="C92" s="1683"/>
      <c r="D92" s="1683"/>
      <c r="E92" s="1683"/>
      <c r="F92" s="1683"/>
      <c r="G92" s="1684"/>
      <c r="H92" s="1685"/>
      <c r="I92" s="414"/>
      <c r="J92" s="1675"/>
      <c r="K92" s="414"/>
      <c r="L92" s="414"/>
      <c r="M92" s="1686"/>
      <c r="N92" s="1677"/>
      <c r="O92" s="1677"/>
      <c r="P92" s="1677"/>
      <c r="Q92" s="1677"/>
      <c r="R92" s="414"/>
      <c r="S92" s="1677"/>
      <c r="T92" s="1677"/>
      <c r="U92" s="1677"/>
      <c r="V92" s="1677"/>
      <c r="W92" s="1677"/>
      <c r="X92" s="1677"/>
      <c r="Y92" s="1677"/>
      <c r="Z92" s="1687"/>
      <c r="AA92" s="71" t="s">
        <v>1229</v>
      </c>
    </row>
    <row r="93" spans="2:27" s="71" customFormat="1" x14ac:dyDescent="0.3">
      <c r="B93" s="71" t="str">
        <f>'1.2 Budgeted Enrollment YR1'!E94</f>
        <v>Vegas Vista Academy</v>
      </c>
      <c r="C93" s="1683"/>
      <c r="D93" s="1683"/>
      <c r="E93" s="1683"/>
      <c r="F93" s="1683"/>
      <c r="G93" s="1684"/>
      <c r="H93" s="1685"/>
      <c r="I93" s="414"/>
      <c r="J93" s="1675"/>
      <c r="K93" s="414"/>
      <c r="L93" s="414"/>
      <c r="M93" s="1686"/>
      <c r="N93" s="1677"/>
      <c r="O93" s="1677"/>
      <c r="P93" s="1677"/>
      <c r="Q93" s="1677"/>
      <c r="R93" s="414"/>
      <c r="S93" s="1677"/>
      <c r="T93" s="1677"/>
      <c r="U93" s="1677"/>
      <c r="V93" s="1677"/>
      <c r="W93" s="1677"/>
      <c r="X93" s="1677"/>
      <c r="Y93" s="1677"/>
      <c r="Z93" s="1687"/>
      <c r="AA93" s="71" t="s">
        <v>1229</v>
      </c>
    </row>
    <row r="94" spans="2:27" s="71" customFormat="1" x14ac:dyDescent="0.3">
      <c r="B94" s="71" t="str">
        <f>'1.2 Budgeted Enrollment YR1'!E95</f>
        <v>Young Women's Leadership Academy</v>
      </c>
      <c r="C94" s="1683"/>
      <c r="D94" s="1683"/>
      <c r="E94" s="1683"/>
      <c r="F94" s="1683"/>
      <c r="G94" s="1684"/>
      <c r="H94" s="1685"/>
      <c r="I94" s="414"/>
      <c r="J94" s="1675"/>
      <c r="K94" s="414"/>
      <c r="L94" s="414"/>
      <c r="M94" s="1686"/>
      <c r="N94" s="1677"/>
      <c r="O94" s="1677"/>
      <c r="P94" s="1677"/>
      <c r="Q94" s="1677"/>
      <c r="R94" s="414"/>
      <c r="S94" s="1677"/>
      <c r="T94" s="1677"/>
      <c r="U94" s="1677"/>
      <c r="V94" s="1677"/>
      <c r="W94" s="1677"/>
      <c r="X94" s="1677"/>
      <c r="Y94" s="1677"/>
      <c r="Z94" s="1687"/>
      <c r="AA94" s="71" t="s">
        <v>1229</v>
      </c>
    </row>
    <row r="95" spans="2:27" x14ac:dyDescent="0.3">
      <c r="B95" s="9" t="str">
        <f>'1.2 Budgeted Enrollment YR1'!E96</f>
        <v>Total Charter Schools</v>
      </c>
      <c r="C95" s="379">
        <f>SUM(C32:C94)</f>
        <v>419484401</v>
      </c>
      <c r="D95" s="379">
        <f>SUM(D32:D94)</f>
        <v>14322123</v>
      </c>
      <c r="E95" s="379">
        <f>SUM(E32:E94)</f>
        <v>0</v>
      </c>
      <c r="F95" s="379">
        <f>SUM(F32:F94)</f>
        <v>433806524</v>
      </c>
      <c r="G95" s="12"/>
      <c r="H95" s="379">
        <f>F95</f>
        <v>433806524</v>
      </c>
      <c r="I95" s="12"/>
      <c r="J95" s="431">
        <f>SUM(J32:J94)</f>
        <v>57012.474131748568</v>
      </c>
      <c r="M95" s="1668">
        <f>SUM(M32:M94)</f>
        <v>6459885</v>
      </c>
      <c r="N95" s="1668">
        <f>SUM(N32:N94)</f>
        <v>19726473</v>
      </c>
      <c r="O95" s="1668">
        <f>SUM(O32:O94)</f>
        <v>0</v>
      </c>
      <c r="P95" s="1668">
        <f>SUM(P32:P94)</f>
        <v>13241554</v>
      </c>
      <c r="Q95" s="1668">
        <f>SUM(Q32:Q94)</f>
        <v>25034</v>
      </c>
      <c r="R95" s="108"/>
      <c r="S95" s="839">
        <f>SUM(S32:S94)</f>
        <v>3217200</v>
      </c>
      <c r="T95" s="839">
        <f>SUM(T32:T94)</f>
        <v>2076274</v>
      </c>
      <c r="U95" s="839">
        <f>SUM(U32:U94)</f>
        <v>627558</v>
      </c>
      <c r="V95" s="839">
        <f>SUM(V32:V94)</f>
        <v>471058</v>
      </c>
      <c r="W95" s="839">
        <v>0</v>
      </c>
      <c r="X95" s="839">
        <v>0</v>
      </c>
      <c r="Y95" s="839">
        <f>SUM(Y32:Y94)</f>
        <v>6459883</v>
      </c>
      <c r="Z95" s="839">
        <f>SUM(Z32:Z94)</f>
        <v>420954551</v>
      </c>
    </row>
    <row r="96" spans="2:27" ht="15.75" customHeight="1" x14ac:dyDescent="0.3">
      <c r="C96" s="12"/>
      <c r="D96" s="12"/>
      <c r="E96" s="12"/>
      <c r="F96" s="12"/>
      <c r="G96" s="12"/>
      <c r="H96" s="12"/>
      <c r="J96" s="71"/>
      <c r="M96" s="57"/>
      <c r="R96" s="74"/>
      <c r="S96" s="57"/>
      <c r="T96" s="57"/>
      <c r="U96" s="57"/>
      <c r="V96" s="57"/>
      <c r="W96" s="57"/>
      <c r="X96" s="57"/>
      <c r="Y96" s="57"/>
      <c r="Z96" s="57"/>
    </row>
    <row r="97" spans="1:27" ht="16.5" customHeight="1" x14ac:dyDescent="0.3">
      <c r="A97" s="4" t="str">
        <f>B26</f>
        <v>University Schools</v>
      </c>
      <c r="B97" s="4"/>
      <c r="C97" s="1670"/>
      <c r="D97" s="1670"/>
      <c r="E97" s="1670"/>
      <c r="F97" s="1670"/>
      <c r="G97" s="1670"/>
      <c r="H97" s="1670"/>
      <c r="I97" s="1670"/>
      <c r="J97" s="1670"/>
      <c r="K97" s="1670"/>
      <c r="L97" s="1670"/>
      <c r="M97" s="1671"/>
      <c r="N97" s="1671"/>
      <c r="O97" s="1671"/>
      <c r="P97" s="1671"/>
      <c r="Q97" s="1671"/>
      <c r="R97" s="74"/>
      <c r="S97" s="1671"/>
      <c r="T97" s="1671"/>
      <c r="U97" s="1671"/>
      <c r="V97" s="1671"/>
      <c r="W97" s="1671"/>
      <c r="X97" s="1671"/>
      <c r="Y97" s="1671"/>
      <c r="Z97" s="1671"/>
      <c r="AA97" s="1670"/>
    </row>
    <row r="98" spans="1:27" x14ac:dyDescent="0.3">
      <c r="B98" s="9" t="str">
        <f>'1.2 Budgeted Enrollment YR1'!E100</f>
        <v>Davidson Academy</v>
      </c>
      <c r="C98" s="834">
        <v>1160008</v>
      </c>
      <c r="D98" s="834">
        <v>1398</v>
      </c>
      <c r="E98" s="834">
        <v>0</v>
      </c>
      <c r="F98" s="834">
        <f>SUM(C98:E98)</f>
        <v>1161406</v>
      </c>
      <c r="G98" s="12"/>
      <c r="H98" s="1654">
        <f>F98</f>
        <v>1161406</v>
      </c>
      <c r="I98" s="12"/>
      <c r="J98" s="1655">
        <v>143.645726495611</v>
      </c>
      <c r="M98" s="1657">
        <f>N98-O98-P98-Q98</f>
        <v>0</v>
      </c>
      <c r="N98" s="1658">
        <v>0</v>
      </c>
      <c r="O98" s="1658">
        <v>0</v>
      </c>
      <c r="P98" s="1658">
        <v>0</v>
      </c>
      <c r="Q98" s="1658">
        <v>0</v>
      </c>
      <c r="R98" s="74"/>
      <c r="S98" s="1672">
        <v>0</v>
      </c>
      <c r="T98" s="1672">
        <v>0</v>
      </c>
      <c r="U98" s="1672">
        <v>0</v>
      </c>
      <c r="V98" s="1672">
        <v>0</v>
      </c>
      <c r="W98" s="1672">
        <v>0</v>
      </c>
      <c r="X98" s="1672">
        <v>0</v>
      </c>
      <c r="Y98" s="1672">
        <v>0</v>
      </c>
      <c r="Z98" s="1673">
        <f>H98-SUM(S98:Y98)</f>
        <v>1161406</v>
      </c>
    </row>
    <row r="99" spans="1:27" x14ac:dyDescent="0.3">
      <c r="B99" s="9" t="str">
        <f>'1.2 Budgeted Enrollment YR1'!E101</f>
        <v>TBD</v>
      </c>
      <c r="C99" s="834"/>
      <c r="D99" s="834"/>
      <c r="E99" s="834"/>
      <c r="F99" s="834"/>
      <c r="G99" s="12"/>
      <c r="H99" s="1654"/>
      <c r="I99" s="12"/>
      <c r="J99" s="1655">
        <v>0</v>
      </c>
      <c r="M99" s="1657">
        <f>N99-O99-P99-Q99</f>
        <v>0</v>
      </c>
      <c r="N99" s="1658">
        <v>0</v>
      </c>
      <c r="O99" s="1658">
        <v>0</v>
      </c>
      <c r="P99" s="1658">
        <v>0</v>
      </c>
      <c r="Q99" s="1658">
        <v>0</v>
      </c>
      <c r="R99" s="74"/>
      <c r="S99" s="1672">
        <v>0</v>
      </c>
      <c r="T99" s="1672">
        <v>0</v>
      </c>
      <c r="U99" s="1672">
        <v>0</v>
      </c>
      <c r="V99" s="1672">
        <v>0</v>
      </c>
      <c r="W99" s="1672">
        <v>0</v>
      </c>
      <c r="X99" s="1672">
        <v>0</v>
      </c>
      <c r="Y99" s="1672">
        <v>0</v>
      </c>
      <c r="Z99" s="1673">
        <f>H99-SUM(S99:Y99)</f>
        <v>0</v>
      </c>
    </row>
    <row r="100" spans="1:27" x14ac:dyDescent="0.3">
      <c r="C100" s="379">
        <f>SUM(C98:C99)</f>
        <v>1160008</v>
      </c>
      <c r="D100" s="379">
        <f>SUM(D98:D99)</f>
        <v>1398</v>
      </c>
      <c r="E100" s="379">
        <f>SUM(E98:E99)</f>
        <v>0</v>
      </c>
      <c r="F100" s="379">
        <f>SUM(F98:F99)</f>
        <v>1161406</v>
      </c>
      <c r="G100" s="12"/>
      <c r="H100" s="379">
        <f>F100</f>
        <v>1161406</v>
      </c>
      <c r="I100" s="12"/>
      <c r="J100" s="431">
        <f>SUM(J98:J99)</f>
        <v>143.645726495611</v>
      </c>
      <c r="M100" s="1668">
        <f>SUM(M98:M99)</f>
        <v>0</v>
      </c>
      <c r="N100" s="1668">
        <f>SUM(N98:N99)</f>
        <v>0</v>
      </c>
      <c r="O100" s="1668">
        <f>SUM(O98:O99)</f>
        <v>0</v>
      </c>
      <c r="P100" s="1668">
        <f>SUM(P98:P99)</f>
        <v>0</v>
      </c>
      <c r="Q100" s="1668">
        <f>SUM(Q98:Q99)</f>
        <v>0</v>
      </c>
      <c r="R100" s="74"/>
      <c r="S100" s="839">
        <f>SUM(S98:S99)</f>
        <v>0</v>
      </c>
      <c r="T100" s="839">
        <f t="shared" ref="T100:Y100" si="21">SUM(T98:T99)</f>
        <v>0</v>
      </c>
      <c r="U100" s="839">
        <f t="shared" si="21"/>
        <v>0</v>
      </c>
      <c r="V100" s="839">
        <f t="shared" si="21"/>
        <v>0</v>
      </c>
      <c r="W100" s="839">
        <f t="shared" si="21"/>
        <v>0</v>
      </c>
      <c r="X100" s="839">
        <f t="shared" si="21"/>
        <v>0</v>
      </c>
      <c r="Y100" s="839">
        <f t="shared" si="21"/>
        <v>0</v>
      </c>
      <c r="Z100" s="839">
        <f>SUM(Z98:Z99)</f>
        <v>1161406</v>
      </c>
      <c r="AA100" s="1688"/>
    </row>
    <row r="101" spans="1:27" ht="15.75" customHeight="1" x14ac:dyDescent="0.3">
      <c r="C101" s="12"/>
      <c r="D101" s="12"/>
      <c r="E101" s="12"/>
      <c r="F101" s="12"/>
      <c r="G101" s="12"/>
      <c r="H101" s="1559"/>
      <c r="J101" s="1689"/>
      <c r="M101" s="57"/>
      <c r="N101" s="1690"/>
      <c r="O101" s="1690"/>
      <c r="P101" s="1690"/>
      <c r="Q101" s="1690"/>
      <c r="R101" s="74"/>
      <c r="S101" s="57"/>
      <c r="T101" s="57"/>
      <c r="U101" s="57"/>
      <c r="V101" s="57"/>
      <c r="W101" s="57"/>
      <c r="X101" s="57"/>
      <c r="Y101" s="57"/>
      <c r="Z101" s="1691"/>
    </row>
    <row r="102" spans="1:27" ht="16.5" customHeight="1" x14ac:dyDescent="0.3">
      <c r="A102" s="4" t="str">
        <f>B27</f>
        <v>City of Henderson</v>
      </c>
      <c r="B102" s="4"/>
      <c r="C102" s="1670"/>
      <c r="D102" s="1670"/>
      <c r="E102" s="1670"/>
      <c r="F102" s="1670"/>
      <c r="G102" s="1670"/>
      <c r="H102" s="1670"/>
      <c r="I102" s="1670"/>
      <c r="J102" s="1670"/>
      <c r="K102" s="1670"/>
      <c r="L102" s="1670"/>
      <c r="M102" s="1671"/>
      <c r="N102" s="1671"/>
      <c r="O102" s="1671"/>
      <c r="P102" s="1671"/>
      <c r="Q102" s="1671"/>
      <c r="R102" s="74"/>
      <c r="S102" s="1671"/>
      <c r="T102" s="1671"/>
      <c r="U102" s="1671"/>
      <c r="V102" s="1671"/>
      <c r="W102" s="1671"/>
      <c r="X102" s="1671"/>
      <c r="Y102" s="1671"/>
      <c r="Z102" s="1671"/>
      <c r="AA102" s="1670"/>
    </row>
    <row r="103" spans="1:27" ht="17.25" thickBot="1" x14ac:dyDescent="0.35">
      <c r="B103" s="455" t="str">
        <f>'1.2 Budgeted Enrollment YR1'!E107</f>
        <v>TBD</v>
      </c>
      <c r="C103" s="1674"/>
      <c r="D103" s="1674"/>
      <c r="E103" s="1674"/>
      <c r="F103" s="1674">
        <f>SUM(C103:E103)</f>
        <v>0</v>
      </c>
      <c r="G103" s="12"/>
      <c r="H103" s="1692">
        <f>F103</f>
        <v>0</v>
      </c>
      <c r="I103" s="12"/>
      <c r="J103" s="1675">
        <v>0</v>
      </c>
      <c r="M103" s="1679">
        <f>N103-O103-P103-Q103</f>
        <v>0</v>
      </c>
      <c r="N103" s="1677">
        <v>0</v>
      </c>
      <c r="O103" s="1677">
        <v>0</v>
      </c>
      <c r="P103" s="1677">
        <v>0</v>
      </c>
      <c r="Q103" s="1677">
        <v>0</v>
      </c>
      <c r="R103" s="74"/>
      <c r="S103" s="1676">
        <v>0</v>
      </c>
      <c r="T103" s="1676">
        <v>0</v>
      </c>
      <c r="U103" s="1676">
        <v>0</v>
      </c>
      <c r="V103" s="1676">
        <v>0</v>
      </c>
      <c r="W103" s="1676">
        <v>0</v>
      </c>
      <c r="X103" s="1676">
        <v>0</v>
      </c>
      <c r="Y103" s="1676">
        <v>0</v>
      </c>
      <c r="Z103" s="1680">
        <f>H103-SUM(S103:Y103)</f>
        <v>0</v>
      </c>
      <c r="AA103" s="9" t="s">
        <v>1229</v>
      </c>
    </row>
    <row r="104" spans="1:27" ht="17.25" thickTop="1" x14ac:dyDescent="0.3">
      <c r="B104" s="142" t="str">
        <f>'1.2 Budgeted Enrollment YR1'!E108</f>
        <v>TBD</v>
      </c>
      <c r="C104" s="1674"/>
      <c r="D104" s="1674"/>
      <c r="E104" s="1674"/>
      <c r="F104" s="1674"/>
      <c r="G104" s="12"/>
      <c r="H104" s="1693"/>
      <c r="I104" s="12"/>
      <c r="J104" s="1675">
        <v>0</v>
      </c>
      <c r="M104" s="1679">
        <f>N104-O104-P104-Q104</f>
        <v>0</v>
      </c>
      <c r="N104" s="1677">
        <v>0</v>
      </c>
      <c r="O104" s="1677">
        <v>0</v>
      </c>
      <c r="P104" s="1677">
        <v>0</v>
      </c>
      <c r="Q104" s="1677">
        <v>0</v>
      </c>
      <c r="R104" s="74"/>
      <c r="S104" s="1676">
        <v>0</v>
      </c>
      <c r="T104" s="1676">
        <v>0</v>
      </c>
      <c r="U104" s="1676">
        <v>0</v>
      </c>
      <c r="V104" s="1676">
        <v>0</v>
      </c>
      <c r="W104" s="1676">
        <v>0</v>
      </c>
      <c r="X104" s="1676">
        <v>0</v>
      </c>
      <c r="Y104" s="1676">
        <v>0</v>
      </c>
      <c r="Z104" s="1680">
        <f>H104-SUM(S104:Y104)</f>
        <v>0</v>
      </c>
      <c r="AA104" s="9" t="s">
        <v>1229</v>
      </c>
    </row>
    <row r="105" spans="1:27" x14ac:dyDescent="0.3">
      <c r="C105" s="379">
        <f>SUM(C103:C104)</f>
        <v>0</v>
      </c>
      <c r="D105" s="379">
        <f>SUM(D103:D104)</f>
        <v>0</v>
      </c>
      <c r="E105" s="379">
        <f>SUM(E103:E104)</f>
        <v>0</v>
      </c>
      <c r="F105" s="379">
        <f>SUM(F103:F104)</f>
        <v>0</v>
      </c>
      <c r="G105" s="12"/>
      <c r="H105" s="388">
        <f>F105</f>
        <v>0</v>
      </c>
      <c r="I105" s="12"/>
      <c r="J105" s="431">
        <f>SUM(J103:J104)</f>
        <v>0</v>
      </c>
      <c r="M105" s="1668">
        <f>SUM(M103:M104)</f>
        <v>0</v>
      </c>
      <c r="N105" s="1668">
        <f>SUM(N103:N104)</f>
        <v>0</v>
      </c>
      <c r="O105" s="1668">
        <f>SUM(O103:O104)</f>
        <v>0</v>
      </c>
      <c r="P105" s="1668">
        <f>SUM(P103:P104)</f>
        <v>0</v>
      </c>
      <c r="Q105" s="1668">
        <f>SUM(Q103:Q104)</f>
        <v>0</v>
      </c>
      <c r="R105" s="74"/>
      <c r="S105" s="839">
        <f>SUM(S103:S104)</f>
        <v>0</v>
      </c>
      <c r="T105" s="839">
        <f t="shared" ref="T105:Y105" si="22">SUM(T103:T104)</f>
        <v>0</v>
      </c>
      <c r="U105" s="839">
        <f t="shared" si="22"/>
        <v>0</v>
      </c>
      <c r="V105" s="839">
        <f t="shared" si="22"/>
        <v>0</v>
      </c>
      <c r="W105" s="839">
        <f t="shared" si="22"/>
        <v>0</v>
      </c>
      <c r="X105" s="839">
        <f t="shared" si="22"/>
        <v>0</v>
      </c>
      <c r="Y105" s="839">
        <f t="shared" si="22"/>
        <v>0</v>
      </c>
      <c r="Z105" s="839">
        <f>SUM(Z103:Z104)</f>
        <v>0</v>
      </c>
      <c r="AA105" s="1688"/>
    </row>
    <row r="106" spans="1:27" ht="15.75" customHeight="1" x14ac:dyDescent="0.3">
      <c r="C106" s="12"/>
      <c r="D106" s="12"/>
      <c r="E106" s="12"/>
      <c r="F106" s="12"/>
      <c r="G106" s="12"/>
      <c r="H106" s="1559"/>
      <c r="J106" s="1689"/>
      <c r="M106" s="57"/>
      <c r="N106" s="1690"/>
      <c r="O106" s="1690"/>
      <c r="P106" s="1690"/>
      <c r="Q106" s="1690"/>
      <c r="R106" s="74"/>
      <c r="S106" s="57"/>
      <c r="T106" s="57"/>
      <c r="U106" s="57"/>
      <c r="V106" s="57"/>
      <c r="W106" s="57"/>
      <c r="X106" s="57"/>
      <c r="Y106" s="57"/>
      <c r="Z106" s="1691"/>
    </row>
    <row r="107" spans="1:27" ht="16.5" customHeight="1" x14ac:dyDescent="0.3">
      <c r="A107" s="4" t="str">
        <f>B28</f>
        <v>City of North Las Vegas</v>
      </c>
      <c r="B107" s="4"/>
      <c r="C107" s="1670"/>
      <c r="D107" s="1670"/>
      <c r="E107" s="1670"/>
      <c r="F107" s="1670"/>
      <c r="G107" s="1670"/>
      <c r="H107" s="1670"/>
      <c r="I107" s="1670"/>
      <c r="J107" s="1670"/>
      <c r="K107" s="1670"/>
      <c r="L107" s="1670"/>
      <c r="M107" s="1671"/>
      <c r="N107" s="1671"/>
      <c r="O107" s="1671"/>
      <c r="P107" s="1671"/>
      <c r="Q107" s="1671"/>
      <c r="R107" s="74"/>
      <c r="S107" s="1671"/>
      <c r="T107" s="1671"/>
      <c r="U107" s="1671"/>
      <c r="V107" s="1671"/>
      <c r="W107" s="1671"/>
      <c r="X107" s="1671"/>
      <c r="Y107" s="1671"/>
      <c r="Z107" s="1671"/>
      <c r="AA107" s="1670"/>
    </row>
    <row r="108" spans="1:27" x14ac:dyDescent="0.3">
      <c r="B108" s="9" t="str">
        <f>'1.2 Budgeted Enrollment YR1'!E113</f>
        <v>TBD</v>
      </c>
      <c r="C108" s="1674"/>
      <c r="D108" s="1674"/>
      <c r="E108" s="1674"/>
      <c r="F108" s="1674">
        <f>SUM(C108:E108)</f>
        <v>0</v>
      </c>
      <c r="G108" s="12"/>
      <c r="H108" s="1678">
        <f>F108</f>
        <v>0</v>
      </c>
      <c r="I108" s="12"/>
      <c r="J108" s="1675">
        <v>0</v>
      </c>
      <c r="M108" s="1679">
        <f>N108-O108-P108-Q108</f>
        <v>0</v>
      </c>
      <c r="N108" s="1677">
        <v>0</v>
      </c>
      <c r="O108" s="1677">
        <v>0</v>
      </c>
      <c r="P108" s="1677">
        <v>0</v>
      </c>
      <c r="Q108" s="1677">
        <v>0</v>
      </c>
      <c r="R108" s="74"/>
      <c r="S108" s="1676">
        <v>0</v>
      </c>
      <c r="T108" s="1676">
        <v>0</v>
      </c>
      <c r="U108" s="1676">
        <v>0</v>
      </c>
      <c r="V108" s="1676">
        <v>0</v>
      </c>
      <c r="W108" s="1676">
        <v>0</v>
      </c>
      <c r="X108" s="1676">
        <v>0</v>
      </c>
      <c r="Y108" s="1676">
        <v>0</v>
      </c>
      <c r="Z108" s="1680">
        <f>H108-SUM(S108:Y108)</f>
        <v>0</v>
      </c>
      <c r="AA108" s="9" t="s">
        <v>1229</v>
      </c>
    </row>
    <row r="109" spans="1:27" x14ac:dyDescent="0.3">
      <c r="B109" s="9" t="str">
        <f>'1.2 Budgeted Enrollment YR1'!E114</f>
        <v>TBD</v>
      </c>
      <c r="C109" s="1674"/>
      <c r="D109" s="1674"/>
      <c r="E109" s="1674"/>
      <c r="F109" s="1674"/>
      <c r="G109" s="12"/>
      <c r="H109" s="1678"/>
      <c r="I109" s="12"/>
      <c r="J109" s="1675">
        <v>0</v>
      </c>
      <c r="M109" s="1679">
        <f>N109-O109-P109-Q109</f>
        <v>0</v>
      </c>
      <c r="N109" s="1677">
        <v>0</v>
      </c>
      <c r="O109" s="1677">
        <v>0</v>
      </c>
      <c r="P109" s="1677">
        <v>0</v>
      </c>
      <c r="Q109" s="1677">
        <v>0</v>
      </c>
      <c r="R109" s="74"/>
      <c r="S109" s="1676">
        <v>0</v>
      </c>
      <c r="T109" s="1676">
        <v>0</v>
      </c>
      <c r="U109" s="1676">
        <v>0</v>
      </c>
      <c r="V109" s="1676">
        <v>0</v>
      </c>
      <c r="W109" s="1676">
        <v>0</v>
      </c>
      <c r="X109" s="1676">
        <v>0</v>
      </c>
      <c r="Y109" s="1676">
        <v>0</v>
      </c>
      <c r="Z109" s="1680">
        <f>H109-SUM(S109:Y109)</f>
        <v>0</v>
      </c>
      <c r="AA109" s="9" t="s">
        <v>1229</v>
      </c>
    </row>
    <row r="110" spans="1:27" x14ac:dyDescent="0.3">
      <c r="C110" s="379">
        <f>SUM(C108:C109)</f>
        <v>0</v>
      </c>
      <c r="D110" s="379">
        <f>SUM(D108:D109)</f>
        <v>0</v>
      </c>
      <c r="E110" s="379">
        <f>SUM(E108:E109)</f>
        <v>0</v>
      </c>
      <c r="F110" s="379">
        <f>SUM(F108:F109)</f>
        <v>0</v>
      </c>
      <c r="G110" s="12"/>
      <c r="H110" s="379">
        <f>F110</f>
        <v>0</v>
      </c>
      <c r="I110" s="12"/>
      <c r="J110" s="431">
        <f>SUM(J108:J109)</f>
        <v>0</v>
      </c>
      <c r="M110" s="1668">
        <f>SUM(M108:M109)</f>
        <v>0</v>
      </c>
      <c r="N110" s="1668">
        <f>SUM(N108:N109)</f>
        <v>0</v>
      </c>
      <c r="O110" s="1668">
        <f>SUM(O108:O109)</f>
        <v>0</v>
      </c>
      <c r="P110" s="1668">
        <f>SUM(P108:P109)</f>
        <v>0</v>
      </c>
      <c r="Q110" s="1668">
        <f>SUM(Q108:Q109)</f>
        <v>0</v>
      </c>
      <c r="R110" s="74"/>
      <c r="S110" s="839">
        <f>SUM(S108:S109)</f>
        <v>0</v>
      </c>
      <c r="T110" s="839">
        <f t="shared" ref="T110:Y110" si="23">SUM(T108:T109)</f>
        <v>0</v>
      </c>
      <c r="U110" s="839">
        <f t="shared" si="23"/>
        <v>0</v>
      </c>
      <c r="V110" s="839">
        <f t="shared" si="23"/>
        <v>0</v>
      </c>
      <c r="W110" s="839">
        <f t="shared" si="23"/>
        <v>0</v>
      </c>
      <c r="X110" s="839">
        <f t="shared" si="23"/>
        <v>0</v>
      </c>
      <c r="Y110" s="839">
        <f t="shared" si="23"/>
        <v>0</v>
      </c>
      <c r="Z110" s="839">
        <f>SUM(Z108:Z109)</f>
        <v>0</v>
      </c>
      <c r="AA110" s="1688"/>
    </row>
    <row r="111" spans="1:27" ht="15" customHeight="1" x14ac:dyDescent="0.3">
      <c r="C111" s="108"/>
      <c r="D111" s="108"/>
      <c r="E111" s="108"/>
      <c r="F111" s="108"/>
      <c r="G111" s="12"/>
      <c r="J111" s="1689"/>
      <c r="N111" s="1690"/>
      <c r="O111" s="1690"/>
      <c r="P111" s="1690"/>
      <c r="Q111" s="1690"/>
      <c r="R111" s="1694"/>
    </row>
    <row r="112" spans="1:27" ht="15" customHeight="1" x14ac:dyDescent="0.3">
      <c r="C112" s="108"/>
      <c r="D112" s="108"/>
      <c r="E112" s="108"/>
      <c r="F112" s="108"/>
      <c r="G112" s="12"/>
      <c r="J112" s="1689"/>
      <c r="N112" s="1690"/>
      <c r="O112" s="1690"/>
      <c r="P112" s="1690"/>
      <c r="Q112" s="1690"/>
      <c r="R112" s="1694"/>
    </row>
    <row r="113" spans="2:18" ht="15" customHeight="1" x14ac:dyDescent="0.3">
      <c r="B113" s="4" t="s">
        <v>1230</v>
      </c>
      <c r="C113" s="108"/>
      <c r="D113" s="108"/>
      <c r="E113" s="108"/>
      <c r="F113" s="108"/>
      <c r="G113" s="12"/>
      <c r="J113" s="108"/>
      <c r="N113" s="1690"/>
      <c r="O113" s="1690"/>
      <c r="P113" s="1690"/>
      <c r="Q113" s="1690"/>
      <c r="R113" s="1694"/>
    </row>
    <row r="114" spans="2:18" x14ac:dyDescent="0.3">
      <c r="B114" s="4" t="s">
        <v>1231</v>
      </c>
      <c r="J114" s="108"/>
      <c r="R114" s="1694"/>
    </row>
    <row r="115" spans="2:18" x14ac:dyDescent="0.3">
      <c r="R115" s="1694"/>
    </row>
    <row r="116" spans="2:18" x14ac:dyDescent="0.3">
      <c r="R116" s="1694"/>
    </row>
    <row r="117" spans="2:18" x14ac:dyDescent="0.3">
      <c r="R117" s="1694"/>
    </row>
  </sheetData>
  <customSheetViews>
    <customSheetView guid="{CA1C9262-C0F9-4BBB-95C8-A52990BD1149}" scale="90" fitToPage="1" hiddenRows="1" state="hidden" topLeftCell="A5">
      <selection activeCell="D15" sqref="D15"/>
      <rowBreaks count="2" manualBreakCount="2">
        <brk id="27" max="16383" man="1"/>
        <brk id="52" max="16383" man="1"/>
      </rowBreaks>
      <pageMargins left="0" right="0" top="0" bottom="0" header="0" footer="0"/>
      <pageSetup paperSize="3" scale="86"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90" fitToPage="1" hiddenRows="1" state="hidden" topLeftCell="A5">
      <selection activeCell="D15" sqref="D15"/>
      <rowBreaks count="2" manualBreakCount="2">
        <brk id="27" max="16383" man="1"/>
        <brk id="52" max="16383" man="1"/>
      </rowBreaks>
      <pageMargins left="0" right="0" top="0" bottom="0" header="0" footer="0"/>
      <pageSetup paperSize="3" scale="86"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90" fitToPage="1" hiddenRows="1" topLeftCell="A5">
      <selection activeCell="L31" sqref="L31"/>
      <rowBreaks count="2" manualBreakCount="2">
        <brk id="27" max="16383" man="1"/>
        <brk id="52" max="16383" man="1"/>
      </rowBreaks>
      <pageMargins left="0" right="0" top="0" bottom="0" header="0" footer="0"/>
      <pageSetup paperSize="3" scale="86"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mergeCells count="1">
    <mergeCell ref="C5:F5"/>
  </mergeCells>
  <conditionalFormatting sqref="H2">
    <cfRule type="cellIs" dxfId="43" priority="1" operator="equal">
      <formula>"Hold Harmless, Out of Balance"</formula>
    </cfRule>
  </conditionalFormatting>
  <pageMargins left="0.7" right="0.7" top="0.75" bottom="0.75" header="0.3" footer="0.3"/>
  <pageSetup paperSize="3" fitToHeight="0" orientation="landscape" r:id="rId4"/>
  <headerFooter>
    <oddHeader>&amp;R&amp;"Arial Narrow,Regular"&amp;10&amp;A
&amp;P</oddHeader>
  </headerFooter>
  <rowBreaks count="2" manualBreakCount="2">
    <brk id="30" max="16383" man="1"/>
    <brk id="69" max="11" man="1"/>
  </rowBreaks>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120F5-431D-4772-8C3F-55F383E103F5}">
  <sheetPr>
    <tabColor theme="7" tint="0.39997558519241921"/>
  </sheetPr>
  <dimension ref="A1:F49"/>
  <sheetViews>
    <sheetView workbookViewId="0"/>
  </sheetViews>
  <sheetFormatPr defaultColWidth="8.7109375" defaultRowHeight="16.5" x14ac:dyDescent="0.25"/>
  <cols>
    <col min="1" max="1" width="8.7109375" style="11"/>
    <col min="2" max="2" width="10.7109375" style="11" customWidth="1"/>
    <col min="3" max="3" width="12" style="11" bestFit="1" customWidth="1"/>
    <col min="4" max="4" width="86.42578125" style="11" customWidth="1"/>
    <col min="5" max="5" width="1.7109375" style="11" customWidth="1"/>
    <col min="6" max="6" width="34.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x14ac:dyDescent="0.25">
      <c r="A3" s="11" t="s">
        <v>1232</v>
      </c>
    </row>
    <row r="5" spans="1:6" x14ac:dyDescent="0.25">
      <c r="A5" s="59" t="s">
        <v>1233</v>
      </c>
      <c r="B5" s="59"/>
      <c r="C5" s="59"/>
      <c r="D5" s="59"/>
      <c r="F5" s="59" t="s">
        <v>73</v>
      </c>
    </row>
    <row r="6" spans="1:6" x14ac:dyDescent="0.25">
      <c r="A6" s="58" t="s">
        <v>1234</v>
      </c>
      <c r="B6" s="58"/>
    </row>
    <row r="7" spans="1:6" ht="66" x14ac:dyDescent="0.25">
      <c r="A7" s="11" t="s">
        <v>1235</v>
      </c>
      <c r="B7" s="11" t="s">
        <v>1236</v>
      </c>
      <c r="D7" s="2094" t="s">
        <v>1237</v>
      </c>
      <c r="E7" s="2094"/>
    </row>
    <row r="8" spans="1:6" x14ac:dyDescent="0.25">
      <c r="B8" s="11" t="s">
        <v>1238</v>
      </c>
      <c r="D8" s="2094" t="s">
        <v>1239</v>
      </c>
      <c r="E8" s="2094"/>
      <c r="F8" s="61"/>
    </row>
    <row r="9" spans="1:6" x14ac:dyDescent="0.25">
      <c r="C9" s="11" t="s">
        <v>1240</v>
      </c>
      <c r="D9" s="2094" t="s">
        <v>1241</v>
      </c>
      <c r="E9" s="2094"/>
      <c r="F9" s="2094" t="s">
        <v>1242</v>
      </c>
    </row>
    <row r="10" spans="1:6" ht="33" x14ac:dyDescent="0.25">
      <c r="C10" s="11" t="s">
        <v>1243</v>
      </c>
      <c r="D10" s="2094" t="s">
        <v>1244</v>
      </c>
      <c r="E10" s="2094"/>
      <c r="F10" s="2094" t="s">
        <v>1242</v>
      </c>
    </row>
    <row r="11" spans="1:6" x14ac:dyDescent="0.25">
      <c r="C11" s="11" t="s">
        <v>1245</v>
      </c>
      <c r="D11" s="2094" t="s">
        <v>1246</v>
      </c>
      <c r="E11" s="2094"/>
      <c r="F11" s="2094" t="s">
        <v>1247</v>
      </c>
    </row>
    <row r="12" spans="1:6" ht="33" x14ac:dyDescent="0.25">
      <c r="C12" s="11" t="s">
        <v>1248</v>
      </c>
      <c r="D12" s="2094" t="s">
        <v>1249</v>
      </c>
      <c r="E12" s="2094"/>
      <c r="F12" s="2094" t="s">
        <v>1250</v>
      </c>
    </row>
    <row r="13" spans="1:6" x14ac:dyDescent="0.25">
      <c r="C13" s="11" t="s">
        <v>1251</v>
      </c>
      <c r="D13" s="2094" t="s">
        <v>1252</v>
      </c>
      <c r="E13" s="2094"/>
      <c r="F13" s="2094" t="s">
        <v>1253</v>
      </c>
    </row>
    <row r="14" spans="1:6" x14ac:dyDescent="0.25">
      <c r="C14" s="11" t="s">
        <v>1254</v>
      </c>
      <c r="D14" s="2094" t="s">
        <v>1255</v>
      </c>
      <c r="E14" s="2094"/>
      <c r="F14" s="2094" t="s">
        <v>1253</v>
      </c>
    </row>
    <row r="15" spans="1:6" x14ac:dyDescent="0.25">
      <c r="C15" s="11" t="s">
        <v>1256</v>
      </c>
      <c r="D15" s="2094" t="s">
        <v>1257</v>
      </c>
      <c r="E15" s="2094"/>
      <c r="F15" s="2094" t="s">
        <v>1258</v>
      </c>
    </row>
    <row r="16" spans="1:6" x14ac:dyDescent="0.25">
      <c r="C16" s="11" t="s">
        <v>1259</v>
      </c>
      <c r="D16" s="2094" t="s">
        <v>1260</v>
      </c>
      <c r="E16" s="2094"/>
      <c r="F16" s="2094" t="s">
        <v>1261</v>
      </c>
    </row>
    <row r="17" spans="1:6" ht="33" x14ac:dyDescent="0.25">
      <c r="C17" s="11" t="s">
        <v>1262</v>
      </c>
      <c r="D17" s="2094" t="s">
        <v>1263</v>
      </c>
      <c r="E17" s="2094"/>
      <c r="F17" s="2094" t="s">
        <v>1264</v>
      </c>
    </row>
    <row r="18" spans="1:6" ht="33" x14ac:dyDescent="0.25">
      <c r="C18" s="11" t="s">
        <v>1265</v>
      </c>
      <c r="D18" s="2094" t="s">
        <v>1266</v>
      </c>
      <c r="E18" s="2094"/>
      <c r="F18" s="2094" t="s">
        <v>1267</v>
      </c>
    </row>
    <row r="19" spans="1:6" x14ac:dyDescent="0.25">
      <c r="C19" s="11" t="s">
        <v>1268</v>
      </c>
      <c r="D19" s="2094" t="s">
        <v>1269</v>
      </c>
      <c r="E19" s="2094"/>
      <c r="F19" s="2094" t="s">
        <v>1267</v>
      </c>
    </row>
    <row r="20" spans="1:6" ht="33" x14ac:dyDescent="0.25">
      <c r="C20" s="11" t="s">
        <v>1270</v>
      </c>
      <c r="D20" s="2094" t="s">
        <v>1271</v>
      </c>
      <c r="E20" s="2094"/>
      <c r="F20" s="2094" t="s">
        <v>1258</v>
      </c>
    </row>
    <row r="21" spans="1:6" x14ac:dyDescent="0.25">
      <c r="C21" s="11" t="s">
        <v>1272</v>
      </c>
      <c r="D21" s="2094" t="s">
        <v>1273</v>
      </c>
      <c r="E21" s="2094"/>
      <c r="F21" s="2094" t="s">
        <v>1267</v>
      </c>
    </row>
    <row r="22" spans="1:6" x14ac:dyDescent="0.25">
      <c r="C22" s="11" t="s">
        <v>1274</v>
      </c>
      <c r="D22" s="2094" t="s">
        <v>1275</v>
      </c>
      <c r="E22" s="2094"/>
      <c r="F22" s="2094" t="s">
        <v>1267</v>
      </c>
    </row>
    <row r="23" spans="1:6" ht="33" x14ac:dyDescent="0.25">
      <c r="C23" s="11" t="s">
        <v>1276</v>
      </c>
      <c r="D23" s="2094" t="s">
        <v>1277</v>
      </c>
      <c r="E23" s="2094"/>
      <c r="F23" s="2094" t="s">
        <v>1278</v>
      </c>
    </row>
    <row r="24" spans="1:6" ht="33" x14ac:dyDescent="0.25">
      <c r="C24" s="11" t="s">
        <v>1279</v>
      </c>
      <c r="D24" s="2094" t="s">
        <v>1280</v>
      </c>
      <c r="E24" s="2094"/>
      <c r="F24" s="2094" t="s">
        <v>1281</v>
      </c>
    </row>
    <row r="25" spans="1:6" x14ac:dyDescent="0.25">
      <c r="C25" s="11" t="s">
        <v>1282</v>
      </c>
      <c r="D25" s="2094" t="s">
        <v>1283</v>
      </c>
      <c r="E25" s="2094"/>
      <c r="F25" s="2094" t="s">
        <v>1284</v>
      </c>
    </row>
    <row r="26" spans="1:6" x14ac:dyDescent="0.25">
      <c r="C26" s="11" t="s">
        <v>1285</v>
      </c>
      <c r="D26" s="2094" t="s">
        <v>1286</v>
      </c>
      <c r="E26" s="2094"/>
      <c r="F26" s="2094" t="s">
        <v>1284</v>
      </c>
    </row>
    <row r="27" spans="1:6" x14ac:dyDescent="0.25">
      <c r="C27" s="11" t="s">
        <v>1287</v>
      </c>
      <c r="D27" s="2094" t="s">
        <v>1288</v>
      </c>
      <c r="E27" s="2094"/>
      <c r="F27" s="2094" t="s">
        <v>1284</v>
      </c>
    </row>
    <row r="28" spans="1:6" x14ac:dyDescent="0.25">
      <c r="C28" s="11" t="s">
        <v>1289</v>
      </c>
      <c r="D28" s="2094" t="s">
        <v>1290</v>
      </c>
      <c r="E28" s="2094"/>
      <c r="F28" s="2094" t="s">
        <v>1291</v>
      </c>
    </row>
    <row r="29" spans="1:6" ht="99" x14ac:dyDescent="0.25">
      <c r="B29" s="11" t="s">
        <v>1292</v>
      </c>
      <c r="D29" s="2094" t="s">
        <v>1293</v>
      </c>
      <c r="E29" s="2094"/>
      <c r="F29" s="2094"/>
    </row>
    <row r="30" spans="1:6" x14ac:dyDescent="0.25">
      <c r="A30" s="58" t="s">
        <v>1294</v>
      </c>
      <c r="D30" s="2094"/>
      <c r="E30" s="2094"/>
      <c r="F30" s="2094"/>
    </row>
    <row r="31" spans="1:6" ht="264" x14ac:dyDescent="0.25">
      <c r="A31" s="11" t="s">
        <v>1295</v>
      </c>
      <c r="B31" s="11" t="s">
        <v>1236</v>
      </c>
      <c r="D31" s="2094" t="s">
        <v>1296</v>
      </c>
      <c r="E31" s="2094"/>
      <c r="F31" s="2094" t="s">
        <v>1297</v>
      </c>
    </row>
    <row r="33" spans="1:6" x14ac:dyDescent="0.25">
      <c r="A33" s="59" t="s">
        <v>1298</v>
      </c>
      <c r="B33" s="59"/>
      <c r="C33" s="59"/>
      <c r="D33" s="59"/>
      <c r="F33" s="59" t="s">
        <v>73</v>
      </c>
    </row>
    <row r="35" spans="1:6" x14ac:dyDescent="0.25">
      <c r="A35" s="7" t="s">
        <v>1299</v>
      </c>
      <c r="D35" s="60" t="s">
        <v>1300</v>
      </c>
      <c r="E35" s="60"/>
    </row>
    <row r="36" spans="1:6" ht="49.5" x14ac:dyDescent="0.25">
      <c r="A36" s="2353" t="s">
        <v>1301</v>
      </c>
      <c r="B36" s="2354"/>
      <c r="C36" s="2354"/>
      <c r="D36" s="11" t="s">
        <v>1302</v>
      </c>
      <c r="F36" s="2094" t="s">
        <v>1303</v>
      </c>
    </row>
    <row r="37" spans="1:6" ht="82.5" x14ac:dyDescent="0.25">
      <c r="A37" s="2353" t="s">
        <v>1304</v>
      </c>
      <c r="B37" s="2354"/>
      <c r="C37" s="2354"/>
      <c r="D37" s="11" t="s">
        <v>1302</v>
      </c>
      <c r="F37" s="2094" t="s">
        <v>1305</v>
      </c>
    </row>
    <row r="39" spans="1:6" x14ac:dyDescent="0.25">
      <c r="A39" s="59" t="s">
        <v>1306</v>
      </c>
      <c r="B39" s="59"/>
      <c r="C39" s="59"/>
      <c r="D39" s="59"/>
      <c r="F39" s="59" t="s">
        <v>73</v>
      </c>
    </row>
    <row r="41" spans="1:6" x14ac:dyDescent="0.25">
      <c r="A41" s="11" t="s">
        <v>1307</v>
      </c>
      <c r="B41" s="2353" t="s">
        <v>1308</v>
      </c>
      <c r="C41" s="2354"/>
      <c r="D41" s="2354"/>
    </row>
    <row r="42" spans="1:6" x14ac:dyDescent="0.25">
      <c r="A42" s="11" t="s">
        <v>1309</v>
      </c>
      <c r="B42" s="2353" t="s">
        <v>1310</v>
      </c>
      <c r="C42" s="2354"/>
      <c r="D42" s="2354"/>
    </row>
    <row r="43" spans="1:6" x14ac:dyDescent="0.25">
      <c r="A43" s="11" t="s">
        <v>1311</v>
      </c>
      <c r="B43" s="11" t="s">
        <v>1312</v>
      </c>
    </row>
    <row r="44" spans="1:6" x14ac:dyDescent="0.25">
      <c r="A44" s="11" t="s">
        <v>1313</v>
      </c>
      <c r="B44" s="11" t="s">
        <v>1314</v>
      </c>
    </row>
    <row r="46" spans="1:6" x14ac:dyDescent="0.25">
      <c r="A46" s="59" t="s">
        <v>1315</v>
      </c>
      <c r="B46" s="59"/>
      <c r="C46" s="59"/>
      <c r="D46" s="59"/>
      <c r="F46" s="59" t="s">
        <v>73</v>
      </c>
    </row>
    <row r="48" spans="1:6" x14ac:dyDescent="0.25">
      <c r="A48" s="7" t="s">
        <v>1316</v>
      </c>
      <c r="C48" s="7" t="s">
        <v>1317</v>
      </c>
    </row>
    <row r="49" spans="1:6" ht="30" customHeight="1" x14ac:dyDescent="0.25">
      <c r="A49" s="2353" t="s">
        <v>1318</v>
      </c>
      <c r="B49" s="2354"/>
      <c r="C49" s="2355" t="s">
        <v>1319</v>
      </c>
      <c r="D49" s="2356"/>
      <c r="F49" s="2094" t="s">
        <v>1320</v>
      </c>
    </row>
  </sheetData>
  <customSheetViews>
    <customSheetView guid="{CA1C9262-C0F9-4BBB-95C8-A52990BD1149}" scale="90" state="hidden">
      <selection activeCell="A4" sqref="A4"/>
      <pageMargins left="0" right="0" top="0" bottom="0" header="0" footer="0"/>
    </customSheetView>
    <customSheetView guid="{9F71BA88-74DF-4B45-811C-93ABE8314534}" scale="90">
      <selection activeCell="A4" sqref="A4"/>
      <pageMargins left="0" right="0" top="0" bottom="0" header="0" footer="0"/>
    </customSheetView>
  </customSheetViews>
  <mergeCells count="6">
    <mergeCell ref="A36:C36"/>
    <mergeCell ref="A37:C37"/>
    <mergeCell ref="B41:D41"/>
    <mergeCell ref="B42:D42"/>
    <mergeCell ref="A49:B49"/>
    <mergeCell ref="C49:D4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71551-81E3-4DF3-8262-D6518993ABA4}">
  <sheetPr>
    <tabColor theme="7" tint="0.39997558519241921"/>
  </sheetPr>
  <dimension ref="A1:F23"/>
  <sheetViews>
    <sheetView workbookViewId="0"/>
  </sheetViews>
  <sheetFormatPr defaultColWidth="8.7109375" defaultRowHeight="16.5" x14ac:dyDescent="0.25"/>
  <cols>
    <col min="1" max="1" width="8.7109375" style="11"/>
    <col min="2" max="2" width="10.7109375" style="11" customWidth="1"/>
    <col min="3" max="3" width="11.140625" style="1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x14ac:dyDescent="0.3">
      <c r="A3" s="9" t="s">
        <v>1321</v>
      </c>
    </row>
    <row r="5" spans="1:6" x14ac:dyDescent="0.25">
      <c r="A5" s="59" t="s">
        <v>1233</v>
      </c>
      <c r="B5" s="59"/>
      <c r="C5" s="59"/>
      <c r="D5" s="59"/>
      <c r="F5" s="59" t="s">
        <v>73</v>
      </c>
    </row>
    <row r="6" spans="1:6" x14ac:dyDescent="0.25">
      <c r="A6" s="58" t="s">
        <v>1294</v>
      </c>
      <c r="B6" s="58"/>
    </row>
    <row r="7" spans="1:6" ht="99" x14ac:dyDescent="0.25">
      <c r="A7" s="11" t="s">
        <v>1295</v>
      </c>
      <c r="B7" s="11" t="s">
        <v>1238</v>
      </c>
      <c r="D7" s="2094" t="s">
        <v>1322</v>
      </c>
    </row>
    <row r="8" spans="1:6" ht="82.5" x14ac:dyDescent="0.25">
      <c r="A8" s="58"/>
      <c r="B8" s="58"/>
      <c r="C8" s="11" t="s">
        <v>1240</v>
      </c>
      <c r="D8" s="2094" t="s">
        <v>1323</v>
      </c>
    </row>
    <row r="10" spans="1:6" x14ac:dyDescent="0.25">
      <c r="A10" s="59" t="s">
        <v>1298</v>
      </c>
      <c r="B10" s="59"/>
      <c r="C10" s="59"/>
      <c r="D10" s="59"/>
      <c r="F10" s="59" t="s">
        <v>73</v>
      </c>
    </row>
    <row r="12" spans="1:6" x14ac:dyDescent="0.25">
      <c r="A12" s="7" t="s">
        <v>1299</v>
      </c>
      <c r="D12" s="60" t="s">
        <v>1300</v>
      </c>
      <c r="E12" s="60"/>
    </row>
    <row r="13" spans="1:6" x14ac:dyDescent="0.25">
      <c r="A13" s="2353" t="s">
        <v>1324</v>
      </c>
      <c r="B13" s="2354"/>
      <c r="C13" s="2354"/>
      <c r="D13" s="11" t="s">
        <v>15</v>
      </c>
      <c r="F13" s="2094" t="s">
        <v>1325</v>
      </c>
    </row>
    <row r="15" spans="1:6" x14ac:dyDescent="0.25">
      <c r="A15" s="59" t="s">
        <v>1306</v>
      </c>
      <c r="B15" s="59"/>
      <c r="C15" s="59"/>
      <c r="D15" s="59"/>
      <c r="F15" s="59" t="s">
        <v>73</v>
      </c>
    </row>
    <row r="17" spans="1:6" x14ac:dyDescent="0.25">
      <c r="A17" s="11" t="s">
        <v>1307</v>
      </c>
      <c r="B17" s="2353" t="s">
        <v>1326</v>
      </c>
      <c r="C17" s="2354"/>
      <c r="D17" s="2354"/>
    </row>
    <row r="18" spans="1:6" x14ac:dyDescent="0.25">
      <c r="A18" s="11" t="s">
        <v>1309</v>
      </c>
      <c r="B18" s="2353" t="s">
        <v>1327</v>
      </c>
      <c r="C18" s="2354"/>
      <c r="D18" s="2354"/>
    </row>
    <row r="20" spans="1:6" x14ac:dyDescent="0.25">
      <c r="A20" s="59" t="s">
        <v>1315</v>
      </c>
      <c r="B20" s="59"/>
      <c r="C20" s="59"/>
      <c r="D20" s="59"/>
      <c r="F20" s="59" t="s">
        <v>73</v>
      </c>
    </row>
    <row r="22" spans="1:6" x14ac:dyDescent="0.25">
      <c r="A22" s="7" t="s">
        <v>1316</v>
      </c>
      <c r="C22" s="7" t="s">
        <v>1317</v>
      </c>
    </row>
    <row r="23" spans="1:6" ht="33" x14ac:dyDescent="0.25">
      <c r="A23" s="2353" t="s">
        <v>1318</v>
      </c>
      <c r="B23" s="2354"/>
      <c r="C23" s="2355" t="s">
        <v>1328</v>
      </c>
      <c r="D23" s="2356"/>
      <c r="F23" s="2094" t="s">
        <v>1320</v>
      </c>
    </row>
  </sheetData>
  <customSheetViews>
    <customSheetView guid="{CA1C9262-C0F9-4BBB-95C8-A52990BD1149}" scale="90" state="hidden">
      <selection activeCell="A4" sqref="A4"/>
      <pageMargins left="0" right="0" top="0" bottom="0" header="0" footer="0"/>
    </customSheetView>
    <customSheetView guid="{9F71BA88-74DF-4B45-811C-93ABE8314534}" scale="90">
      <selection activeCell="A4" sqref="A4"/>
      <pageMargins left="0" right="0" top="0" bottom="0" header="0" footer="0"/>
    </customSheetView>
  </customSheetViews>
  <mergeCells count="5">
    <mergeCell ref="A13:C13"/>
    <mergeCell ref="B17:D17"/>
    <mergeCell ref="B18:D18"/>
    <mergeCell ref="A23:B23"/>
    <mergeCell ref="C23:D2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7E86-E146-43BB-AA29-2531D9D8CE46}">
  <sheetPr codeName="Sheet298">
    <tabColor theme="6"/>
    <pageSetUpPr autoPageBreaks="0" fitToPage="1"/>
  </sheetPr>
  <dimension ref="A1:P161"/>
  <sheetViews>
    <sheetView zoomScale="85" zoomScaleNormal="85" workbookViewId="0">
      <selection activeCell="I82" sqref="I82:I161"/>
    </sheetView>
  </sheetViews>
  <sheetFormatPr defaultColWidth="8.7109375" defaultRowHeight="16.5" x14ac:dyDescent="0.3"/>
  <cols>
    <col min="1" max="1" width="6.7109375" style="9" customWidth="1"/>
    <col min="2" max="2" width="31" style="76" customWidth="1"/>
    <col min="3" max="4" width="20" style="9" bestFit="1" customWidth="1"/>
    <col min="5" max="6" width="20.140625" style="9" bestFit="1" customWidth="1"/>
    <col min="7" max="7" width="17.42578125" style="9" bestFit="1" customWidth="1"/>
    <col min="8" max="8" width="21.140625" style="9" bestFit="1" customWidth="1"/>
    <col min="9" max="9" width="21.140625" style="9" customWidth="1"/>
    <col min="10" max="10" width="17" style="9" bestFit="1" customWidth="1"/>
    <col min="11" max="11" width="10.42578125" style="9" bestFit="1" customWidth="1"/>
    <col min="12" max="12" width="2.7109375" style="9" customWidth="1"/>
    <col min="13" max="15" width="8.7109375" style="9"/>
    <col min="16" max="16" width="9.5703125" style="9" bestFit="1" customWidth="1"/>
    <col min="17" max="16384" width="8.7109375" style="9"/>
  </cols>
  <sheetData>
    <row r="1" spans="1:16" s="4" customFormat="1" x14ac:dyDescent="0.3">
      <c r="A1" s="4" t="s">
        <v>15</v>
      </c>
      <c r="B1" s="79"/>
    </row>
    <row r="2" spans="1:16" x14ac:dyDescent="0.3">
      <c r="A2" s="9" t="str">
        <f>CONCATENATE("Pupil Center Funding Plan | FY",'1.1 Assumption Control YR1'!D5)</f>
        <v>Pupil Center Funding Plan | FY2026</v>
      </c>
    </row>
    <row r="3" spans="1:16" x14ac:dyDescent="0.3">
      <c r="A3" s="9" t="s">
        <v>1329</v>
      </c>
    </row>
    <row r="4" spans="1:16" x14ac:dyDescent="0.3">
      <c r="B4" s="2075"/>
      <c r="F4" s="2000" t="s">
        <v>1330</v>
      </c>
      <c r="H4" s="2000" t="s">
        <v>1330</v>
      </c>
      <c r="I4" s="17"/>
    </row>
    <row r="5" spans="1:16" x14ac:dyDescent="0.3">
      <c r="C5" s="17" t="s">
        <v>1331</v>
      </c>
      <c r="D5" s="17" t="s">
        <v>1332</v>
      </c>
      <c r="E5" s="18" t="s">
        <v>1333</v>
      </c>
      <c r="F5" s="118" t="s">
        <v>1334</v>
      </c>
      <c r="H5" s="118" t="s">
        <v>1335</v>
      </c>
      <c r="I5" s="17"/>
      <c r="J5" s="17"/>
    </row>
    <row r="6" spans="1:16" x14ac:dyDescent="0.3">
      <c r="B6" s="80" t="s">
        <v>1336</v>
      </c>
      <c r="C6" s="1563">
        <f>'1.3 Budgeted Revenues YR1'!C40</f>
        <v>5724491159</v>
      </c>
      <c r="D6" s="1589">
        <f>J33</f>
        <v>194256958</v>
      </c>
      <c r="E6" s="1565">
        <f>C6-D6</f>
        <v>5530234201</v>
      </c>
      <c r="F6" s="1590" t="s">
        <v>241</v>
      </c>
      <c r="H6" s="1590" t="s">
        <v>241</v>
      </c>
      <c r="I6" s="2156"/>
      <c r="J6" s="168" t="s">
        <v>240</v>
      </c>
    </row>
    <row r="7" spans="1:16" x14ac:dyDescent="0.3">
      <c r="C7" s="15">
        <f>C6-'1.3 Budgeted Revenues YR1'!C40</f>
        <v>0</v>
      </c>
      <c r="D7" s="18"/>
      <c r="E7" s="18"/>
      <c r="F7" s="1591">
        <f>'1.1 Assumption Control YR1'!E23</f>
        <v>5.610000014863388E-2</v>
      </c>
      <c r="H7" s="1591">
        <f>F7</f>
        <v>5.610000014863388E-2</v>
      </c>
      <c r="I7" s="2157"/>
      <c r="J7" s="168" t="s">
        <v>241</v>
      </c>
    </row>
    <row r="8" spans="1:16" s="76" customFormat="1" ht="33" x14ac:dyDescent="0.3">
      <c r="A8" s="1592"/>
      <c r="B8" s="1592" t="s">
        <v>1203</v>
      </c>
      <c r="C8" s="1593" t="s">
        <v>1337</v>
      </c>
      <c r="D8" s="1594" t="s">
        <v>1223</v>
      </c>
      <c r="E8" s="1594"/>
      <c r="F8" s="1594"/>
      <c r="G8" s="2360" t="s">
        <v>1338</v>
      </c>
      <c r="H8" s="2361"/>
      <c r="I8" s="2162" t="s">
        <v>2221</v>
      </c>
      <c r="J8" s="1595" t="s">
        <v>1339</v>
      </c>
      <c r="K8" s="1596"/>
    </row>
    <row r="9" spans="1:16" ht="33" x14ac:dyDescent="0.3">
      <c r="A9" s="1478"/>
      <c r="B9" s="1592"/>
      <c r="C9" s="226"/>
      <c r="D9" s="1597" t="s">
        <v>1340</v>
      </c>
      <c r="E9" s="1597" t="s">
        <v>1341</v>
      </c>
      <c r="F9" s="1597" t="s">
        <v>1342</v>
      </c>
      <c r="G9" s="1598" t="s">
        <v>1340</v>
      </c>
      <c r="H9" s="1598" t="s">
        <v>1341</v>
      </c>
      <c r="I9" s="2204" t="s">
        <v>2240</v>
      </c>
      <c r="J9" s="1598" t="s">
        <v>1343</v>
      </c>
      <c r="K9" s="1599" t="s">
        <v>1344</v>
      </c>
      <c r="M9" s="191" t="s">
        <v>1345</v>
      </c>
    </row>
    <row r="10" spans="1:16" x14ac:dyDescent="0.3">
      <c r="A10" s="1600"/>
      <c r="B10" s="2076" t="s">
        <v>1346</v>
      </c>
      <c r="C10" s="523" t="s">
        <v>195</v>
      </c>
      <c r="D10" s="1601" t="s">
        <v>1347</v>
      </c>
      <c r="E10" s="1601" t="s">
        <v>1348</v>
      </c>
      <c r="F10" s="1601"/>
      <c r="G10" s="1602" t="s">
        <v>1349</v>
      </c>
      <c r="H10" s="1603" t="s">
        <v>1350</v>
      </c>
      <c r="I10" s="1603" t="s">
        <v>2241</v>
      </c>
      <c r="J10" s="1603" t="s">
        <v>1351</v>
      </c>
      <c r="K10" s="1604" t="s">
        <v>1352</v>
      </c>
      <c r="M10" s="191" t="s">
        <v>1353</v>
      </c>
    </row>
    <row r="11" spans="1:16" x14ac:dyDescent="0.3">
      <c r="A11" s="1478" t="s">
        <v>1228</v>
      </c>
      <c r="B11" s="1592"/>
      <c r="C11" s="1605"/>
      <c r="D11" s="1606"/>
      <c r="E11" s="1606"/>
      <c r="F11" s="1606"/>
      <c r="G11" s="196"/>
      <c r="H11" s="196"/>
      <c r="I11" s="196"/>
      <c r="J11" s="1607"/>
      <c r="K11" s="1608"/>
      <c r="P11" s="12"/>
    </row>
    <row r="12" spans="1:16" x14ac:dyDescent="0.3">
      <c r="A12" s="36"/>
      <c r="B12" s="1592" t="str">
        <f>'1.2 Budgeted Enrollment YR1'!E9</f>
        <v>Carson City</v>
      </c>
      <c r="C12" s="355">
        <f>'1.2 Budgeted Enrollment YR1'!G9</f>
        <v>6970.4860982512937</v>
      </c>
      <c r="D12" s="1609">
        <f>ROUND(G42,0)</f>
        <v>2868747</v>
      </c>
      <c r="E12" s="1610">
        <f>IF($F$6="Yes",(D12*$F$7),0)</f>
        <v>0</v>
      </c>
      <c r="F12" s="1611"/>
      <c r="G12" s="356">
        <f>G63</f>
        <v>334457</v>
      </c>
      <c r="H12" s="1612">
        <f>IF($H$6="Yes",(G12*$H$7),0)</f>
        <v>0</v>
      </c>
      <c r="I12" s="1624">
        <v>0</v>
      </c>
      <c r="J12" s="1612">
        <f>SUM(D12:E12)+F12+SUM(G12:I12)</f>
        <v>3203204</v>
      </c>
      <c r="K12" s="1613">
        <f>IF(C12=0,0,J12/C12)</f>
        <v>459.53810894244481</v>
      </c>
    </row>
    <row r="13" spans="1:16" x14ac:dyDescent="0.3">
      <c r="A13" s="36"/>
      <c r="B13" s="1592" t="str">
        <f>'1.2 Budgeted Enrollment YR1'!E10</f>
        <v>Churchill</v>
      </c>
      <c r="C13" s="355">
        <f>'1.2 Budgeted Enrollment YR1'!G10</f>
        <v>3074.1458778318033</v>
      </c>
      <c r="D13" s="1609">
        <f t="shared" ref="D13:D28" si="0">ROUND(G43,0)</f>
        <v>1665797</v>
      </c>
      <c r="E13" s="1610">
        <f t="shared" ref="E13:E32" si="1">IF($F$6="Yes",(D13*$F$7),0)</f>
        <v>0</v>
      </c>
      <c r="F13" s="1611"/>
      <c r="G13" s="356">
        <f t="shared" ref="G13:G27" si="2">G64</f>
        <v>0</v>
      </c>
      <c r="H13" s="1612">
        <f>IF($H$6="Yes",(G13*$H$7),0)</f>
        <v>0</v>
      </c>
      <c r="I13" s="1624">
        <v>0</v>
      </c>
      <c r="J13" s="1612">
        <f t="shared" ref="J13:J28" si="3">SUM(D13:E13)+F13+SUM(G13:I13)</f>
        <v>1665797</v>
      </c>
      <c r="K13" s="1613">
        <f t="shared" ref="K13:K32" si="4">IF(C13=0,0,J13/C13)</f>
        <v>541.87311409401548</v>
      </c>
    </row>
    <row r="14" spans="1:16" x14ac:dyDescent="0.3">
      <c r="A14" s="36"/>
      <c r="B14" s="1592" t="str">
        <f>'1.2 Budgeted Enrollment YR1'!E11</f>
        <v>Clark</v>
      </c>
      <c r="C14" s="355">
        <f>'1.2 Budgeted Enrollment YR1'!G11</f>
        <v>285878.81775061262</v>
      </c>
      <c r="D14" s="1609">
        <f t="shared" si="0"/>
        <v>135130854</v>
      </c>
      <c r="E14" s="1610">
        <f t="shared" si="1"/>
        <v>0</v>
      </c>
      <c r="F14" s="1611"/>
      <c r="G14" s="356">
        <f t="shared" si="2"/>
        <v>0</v>
      </c>
      <c r="H14" s="1612">
        <f t="shared" ref="H14:H30" si="5">IF($H$6="Yes",(G14*$H$7),0)</f>
        <v>0</v>
      </c>
      <c r="I14" s="1624">
        <v>0</v>
      </c>
      <c r="J14" s="1612">
        <f t="shared" si="3"/>
        <v>135130854</v>
      </c>
      <c r="K14" s="1613">
        <f t="shared" si="4"/>
        <v>472.68578715713687</v>
      </c>
    </row>
    <row r="15" spans="1:16" x14ac:dyDescent="0.3">
      <c r="A15" s="36"/>
      <c r="B15" s="1592" t="str">
        <f>'1.2 Budgeted Enrollment YR1'!E12</f>
        <v>Douglas</v>
      </c>
      <c r="C15" s="355">
        <f>'1.2 Budgeted Enrollment YR1'!G12</f>
        <v>4790.5859463145525</v>
      </c>
      <c r="D15" s="1609">
        <f t="shared" si="0"/>
        <v>3977265</v>
      </c>
      <c r="E15" s="1610">
        <f t="shared" si="1"/>
        <v>0</v>
      </c>
      <c r="F15" s="1611"/>
      <c r="G15" s="356">
        <f t="shared" si="2"/>
        <v>0</v>
      </c>
      <c r="H15" s="1612">
        <f t="shared" si="5"/>
        <v>0</v>
      </c>
      <c r="I15" s="1624">
        <v>0</v>
      </c>
      <c r="J15" s="1612">
        <f t="shared" si="3"/>
        <v>3977265</v>
      </c>
      <c r="K15" s="1613">
        <f t="shared" si="4"/>
        <v>830.22516338732032</v>
      </c>
    </row>
    <row r="16" spans="1:16" x14ac:dyDescent="0.3">
      <c r="A16" s="36"/>
      <c r="B16" s="1592" t="str">
        <f>'1.2 Budgeted Enrollment YR1'!E13</f>
        <v>Elko</v>
      </c>
      <c r="C16" s="355">
        <f>'1.2 Budgeted Enrollment YR1'!G13</f>
        <v>9234.4483500865917</v>
      </c>
      <c r="D16" s="1609">
        <f t="shared" si="0"/>
        <v>5601775</v>
      </c>
      <c r="E16" s="1610">
        <f t="shared" si="1"/>
        <v>0</v>
      </c>
      <c r="F16" s="1611"/>
      <c r="G16" s="356">
        <f t="shared" si="2"/>
        <v>350372</v>
      </c>
      <c r="H16" s="1612">
        <f t="shared" si="5"/>
        <v>0</v>
      </c>
      <c r="I16" s="1624">
        <v>0</v>
      </c>
      <c r="J16" s="1612">
        <f t="shared" si="3"/>
        <v>5952147</v>
      </c>
      <c r="K16" s="1613">
        <f t="shared" si="4"/>
        <v>644.5590222987372</v>
      </c>
    </row>
    <row r="17" spans="1:11" x14ac:dyDescent="0.3">
      <c r="A17" s="36"/>
      <c r="B17" s="1592" t="str">
        <f>'1.2 Budgeted Enrollment YR1'!E14</f>
        <v>Esmeralda</v>
      </c>
      <c r="C17" s="355">
        <f>'1.2 Budgeted Enrollment YR1'!G14</f>
        <v>80.635895560117746</v>
      </c>
      <c r="D17" s="1609">
        <f t="shared" si="0"/>
        <v>386036</v>
      </c>
      <c r="E17" s="1610">
        <f t="shared" si="1"/>
        <v>0</v>
      </c>
      <c r="F17" s="1611"/>
      <c r="G17" s="356">
        <f t="shared" si="2"/>
        <v>77170</v>
      </c>
      <c r="H17" s="1612">
        <f t="shared" si="5"/>
        <v>0</v>
      </c>
      <c r="I17" s="1624">
        <v>0</v>
      </c>
      <c r="J17" s="1612">
        <f t="shared" si="3"/>
        <v>463206</v>
      </c>
      <c r="K17" s="1613">
        <f t="shared" si="4"/>
        <v>5744.4144048063399</v>
      </c>
    </row>
    <row r="18" spans="1:11" x14ac:dyDescent="0.3">
      <c r="A18" s="36"/>
      <c r="B18" s="1592" t="str">
        <f>'1.2 Budgeted Enrollment YR1'!E15</f>
        <v>Eureka</v>
      </c>
      <c r="C18" s="355">
        <f>'1.2 Budgeted Enrollment YR1'!G15</f>
        <v>297.58201989503061</v>
      </c>
      <c r="D18" s="1609">
        <f t="shared" si="0"/>
        <v>775691</v>
      </c>
      <c r="E18" s="1610">
        <f t="shared" si="1"/>
        <v>0</v>
      </c>
      <c r="F18" s="1611"/>
      <c r="G18" s="356">
        <f t="shared" si="2"/>
        <v>347949</v>
      </c>
      <c r="H18" s="1612">
        <f t="shared" si="5"/>
        <v>0</v>
      </c>
      <c r="I18" s="1624">
        <v>0</v>
      </c>
      <c r="J18" s="1612">
        <f t="shared" si="3"/>
        <v>1123640</v>
      </c>
      <c r="K18" s="1613">
        <f t="shared" si="4"/>
        <v>3775.9001716446242</v>
      </c>
    </row>
    <row r="19" spans="1:11" x14ac:dyDescent="0.3">
      <c r="A19" s="36"/>
      <c r="B19" s="1592" t="str">
        <f>'1.2 Budgeted Enrollment YR1'!E16</f>
        <v>Humboldt</v>
      </c>
      <c r="C19" s="355">
        <f>'1.2 Budgeted Enrollment YR1'!G16</f>
        <v>3135.8857800940204</v>
      </c>
      <c r="D19" s="1609">
        <f t="shared" si="0"/>
        <v>2016344</v>
      </c>
      <c r="E19" s="1610">
        <f t="shared" si="1"/>
        <v>0</v>
      </c>
      <c r="F19" s="1611"/>
      <c r="G19" s="356">
        <f t="shared" si="2"/>
        <v>4765</v>
      </c>
      <c r="H19" s="1612">
        <f t="shared" si="5"/>
        <v>0</v>
      </c>
      <c r="I19" s="1624">
        <v>0</v>
      </c>
      <c r="J19" s="1612">
        <f t="shared" si="3"/>
        <v>2021109</v>
      </c>
      <c r="K19" s="1613">
        <f t="shared" si="4"/>
        <v>644.50976270551632</v>
      </c>
    </row>
    <row r="20" spans="1:11" x14ac:dyDescent="0.3">
      <c r="A20" s="36"/>
      <c r="B20" s="1592" t="str">
        <f>'1.2 Budgeted Enrollment YR1'!E17</f>
        <v>Lander</v>
      </c>
      <c r="C20" s="355">
        <f>'1.2 Budgeted Enrollment YR1'!G17</f>
        <v>970.28169719049401</v>
      </c>
      <c r="D20" s="1609">
        <f t="shared" si="0"/>
        <v>400471</v>
      </c>
      <c r="E20" s="1610">
        <f t="shared" si="1"/>
        <v>0</v>
      </c>
      <c r="F20" s="1611"/>
      <c r="G20" s="356">
        <f t="shared" si="2"/>
        <v>15558</v>
      </c>
      <c r="H20" s="1612">
        <f t="shared" si="5"/>
        <v>0</v>
      </c>
      <c r="I20" s="1624">
        <v>0</v>
      </c>
      <c r="J20" s="1612">
        <f t="shared" si="3"/>
        <v>416029</v>
      </c>
      <c r="K20" s="1613">
        <f t="shared" si="4"/>
        <v>428.77135702408452</v>
      </c>
    </row>
    <row r="21" spans="1:11" x14ac:dyDescent="0.3">
      <c r="A21" s="36"/>
      <c r="B21" s="1592" t="str">
        <f>'1.2 Budgeted Enrollment YR1'!E18</f>
        <v>Lincoln</v>
      </c>
      <c r="C21" s="355">
        <f>'1.2 Budgeted Enrollment YR1'!G18</f>
        <v>870.02699048734246</v>
      </c>
      <c r="D21" s="1609">
        <f t="shared" si="0"/>
        <v>635350</v>
      </c>
      <c r="E21" s="1610">
        <f t="shared" si="1"/>
        <v>0</v>
      </c>
      <c r="F21" s="1611"/>
      <c r="G21" s="356">
        <f t="shared" si="2"/>
        <v>66961</v>
      </c>
      <c r="H21" s="1612">
        <f t="shared" si="5"/>
        <v>0</v>
      </c>
      <c r="I21" s="1624">
        <v>0</v>
      </c>
      <c r="J21" s="1612">
        <f t="shared" si="3"/>
        <v>702311</v>
      </c>
      <c r="K21" s="1613">
        <f t="shared" si="4"/>
        <v>807.22897988096099</v>
      </c>
    </row>
    <row r="22" spans="1:11" x14ac:dyDescent="0.3">
      <c r="A22" s="36"/>
      <c r="B22" s="1592" t="str">
        <f>'1.2 Budgeted Enrollment YR1'!E19</f>
        <v>Lyon</v>
      </c>
      <c r="C22" s="355">
        <f>'1.2 Budgeted Enrollment YR1'!G19</f>
        <v>8933.9764767711295</v>
      </c>
      <c r="D22" s="1609">
        <f t="shared" si="0"/>
        <v>5367830</v>
      </c>
      <c r="E22" s="1610">
        <f t="shared" si="1"/>
        <v>0</v>
      </c>
      <c r="F22" s="1611"/>
      <c r="G22" s="356">
        <f t="shared" si="2"/>
        <v>0</v>
      </c>
      <c r="H22" s="1612">
        <f t="shared" si="5"/>
        <v>0</v>
      </c>
      <c r="I22" s="1624">
        <v>0</v>
      </c>
      <c r="J22" s="1612">
        <f t="shared" si="3"/>
        <v>5367830</v>
      </c>
      <c r="K22" s="1613">
        <f t="shared" si="4"/>
        <v>600.83323634852604</v>
      </c>
    </row>
    <row r="23" spans="1:11" x14ac:dyDescent="0.3">
      <c r="A23" s="36"/>
      <c r="B23" s="1592" t="str">
        <f>'1.2 Budgeted Enrollment YR1'!E20</f>
        <v>Mineral</v>
      </c>
      <c r="C23" s="355">
        <f>'1.2 Budgeted Enrollment YR1'!G20</f>
        <v>509.60323278309136</v>
      </c>
      <c r="D23" s="1609">
        <f t="shared" si="0"/>
        <v>388223</v>
      </c>
      <c r="E23" s="1610">
        <f t="shared" si="1"/>
        <v>0</v>
      </c>
      <c r="F23" s="1611"/>
      <c r="G23" s="356">
        <f t="shared" si="2"/>
        <v>200104</v>
      </c>
      <c r="H23" s="1612">
        <f t="shared" si="5"/>
        <v>0</v>
      </c>
      <c r="I23" s="1624">
        <v>0</v>
      </c>
      <c r="J23" s="1612">
        <f t="shared" si="3"/>
        <v>588327</v>
      </c>
      <c r="K23" s="1613">
        <f t="shared" si="4"/>
        <v>1154.4805098409115</v>
      </c>
    </row>
    <row r="24" spans="1:11" x14ac:dyDescent="0.3">
      <c r="A24" s="36"/>
      <c r="B24" s="1592" t="str">
        <f>'1.2 Budgeted Enrollment YR1'!E21</f>
        <v>Nye</v>
      </c>
      <c r="C24" s="355">
        <f>'1.2 Budgeted Enrollment YR1'!G21</f>
        <v>5457.0457625112185</v>
      </c>
      <c r="D24" s="1609">
        <f t="shared" si="0"/>
        <v>4888451</v>
      </c>
      <c r="E24" s="1610">
        <f t="shared" si="1"/>
        <v>0</v>
      </c>
      <c r="F24" s="1611"/>
      <c r="G24" s="356">
        <f t="shared" si="2"/>
        <v>0</v>
      </c>
      <c r="H24" s="1612">
        <f t="shared" si="5"/>
        <v>0</v>
      </c>
      <c r="I24" s="1624">
        <v>0</v>
      </c>
      <c r="J24" s="1612">
        <f t="shared" si="3"/>
        <v>4888451</v>
      </c>
      <c r="K24" s="1613">
        <f t="shared" si="4"/>
        <v>895.80538861936111</v>
      </c>
    </row>
    <row r="25" spans="1:11" x14ac:dyDescent="0.3">
      <c r="A25" s="36"/>
      <c r="B25" s="1592" t="str">
        <f>'1.2 Budgeted Enrollment YR1'!E22</f>
        <v>Pershing</v>
      </c>
      <c r="C25" s="355">
        <f>'1.2 Budgeted Enrollment YR1'!G22</f>
        <v>635.8592256998902</v>
      </c>
      <c r="D25" s="1609">
        <f t="shared" si="0"/>
        <v>918038</v>
      </c>
      <c r="E25" s="1610">
        <f t="shared" si="1"/>
        <v>0</v>
      </c>
      <c r="F25" s="1611"/>
      <c r="G25" s="356">
        <f t="shared" si="2"/>
        <v>26439</v>
      </c>
      <c r="H25" s="1612">
        <f t="shared" si="5"/>
        <v>0</v>
      </c>
      <c r="I25" s="1624">
        <v>0</v>
      </c>
      <c r="J25" s="1612">
        <f t="shared" si="3"/>
        <v>944477</v>
      </c>
      <c r="K25" s="1613">
        <f t="shared" si="4"/>
        <v>1485.3555029580866</v>
      </c>
    </row>
    <row r="26" spans="1:11" x14ac:dyDescent="0.3">
      <c r="A26" s="36"/>
      <c r="B26" s="1592" t="str">
        <f>'1.2 Budgeted Enrollment YR1'!E23</f>
        <v>Storey</v>
      </c>
      <c r="C26" s="355">
        <f>'1.2 Budgeted Enrollment YR1'!G23</f>
        <v>395.34078642383383</v>
      </c>
      <c r="D26" s="1609">
        <f t="shared" si="0"/>
        <v>798030</v>
      </c>
      <c r="E26" s="1610">
        <f t="shared" si="1"/>
        <v>0</v>
      </c>
      <c r="F26" s="1611"/>
      <c r="G26" s="356">
        <f t="shared" si="2"/>
        <v>41097</v>
      </c>
      <c r="H26" s="1612">
        <f t="shared" si="5"/>
        <v>0</v>
      </c>
      <c r="I26" s="1624">
        <v>0</v>
      </c>
      <c r="J26" s="1612">
        <f t="shared" si="3"/>
        <v>839127</v>
      </c>
      <c r="K26" s="1613">
        <f t="shared" si="4"/>
        <v>2122.5409287783309</v>
      </c>
    </row>
    <row r="27" spans="1:11" x14ac:dyDescent="0.3">
      <c r="A27" s="36"/>
      <c r="B27" s="1592" t="str">
        <f>'1.2 Budgeted Enrollment YR1'!E24</f>
        <v>Washoe</v>
      </c>
      <c r="C27" s="355">
        <f>'1.2 Budgeted Enrollment YR1'!G24</f>
        <v>58816.718998091914</v>
      </c>
      <c r="D27" s="1609">
        <f t="shared" si="0"/>
        <v>25630842</v>
      </c>
      <c r="E27" s="1610">
        <f t="shared" si="1"/>
        <v>0</v>
      </c>
      <c r="F27" s="1611"/>
      <c r="G27" s="356">
        <f t="shared" si="2"/>
        <v>0</v>
      </c>
      <c r="H27" s="1612">
        <f t="shared" si="5"/>
        <v>0</v>
      </c>
      <c r="I27" s="1624">
        <v>0</v>
      </c>
      <c r="J27" s="1612">
        <f t="shared" si="3"/>
        <v>25630842</v>
      </c>
      <c r="K27" s="1613">
        <f t="shared" si="4"/>
        <v>435.77476670930071</v>
      </c>
    </row>
    <row r="28" spans="1:11" x14ac:dyDescent="0.3">
      <c r="A28" s="459"/>
      <c r="B28" s="2077" t="str">
        <f>'1.2 Budgeted Enrollment YR1'!E25</f>
        <v>White Pine</v>
      </c>
      <c r="C28" s="1614">
        <f>'1.2 Budgeted Enrollment YR1'!G25</f>
        <v>1231.0239819599622</v>
      </c>
      <c r="D28" s="1615">
        <f t="shared" si="0"/>
        <v>1312803</v>
      </c>
      <c r="E28" s="1616">
        <f>IF($F$6="Yes",(D28*$F$7),0)</f>
        <v>0</v>
      </c>
      <c r="F28" s="1617"/>
      <c r="G28" s="1618">
        <f>G79</f>
        <v>29539</v>
      </c>
      <c r="H28" s="1619">
        <f>IF($H$6="Yes",(G28*$H$7),0)</f>
        <v>0</v>
      </c>
      <c r="I28" s="1617">
        <v>0</v>
      </c>
      <c r="J28" s="1620">
        <f t="shared" si="3"/>
        <v>1342342</v>
      </c>
      <c r="K28" s="1621">
        <f t="shared" si="4"/>
        <v>1090.4271725582503</v>
      </c>
    </row>
    <row r="29" spans="1:11" x14ac:dyDescent="0.3">
      <c r="A29" s="36"/>
      <c r="B29" s="1592" t="str">
        <f>'1.2 Budgeted Enrollment YR1'!E26</f>
        <v>Charter Schools</v>
      </c>
      <c r="C29" s="355"/>
      <c r="D29" s="2002">
        <v>0</v>
      </c>
      <c r="E29" s="1622">
        <f>IF($F$6="Yes",(D29*$F$7),0)</f>
        <v>0</v>
      </c>
      <c r="F29" s="2003"/>
      <c r="G29" s="1623">
        <v>0</v>
      </c>
      <c r="H29" s="2004">
        <f>IF($H$6="Yes",(G29*$H$7),0)</f>
        <v>0</v>
      </c>
      <c r="I29" s="2158">
        <v>0</v>
      </c>
      <c r="J29" s="2004">
        <f>SUM(D29:E29)+F29+SUM(G29:I29)</f>
        <v>0</v>
      </c>
      <c r="K29" s="2004">
        <f t="shared" si="4"/>
        <v>0</v>
      </c>
    </row>
    <row r="30" spans="1:11" x14ac:dyDescent="0.3">
      <c r="A30" s="36"/>
      <c r="B30" s="1592" t="str">
        <f>'1.2 Budgeted Enrollment YR1'!E27</f>
        <v>University Schools</v>
      </c>
      <c r="C30" s="355">
        <v>0</v>
      </c>
      <c r="D30" s="356">
        <v>0</v>
      </c>
      <c r="E30" s="1612">
        <f t="shared" si="1"/>
        <v>0</v>
      </c>
      <c r="F30" s="1624"/>
      <c r="G30" s="1623">
        <v>0</v>
      </c>
      <c r="H30" s="1612">
        <f t="shared" si="5"/>
        <v>0</v>
      </c>
      <c r="I30" s="2159"/>
      <c r="J30" s="1613">
        <f t="shared" ref="J30" si="6">SUM(D30:E30)+F30+SUM(G30:H30)</f>
        <v>0</v>
      </c>
      <c r="K30" s="1612">
        <f t="shared" si="4"/>
        <v>0</v>
      </c>
    </row>
    <row r="31" spans="1:11" x14ac:dyDescent="0.3">
      <c r="A31" s="36"/>
      <c r="B31" s="1592" t="str">
        <f>'1.2 Budgeted Enrollment YR1'!E28</f>
        <v>City of Henderson</v>
      </c>
      <c r="C31" s="355">
        <v>0</v>
      </c>
      <c r="D31" s="356">
        <v>0</v>
      </c>
      <c r="E31" s="1612">
        <f t="shared" si="1"/>
        <v>0</v>
      </c>
      <c r="F31" s="1624"/>
      <c r="G31" s="1623">
        <v>0</v>
      </c>
      <c r="H31" s="1612">
        <f t="shared" ref="H31:H32" si="7">IF($H$6="Yes",(G31*$H$7),0)</f>
        <v>0</v>
      </c>
      <c r="I31" s="2159"/>
      <c r="J31" s="1613">
        <f t="shared" ref="J31:J32" si="8">SUM(D31:E31)+F31+SUM(G31:H31)</f>
        <v>0</v>
      </c>
      <c r="K31" s="1612">
        <f t="shared" si="4"/>
        <v>0</v>
      </c>
    </row>
    <row r="32" spans="1:11" x14ac:dyDescent="0.3">
      <c r="A32" s="459"/>
      <c r="B32" s="2077" t="str">
        <f>'1.2 Budgeted Enrollment YR1'!E29</f>
        <v>City of North Las Vegas</v>
      </c>
      <c r="C32" s="1614">
        <v>0</v>
      </c>
      <c r="D32" s="1618">
        <v>0</v>
      </c>
      <c r="E32" s="1620">
        <f t="shared" si="1"/>
        <v>0</v>
      </c>
      <c r="F32" s="1625"/>
      <c r="G32" s="1626">
        <v>0</v>
      </c>
      <c r="H32" s="1620">
        <f t="shared" si="7"/>
        <v>0</v>
      </c>
      <c r="I32" s="2160"/>
      <c r="J32" s="1621">
        <f t="shared" si="8"/>
        <v>0</v>
      </c>
      <c r="K32" s="1620">
        <f t="shared" si="4"/>
        <v>0</v>
      </c>
    </row>
    <row r="33" spans="1:11" s="4" customFormat="1" x14ac:dyDescent="0.3">
      <c r="A33" s="1627"/>
      <c r="B33" s="2078" t="s">
        <v>2222</v>
      </c>
      <c r="C33" s="1628">
        <f>SUM(C12:C32)</f>
        <v>391282.46487056493</v>
      </c>
      <c r="D33" s="1629">
        <f>SUM(D12:D32)</f>
        <v>192762547</v>
      </c>
      <c r="E33" s="1630"/>
      <c r="F33" s="1631"/>
      <c r="G33" s="1632">
        <f>SUM(G12:G32)</f>
        <v>1494411</v>
      </c>
      <c r="H33" s="1631"/>
      <c r="I33" s="2161">
        <f>SUM(I12:I32)</f>
        <v>0</v>
      </c>
      <c r="J33" s="1633">
        <f>SUM(J12:J32)</f>
        <v>194256958</v>
      </c>
      <c r="K33" s="1634">
        <f>J33/C33</f>
        <v>496.46221193239421</v>
      </c>
    </row>
    <row r="34" spans="1:11" x14ac:dyDescent="0.3">
      <c r="A34" s="36"/>
      <c r="B34" s="1592"/>
      <c r="C34" s="36"/>
      <c r="D34" s="355"/>
      <c r="E34" s="36"/>
      <c r="F34" s="36"/>
      <c r="G34" s="1635">
        <f>G33-G80</f>
        <v>0</v>
      </c>
      <c r="H34" s="1623"/>
      <c r="I34" s="2163"/>
      <c r="J34" s="36"/>
      <c r="K34" s="1636"/>
    </row>
    <row r="35" spans="1:11" ht="33" x14ac:dyDescent="0.3">
      <c r="B35" s="2079" t="s">
        <v>1355</v>
      </c>
      <c r="C35" s="4"/>
      <c r="D35" s="4"/>
      <c r="E35" s="4"/>
      <c r="F35" s="4"/>
    </row>
    <row r="36" spans="1:11" s="4" customFormat="1" ht="33" x14ac:dyDescent="0.3">
      <c r="B36" s="2079" t="s">
        <v>1356</v>
      </c>
      <c r="I36" s="1694">
        <f>I33*2</f>
        <v>0</v>
      </c>
    </row>
    <row r="37" spans="1:11" s="4" customFormat="1" x14ac:dyDescent="0.3">
      <c r="B37" s="2079"/>
    </row>
    <row r="38" spans="1:11" x14ac:dyDescent="0.3">
      <c r="B38" s="2080"/>
    </row>
    <row r="39" spans="1:11" x14ac:dyDescent="0.3">
      <c r="B39" s="2357" t="s">
        <v>1357</v>
      </c>
      <c r="C39" s="2358"/>
      <c r="D39" s="2358"/>
      <c r="E39" s="2358"/>
      <c r="F39" s="2358"/>
      <c r="G39" s="2359"/>
      <c r="H39" s="1637"/>
      <c r="I39" s="1637"/>
    </row>
    <row r="40" spans="1:11" ht="15.75" customHeight="1" x14ac:dyDescent="0.3">
      <c r="B40" s="80" t="s">
        <v>1358</v>
      </c>
      <c r="C40" s="4">
        <v>2021</v>
      </c>
      <c r="D40" s="4">
        <v>2022</v>
      </c>
      <c r="E40" s="4">
        <v>2023</v>
      </c>
      <c r="F40" s="313">
        <v>2024</v>
      </c>
      <c r="G40" s="17" t="s">
        <v>1359</v>
      </c>
      <c r="H40" s="17"/>
      <c r="I40" s="17"/>
    </row>
    <row r="41" spans="1:11" s="4" customFormat="1" x14ac:dyDescent="0.3">
      <c r="B41" s="466" t="s">
        <v>1360</v>
      </c>
      <c r="C41" s="135" t="s">
        <v>1361</v>
      </c>
      <c r="D41" s="135" t="s">
        <v>1362</v>
      </c>
      <c r="E41" s="197" t="s">
        <v>1363</v>
      </c>
      <c r="F41" s="197" t="s">
        <v>1364</v>
      </c>
      <c r="G41" s="197" t="s">
        <v>1365</v>
      </c>
      <c r="H41" s="17"/>
      <c r="I41" s="17"/>
    </row>
    <row r="42" spans="1:11" x14ac:dyDescent="0.3">
      <c r="B42" s="76" t="s">
        <v>1161</v>
      </c>
      <c r="C42" s="1638">
        <v>2176089</v>
      </c>
      <c r="D42" s="1638">
        <v>3223783</v>
      </c>
      <c r="E42" s="1638">
        <v>3492984</v>
      </c>
      <c r="F42" s="1638">
        <v>2582130.96</v>
      </c>
      <c r="G42" s="368">
        <f>ROUND(SUM(C42:F42)/4,0)</f>
        <v>2868747</v>
      </c>
      <c r="H42" s="10"/>
      <c r="I42" s="10"/>
    </row>
    <row r="43" spans="1:11" x14ac:dyDescent="0.3">
      <c r="B43" s="76" t="s">
        <v>271</v>
      </c>
      <c r="C43" s="1638">
        <v>1423240</v>
      </c>
      <c r="D43" s="1638">
        <v>1521517</v>
      </c>
      <c r="E43" s="1638">
        <v>2066573</v>
      </c>
      <c r="F43" s="1638">
        <v>1651859.04</v>
      </c>
      <c r="G43" s="368">
        <f t="shared" ref="G43:G58" si="9">ROUND(SUM(C43:F43)/4,0)</f>
        <v>1665797</v>
      </c>
      <c r="H43" s="10"/>
      <c r="I43" s="10"/>
    </row>
    <row r="44" spans="1:11" x14ac:dyDescent="0.3">
      <c r="B44" s="76" t="s">
        <v>273</v>
      </c>
      <c r="C44" s="1638">
        <v>133062633</v>
      </c>
      <c r="D44" s="1638">
        <v>125692509</v>
      </c>
      <c r="E44" s="1638">
        <v>141093213</v>
      </c>
      <c r="F44" s="1638">
        <v>140675060.88</v>
      </c>
      <c r="G44" s="368">
        <f t="shared" si="9"/>
        <v>135130854</v>
      </c>
      <c r="H44" s="10"/>
      <c r="I44" s="10"/>
    </row>
    <row r="45" spans="1:11" x14ac:dyDescent="0.3">
      <c r="B45" s="76" t="s">
        <v>275</v>
      </c>
      <c r="C45" s="1638">
        <v>3955235</v>
      </c>
      <c r="D45" s="1638">
        <v>4206792</v>
      </c>
      <c r="E45" s="1638">
        <v>3863784</v>
      </c>
      <c r="F45" s="1638">
        <v>3883247.04</v>
      </c>
      <c r="G45" s="368">
        <f t="shared" si="9"/>
        <v>3977265</v>
      </c>
      <c r="H45" s="10"/>
      <c r="I45" s="10"/>
    </row>
    <row r="46" spans="1:11" x14ac:dyDescent="0.3">
      <c r="B46" s="76" t="s">
        <v>277</v>
      </c>
      <c r="C46" s="1638">
        <v>4009666</v>
      </c>
      <c r="D46" s="1638">
        <v>5649560</v>
      </c>
      <c r="E46" s="1638">
        <v>8048042</v>
      </c>
      <c r="F46" s="1638">
        <v>4699832.04</v>
      </c>
      <c r="G46" s="368">
        <f t="shared" si="9"/>
        <v>5601775</v>
      </c>
      <c r="H46" s="10"/>
      <c r="I46" s="10"/>
    </row>
    <row r="47" spans="1:11" x14ac:dyDescent="0.3">
      <c r="B47" s="76" t="s">
        <v>279</v>
      </c>
      <c r="C47" s="1638">
        <v>462906</v>
      </c>
      <c r="D47" s="1638">
        <v>334748</v>
      </c>
      <c r="E47" s="1638">
        <v>418493</v>
      </c>
      <c r="F47" s="1638">
        <v>327998.03999999998</v>
      </c>
      <c r="G47" s="368">
        <f t="shared" si="9"/>
        <v>386036</v>
      </c>
      <c r="H47" s="10"/>
      <c r="I47" s="10"/>
    </row>
    <row r="48" spans="1:11" x14ac:dyDescent="0.3">
      <c r="B48" s="76" t="s">
        <v>281</v>
      </c>
      <c r="C48" s="1638">
        <v>1026559</v>
      </c>
      <c r="D48" s="1638">
        <v>995885</v>
      </c>
      <c r="E48" s="1638">
        <v>431629</v>
      </c>
      <c r="F48" s="1638">
        <v>648691.30000000005</v>
      </c>
      <c r="G48" s="368">
        <f t="shared" si="9"/>
        <v>775691</v>
      </c>
      <c r="H48" s="10"/>
      <c r="I48" s="10"/>
    </row>
    <row r="49" spans="2:10" x14ac:dyDescent="0.3">
      <c r="B49" s="76" t="s">
        <v>283</v>
      </c>
      <c r="C49" s="1638">
        <v>1542017</v>
      </c>
      <c r="D49" s="1638">
        <v>2287007</v>
      </c>
      <c r="E49" s="1638">
        <v>2221776</v>
      </c>
      <c r="F49" s="1638">
        <v>2014575</v>
      </c>
      <c r="G49" s="368">
        <f t="shared" si="9"/>
        <v>2016344</v>
      </c>
      <c r="H49" s="10"/>
      <c r="I49" s="10"/>
    </row>
    <row r="50" spans="2:10" x14ac:dyDescent="0.3">
      <c r="B50" s="76" t="s">
        <v>285</v>
      </c>
      <c r="C50" s="1638">
        <v>250328</v>
      </c>
      <c r="D50" s="1638">
        <v>430551</v>
      </c>
      <c r="E50" s="1638">
        <v>507749</v>
      </c>
      <c r="F50" s="1638">
        <v>413256.96000000002</v>
      </c>
      <c r="G50" s="368">
        <f t="shared" si="9"/>
        <v>400471</v>
      </c>
      <c r="H50" s="10"/>
      <c r="I50" s="10"/>
    </row>
    <row r="51" spans="2:10" x14ac:dyDescent="0.3">
      <c r="B51" s="76" t="s">
        <v>287</v>
      </c>
      <c r="C51" s="1638">
        <v>352938</v>
      </c>
      <c r="D51" s="1638">
        <v>767800</v>
      </c>
      <c r="E51" s="1638">
        <v>767664</v>
      </c>
      <c r="F51" s="1638">
        <v>652999</v>
      </c>
      <c r="G51" s="368">
        <f t="shared" si="9"/>
        <v>635350</v>
      </c>
      <c r="H51" s="10"/>
      <c r="I51" s="10"/>
    </row>
    <row r="52" spans="2:10" x14ac:dyDescent="0.3">
      <c r="B52" s="76" t="s">
        <v>289</v>
      </c>
      <c r="C52" s="1638">
        <v>5048652</v>
      </c>
      <c r="D52" s="1638">
        <v>5770236</v>
      </c>
      <c r="E52" s="1638">
        <v>5644993</v>
      </c>
      <c r="F52" s="1638">
        <v>5007438.96</v>
      </c>
      <c r="G52" s="368">
        <f t="shared" si="9"/>
        <v>5367830</v>
      </c>
      <c r="H52" s="10"/>
      <c r="I52" s="10"/>
    </row>
    <row r="53" spans="2:10" x14ac:dyDescent="0.3">
      <c r="B53" s="76" t="s">
        <v>291</v>
      </c>
      <c r="C53" s="1638">
        <v>343102</v>
      </c>
      <c r="D53" s="1638">
        <v>353442</v>
      </c>
      <c r="E53" s="1638">
        <v>540830</v>
      </c>
      <c r="F53" s="1638">
        <v>315516.96000000002</v>
      </c>
      <c r="G53" s="368">
        <f t="shared" si="9"/>
        <v>388223</v>
      </c>
      <c r="H53" s="10"/>
      <c r="I53" s="10"/>
    </row>
    <row r="54" spans="2:10" x14ac:dyDescent="0.3">
      <c r="B54" s="76" t="s">
        <v>293</v>
      </c>
      <c r="C54" s="1638">
        <v>3910726</v>
      </c>
      <c r="D54" s="1638">
        <v>5223632</v>
      </c>
      <c r="E54" s="1638">
        <v>6158310</v>
      </c>
      <c r="F54" s="1638">
        <v>4261136.04</v>
      </c>
      <c r="G54" s="368">
        <f t="shared" si="9"/>
        <v>4888451</v>
      </c>
      <c r="H54" s="10"/>
      <c r="I54" s="10"/>
    </row>
    <row r="55" spans="2:10" x14ac:dyDescent="0.3">
      <c r="B55" s="76" t="s">
        <v>295</v>
      </c>
      <c r="C55" s="1638">
        <v>722657</v>
      </c>
      <c r="D55" s="1638">
        <v>868115</v>
      </c>
      <c r="E55" s="1638">
        <v>969465</v>
      </c>
      <c r="F55" s="1638">
        <v>1111914.47</v>
      </c>
      <c r="G55" s="368">
        <f t="shared" si="9"/>
        <v>918038</v>
      </c>
      <c r="H55" s="10"/>
      <c r="I55" s="10"/>
    </row>
    <row r="56" spans="2:10" x14ac:dyDescent="0.3">
      <c r="B56" s="76" t="s">
        <v>297</v>
      </c>
      <c r="C56" s="1638">
        <v>316473</v>
      </c>
      <c r="D56" s="1638">
        <v>733800</v>
      </c>
      <c r="E56" s="1638">
        <v>507749</v>
      </c>
      <c r="F56" s="1638">
        <v>1634099.4</v>
      </c>
      <c r="G56" s="368">
        <f t="shared" si="9"/>
        <v>798030</v>
      </c>
      <c r="H56" s="10"/>
      <c r="I56" s="10"/>
    </row>
    <row r="57" spans="2:10" x14ac:dyDescent="0.3">
      <c r="B57" s="76" t="s">
        <v>299</v>
      </c>
      <c r="C57" s="1638">
        <v>22182600</v>
      </c>
      <c r="D57" s="1638">
        <v>24709174</v>
      </c>
      <c r="E57" s="1638">
        <v>31930689</v>
      </c>
      <c r="F57" s="1638">
        <v>23700906.960000001</v>
      </c>
      <c r="G57" s="368">
        <f t="shared" si="9"/>
        <v>25630842</v>
      </c>
      <c r="H57" s="10"/>
      <c r="I57" s="10"/>
    </row>
    <row r="58" spans="2:10" x14ac:dyDescent="0.3">
      <c r="B58" s="2081" t="s">
        <v>301</v>
      </c>
      <c r="C58" s="1639">
        <v>1590086</v>
      </c>
      <c r="D58" s="1639">
        <v>1174956</v>
      </c>
      <c r="E58" s="1639">
        <v>1269470</v>
      </c>
      <c r="F58" s="1639">
        <v>1216700.04</v>
      </c>
      <c r="G58" s="391">
        <f t="shared" si="9"/>
        <v>1312803</v>
      </c>
      <c r="H58" s="10"/>
      <c r="I58" s="10"/>
    </row>
    <row r="59" spans="2:10" x14ac:dyDescent="0.3">
      <c r="C59" s="370">
        <f>SUM(C42:C58)</f>
        <v>182375907</v>
      </c>
      <c r="D59" s="370">
        <f>SUM(D42:D58)</f>
        <v>183943507</v>
      </c>
      <c r="E59" s="370">
        <f>SUM(E42:E58)</f>
        <v>209933413</v>
      </c>
      <c r="F59" s="370">
        <f>SUM(F42:F58)</f>
        <v>194797363.09</v>
      </c>
      <c r="G59" s="370">
        <f>SUM(G42:G58)</f>
        <v>192762547</v>
      </c>
      <c r="H59" s="131">
        <f>G59-'6.1 Auxiliary Services YR2'!G58</f>
        <v>0</v>
      </c>
      <c r="I59" s="131"/>
      <c r="J59" s="12"/>
    </row>
    <row r="60" spans="2:10" x14ac:dyDescent="0.3">
      <c r="C60" s="15"/>
      <c r="D60" s="15"/>
      <c r="E60" s="15"/>
      <c r="F60" s="15"/>
      <c r="G60" s="12">
        <f>SUM(D12:D28)-G59-G146</f>
        <v>0</v>
      </c>
      <c r="H60" s="131"/>
      <c r="I60" s="131"/>
      <c r="J60" s="15"/>
    </row>
    <row r="61" spans="2:10" x14ac:dyDescent="0.3">
      <c r="B61" s="80" t="s">
        <v>1366</v>
      </c>
      <c r="C61" s="4">
        <f t="shared" ref="C61:F62" si="10">C40</f>
        <v>2021</v>
      </c>
      <c r="D61" s="4">
        <f t="shared" si="10"/>
        <v>2022</v>
      </c>
      <c r="E61" s="4">
        <f t="shared" si="10"/>
        <v>2023</v>
      </c>
      <c r="F61" s="4">
        <f t="shared" si="10"/>
        <v>2024</v>
      </c>
      <c r="G61" s="17" t="s">
        <v>1367</v>
      </c>
      <c r="H61" s="150"/>
      <c r="I61" s="150"/>
    </row>
    <row r="62" spans="2:10" x14ac:dyDescent="0.3">
      <c r="B62" s="466" t="s">
        <v>1368</v>
      </c>
      <c r="C62" s="197" t="str">
        <f t="shared" si="10"/>
        <v>2021 NRS 387 Report</v>
      </c>
      <c r="D62" s="197" t="str">
        <f t="shared" si="10"/>
        <v>2022 NRS 387 Report</v>
      </c>
      <c r="E62" s="197" t="str">
        <f t="shared" si="10"/>
        <v>2023 NRS 387 Report</v>
      </c>
      <c r="F62" s="197" t="str">
        <f t="shared" si="10"/>
        <v>2024 NRS 387 Report</v>
      </c>
      <c r="G62" s="197"/>
      <c r="H62" s="150"/>
      <c r="I62" s="150"/>
    </row>
    <row r="63" spans="2:10" x14ac:dyDescent="0.3">
      <c r="B63" s="76" t="s">
        <v>1161</v>
      </c>
      <c r="C63" s="1638">
        <v>921727</v>
      </c>
      <c r="D63" s="1638">
        <v>0</v>
      </c>
      <c r="E63" s="1638">
        <v>0</v>
      </c>
      <c r="F63" s="1638">
        <v>416102.04</v>
      </c>
      <c r="G63" s="368">
        <f>ROUND(SUM(C63:F63)/4,0)</f>
        <v>334457</v>
      </c>
      <c r="H63" s="173"/>
      <c r="I63" s="173"/>
    </row>
    <row r="64" spans="2:10" x14ac:dyDescent="0.3">
      <c r="B64" s="76" t="s">
        <v>271</v>
      </c>
      <c r="C64" s="1638">
        <v>0</v>
      </c>
      <c r="D64" s="1638">
        <v>0</v>
      </c>
      <c r="E64" s="1638">
        <v>0</v>
      </c>
      <c r="F64" s="1638" t="s">
        <v>1369</v>
      </c>
      <c r="G64" s="368">
        <f t="shared" ref="G64:G79" si="11">ROUND(SUM(C64:F64)/4,0)</f>
        <v>0</v>
      </c>
      <c r="H64" s="173"/>
      <c r="I64" s="173"/>
    </row>
    <row r="65" spans="2:10" x14ac:dyDescent="0.3">
      <c r="B65" s="76" t="s">
        <v>273</v>
      </c>
      <c r="C65" s="1638">
        <v>0</v>
      </c>
      <c r="D65" s="1638">
        <v>0</v>
      </c>
      <c r="E65" s="1638">
        <v>0</v>
      </c>
      <c r="F65" s="1638"/>
      <c r="G65" s="368">
        <f t="shared" si="11"/>
        <v>0</v>
      </c>
      <c r="H65" s="173"/>
      <c r="I65" s="173"/>
    </row>
    <row r="66" spans="2:10" x14ac:dyDescent="0.3">
      <c r="B66" s="76" t="s">
        <v>275</v>
      </c>
      <c r="C66" s="1638">
        <v>0</v>
      </c>
      <c r="D66" s="1638">
        <v>0</v>
      </c>
      <c r="E66" s="1638">
        <v>0</v>
      </c>
      <c r="F66" s="1638"/>
      <c r="G66" s="368">
        <f t="shared" si="11"/>
        <v>0</v>
      </c>
      <c r="H66" s="173"/>
      <c r="I66" s="173"/>
    </row>
    <row r="67" spans="2:10" x14ac:dyDescent="0.3">
      <c r="B67" s="76" t="s">
        <v>277</v>
      </c>
      <c r="C67" s="1638">
        <v>543565</v>
      </c>
      <c r="D67" s="1638">
        <v>344693</v>
      </c>
      <c r="E67" s="1638">
        <v>201247</v>
      </c>
      <c r="F67" s="1638">
        <v>311983.2</v>
      </c>
      <c r="G67" s="368">
        <f t="shared" si="11"/>
        <v>350372</v>
      </c>
      <c r="H67" s="173"/>
      <c r="I67" s="173"/>
    </row>
    <row r="68" spans="2:10" x14ac:dyDescent="0.3">
      <c r="B68" s="76" t="s">
        <v>279</v>
      </c>
      <c r="C68" s="1638">
        <v>83405</v>
      </c>
      <c r="D68" s="1638">
        <v>60000</v>
      </c>
      <c r="E68" s="1638">
        <v>56000</v>
      </c>
      <c r="F68" s="1638">
        <v>109275</v>
      </c>
      <c r="G68" s="368">
        <f t="shared" si="11"/>
        <v>77170</v>
      </c>
      <c r="H68" s="173"/>
      <c r="I68" s="173"/>
    </row>
    <row r="69" spans="2:10" x14ac:dyDescent="0.3">
      <c r="B69" s="76" t="s">
        <v>281</v>
      </c>
      <c r="C69" s="1638">
        <v>320562</v>
      </c>
      <c r="D69" s="1638">
        <v>334261</v>
      </c>
      <c r="E69" s="1638">
        <v>334757</v>
      </c>
      <c r="F69" s="1638">
        <v>402216.06</v>
      </c>
      <c r="G69" s="368">
        <f t="shared" si="11"/>
        <v>347949</v>
      </c>
      <c r="H69" s="173"/>
      <c r="I69" s="173"/>
    </row>
    <row r="70" spans="2:10" x14ac:dyDescent="0.3">
      <c r="B70" s="76" t="s">
        <v>283</v>
      </c>
      <c r="C70" s="1638">
        <v>0</v>
      </c>
      <c r="D70" s="1638">
        <v>0</v>
      </c>
      <c r="E70" s="1638">
        <v>0</v>
      </c>
      <c r="F70" s="1638">
        <v>19058.04</v>
      </c>
      <c r="G70" s="368">
        <f t="shared" si="11"/>
        <v>4765</v>
      </c>
      <c r="H70" s="173"/>
      <c r="I70" s="173"/>
    </row>
    <row r="71" spans="2:10" x14ac:dyDescent="0.3">
      <c r="B71" s="76" t="s">
        <v>285</v>
      </c>
      <c r="C71" s="1638">
        <v>0</v>
      </c>
      <c r="D71" s="1638">
        <v>0</v>
      </c>
      <c r="E71" s="1638">
        <v>37273</v>
      </c>
      <c r="F71" s="1638">
        <v>24957.96</v>
      </c>
      <c r="G71" s="368">
        <f t="shared" si="11"/>
        <v>15558</v>
      </c>
      <c r="H71" s="173"/>
      <c r="I71" s="173"/>
    </row>
    <row r="72" spans="2:10" x14ac:dyDescent="0.3">
      <c r="B72" s="76" t="s">
        <v>287</v>
      </c>
      <c r="C72" s="1638">
        <v>30000</v>
      </c>
      <c r="D72" s="1638">
        <v>71278</v>
      </c>
      <c r="E72" s="1638">
        <v>69576</v>
      </c>
      <c r="F72" s="1638">
        <v>96990.04</v>
      </c>
      <c r="G72" s="368">
        <f t="shared" si="11"/>
        <v>66961</v>
      </c>
      <c r="H72" s="173"/>
      <c r="I72" s="173"/>
    </row>
    <row r="73" spans="2:10" x14ac:dyDescent="0.3">
      <c r="B73" s="76" t="s">
        <v>289</v>
      </c>
      <c r="C73" s="1638">
        <v>0</v>
      </c>
      <c r="D73" s="1638">
        <v>0</v>
      </c>
      <c r="E73" s="1638">
        <v>0</v>
      </c>
      <c r="F73" s="1638"/>
      <c r="G73" s="368">
        <f t="shared" si="11"/>
        <v>0</v>
      </c>
      <c r="H73" s="173"/>
      <c r="I73" s="173"/>
    </row>
    <row r="74" spans="2:10" x14ac:dyDescent="0.3">
      <c r="B74" s="76" t="s">
        <v>291</v>
      </c>
      <c r="C74" s="1638">
        <v>179605</v>
      </c>
      <c r="D74" s="1638">
        <v>280495</v>
      </c>
      <c r="E74" s="1638">
        <v>181558</v>
      </c>
      <c r="F74" s="1638">
        <v>158757.96</v>
      </c>
      <c r="G74" s="368">
        <f t="shared" si="11"/>
        <v>200104</v>
      </c>
      <c r="H74" s="173"/>
      <c r="I74" s="173"/>
    </row>
    <row r="75" spans="2:10" x14ac:dyDescent="0.3">
      <c r="B75" s="76" t="s">
        <v>293</v>
      </c>
      <c r="C75" s="1638">
        <v>0</v>
      </c>
      <c r="D75" s="1638">
        <v>0</v>
      </c>
      <c r="E75" s="1638">
        <v>0</v>
      </c>
      <c r="F75" s="1638"/>
      <c r="G75" s="368">
        <f t="shared" si="11"/>
        <v>0</v>
      </c>
      <c r="H75" s="173"/>
      <c r="I75" s="173"/>
    </row>
    <row r="76" spans="2:10" x14ac:dyDescent="0.3">
      <c r="B76" s="76" t="s">
        <v>295</v>
      </c>
      <c r="C76" s="1638">
        <v>20000</v>
      </c>
      <c r="D76" s="1638">
        <v>0</v>
      </c>
      <c r="E76" s="1638">
        <v>60530</v>
      </c>
      <c r="F76" s="1638">
        <v>25225</v>
      </c>
      <c r="G76" s="368">
        <f t="shared" si="11"/>
        <v>26439</v>
      </c>
      <c r="H76" s="173"/>
      <c r="I76" s="173"/>
    </row>
    <row r="77" spans="2:10" x14ac:dyDescent="0.3">
      <c r="B77" s="76" t="s">
        <v>297</v>
      </c>
      <c r="C77" s="1638">
        <v>26812</v>
      </c>
      <c r="D77" s="1638">
        <v>17632</v>
      </c>
      <c r="E77" s="1638">
        <v>37273</v>
      </c>
      <c r="F77" s="1638">
        <v>82671.240000000005</v>
      </c>
      <c r="G77" s="368">
        <f t="shared" si="11"/>
        <v>41097</v>
      </c>
      <c r="H77" s="173"/>
      <c r="I77" s="173"/>
    </row>
    <row r="78" spans="2:10" x14ac:dyDescent="0.3">
      <c r="B78" s="76" t="s">
        <v>299</v>
      </c>
      <c r="C78" s="1638">
        <v>0</v>
      </c>
      <c r="D78" s="1638">
        <v>0</v>
      </c>
      <c r="E78" s="1638">
        <v>0</v>
      </c>
      <c r="F78" s="1638"/>
      <c r="G78" s="368">
        <f t="shared" si="11"/>
        <v>0</v>
      </c>
      <c r="H78" s="173"/>
      <c r="I78" s="173"/>
    </row>
    <row r="79" spans="2:10" x14ac:dyDescent="0.3">
      <c r="B79" s="2081" t="s">
        <v>301</v>
      </c>
      <c r="C79" s="1639">
        <v>25318</v>
      </c>
      <c r="D79" s="1639">
        <v>3794</v>
      </c>
      <c r="E79" s="1639">
        <v>89042</v>
      </c>
      <c r="F79" s="1639" t="s">
        <v>1369</v>
      </c>
      <c r="G79" s="391">
        <f t="shared" si="11"/>
        <v>29539</v>
      </c>
      <c r="H79" s="796"/>
      <c r="I79" s="796"/>
    </row>
    <row r="80" spans="2:10" x14ac:dyDescent="0.3">
      <c r="C80" s="370">
        <f>SUM(C63:C79)</f>
        <v>2150994</v>
      </c>
      <c r="D80" s="370">
        <f>SUM(D63:D79)</f>
        <v>1112153</v>
      </c>
      <c r="E80" s="370">
        <f>SUM(E63:E79)</f>
        <v>1067256</v>
      </c>
      <c r="F80" s="370">
        <f>SUM(F63:F79)</f>
        <v>1647236.54</v>
      </c>
      <c r="G80" s="370">
        <f>SUM(G63:G79)</f>
        <v>1494411</v>
      </c>
      <c r="H80" s="131">
        <f>G80-'6.1 Auxiliary Services YR2'!G79</f>
        <v>0</v>
      </c>
      <c r="I80" s="131"/>
      <c r="J80" s="12"/>
    </row>
    <row r="81" spans="2:10" x14ac:dyDescent="0.3">
      <c r="C81" s="4"/>
      <c r="D81" s="4"/>
      <c r="E81" s="4"/>
      <c r="F81" s="4"/>
      <c r="G81" s="17">
        <f>G80-G33</f>
        <v>0</v>
      </c>
      <c r="H81" s="108"/>
      <c r="I81" s="108"/>
      <c r="J81" s="15"/>
    </row>
    <row r="82" spans="2:10" ht="33" x14ac:dyDescent="0.3">
      <c r="B82" s="79" t="s">
        <v>1358</v>
      </c>
      <c r="C82" s="4">
        <f t="shared" ref="C82:F82" si="12">C61</f>
        <v>2021</v>
      </c>
      <c r="D82" s="4">
        <f t="shared" si="12"/>
        <v>2022</v>
      </c>
      <c r="E82" s="4">
        <f t="shared" si="12"/>
        <v>2023</v>
      </c>
      <c r="F82" s="4">
        <f t="shared" si="12"/>
        <v>2024</v>
      </c>
      <c r="G82" s="17" t="s">
        <v>1367</v>
      </c>
      <c r="H82" s="108"/>
      <c r="I82" s="108"/>
      <c r="J82" s="15"/>
    </row>
    <row r="83" spans="2:10" x14ac:dyDescent="0.3">
      <c r="B83" s="79" t="s">
        <v>1360</v>
      </c>
      <c r="C83" s="197" t="str">
        <f t="shared" ref="C83:F83" si="13">C62</f>
        <v>2021 NRS 387 Report</v>
      </c>
      <c r="D83" s="197" t="str">
        <f t="shared" si="13"/>
        <v>2022 NRS 387 Report</v>
      </c>
      <c r="E83" s="197" t="str">
        <f t="shared" si="13"/>
        <v>2023 NRS 387 Report</v>
      </c>
      <c r="F83" s="197" t="str">
        <f t="shared" si="13"/>
        <v>2024 NRS 387 Report</v>
      </c>
      <c r="G83" s="197"/>
      <c r="I83" s="108"/>
    </row>
    <row r="84" spans="2:10" ht="33" x14ac:dyDescent="0.3">
      <c r="B84" s="76" t="s">
        <v>320</v>
      </c>
      <c r="C84" s="2074"/>
      <c r="D84" s="2074"/>
      <c r="E84" s="2074"/>
      <c r="F84" s="2164"/>
      <c r="G84" s="368">
        <f>F84</f>
        <v>0</v>
      </c>
      <c r="I84" s="108"/>
    </row>
    <row r="85" spans="2:10" x14ac:dyDescent="0.3">
      <c r="B85" s="76" t="s">
        <v>324</v>
      </c>
      <c r="C85" s="2074"/>
      <c r="D85" s="2074"/>
      <c r="E85" s="2074"/>
      <c r="F85" s="2164"/>
      <c r="G85" s="368">
        <f t="shared" ref="G85:G145" si="14">F85</f>
        <v>0</v>
      </c>
      <c r="I85" s="108"/>
    </row>
    <row r="86" spans="2:10" x14ac:dyDescent="0.3">
      <c r="B86" s="76" t="s">
        <v>327</v>
      </c>
      <c r="C86" s="2074"/>
      <c r="D86" s="2074"/>
      <c r="E86" s="2074"/>
      <c r="F86" s="2164"/>
      <c r="G86" s="368">
        <f t="shared" si="14"/>
        <v>0</v>
      </c>
      <c r="I86" s="108"/>
    </row>
    <row r="87" spans="2:10" ht="33" x14ac:dyDescent="0.3">
      <c r="B87" s="76" t="s">
        <v>330</v>
      </c>
      <c r="C87" s="2074"/>
      <c r="D87" s="2074"/>
      <c r="E87" s="2074"/>
      <c r="F87" s="2164"/>
      <c r="G87" s="368">
        <f t="shared" si="14"/>
        <v>0</v>
      </c>
      <c r="I87" s="108"/>
    </row>
    <row r="88" spans="2:10" x14ac:dyDescent="0.3">
      <c r="B88" s="76" t="s">
        <v>334</v>
      </c>
      <c r="C88" s="2074"/>
      <c r="D88" s="2074"/>
      <c r="E88" s="2074"/>
      <c r="F88" s="2164"/>
      <c r="G88" s="368">
        <f t="shared" si="14"/>
        <v>0</v>
      </c>
      <c r="I88" s="108"/>
    </row>
    <row r="89" spans="2:10" x14ac:dyDescent="0.3">
      <c r="B89" s="76" t="s">
        <v>337</v>
      </c>
      <c r="C89" s="2074"/>
      <c r="D89" s="2074"/>
      <c r="E89" s="2074"/>
      <c r="F89" s="2164"/>
      <c r="G89" s="368">
        <f t="shared" si="14"/>
        <v>0</v>
      </c>
      <c r="I89" s="108"/>
    </row>
    <row r="90" spans="2:10" x14ac:dyDescent="0.3">
      <c r="B90" s="76" t="s">
        <v>340</v>
      </c>
      <c r="C90" s="2074"/>
      <c r="D90" s="2074"/>
      <c r="E90" s="2074"/>
      <c r="F90" s="2164"/>
      <c r="G90" s="368">
        <f t="shared" si="14"/>
        <v>0</v>
      </c>
      <c r="I90" s="108"/>
    </row>
    <row r="91" spans="2:10" x14ac:dyDescent="0.3">
      <c r="B91" s="76" t="s">
        <v>343</v>
      </c>
      <c r="C91" s="2074"/>
      <c r="D91" s="2074"/>
      <c r="E91" s="2074"/>
      <c r="F91" s="2164"/>
      <c r="G91" s="368">
        <f t="shared" si="14"/>
        <v>0</v>
      </c>
      <c r="I91" s="108"/>
    </row>
    <row r="92" spans="2:10" x14ac:dyDescent="0.3">
      <c r="B92" s="76" t="s">
        <v>345</v>
      </c>
      <c r="C92" s="2074"/>
      <c r="D92" s="2074"/>
      <c r="E92" s="2074"/>
      <c r="F92" s="2164"/>
      <c r="G92" s="368">
        <f t="shared" si="14"/>
        <v>0</v>
      </c>
      <c r="I92" s="108"/>
    </row>
    <row r="93" spans="2:10" ht="33" x14ac:dyDescent="0.3">
      <c r="B93" s="76" t="s">
        <v>348</v>
      </c>
      <c r="C93" s="2074"/>
      <c r="D93" s="2074"/>
      <c r="E93" s="2074"/>
      <c r="F93" s="2164"/>
      <c r="G93" s="368">
        <f t="shared" si="14"/>
        <v>0</v>
      </c>
      <c r="I93" s="108"/>
    </row>
    <row r="94" spans="2:10" ht="33" x14ac:dyDescent="0.3">
      <c r="B94" s="76" t="s">
        <v>351</v>
      </c>
      <c r="C94" s="2074"/>
      <c r="D94" s="2074"/>
      <c r="E94" s="2074"/>
      <c r="F94" s="2164"/>
      <c r="G94" s="368">
        <f t="shared" si="14"/>
        <v>0</v>
      </c>
      <c r="I94" s="108"/>
    </row>
    <row r="95" spans="2:10" x14ac:dyDescent="0.3">
      <c r="B95" s="76" t="s">
        <v>354</v>
      </c>
      <c r="C95" s="2074"/>
      <c r="D95" s="2074"/>
      <c r="E95" s="2074"/>
      <c r="F95" s="2164"/>
      <c r="G95" s="368">
        <f t="shared" si="14"/>
        <v>0</v>
      </c>
      <c r="I95" s="108"/>
    </row>
    <row r="96" spans="2:10" x14ac:dyDescent="0.3">
      <c r="B96" s="76" t="s">
        <v>357</v>
      </c>
      <c r="C96" s="2074"/>
      <c r="D96" s="2074"/>
      <c r="E96" s="2074"/>
      <c r="F96" s="2164"/>
      <c r="G96" s="368">
        <f t="shared" si="14"/>
        <v>0</v>
      </c>
      <c r="I96" s="108"/>
    </row>
    <row r="97" spans="2:9" x14ac:dyDescent="0.3">
      <c r="B97" s="76" t="s">
        <v>360</v>
      </c>
      <c r="C97" s="2074"/>
      <c r="D97" s="2074"/>
      <c r="E97" s="2074"/>
      <c r="F97" s="2164"/>
      <c r="G97" s="368">
        <f t="shared" si="14"/>
        <v>0</v>
      </c>
      <c r="I97" s="108"/>
    </row>
    <row r="98" spans="2:9" x14ac:dyDescent="0.3">
      <c r="B98" s="76" t="s">
        <v>363</v>
      </c>
      <c r="C98" s="2074"/>
      <c r="D98" s="2074"/>
      <c r="E98" s="2074"/>
      <c r="F98" s="2164"/>
      <c r="G98" s="368">
        <f t="shared" si="14"/>
        <v>0</v>
      </c>
      <c r="I98" s="108"/>
    </row>
    <row r="99" spans="2:9" x14ac:dyDescent="0.3">
      <c r="B99" s="76" t="s">
        <v>368</v>
      </c>
      <c r="C99" s="2074"/>
      <c r="D99" s="2074"/>
      <c r="E99" s="2074"/>
      <c r="F99" s="2164"/>
      <c r="G99" s="368">
        <f t="shared" si="14"/>
        <v>0</v>
      </c>
      <c r="I99" s="108"/>
    </row>
    <row r="100" spans="2:9" x14ac:dyDescent="0.3">
      <c r="B100" s="76" t="s">
        <v>372</v>
      </c>
      <c r="C100" s="2074"/>
      <c r="D100" s="2074"/>
      <c r="E100" s="2074"/>
      <c r="F100" s="2164"/>
      <c r="G100" s="368">
        <f t="shared" si="14"/>
        <v>0</v>
      </c>
      <c r="I100" s="108"/>
    </row>
    <row r="101" spans="2:9" x14ac:dyDescent="0.3">
      <c r="B101" s="76" t="s">
        <v>375</v>
      </c>
      <c r="C101" s="2074"/>
      <c r="D101" s="2074"/>
      <c r="E101" s="2074"/>
      <c r="F101" s="2164"/>
      <c r="G101" s="368">
        <f t="shared" si="14"/>
        <v>0</v>
      </c>
      <c r="I101" s="108"/>
    </row>
    <row r="102" spans="2:9" x14ac:dyDescent="0.3">
      <c r="B102" s="76" t="s">
        <v>378</v>
      </c>
      <c r="C102" s="2074"/>
      <c r="D102" s="2074"/>
      <c r="E102" s="2074"/>
      <c r="F102" s="2164"/>
      <c r="G102" s="368">
        <f t="shared" si="14"/>
        <v>0</v>
      </c>
      <c r="I102" s="108"/>
    </row>
    <row r="103" spans="2:9" ht="33" x14ac:dyDescent="0.3">
      <c r="B103" s="76" t="s">
        <v>381</v>
      </c>
      <c r="C103" s="2074"/>
      <c r="D103" s="2074"/>
      <c r="E103" s="2074"/>
      <c r="F103" s="2164"/>
      <c r="G103" s="368">
        <f t="shared" si="14"/>
        <v>0</v>
      </c>
      <c r="I103" s="108"/>
    </row>
    <row r="104" spans="2:9" x14ac:dyDescent="0.3">
      <c r="B104" s="76" t="s">
        <v>384</v>
      </c>
      <c r="C104" s="2074"/>
      <c r="D104" s="2074"/>
      <c r="E104" s="2074"/>
      <c r="F104" s="2164"/>
      <c r="G104" s="368">
        <f t="shared" si="14"/>
        <v>0</v>
      </c>
      <c r="I104" s="108"/>
    </row>
    <row r="105" spans="2:9" x14ac:dyDescent="0.3">
      <c r="B105" s="76" t="s">
        <v>387</v>
      </c>
      <c r="C105" s="2074"/>
      <c r="D105" s="2074"/>
      <c r="E105" s="2074"/>
      <c r="F105" s="2164"/>
      <c r="G105" s="368">
        <f t="shared" si="14"/>
        <v>0</v>
      </c>
      <c r="I105" s="108"/>
    </row>
    <row r="106" spans="2:9" x14ac:dyDescent="0.3">
      <c r="B106" s="76" t="s">
        <v>390</v>
      </c>
      <c r="C106" s="2074"/>
      <c r="D106" s="2074"/>
      <c r="E106" s="2074"/>
      <c r="F106" s="2164"/>
      <c r="G106" s="368">
        <f t="shared" si="14"/>
        <v>0</v>
      </c>
      <c r="I106" s="108"/>
    </row>
    <row r="107" spans="2:9" x14ac:dyDescent="0.3">
      <c r="B107" s="76" t="s">
        <v>394</v>
      </c>
      <c r="C107" s="2074"/>
      <c r="D107" s="2074"/>
      <c r="E107" s="2074"/>
      <c r="F107" s="2164"/>
      <c r="G107" s="368">
        <f t="shared" si="14"/>
        <v>0</v>
      </c>
      <c r="I107" s="108"/>
    </row>
    <row r="108" spans="2:9" x14ac:dyDescent="0.3">
      <c r="B108" s="76" t="s">
        <v>397</v>
      </c>
      <c r="C108" s="2074"/>
      <c r="D108" s="2074"/>
      <c r="E108" s="2074"/>
      <c r="F108" s="2164"/>
      <c r="G108" s="368">
        <f t="shared" si="14"/>
        <v>0</v>
      </c>
      <c r="I108" s="108"/>
    </row>
    <row r="109" spans="2:9" x14ac:dyDescent="0.3">
      <c r="B109" s="76" t="s">
        <v>401</v>
      </c>
      <c r="C109" s="2074"/>
      <c r="D109" s="2074"/>
      <c r="E109" s="2074"/>
      <c r="F109" s="2164"/>
      <c r="G109" s="368">
        <f t="shared" si="14"/>
        <v>0</v>
      </c>
      <c r="I109" s="108"/>
    </row>
    <row r="110" spans="2:9" x14ac:dyDescent="0.3">
      <c r="B110" s="76" t="s">
        <v>405</v>
      </c>
      <c r="C110" s="2074"/>
      <c r="D110" s="2074"/>
      <c r="E110" s="2074"/>
      <c r="F110" s="2164"/>
      <c r="G110" s="368">
        <f t="shared" si="14"/>
        <v>0</v>
      </c>
      <c r="I110" s="108"/>
    </row>
    <row r="111" spans="2:9" x14ac:dyDescent="0.3">
      <c r="B111" s="76" t="s">
        <v>409</v>
      </c>
      <c r="C111" s="2074"/>
      <c r="D111" s="2074"/>
      <c r="E111" s="2074"/>
      <c r="F111" s="2164"/>
      <c r="G111" s="368">
        <f t="shared" si="14"/>
        <v>0</v>
      </c>
      <c r="I111" s="108"/>
    </row>
    <row r="112" spans="2:9" x14ac:dyDescent="0.3">
      <c r="B112" s="76" t="s">
        <v>413</v>
      </c>
      <c r="C112" s="2074"/>
      <c r="D112" s="2074"/>
      <c r="E112" s="2074"/>
      <c r="F112" s="2164"/>
      <c r="G112" s="368">
        <f t="shared" si="14"/>
        <v>0</v>
      </c>
      <c r="I112" s="108"/>
    </row>
    <row r="113" spans="2:9" x14ac:dyDescent="0.3">
      <c r="B113" s="76" t="s">
        <v>416</v>
      </c>
      <c r="C113" s="2074"/>
      <c r="D113" s="2074"/>
      <c r="E113" s="2074"/>
      <c r="F113" s="2164"/>
      <c r="G113" s="368">
        <f t="shared" si="14"/>
        <v>0</v>
      </c>
      <c r="I113" s="108"/>
    </row>
    <row r="114" spans="2:9" x14ac:dyDescent="0.3">
      <c r="B114" s="76" t="s">
        <v>419</v>
      </c>
      <c r="C114" s="2074"/>
      <c r="D114" s="2074"/>
      <c r="E114" s="2074"/>
      <c r="F114" s="2164"/>
      <c r="G114" s="368">
        <f t="shared" si="14"/>
        <v>0</v>
      </c>
      <c r="I114" s="108"/>
    </row>
    <row r="115" spans="2:9" x14ac:dyDescent="0.3">
      <c r="B115" s="76" t="s">
        <v>422</v>
      </c>
      <c r="C115" s="2074"/>
      <c r="D115" s="2074"/>
      <c r="E115" s="2074"/>
      <c r="F115" s="2164"/>
      <c r="G115" s="368">
        <f t="shared" si="14"/>
        <v>0</v>
      </c>
      <c r="I115" s="108"/>
    </row>
    <row r="116" spans="2:9" x14ac:dyDescent="0.3">
      <c r="B116" s="76" t="s">
        <v>426</v>
      </c>
      <c r="C116" s="2074"/>
      <c r="D116" s="2074"/>
      <c r="E116" s="2074"/>
      <c r="F116" s="2164"/>
      <c r="G116" s="368">
        <f t="shared" si="14"/>
        <v>0</v>
      </c>
      <c r="I116" s="108"/>
    </row>
    <row r="117" spans="2:9" x14ac:dyDescent="0.3">
      <c r="B117" s="76" t="s">
        <v>430</v>
      </c>
      <c r="C117" s="2074"/>
      <c r="D117" s="2074"/>
      <c r="E117" s="2074"/>
      <c r="F117" s="2164"/>
      <c r="G117" s="368">
        <f t="shared" si="14"/>
        <v>0</v>
      </c>
      <c r="I117" s="108"/>
    </row>
    <row r="118" spans="2:9" ht="33" x14ac:dyDescent="0.3">
      <c r="B118" s="76" t="s">
        <v>433</v>
      </c>
      <c r="C118" s="2074"/>
      <c r="D118" s="2074"/>
      <c r="E118" s="2074"/>
      <c r="F118" s="2164"/>
      <c r="G118" s="368">
        <f t="shared" si="14"/>
        <v>0</v>
      </c>
      <c r="I118" s="108"/>
    </row>
    <row r="119" spans="2:9" x14ac:dyDescent="0.3">
      <c r="B119" s="76" t="s">
        <v>436</v>
      </c>
      <c r="C119" s="2074"/>
      <c r="D119" s="2074"/>
      <c r="E119" s="2074"/>
      <c r="F119" s="2164"/>
      <c r="G119" s="368">
        <f t="shared" si="14"/>
        <v>0</v>
      </c>
      <c r="I119" s="108"/>
    </row>
    <row r="120" spans="2:9" x14ac:dyDescent="0.3">
      <c r="B120" s="76" t="s">
        <v>439</v>
      </c>
      <c r="C120" s="2074"/>
      <c r="D120" s="2074"/>
      <c r="E120" s="2074"/>
      <c r="F120" s="2164"/>
      <c r="G120" s="368">
        <f t="shared" si="14"/>
        <v>0</v>
      </c>
      <c r="I120" s="108"/>
    </row>
    <row r="121" spans="2:9" x14ac:dyDescent="0.3">
      <c r="B121" s="76" t="s">
        <v>442</v>
      </c>
      <c r="C121" s="2074"/>
      <c r="D121" s="2074"/>
      <c r="E121" s="2074"/>
      <c r="F121" s="2164"/>
      <c r="G121" s="368">
        <f t="shared" si="14"/>
        <v>0</v>
      </c>
      <c r="I121" s="108"/>
    </row>
    <row r="122" spans="2:9" x14ac:dyDescent="0.3">
      <c r="B122" s="76" t="s">
        <v>445</v>
      </c>
      <c r="C122" s="2074"/>
      <c r="D122" s="2074"/>
      <c r="E122" s="2074"/>
      <c r="F122" s="2164"/>
      <c r="G122" s="368">
        <f t="shared" si="14"/>
        <v>0</v>
      </c>
      <c r="I122" s="108"/>
    </row>
    <row r="123" spans="2:9" x14ac:dyDescent="0.3">
      <c r="B123" s="76" t="s">
        <v>448</v>
      </c>
      <c r="C123" s="2074"/>
      <c r="D123" s="2074"/>
      <c r="E123" s="2074"/>
      <c r="F123" s="2164"/>
      <c r="G123" s="368">
        <f t="shared" si="14"/>
        <v>0</v>
      </c>
      <c r="I123" s="108"/>
    </row>
    <row r="124" spans="2:9" x14ac:dyDescent="0.3">
      <c r="B124" s="76" t="s">
        <v>450</v>
      </c>
      <c r="C124" s="2074"/>
      <c r="D124" s="2074"/>
      <c r="E124" s="2074"/>
      <c r="F124" s="2164"/>
      <c r="G124" s="368">
        <f t="shared" si="14"/>
        <v>0</v>
      </c>
      <c r="I124" s="108"/>
    </row>
    <row r="125" spans="2:9" ht="33" x14ac:dyDescent="0.3">
      <c r="B125" s="76" t="s">
        <v>453</v>
      </c>
      <c r="C125" s="2074"/>
      <c r="D125" s="2074"/>
      <c r="E125" s="2074"/>
      <c r="F125" s="2164"/>
      <c r="G125" s="368">
        <f t="shared" si="14"/>
        <v>0</v>
      </c>
      <c r="I125" s="108"/>
    </row>
    <row r="126" spans="2:9" x14ac:dyDescent="0.3">
      <c r="B126" s="76" t="s">
        <v>456</v>
      </c>
      <c r="C126" s="2074"/>
      <c r="D126" s="2074"/>
      <c r="E126" s="2074"/>
      <c r="F126" s="2164"/>
      <c r="G126" s="368">
        <f t="shared" si="14"/>
        <v>0</v>
      </c>
      <c r="I126" s="108"/>
    </row>
    <row r="127" spans="2:9" x14ac:dyDescent="0.3">
      <c r="B127" s="76" t="s">
        <v>459</v>
      </c>
      <c r="C127" s="2074"/>
      <c r="D127" s="2074"/>
      <c r="E127" s="2074"/>
      <c r="F127" s="2164"/>
      <c r="G127" s="368">
        <f t="shared" si="14"/>
        <v>0</v>
      </c>
      <c r="I127" s="108"/>
    </row>
    <row r="128" spans="2:9" x14ac:dyDescent="0.3">
      <c r="B128" s="76" t="s">
        <v>463</v>
      </c>
      <c r="C128" s="2074"/>
      <c r="D128" s="2074"/>
      <c r="E128" s="2074"/>
      <c r="F128" s="2164"/>
      <c r="G128" s="368">
        <f t="shared" si="14"/>
        <v>0</v>
      </c>
      <c r="I128" s="108"/>
    </row>
    <row r="129" spans="2:9" ht="33" x14ac:dyDescent="0.3">
      <c r="B129" s="76" t="s">
        <v>465</v>
      </c>
      <c r="C129" s="2074"/>
      <c r="D129" s="2074"/>
      <c r="E129" s="2074"/>
      <c r="F129" s="2164"/>
      <c r="G129" s="368">
        <f t="shared" si="14"/>
        <v>0</v>
      </c>
      <c r="I129" s="108"/>
    </row>
    <row r="130" spans="2:9" x14ac:dyDescent="0.3">
      <c r="B130" s="76" t="s">
        <v>468</v>
      </c>
      <c r="C130" s="2074"/>
      <c r="D130" s="2074"/>
      <c r="E130" s="2074"/>
      <c r="F130" s="2164"/>
      <c r="G130" s="368">
        <f t="shared" si="14"/>
        <v>0</v>
      </c>
      <c r="I130" s="108"/>
    </row>
    <row r="131" spans="2:9" x14ac:dyDescent="0.3">
      <c r="B131" s="76" t="s">
        <v>471</v>
      </c>
      <c r="C131" s="2074"/>
      <c r="D131" s="2074"/>
      <c r="E131" s="2074"/>
      <c r="F131" s="2164"/>
      <c r="G131" s="368">
        <f t="shared" si="14"/>
        <v>0</v>
      </c>
      <c r="I131" s="108"/>
    </row>
    <row r="132" spans="2:9" x14ac:dyDescent="0.3">
      <c r="B132" s="76" t="s">
        <v>472</v>
      </c>
      <c r="C132" s="2074"/>
      <c r="D132" s="2074"/>
      <c r="E132" s="2074"/>
      <c r="F132" s="2164"/>
      <c r="G132" s="368">
        <f t="shared" si="14"/>
        <v>0</v>
      </c>
      <c r="I132" s="108"/>
    </row>
    <row r="133" spans="2:9" x14ac:dyDescent="0.3">
      <c r="B133" s="76" t="s">
        <v>474</v>
      </c>
      <c r="C133" s="2074"/>
      <c r="D133" s="2074"/>
      <c r="E133" s="2074"/>
      <c r="F133" s="2164"/>
      <c r="G133" s="368">
        <f t="shared" si="14"/>
        <v>0</v>
      </c>
      <c r="I133" s="108"/>
    </row>
    <row r="134" spans="2:9" x14ac:dyDescent="0.3">
      <c r="B134" s="76" t="s">
        <v>476</v>
      </c>
      <c r="C134" s="2074"/>
      <c r="D134" s="2074"/>
      <c r="E134" s="2074"/>
      <c r="F134" s="2164"/>
      <c r="G134" s="368">
        <f t="shared" si="14"/>
        <v>0</v>
      </c>
      <c r="I134" s="108"/>
    </row>
    <row r="135" spans="2:9" x14ac:dyDescent="0.3">
      <c r="B135" s="76" t="s">
        <v>478</v>
      </c>
      <c r="C135" s="2074"/>
      <c r="D135" s="2074"/>
      <c r="E135" s="2074"/>
      <c r="F135" s="2164"/>
      <c r="G135" s="368">
        <f t="shared" si="14"/>
        <v>0</v>
      </c>
      <c r="I135" s="108"/>
    </row>
    <row r="136" spans="2:9" x14ac:dyDescent="0.3">
      <c r="B136" s="76" t="s">
        <v>480</v>
      </c>
      <c r="C136" s="2074"/>
      <c r="D136" s="2074"/>
      <c r="E136" s="2074"/>
      <c r="F136" s="2164"/>
      <c r="G136" s="368">
        <f t="shared" si="14"/>
        <v>0</v>
      </c>
      <c r="I136" s="108"/>
    </row>
    <row r="137" spans="2:9" x14ac:dyDescent="0.3">
      <c r="B137" s="76" t="s">
        <v>482</v>
      </c>
      <c r="C137" s="2074"/>
      <c r="D137" s="2074"/>
      <c r="E137" s="2074"/>
      <c r="F137" s="2164"/>
      <c r="G137" s="368">
        <f t="shared" si="14"/>
        <v>0</v>
      </c>
      <c r="I137" s="108"/>
    </row>
    <row r="138" spans="2:9" x14ac:dyDescent="0.3">
      <c r="B138" s="76" t="s">
        <v>484</v>
      </c>
      <c r="C138" s="2074"/>
      <c r="D138" s="2074"/>
      <c r="E138" s="2074"/>
      <c r="F138" s="2164"/>
      <c r="G138" s="368">
        <f t="shared" si="14"/>
        <v>0</v>
      </c>
      <c r="I138" s="108"/>
    </row>
    <row r="139" spans="2:9" x14ac:dyDescent="0.3">
      <c r="B139" s="76" t="s">
        <v>486</v>
      </c>
      <c r="C139" s="2074"/>
      <c r="D139" s="2074"/>
      <c r="E139" s="2074"/>
      <c r="F139" s="2164"/>
      <c r="G139" s="368">
        <f t="shared" si="14"/>
        <v>0</v>
      </c>
      <c r="I139" s="108"/>
    </row>
    <row r="140" spans="2:9" x14ac:dyDescent="0.3">
      <c r="B140" s="76" t="s">
        <v>488</v>
      </c>
      <c r="C140" s="2074"/>
      <c r="D140" s="2074"/>
      <c r="E140" s="2074"/>
      <c r="F140" s="2164"/>
      <c r="G140" s="368">
        <f t="shared" si="14"/>
        <v>0</v>
      </c>
      <c r="I140" s="108"/>
    </row>
    <row r="141" spans="2:9" ht="33" x14ac:dyDescent="0.3">
      <c r="B141" s="76" t="s">
        <v>490</v>
      </c>
      <c r="C141" s="2074"/>
      <c r="D141" s="2074"/>
      <c r="E141" s="2074"/>
      <c r="F141" s="2164"/>
      <c r="G141" s="368">
        <f t="shared" si="14"/>
        <v>0</v>
      </c>
      <c r="I141" s="108"/>
    </row>
    <row r="142" spans="2:9" x14ac:dyDescent="0.3">
      <c r="B142" s="76" t="s">
        <v>492</v>
      </c>
      <c r="C142" s="2074"/>
      <c r="D142" s="2074"/>
      <c r="E142" s="2074"/>
      <c r="F142" s="2164"/>
      <c r="G142" s="368">
        <f t="shared" si="14"/>
        <v>0</v>
      </c>
      <c r="I142" s="108"/>
    </row>
    <row r="143" spans="2:9" x14ac:dyDescent="0.3">
      <c r="B143" s="76" t="s">
        <v>494</v>
      </c>
      <c r="C143" s="2074"/>
      <c r="D143" s="2074"/>
      <c r="E143" s="2074"/>
      <c r="F143" s="2164"/>
      <c r="G143" s="368">
        <f t="shared" si="14"/>
        <v>0</v>
      </c>
      <c r="I143" s="108"/>
    </row>
    <row r="144" spans="2:9" x14ac:dyDescent="0.3">
      <c r="B144" s="76" t="s">
        <v>496</v>
      </c>
      <c r="C144" s="2074"/>
      <c r="D144" s="2074"/>
      <c r="E144" s="2074"/>
      <c r="F144" s="2164"/>
      <c r="G144" s="368">
        <f t="shared" si="14"/>
        <v>0</v>
      </c>
      <c r="I144" s="108"/>
    </row>
    <row r="145" spans="2:9" ht="33" x14ac:dyDescent="0.3">
      <c r="B145" s="76" t="s">
        <v>498</v>
      </c>
      <c r="C145" s="2082"/>
      <c r="D145" s="2082"/>
      <c r="E145" s="2082"/>
      <c r="F145" s="2165"/>
      <c r="G145" s="391">
        <f t="shared" si="14"/>
        <v>0</v>
      </c>
      <c r="H145" s="9" t="s">
        <v>498</v>
      </c>
      <c r="I145" s="108"/>
    </row>
    <row r="146" spans="2:9" x14ac:dyDescent="0.3">
      <c r="C146" s="9">
        <f t="shared" ref="C146:F146" si="15">SUM(C83:C145)</f>
        <v>0</v>
      </c>
      <c r="D146" s="9">
        <f t="shared" si="15"/>
        <v>0</v>
      </c>
      <c r="E146" s="9">
        <f t="shared" si="15"/>
        <v>0</v>
      </c>
      <c r="F146" s="10">
        <f t="shared" si="15"/>
        <v>0</v>
      </c>
      <c r="G146" s="10">
        <f>SUM(G83:G145)</f>
        <v>0</v>
      </c>
      <c r="I146" s="108"/>
    </row>
    <row r="147" spans="2:9" x14ac:dyDescent="0.3">
      <c r="I147" s="108"/>
    </row>
    <row r="148" spans="2:9" x14ac:dyDescent="0.3">
      <c r="I148" s="108"/>
    </row>
    <row r="149" spans="2:9" x14ac:dyDescent="0.3">
      <c r="I149" s="108"/>
    </row>
    <row r="150" spans="2:9" x14ac:dyDescent="0.3">
      <c r="I150" s="108"/>
    </row>
    <row r="151" spans="2:9" x14ac:dyDescent="0.3">
      <c r="I151" s="108"/>
    </row>
    <row r="152" spans="2:9" x14ac:dyDescent="0.3">
      <c r="I152" s="108"/>
    </row>
    <row r="153" spans="2:9" x14ac:dyDescent="0.3">
      <c r="I153" s="108"/>
    </row>
    <row r="154" spans="2:9" x14ac:dyDescent="0.3">
      <c r="I154" s="108"/>
    </row>
    <row r="155" spans="2:9" x14ac:dyDescent="0.3">
      <c r="I155" s="108"/>
    </row>
    <row r="156" spans="2:9" x14ac:dyDescent="0.3">
      <c r="I156" s="108"/>
    </row>
    <row r="157" spans="2:9" x14ac:dyDescent="0.3">
      <c r="I157" s="108"/>
    </row>
    <row r="158" spans="2:9" x14ac:dyDescent="0.3">
      <c r="I158" s="108"/>
    </row>
    <row r="159" spans="2:9" x14ac:dyDescent="0.3">
      <c r="I159" s="108"/>
    </row>
    <row r="160" spans="2:9" x14ac:dyDescent="0.3">
      <c r="I160" s="108"/>
    </row>
    <row r="161" spans="9:9" x14ac:dyDescent="0.3">
      <c r="I161" s="108"/>
    </row>
  </sheetData>
  <customSheetViews>
    <customSheetView guid="{CA1C9262-C0F9-4BBB-95C8-A52990BD1149}" scale="70" showPageBreaks="1" fitToPage="1" printArea="1">
      <pane xSplit="2" ySplit="9" topLeftCell="C10" activePane="bottomRight" state="frozen"/>
      <selection pane="bottomRight" activeCell="A4" sqref="A4"/>
      <rowBreaks count="1" manualBreakCount="1">
        <brk id="29" max="16383" man="1"/>
      </rowBreaks>
      <pageMargins left="0" right="0" top="0" bottom="0" header="0" footer="0"/>
      <pageSetup paperSize="3"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fitToPage="1" printArea="1">
      <pane xSplit="2" ySplit="9" topLeftCell="C10" activePane="bottomRight" state="frozen"/>
      <selection pane="bottomRight" activeCell="A3" sqref="A3:XFD3"/>
      <rowBreaks count="1" manualBreakCount="1">
        <brk id="29" max="16383" man="1"/>
      </rowBreaks>
      <pageMargins left="0" right="0" top="0" bottom="0" header="0" footer="0"/>
      <pageSetup paperSize="3"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fitToPage="1">
      <pane xSplit="2" ySplit="9" topLeftCell="C10" activePane="bottomRight" state="frozen"/>
      <selection pane="bottomRight" activeCell="B48" sqref="B48"/>
      <rowBreaks count="1" manualBreakCount="1">
        <brk id="29" max="16383" man="1"/>
      </rowBreaks>
      <pageMargins left="0" right="0" top="0" bottom="0" header="0" footer="0"/>
      <pageSetup paperSize="3"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mergeCells count="2">
    <mergeCell ref="B39:G39"/>
    <mergeCell ref="G8:H8"/>
  </mergeCells>
  <phoneticPr fontId="74" type="noConversion"/>
  <dataValidations disablePrompts="1" count="1">
    <dataValidation type="list" allowBlank="1" showInputMessage="1" showErrorMessage="1" sqref="F6 H6:I6" xr:uid="{9312075F-4538-4E51-93F8-374F3329553F}">
      <formula1>$J$6:$J$7</formula1>
    </dataValidation>
  </dataValidations>
  <pageMargins left="0.7" right="0.7" top="0.75" bottom="0.75" header="0.3" footer="0.3"/>
  <pageSetup paperSize="3" scale="96" fitToHeight="0" orientation="landscape" r:id="rId4"/>
  <headerFooter>
    <oddHeader>&amp;R&amp;"Arial Narrow,Regular"&amp;10&amp;A
&amp;P</oddHeader>
  </headerFooter>
  <rowBreaks count="1" manualBreakCount="1">
    <brk id="33" max="16383" man="1"/>
  </rowBreaks>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C4F4C-75EF-4E74-AA17-29E3AD556DE7}">
  <sheetPr>
    <tabColor theme="7" tint="0.39997558519241921"/>
  </sheetPr>
  <dimension ref="A1:F25"/>
  <sheetViews>
    <sheetView workbookViewId="0"/>
  </sheetViews>
  <sheetFormatPr defaultColWidth="8.7109375" defaultRowHeight="16.5" x14ac:dyDescent="0.25"/>
  <cols>
    <col min="1" max="1" width="8.7109375" style="11"/>
    <col min="2" max="2" width="10.7109375" style="11" customWidth="1"/>
    <col min="3" max="3" width="11.140625" style="1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x14ac:dyDescent="0.3">
      <c r="A3" s="9" t="s">
        <v>1370</v>
      </c>
    </row>
    <row r="5" spans="1:6" x14ac:dyDescent="0.25">
      <c r="A5" s="59" t="s">
        <v>1233</v>
      </c>
      <c r="B5" s="59"/>
      <c r="C5" s="59"/>
      <c r="D5" s="59"/>
      <c r="F5" s="59" t="s">
        <v>73</v>
      </c>
    </row>
    <row r="6" spans="1:6" x14ac:dyDescent="0.25">
      <c r="A6" s="58" t="s">
        <v>1294</v>
      </c>
      <c r="B6" s="58"/>
    </row>
    <row r="7" spans="1:6" ht="99" x14ac:dyDescent="0.25">
      <c r="A7" s="11" t="s">
        <v>1295</v>
      </c>
      <c r="B7" s="11" t="s">
        <v>1238</v>
      </c>
      <c r="D7" s="2094" t="s">
        <v>1322</v>
      </c>
    </row>
    <row r="8" spans="1:6" ht="49.5" x14ac:dyDescent="0.25">
      <c r="A8" s="58"/>
      <c r="B8" s="58"/>
      <c r="C8" s="11" t="s">
        <v>1243</v>
      </c>
      <c r="D8" s="2094" t="s">
        <v>1371</v>
      </c>
      <c r="F8" s="2094" t="s">
        <v>1372</v>
      </c>
    </row>
    <row r="10" spans="1:6" x14ac:dyDescent="0.25">
      <c r="A10" s="59" t="s">
        <v>1298</v>
      </c>
      <c r="B10" s="59"/>
      <c r="C10" s="59"/>
      <c r="D10" s="59"/>
      <c r="F10" s="59" t="s">
        <v>73</v>
      </c>
    </row>
    <row r="12" spans="1:6" x14ac:dyDescent="0.25">
      <c r="A12" s="7" t="s">
        <v>1299</v>
      </c>
      <c r="D12" s="60" t="s">
        <v>1300</v>
      </c>
      <c r="E12" s="60"/>
    </row>
    <row r="13" spans="1:6" x14ac:dyDescent="0.25">
      <c r="A13" s="2362" t="s">
        <v>1373</v>
      </c>
      <c r="B13" s="2363"/>
      <c r="C13" s="2363"/>
      <c r="D13" s="11" t="s">
        <v>15</v>
      </c>
      <c r="F13" s="2094"/>
    </row>
    <row r="15" spans="1:6" x14ac:dyDescent="0.25">
      <c r="A15" s="59" t="s">
        <v>1306</v>
      </c>
      <c r="B15" s="59"/>
      <c r="C15" s="59"/>
      <c r="D15" s="59"/>
      <c r="F15" s="59" t="s">
        <v>73</v>
      </c>
    </row>
    <row r="17" spans="1:6" x14ac:dyDescent="0.25">
      <c r="A17" s="11" t="s">
        <v>1307</v>
      </c>
      <c r="B17" s="2353" t="s">
        <v>1374</v>
      </c>
      <c r="C17" s="2354"/>
      <c r="D17" s="2354"/>
    </row>
    <row r="18" spans="1:6" x14ac:dyDescent="0.25">
      <c r="A18" s="11" t="s">
        <v>1309</v>
      </c>
      <c r="B18" s="2353" t="s">
        <v>1375</v>
      </c>
      <c r="C18" s="2354"/>
      <c r="D18" s="2354"/>
    </row>
    <row r="19" spans="1:6" x14ac:dyDescent="0.25">
      <c r="A19" s="11" t="s">
        <v>1311</v>
      </c>
      <c r="B19" s="2353" t="s">
        <v>1327</v>
      </c>
      <c r="C19" s="2354"/>
      <c r="D19" s="2354"/>
    </row>
    <row r="20" spans="1:6" x14ac:dyDescent="0.25">
      <c r="C20" s="2093"/>
      <c r="D20" s="2093"/>
    </row>
    <row r="22" spans="1:6" x14ac:dyDescent="0.25">
      <c r="A22" s="59" t="s">
        <v>1315</v>
      </c>
      <c r="B22" s="59"/>
      <c r="C22" s="59"/>
      <c r="D22" s="59"/>
      <c r="F22" s="59" t="s">
        <v>73</v>
      </c>
    </row>
    <row r="24" spans="1:6" x14ac:dyDescent="0.25">
      <c r="A24" s="7" t="s">
        <v>1316</v>
      </c>
      <c r="C24" s="7" t="s">
        <v>1317</v>
      </c>
    </row>
    <row r="25" spans="1:6" ht="33" x14ac:dyDescent="0.25">
      <c r="A25" s="2353" t="s">
        <v>1318</v>
      </c>
      <c r="B25" s="2354"/>
      <c r="C25" s="2355" t="s">
        <v>1328</v>
      </c>
      <c r="D25" s="2356"/>
      <c r="F25" s="2094" t="s">
        <v>1320</v>
      </c>
    </row>
  </sheetData>
  <customSheetViews>
    <customSheetView guid="{CA1C9262-C0F9-4BBB-95C8-A52990BD1149}" scale="90" state="hidden">
      <selection activeCell="A4" sqref="A4"/>
      <pageMargins left="0" right="0" top="0" bottom="0" header="0" footer="0"/>
    </customSheetView>
    <customSheetView guid="{9F71BA88-74DF-4B45-811C-93ABE8314534}" scale="90">
      <selection activeCell="D30" sqref="D29:D30"/>
      <pageMargins left="0" right="0" top="0" bottom="0" header="0" footer="0"/>
    </customSheetView>
  </customSheetViews>
  <mergeCells count="6">
    <mergeCell ref="A13:C13"/>
    <mergeCell ref="B17:D17"/>
    <mergeCell ref="B18:D18"/>
    <mergeCell ref="A25:B25"/>
    <mergeCell ref="C25:D25"/>
    <mergeCell ref="B19:D1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942DC-6336-41EB-98A9-CCF4295D7A0B}">
  <sheetPr>
    <tabColor theme="7" tint="0.39997558519241921"/>
  </sheetPr>
  <dimension ref="A1:F24"/>
  <sheetViews>
    <sheetView workbookViewId="0"/>
  </sheetViews>
  <sheetFormatPr defaultColWidth="8.7109375" defaultRowHeight="16.5" x14ac:dyDescent="0.25"/>
  <cols>
    <col min="1" max="1" width="8.7109375" style="11"/>
    <col min="2" max="2" width="10.7109375" style="11" customWidth="1"/>
    <col min="3" max="3" width="12" style="11" bestFit="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1376</v>
      </c>
    </row>
    <row r="5" spans="1:6" x14ac:dyDescent="0.25">
      <c r="A5" s="65" t="s">
        <v>1233</v>
      </c>
      <c r="B5" s="65"/>
      <c r="C5" s="65"/>
      <c r="D5" s="65"/>
      <c r="F5" s="65" t="s">
        <v>73</v>
      </c>
    </row>
    <row r="6" spans="1:6" x14ac:dyDescent="0.25">
      <c r="A6" s="58" t="s">
        <v>1377</v>
      </c>
      <c r="B6" s="58"/>
    </row>
    <row r="7" spans="1:6" ht="264" x14ac:dyDescent="0.25">
      <c r="A7" s="11" t="s">
        <v>1295</v>
      </c>
      <c r="B7" s="11" t="s">
        <v>1236</v>
      </c>
      <c r="D7" s="2094" t="s">
        <v>1378</v>
      </c>
    </row>
    <row r="9" spans="1:6" x14ac:dyDescent="0.25">
      <c r="A9" s="65" t="s">
        <v>1298</v>
      </c>
      <c r="B9" s="65"/>
      <c r="C9" s="65"/>
      <c r="D9" s="65"/>
      <c r="F9" s="65" t="s">
        <v>73</v>
      </c>
    </row>
    <row r="11" spans="1:6" x14ac:dyDescent="0.25">
      <c r="A11" s="7" t="s">
        <v>1299</v>
      </c>
      <c r="D11" s="60" t="s">
        <v>1300</v>
      </c>
      <c r="E11" s="60"/>
    </row>
    <row r="12" spans="1:6" x14ac:dyDescent="0.25">
      <c r="A12" s="2353"/>
      <c r="B12" s="2353"/>
      <c r="C12" s="2353"/>
      <c r="F12" s="2094"/>
    </row>
    <row r="14" spans="1:6" x14ac:dyDescent="0.25">
      <c r="A14" s="65" t="s">
        <v>1306</v>
      </c>
      <c r="B14" s="65"/>
      <c r="C14" s="65"/>
      <c r="D14" s="65"/>
      <c r="F14" s="65" t="s">
        <v>73</v>
      </c>
    </row>
    <row r="16" spans="1:6" x14ac:dyDescent="0.25">
      <c r="A16" s="11" t="s">
        <v>1307</v>
      </c>
      <c r="B16" s="2353" t="s">
        <v>1379</v>
      </c>
      <c r="C16" s="2353"/>
      <c r="D16" s="2353"/>
    </row>
    <row r="17" spans="1:6" x14ac:dyDescent="0.25">
      <c r="A17" s="11" t="s">
        <v>1309</v>
      </c>
      <c r="B17" s="2353" t="s">
        <v>1380</v>
      </c>
      <c r="C17" s="2353"/>
      <c r="D17" s="2353"/>
    </row>
    <row r="18" spans="1:6" x14ac:dyDescent="0.25">
      <c r="A18" s="11" t="s">
        <v>1311</v>
      </c>
      <c r="B18" s="2353" t="s">
        <v>1381</v>
      </c>
      <c r="C18" s="2353"/>
      <c r="D18" s="2353"/>
    </row>
    <row r="19" spans="1:6" x14ac:dyDescent="0.25">
      <c r="A19" s="11" t="s">
        <v>1313</v>
      </c>
      <c r="B19" s="11" t="s">
        <v>1382</v>
      </c>
    </row>
    <row r="21" spans="1:6" x14ac:dyDescent="0.25">
      <c r="A21" s="65" t="s">
        <v>1315</v>
      </c>
      <c r="B21" s="65"/>
      <c r="C21" s="65"/>
      <c r="D21" s="65"/>
      <c r="F21" s="65" t="s">
        <v>73</v>
      </c>
    </row>
    <row r="23" spans="1:6" x14ac:dyDescent="0.25">
      <c r="A23" s="7" t="s">
        <v>1316</v>
      </c>
      <c r="C23" s="7" t="s">
        <v>1317</v>
      </c>
    </row>
    <row r="24" spans="1:6" ht="33" x14ac:dyDescent="0.25">
      <c r="A24" s="2353" t="s">
        <v>1318</v>
      </c>
      <c r="B24" s="2353"/>
      <c r="C24" s="2355" t="s">
        <v>1383</v>
      </c>
      <c r="D24" s="2355"/>
      <c r="F24" s="2094" t="s">
        <v>1320</v>
      </c>
    </row>
  </sheetData>
  <customSheetViews>
    <customSheetView guid="{CA1C9262-C0F9-4BBB-95C8-A52990BD1149}" scale="90" state="hidden">
      <selection activeCell="A4" sqref="A4"/>
      <pageMargins left="0" right="0" top="0" bottom="0" header="0" footer="0"/>
    </customSheetView>
    <customSheetView guid="{9F71BA88-74DF-4B45-811C-93ABE8314534}" scale="90">
      <selection activeCell="D32" sqref="D32"/>
      <pageMargins left="0" right="0" top="0" bottom="0" header="0" footer="0"/>
    </customSheetView>
  </customSheetViews>
  <mergeCells count="6">
    <mergeCell ref="A12:C12"/>
    <mergeCell ref="B16:D16"/>
    <mergeCell ref="B17:D17"/>
    <mergeCell ref="A24:B24"/>
    <mergeCell ref="C24:D24"/>
    <mergeCell ref="B18:D1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8DA5D-1CD2-45F2-B270-B6FAF952602E}">
  <sheetPr>
    <tabColor theme="6"/>
    <pageSetUpPr autoPageBreaks="0" fitToPage="1"/>
  </sheetPr>
  <dimension ref="A1:P113"/>
  <sheetViews>
    <sheetView topLeftCell="A61" zoomScale="85" zoomScaleNormal="85" workbookViewId="0">
      <selection activeCell="Q87" sqref="Q87"/>
    </sheetView>
  </sheetViews>
  <sheetFormatPr defaultColWidth="8.7109375" defaultRowHeight="16.5" x14ac:dyDescent="0.3"/>
  <cols>
    <col min="1" max="1" width="6.7109375" style="9" customWidth="1"/>
    <col min="2" max="2" width="48.42578125" style="9" bestFit="1" customWidth="1"/>
    <col min="3" max="3" width="18.42578125" style="9" customWidth="1"/>
    <col min="4" max="4" width="16.5703125" style="9" bestFit="1" customWidth="1"/>
    <col min="5" max="5" width="18.7109375" style="9" bestFit="1" customWidth="1"/>
    <col min="6" max="6" width="14.42578125" style="9" bestFit="1" customWidth="1"/>
    <col min="7" max="7" width="11.85546875" style="9" bestFit="1" customWidth="1"/>
    <col min="8" max="9" width="10.5703125" style="9" customWidth="1"/>
    <col min="10" max="10" width="12.140625" style="9" bestFit="1" customWidth="1"/>
    <col min="11" max="11" width="14.42578125" style="9" bestFit="1" customWidth="1"/>
    <col min="12" max="12" width="16.7109375" style="9" bestFit="1" customWidth="1"/>
    <col min="13" max="14" width="10.5703125" style="9" bestFit="1" customWidth="1"/>
    <col min="15" max="15" width="11.140625" style="9" customWidth="1"/>
    <col min="16" max="16" width="9" style="9" customWidth="1"/>
    <col min="17" max="16384" width="8.7109375" style="9"/>
  </cols>
  <sheetData>
    <row r="1" spans="1:16" s="4" customFormat="1" x14ac:dyDescent="0.3">
      <c r="A1" s="4" t="s">
        <v>15</v>
      </c>
    </row>
    <row r="2" spans="1:16" x14ac:dyDescent="0.3">
      <c r="A2" s="9" t="str">
        <f>CONCATENATE("Pupil Center Funding Plan | FY",'1.1 Assumption Control YR1'!D5)</f>
        <v>Pupil Center Funding Plan | FY2026</v>
      </c>
    </row>
    <row r="3" spans="1:16" x14ac:dyDescent="0.3">
      <c r="A3" s="9" t="s">
        <v>1384</v>
      </c>
    </row>
    <row r="4" spans="1:16" x14ac:dyDescent="0.3">
      <c r="B4" s="1562"/>
    </row>
    <row r="5" spans="1:16" x14ac:dyDescent="0.3">
      <c r="C5" s="17" t="s">
        <v>1331</v>
      </c>
      <c r="D5" s="17" t="s">
        <v>1332</v>
      </c>
      <c r="E5" s="18" t="s">
        <v>1333</v>
      </c>
    </row>
    <row r="6" spans="1:16" x14ac:dyDescent="0.3">
      <c r="B6" s="17" t="s">
        <v>1336</v>
      </c>
      <c r="C6" s="1563">
        <f>'2.1 Auxiliary Services YR1'!E6</f>
        <v>5530234201</v>
      </c>
      <c r="D6" s="1564">
        <f>L30</f>
        <v>599568343</v>
      </c>
      <c r="E6" s="1565">
        <f>C6-D6</f>
        <v>4930665858</v>
      </c>
    </row>
    <row r="7" spans="1:16" x14ac:dyDescent="0.3">
      <c r="B7" s="1479"/>
      <c r="C7" s="131">
        <f>C6-'2.1 Auxiliary Services YR1'!E6</f>
        <v>0</v>
      </c>
      <c r="D7" s="18"/>
      <c r="E7" s="18"/>
    </row>
    <row r="8" spans="1:16" ht="66" x14ac:dyDescent="0.3">
      <c r="A8" s="300" t="s">
        <v>1228</v>
      </c>
      <c r="B8" s="207"/>
      <c r="C8" s="2302" t="s">
        <v>2309</v>
      </c>
      <c r="D8" s="2302" t="s">
        <v>2310</v>
      </c>
      <c r="E8" s="2302" t="s">
        <v>2311</v>
      </c>
      <c r="F8" s="2304" t="s">
        <v>2312</v>
      </c>
      <c r="G8" s="2302" t="s">
        <v>2313</v>
      </c>
      <c r="H8" s="2302" t="s">
        <v>2314</v>
      </c>
      <c r="I8" s="2302" t="s">
        <v>2315</v>
      </c>
      <c r="J8" s="2304" t="s">
        <v>2316</v>
      </c>
      <c r="K8" s="2005" t="s">
        <v>2317</v>
      </c>
      <c r="L8" s="2303" t="s">
        <v>2318</v>
      </c>
      <c r="N8" s="22"/>
      <c r="O8" s="206" t="s">
        <v>1385</v>
      </c>
    </row>
    <row r="9" spans="1:16" x14ac:dyDescent="0.3">
      <c r="A9" s="455"/>
      <c r="B9" s="1566" t="str">
        <f>'1.2 Budgeted Enrollment YR1'!E9</f>
        <v>Carson City</v>
      </c>
      <c r="C9" s="1567">
        <v>13448324</v>
      </c>
      <c r="D9" s="1567">
        <v>0</v>
      </c>
      <c r="E9" s="1567">
        <v>0</v>
      </c>
      <c r="F9" s="2305">
        <f>SUM(C9:E9)</f>
        <v>13448324</v>
      </c>
      <c r="G9" s="1567">
        <v>5221700.87</v>
      </c>
      <c r="H9" s="1567">
        <v>1485504</v>
      </c>
      <c r="I9" s="1567">
        <v>0</v>
      </c>
      <c r="J9" s="2305">
        <f>SUM(G9:I9)</f>
        <v>6707204.8700000001</v>
      </c>
      <c r="K9" s="1568">
        <f>F9-J9</f>
        <v>6741119.1299999999</v>
      </c>
      <c r="L9" s="2006">
        <f>ROUND(IF(K9&lt;0,0,K9),0)</f>
        <v>6741119</v>
      </c>
      <c r="N9" s="22"/>
      <c r="O9" s="311">
        <v>1165</v>
      </c>
      <c r="P9" s="385">
        <f>IF(L9=0,0,L9/O9)</f>
        <v>5786.3682403433477</v>
      </c>
    </row>
    <row r="10" spans="1:16" x14ac:dyDescent="0.3">
      <c r="A10" s="106"/>
      <c r="B10" s="36" t="str">
        <f>'1.2 Budgeted Enrollment YR1'!E10</f>
        <v>Churchill</v>
      </c>
      <c r="C10" s="1569">
        <v>6149106.0041200006</v>
      </c>
      <c r="D10" s="1569">
        <v>0</v>
      </c>
      <c r="E10" s="1569">
        <v>0</v>
      </c>
      <c r="F10" s="2306">
        <f t="shared" ref="F10:F25" si="0">SUM(C10:E10)</f>
        <v>6149106.0041200006</v>
      </c>
      <c r="G10" s="1569">
        <v>3781651.6599999997</v>
      </c>
      <c r="H10" s="1569">
        <v>0</v>
      </c>
      <c r="I10" s="1569">
        <v>151769.35999999999</v>
      </c>
      <c r="J10" s="2306">
        <f t="shared" ref="J10:J25" si="1">SUM(G10:I10)</f>
        <v>3933421.0199999996</v>
      </c>
      <c r="K10" s="1570">
        <f t="shared" ref="K10:K25" si="2">F10-J10</f>
        <v>2215684.9841200011</v>
      </c>
      <c r="L10" s="1571">
        <f t="shared" ref="L10:L25" si="3">ROUND(IF(K10&lt;0,0,K10),0)</f>
        <v>2215685</v>
      </c>
      <c r="N10" s="22"/>
      <c r="O10" s="311">
        <v>553</v>
      </c>
      <c r="P10" s="385">
        <f t="shared" ref="P10:P26" si="4">IF(L10=0,0,L10/O10)</f>
        <v>4006.6636528028935</v>
      </c>
    </row>
    <row r="11" spans="1:16" x14ac:dyDescent="0.3">
      <c r="A11" s="106"/>
      <c r="B11" s="36" t="str">
        <f>'1.2 Budgeted Enrollment YR1'!E11</f>
        <v>Clark</v>
      </c>
      <c r="C11" s="1569">
        <v>602461303.3599999</v>
      </c>
      <c r="D11" s="1569">
        <v>187104.95</v>
      </c>
      <c r="E11" s="1569">
        <v>-1648.15</v>
      </c>
      <c r="F11" s="2306">
        <f t="shared" si="0"/>
        <v>602646760.15999997</v>
      </c>
      <c r="G11" s="1569">
        <v>149620959.21999997</v>
      </c>
      <c r="H11" s="1569">
        <v>0</v>
      </c>
      <c r="I11" s="1569">
        <v>0</v>
      </c>
      <c r="J11" s="2306">
        <f t="shared" si="1"/>
        <v>149620959.21999997</v>
      </c>
      <c r="K11" s="1570">
        <f t="shared" si="2"/>
        <v>453025800.94</v>
      </c>
      <c r="L11" s="1571">
        <f t="shared" si="3"/>
        <v>453025801</v>
      </c>
      <c r="M11" s="20"/>
      <c r="N11" s="22"/>
      <c r="O11" s="311">
        <v>41867</v>
      </c>
      <c r="P11" s="385">
        <f t="shared" si="4"/>
        <v>10820.593808966489</v>
      </c>
    </row>
    <row r="12" spans="1:16" x14ac:dyDescent="0.3">
      <c r="A12" s="106"/>
      <c r="B12" s="36" t="str">
        <f>'1.2 Budgeted Enrollment YR1'!E12</f>
        <v>Douglas</v>
      </c>
      <c r="C12" s="1569">
        <v>10221248.200000001</v>
      </c>
      <c r="D12" s="1569">
        <v>1109.08</v>
      </c>
      <c r="E12" s="1569">
        <v>0</v>
      </c>
      <c r="F12" s="2306">
        <f t="shared" si="0"/>
        <v>10222357.280000001</v>
      </c>
      <c r="G12" s="1569">
        <v>4241171.6500000004</v>
      </c>
      <c r="H12" s="1569">
        <v>552786.01</v>
      </c>
      <c r="I12" s="1569">
        <v>0</v>
      </c>
      <c r="J12" s="2306">
        <f t="shared" si="1"/>
        <v>4793957.66</v>
      </c>
      <c r="K12" s="1570">
        <f t="shared" si="2"/>
        <v>5428399.620000001</v>
      </c>
      <c r="L12" s="1571">
        <f t="shared" si="3"/>
        <v>5428400</v>
      </c>
      <c r="N12" s="22"/>
      <c r="O12" s="311">
        <v>803</v>
      </c>
      <c r="P12" s="385">
        <f t="shared" si="4"/>
        <v>6760.1494396014941</v>
      </c>
    </row>
    <row r="13" spans="1:16" x14ac:dyDescent="0.3">
      <c r="A13" s="106"/>
      <c r="B13" s="36" t="str">
        <f>'1.2 Budgeted Enrollment YR1'!E13</f>
        <v>Elko</v>
      </c>
      <c r="C13" s="1569">
        <v>12087261.810000001</v>
      </c>
      <c r="D13" s="1569">
        <v>12923.3</v>
      </c>
      <c r="E13" s="1569">
        <v>0</v>
      </c>
      <c r="F13" s="2306">
        <f t="shared" si="0"/>
        <v>12100185.110000001</v>
      </c>
      <c r="G13" s="1569">
        <v>5241481.0999999996</v>
      </c>
      <c r="H13" s="1569">
        <v>0</v>
      </c>
      <c r="I13" s="1569">
        <v>42926</v>
      </c>
      <c r="J13" s="2306">
        <f t="shared" si="1"/>
        <v>5284407.0999999996</v>
      </c>
      <c r="K13" s="1570">
        <f t="shared" si="2"/>
        <v>6815778.0100000016</v>
      </c>
      <c r="L13" s="1571">
        <f t="shared" si="3"/>
        <v>6815778</v>
      </c>
      <c r="N13" s="22"/>
      <c r="O13" s="311">
        <v>1316</v>
      </c>
      <c r="P13" s="385">
        <f t="shared" si="4"/>
        <v>5179.1626139817627</v>
      </c>
    </row>
    <row r="14" spans="1:16" x14ac:dyDescent="0.3">
      <c r="A14" s="106"/>
      <c r="B14" s="36" t="str">
        <f>'1.2 Budgeted Enrollment YR1'!E14</f>
        <v>Esmeralda</v>
      </c>
      <c r="C14" s="1569">
        <v>103348.59</v>
      </c>
      <c r="D14" s="1569">
        <v>0</v>
      </c>
      <c r="E14" s="1569">
        <v>0</v>
      </c>
      <c r="F14" s="2306">
        <f t="shared" si="0"/>
        <v>103348.59</v>
      </c>
      <c r="G14" s="1569">
        <v>60983</v>
      </c>
      <c r="H14" s="1569">
        <v>3796.98</v>
      </c>
      <c r="I14" s="1569">
        <v>0</v>
      </c>
      <c r="J14" s="2306">
        <f t="shared" si="1"/>
        <v>64779.98</v>
      </c>
      <c r="K14" s="1570">
        <f t="shared" si="2"/>
        <v>38568.609999999993</v>
      </c>
      <c r="L14" s="1571">
        <f t="shared" si="3"/>
        <v>38569</v>
      </c>
      <c r="N14" s="22"/>
      <c r="O14" s="311">
        <v>8</v>
      </c>
      <c r="P14" s="385">
        <f t="shared" si="4"/>
        <v>4821.125</v>
      </c>
    </row>
    <row r="15" spans="1:16" x14ac:dyDescent="0.3">
      <c r="A15" s="106"/>
      <c r="B15" s="36" t="str">
        <f>'1.2 Budgeted Enrollment YR1'!E15</f>
        <v>Eureka</v>
      </c>
      <c r="C15" s="1569">
        <v>874863.5</v>
      </c>
      <c r="D15" s="1569">
        <v>0</v>
      </c>
      <c r="E15" s="1569">
        <v>0</v>
      </c>
      <c r="F15" s="2306">
        <f t="shared" si="0"/>
        <v>874863.5</v>
      </c>
      <c r="G15" s="1569">
        <v>291207.96000000002</v>
      </c>
      <c r="H15" s="1569">
        <v>1453195</v>
      </c>
      <c r="I15" s="1569">
        <v>0</v>
      </c>
      <c r="J15" s="2306">
        <f t="shared" si="1"/>
        <v>1744402.96</v>
      </c>
      <c r="K15" s="1570">
        <f t="shared" si="2"/>
        <v>-869539.46</v>
      </c>
      <c r="L15" s="1571">
        <f t="shared" si="3"/>
        <v>0</v>
      </c>
      <c r="N15" s="22"/>
      <c r="O15" s="311">
        <v>45</v>
      </c>
      <c r="P15" s="385">
        <f t="shared" si="4"/>
        <v>0</v>
      </c>
    </row>
    <row r="16" spans="1:16" x14ac:dyDescent="0.3">
      <c r="A16" s="106"/>
      <c r="B16" s="36" t="str">
        <f>'1.2 Budgeted Enrollment YR1'!E16</f>
        <v>Humboldt</v>
      </c>
      <c r="C16" s="1569">
        <v>5611028.0300000003</v>
      </c>
      <c r="D16" s="1569">
        <v>399.45</v>
      </c>
      <c r="E16" s="1569">
        <v>0</v>
      </c>
      <c r="F16" s="2306">
        <f t="shared" si="0"/>
        <v>5611427.4800000004</v>
      </c>
      <c r="G16" s="1569">
        <v>2411279.35</v>
      </c>
      <c r="H16" s="1569">
        <v>0</v>
      </c>
      <c r="I16" s="1569">
        <v>52264.83</v>
      </c>
      <c r="J16" s="2306">
        <f t="shared" si="1"/>
        <v>2463544.1800000002</v>
      </c>
      <c r="K16" s="1570">
        <f t="shared" si="2"/>
        <v>3147883.3000000003</v>
      </c>
      <c r="L16" s="1571">
        <f t="shared" si="3"/>
        <v>3147883</v>
      </c>
      <c r="N16" s="22"/>
      <c r="O16" s="311">
        <v>510</v>
      </c>
      <c r="P16" s="385">
        <f t="shared" si="4"/>
        <v>6172.3196078431374</v>
      </c>
    </row>
    <row r="17" spans="1:16" x14ac:dyDescent="0.3">
      <c r="A17" s="106"/>
      <c r="B17" s="36" t="str">
        <f>'1.2 Budgeted Enrollment YR1'!E17</f>
        <v>Lander</v>
      </c>
      <c r="C17" s="1569">
        <v>1576252.4000000001</v>
      </c>
      <c r="D17" s="1569">
        <v>0</v>
      </c>
      <c r="E17" s="1569">
        <v>0</v>
      </c>
      <c r="F17" s="2306">
        <f t="shared" si="0"/>
        <v>1576252.4000000001</v>
      </c>
      <c r="G17" s="1569">
        <v>748184.7</v>
      </c>
      <c r="H17" s="1569">
        <v>0</v>
      </c>
      <c r="I17" s="1569">
        <v>0</v>
      </c>
      <c r="J17" s="2306">
        <f t="shared" si="1"/>
        <v>748184.7</v>
      </c>
      <c r="K17" s="1570">
        <f t="shared" si="2"/>
        <v>828067.70000000019</v>
      </c>
      <c r="L17" s="1571">
        <f t="shared" si="3"/>
        <v>828068</v>
      </c>
      <c r="N17" s="22"/>
      <c r="O17" s="311">
        <v>128</v>
      </c>
      <c r="P17" s="385">
        <f t="shared" si="4"/>
        <v>6469.28125</v>
      </c>
    </row>
    <row r="18" spans="1:16" x14ac:dyDescent="0.3">
      <c r="A18" s="106"/>
      <c r="B18" s="36" t="str">
        <f>'1.2 Budgeted Enrollment YR1'!E18</f>
        <v>Lincoln</v>
      </c>
      <c r="C18" s="1569">
        <v>1793163.91</v>
      </c>
      <c r="D18" s="1569">
        <v>0</v>
      </c>
      <c r="E18" s="1569">
        <v>0</v>
      </c>
      <c r="F18" s="2306">
        <f t="shared" si="0"/>
        <v>1793163.91</v>
      </c>
      <c r="G18" s="1569">
        <v>1287799.8700000001</v>
      </c>
      <c r="H18" s="1569">
        <v>783687</v>
      </c>
      <c r="I18" s="1569">
        <v>0</v>
      </c>
      <c r="J18" s="2306">
        <f t="shared" si="1"/>
        <v>2071486.87</v>
      </c>
      <c r="K18" s="1570">
        <f t="shared" si="2"/>
        <v>-278322.9600000002</v>
      </c>
      <c r="L18" s="1571">
        <f t="shared" si="3"/>
        <v>0</v>
      </c>
      <c r="N18" s="22"/>
      <c r="O18" s="311">
        <v>154</v>
      </c>
      <c r="P18" s="385">
        <f t="shared" si="4"/>
        <v>0</v>
      </c>
    </row>
    <row r="19" spans="1:16" x14ac:dyDescent="0.3">
      <c r="A19" s="106"/>
      <c r="B19" s="36" t="str">
        <f>'1.2 Budgeted Enrollment YR1'!E19</f>
        <v>Lyon</v>
      </c>
      <c r="C19" s="1569">
        <v>17624709.744600002</v>
      </c>
      <c r="D19" s="1569">
        <v>0</v>
      </c>
      <c r="E19" s="1569">
        <v>0</v>
      </c>
      <c r="F19" s="2306">
        <f t="shared" si="0"/>
        <v>17624709.744600002</v>
      </c>
      <c r="G19" s="1569">
        <v>4895480.3099999996</v>
      </c>
      <c r="H19" s="1569">
        <v>770199</v>
      </c>
      <c r="I19" s="1569">
        <v>0</v>
      </c>
      <c r="J19" s="2306">
        <f t="shared" si="1"/>
        <v>5665679.3099999996</v>
      </c>
      <c r="K19" s="1570">
        <f t="shared" si="2"/>
        <v>11959030.434600003</v>
      </c>
      <c r="L19" s="1571">
        <f t="shared" si="3"/>
        <v>11959030</v>
      </c>
      <c r="N19" s="22"/>
      <c r="O19" s="311">
        <v>1232</v>
      </c>
      <c r="P19" s="385">
        <f t="shared" si="4"/>
        <v>9707.0048701298692</v>
      </c>
    </row>
    <row r="20" spans="1:16" x14ac:dyDescent="0.3">
      <c r="A20" s="106"/>
      <c r="B20" s="36" t="str">
        <f>'1.2 Budgeted Enrollment YR1'!E20</f>
        <v>Mineral</v>
      </c>
      <c r="C20" s="1569">
        <v>944437.44000000006</v>
      </c>
      <c r="D20" s="1569">
        <v>0</v>
      </c>
      <c r="E20" s="1569">
        <v>0</v>
      </c>
      <c r="F20" s="2306">
        <f t="shared" si="0"/>
        <v>944437.44000000006</v>
      </c>
      <c r="G20" s="1569">
        <v>584633.5</v>
      </c>
      <c r="H20" s="1569">
        <v>249230</v>
      </c>
      <c r="I20" s="1569">
        <v>0</v>
      </c>
      <c r="J20" s="2306">
        <f t="shared" si="1"/>
        <v>833863.5</v>
      </c>
      <c r="K20" s="1570">
        <f t="shared" si="2"/>
        <v>110573.94000000006</v>
      </c>
      <c r="L20" s="1571">
        <f t="shared" si="3"/>
        <v>110574</v>
      </c>
      <c r="N20" s="22"/>
      <c r="O20" s="311">
        <v>86</v>
      </c>
      <c r="P20" s="385">
        <f t="shared" si="4"/>
        <v>1285.7441860465117</v>
      </c>
    </row>
    <row r="21" spans="1:16" x14ac:dyDescent="0.3">
      <c r="A21" s="106"/>
      <c r="B21" s="36" t="str">
        <f>'1.2 Budgeted Enrollment YR1'!E21</f>
        <v>Nye</v>
      </c>
      <c r="C21" s="1569">
        <v>16886555.690000001</v>
      </c>
      <c r="D21" s="1569">
        <v>5457.77</v>
      </c>
      <c r="E21" s="1569">
        <v>0</v>
      </c>
      <c r="F21" s="2306">
        <f t="shared" si="0"/>
        <v>16892013.460000001</v>
      </c>
      <c r="G21" s="1569">
        <v>3839959.5600000005</v>
      </c>
      <c r="H21" s="1569">
        <v>0</v>
      </c>
      <c r="I21" s="1569">
        <v>64772.95</v>
      </c>
      <c r="J21" s="2306">
        <f t="shared" si="1"/>
        <v>3904732.5100000007</v>
      </c>
      <c r="K21" s="1570">
        <f t="shared" si="2"/>
        <v>12987280.949999999</v>
      </c>
      <c r="L21" s="1571">
        <f t="shared" si="3"/>
        <v>12987281</v>
      </c>
      <c r="N21" s="22"/>
      <c r="O21" s="311">
        <v>793</v>
      </c>
      <c r="P21" s="385">
        <f t="shared" si="4"/>
        <v>16377.403530895333</v>
      </c>
    </row>
    <row r="22" spans="1:16" x14ac:dyDescent="0.3">
      <c r="A22" s="106"/>
      <c r="B22" s="36" t="str">
        <f>'1.2 Budgeted Enrollment YR1'!E22</f>
        <v>Pershing</v>
      </c>
      <c r="C22" s="1569">
        <v>1393282.49</v>
      </c>
      <c r="D22" s="1569">
        <v>0</v>
      </c>
      <c r="E22" s="1569">
        <v>0</v>
      </c>
      <c r="F22" s="2306">
        <f t="shared" si="0"/>
        <v>1393282.49</v>
      </c>
      <c r="G22" s="1569">
        <v>1063713.24</v>
      </c>
      <c r="H22" s="1569">
        <v>361227</v>
      </c>
      <c r="I22" s="1569">
        <v>0</v>
      </c>
      <c r="J22" s="2306">
        <f t="shared" si="1"/>
        <v>1424940.24</v>
      </c>
      <c r="K22" s="1570">
        <f t="shared" si="2"/>
        <v>-31657.75</v>
      </c>
      <c r="L22" s="1571">
        <f t="shared" si="3"/>
        <v>0</v>
      </c>
      <c r="N22" s="22"/>
      <c r="O22" s="311">
        <v>125</v>
      </c>
      <c r="P22" s="385">
        <f t="shared" si="4"/>
        <v>0</v>
      </c>
    </row>
    <row r="23" spans="1:16" x14ac:dyDescent="0.3">
      <c r="A23" s="106"/>
      <c r="B23" s="36" t="str">
        <f>'1.2 Budgeted Enrollment YR1'!E23</f>
        <v>Storey</v>
      </c>
      <c r="C23" s="1569">
        <v>548826.94999999995</v>
      </c>
      <c r="D23" s="1569">
        <v>0</v>
      </c>
      <c r="E23" s="1569">
        <v>85185.05</v>
      </c>
      <c r="F23" s="2306">
        <f t="shared" si="0"/>
        <v>634012</v>
      </c>
      <c r="G23" s="1569">
        <v>491547</v>
      </c>
      <c r="H23" s="1569">
        <v>142465</v>
      </c>
      <c r="I23" s="1569">
        <v>0</v>
      </c>
      <c r="J23" s="2306">
        <f t="shared" si="1"/>
        <v>634012</v>
      </c>
      <c r="K23" s="1570">
        <f t="shared" si="2"/>
        <v>0</v>
      </c>
      <c r="L23" s="1571">
        <f t="shared" si="3"/>
        <v>0</v>
      </c>
      <c r="N23" s="22"/>
      <c r="O23" s="311">
        <v>53</v>
      </c>
      <c r="P23" s="385">
        <f t="shared" si="4"/>
        <v>0</v>
      </c>
    </row>
    <row r="24" spans="1:16" x14ac:dyDescent="0.3">
      <c r="A24" s="106"/>
      <c r="B24" s="36" t="str">
        <f>'1.2 Budgeted Enrollment YR1'!E24</f>
        <v>Washoe</v>
      </c>
      <c r="C24" s="1569">
        <v>107167741.38999999</v>
      </c>
      <c r="D24" s="1569">
        <v>1197.25</v>
      </c>
      <c r="E24" s="1569">
        <v>97841.13</v>
      </c>
      <c r="F24" s="2306">
        <f t="shared" si="0"/>
        <v>107266779.76999998</v>
      </c>
      <c r="G24" s="1569">
        <v>36786904.829999998</v>
      </c>
      <c r="H24" s="1569">
        <v>0</v>
      </c>
      <c r="I24" s="1569">
        <v>0</v>
      </c>
      <c r="J24" s="2306">
        <f t="shared" si="1"/>
        <v>36786904.829999998</v>
      </c>
      <c r="K24" s="1570">
        <f t="shared" si="2"/>
        <v>70479874.939999983</v>
      </c>
      <c r="L24" s="1571">
        <f t="shared" si="3"/>
        <v>70479875</v>
      </c>
      <c r="M24" s="20"/>
      <c r="N24" s="22"/>
      <c r="O24" s="311">
        <v>9345</v>
      </c>
      <c r="P24" s="385">
        <f t="shared" si="4"/>
        <v>7541.9876939539863</v>
      </c>
    </row>
    <row r="25" spans="1:16" x14ac:dyDescent="0.3">
      <c r="A25" s="142"/>
      <c r="B25" s="459" t="str">
        <f>'1.2 Budgeted Enrollment YR1'!E25</f>
        <v>White Pine</v>
      </c>
      <c r="C25" s="1572">
        <v>2576968.4899999998</v>
      </c>
      <c r="D25" s="1572">
        <v>99.99</v>
      </c>
      <c r="E25" s="1572">
        <v>0</v>
      </c>
      <c r="F25" s="2307">
        <f t="shared" si="0"/>
        <v>2577068.48</v>
      </c>
      <c r="G25" s="1572">
        <v>1447112.98</v>
      </c>
      <c r="H25" s="1572">
        <v>0</v>
      </c>
      <c r="I25" s="1572">
        <v>0</v>
      </c>
      <c r="J25" s="2307">
        <f t="shared" si="1"/>
        <v>1447112.98</v>
      </c>
      <c r="K25" s="1573">
        <f t="shared" si="2"/>
        <v>1129955.5</v>
      </c>
      <c r="L25" s="1574">
        <f t="shared" si="3"/>
        <v>1129956</v>
      </c>
      <c r="N25" s="22"/>
      <c r="O25" s="312">
        <v>202</v>
      </c>
      <c r="P25" s="391">
        <f t="shared" si="4"/>
        <v>5593.8415841584156</v>
      </c>
    </row>
    <row r="26" spans="1:16" x14ac:dyDescent="0.3">
      <c r="A26" s="106"/>
      <c r="B26" s="36" t="str">
        <f>'1.2 Budgeted Enrollment YR1'!E26</f>
        <v>Charter Schools</v>
      </c>
      <c r="C26" s="213">
        <f t="shared" ref="C26" si="5">C96</f>
        <v>52012004.147004887</v>
      </c>
      <c r="D26" s="213">
        <f t="shared" ref="D26:J26" si="6">D96</f>
        <v>23520.3</v>
      </c>
      <c r="E26" s="213">
        <f t="shared" si="6"/>
        <v>0</v>
      </c>
      <c r="F26" s="213">
        <f t="shared" si="6"/>
        <v>52035524.447004884</v>
      </c>
      <c r="G26" s="213">
        <f t="shared" si="6"/>
        <v>27429401.609999999</v>
      </c>
      <c r="H26" s="213"/>
      <c r="I26" s="213"/>
      <c r="J26" s="213">
        <f t="shared" si="6"/>
        <v>27429401.609999999</v>
      </c>
      <c r="K26" s="1575">
        <f t="shared" ref="K26:L26" si="7">K96</f>
        <v>24606122.837004878</v>
      </c>
      <c r="L26" s="1571">
        <f t="shared" si="7"/>
        <v>24608056</v>
      </c>
      <c r="N26" s="22"/>
      <c r="O26" s="460">
        <v>4653</v>
      </c>
      <c r="P26" s="385">
        <f t="shared" si="4"/>
        <v>5288.6430260047282</v>
      </c>
    </row>
    <row r="27" spans="1:16" x14ac:dyDescent="0.3">
      <c r="A27" s="106"/>
      <c r="B27" s="36" t="str">
        <f>'1.2 Budgeted Enrollment YR1'!E27</f>
        <v>University Schools</v>
      </c>
      <c r="C27" s="213">
        <f t="shared" ref="C27:L27" si="8">C101</f>
        <v>72842.899999999994</v>
      </c>
      <c r="D27" s="213">
        <f t="shared" si="8"/>
        <v>0</v>
      </c>
      <c r="E27" s="213">
        <f t="shared" si="8"/>
        <v>0</v>
      </c>
      <c r="F27" s="213">
        <f t="shared" si="8"/>
        <v>72842.899999999994</v>
      </c>
      <c r="G27" s="213">
        <f t="shared" si="8"/>
        <v>20575</v>
      </c>
      <c r="H27" s="213"/>
      <c r="I27" s="213"/>
      <c r="J27" s="213">
        <f t="shared" si="8"/>
        <v>20575</v>
      </c>
      <c r="K27" s="1575">
        <f t="shared" si="8"/>
        <v>52267.899999999994</v>
      </c>
      <c r="L27" s="1571">
        <f t="shared" si="8"/>
        <v>52268</v>
      </c>
      <c r="N27" s="22"/>
      <c r="O27" s="460">
        <v>0</v>
      </c>
      <c r="P27" s="385" t="e">
        <f>IF(L27=0,0,L27/O27)</f>
        <v>#DIV/0!</v>
      </c>
    </row>
    <row r="28" spans="1:16" x14ac:dyDescent="0.3">
      <c r="A28" s="106"/>
      <c r="B28" s="36" t="str">
        <f>'1.2 Budgeted Enrollment YR1'!E28</f>
        <v>City of Henderson</v>
      </c>
      <c r="C28" s="213">
        <f t="shared" ref="C28:L28" si="9">C106</f>
        <v>0</v>
      </c>
      <c r="D28" s="213">
        <f t="shared" si="9"/>
        <v>0</v>
      </c>
      <c r="E28" s="213">
        <f t="shared" si="9"/>
        <v>0</v>
      </c>
      <c r="F28" s="213">
        <f t="shared" si="9"/>
        <v>0</v>
      </c>
      <c r="G28" s="213">
        <f t="shared" si="9"/>
        <v>0</v>
      </c>
      <c r="H28" s="213"/>
      <c r="I28" s="213"/>
      <c r="J28" s="213">
        <f t="shared" si="9"/>
        <v>0</v>
      </c>
      <c r="K28" s="1575">
        <f t="shared" si="9"/>
        <v>0</v>
      </c>
      <c r="L28" s="1571">
        <f t="shared" si="9"/>
        <v>0</v>
      </c>
      <c r="N28" s="22"/>
      <c r="O28" s="460">
        <v>0</v>
      </c>
      <c r="P28" s="385">
        <f t="shared" ref="P28:P29" si="10">IF(L28=0,0,L28/O28)</f>
        <v>0</v>
      </c>
    </row>
    <row r="29" spans="1:16" x14ac:dyDescent="0.3">
      <c r="A29" s="142"/>
      <c r="B29" s="459" t="str">
        <f>'1.2 Budgeted Enrollment YR1'!E29</f>
        <v>City of North Las Vegas</v>
      </c>
      <c r="C29" s="1576">
        <f t="shared" ref="C29:L29" si="11">C111</f>
        <v>0</v>
      </c>
      <c r="D29" s="1576">
        <f t="shared" si="11"/>
        <v>0</v>
      </c>
      <c r="E29" s="1576">
        <f t="shared" si="11"/>
        <v>0</v>
      </c>
      <c r="F29" s="1576">
        <f t="shared" si="11"/>
        <v>0</v>
      </c>
      <c r="G29" s="1576">
        <f t="shared" si="11"/>
        <v>0</v>
      </c>
      <c r="H29" s="1576"/>
      <c r="I29" s="1576"/>
      <c r="J29" s="1576">
        <f t="shared" si="11"/>
        <v>0</v>
      </c>
      <c r="K29" s="1577">
        <f t="shared" si="11"/>
        <v>0</v>
      </c>
      <c r="L29" s="1574">
        <f t="shared" si="11"/>
        <v>0</v>
      </c>
      <c r="N29" s="22"/>
      <c r="O29" s="312">
        <v>0</v>
      </c>
      <c r="P29" s="391">
        <f t="shared" si="10"/>
        <v>0</v>
      </c>
    </row>
    <row r="30" spans="1:16" x14ac:dyDescent="0.3">
      <c r="A30" s="142"/>
      <c r="B30" s="144" t="s">
        <v>1386</v>
      </c>
      <c r="C30" s="1245">
        <f>SUM(C9:C29)</f>
        <v>853553269.04572487</v>
      </c>
      <c r="D30" s="1245">
        <f>SUM(D9:D29)</f>
        <v>231812.08999999997</v>
      </c>
      <c r="E30" s="1245">
        <f t="shared" ref="E30:J30" si="12">SUM(E9:E29)</f>
        <v>181378.03000000003</v>
      </c>
      <c r="F30" s="1245">
        <f t="shared" si="12"/>
        <v>853966459.16572499</v>
      </c>
      <c r="G30" s="1245">
        <f t="shared" si="12"/>
        <v>249465747.40999997</v>
      </c>
      <c r="H30" s="1245"/>
      <c r="I30" s="1245"/>
      <c r="J30" s="1245">
        <f t="shared" si="12"/>
        <v>255579570.5399999</v>
      </c>
      <c r="K30" s="1578">
        <f>SUM(K9:K29)</f>
        <v>598386888.62572491</v>
      </c>
      <c r="L30" s="1579">
        <f>SUM(L9:L29)</f>
        <v>599568343</v>
      </c>
      <c r="O30" s="397">
        <f>SUM(O9:O29)</f>
        <v>63038</v>
      </c>
      <c r="P30" s="368">
        <f>L30/O30</f>
        <v>9511.2208985056641</v>
      </c>
    </row>
    <row r="31" spans="1:16" x14ac:dyDescent="0.3">
      <c r="C31" s="57"/>
      <c r="D31" s="57"/>
      <c r="E31" s="57"/>
      <c r="F31" s="57"/>
      <c r="G31" s="57"/>
      <c r="H31" s="57"/>
      <c r="I31" s="57"/>
      <c r="J31" s="57"/>
      <c r="K31" s="57"/>
      <c r="L31" s="57"/>
    </row>
    <row r="32" spans="1:16" x14ac:dyDescent="0.3">
      <c r="C32" s="57"/>
      <c r="D32" s="57"/>
      <c r="E32" s="57"/>
      <c r="F32" s="57"/>
      <c r="G32" s="57"/>
      <c r="H32" s="57"/>
      <c r="I32" s="57"/>
      <c r="J32" s="57"/>
      <c r="K32" s="57"/>
      <c r="L32" s="57"/>
    </row>
    <row r="33" spans="1:13" ht="66" x14ac:dyDescent="0.3">
      <c r="A33" s="300" t="s">
        <v>305</v>
      </c>
      <c r="B33" s="207"/>
      <c r="C33" s="2302" t="s">
        <v>2309</v>
      </c>
      <c r="D33" s="2302" t="s">
        <v>2310</v>
      </c>
      <c r="E33" s="2302" t="s">
        <v>2311</v>
      </c>
      <c r="F33" s="2308" t="s">
        <v>2312</v>
      </c>
      <c r="G33" s="2309" t="s">
        <v>2313</v>
      </c>
      <c r="H33" s="2309" t="s">
        <v>2314</v>
      </c>
      <c r="I33" s="2309" t="s">
        <v>2315</v>
      </c>
      <c r="J33" s="2310" t="s">
        <v>2316</v>
      </c>
      <c r="K33" s="2320" t="s">
        <v>2317</v>
      </c>
      <c r="L33" s="2314" t="s">
        <v>2318</v>
      </c>
      <c r="M33" s="1580"/>
    </row>
    <row r="34" spans="1:13" x14ac:dyDescent="0.3">
      <c r="A34" s="455"/>
      <c r="B34" s="207" t="str">
        <f>'1.2 Budgeted Enrollment YR1'!E34</f>
        <v>FuturEdge (Formerly 100 Academy Of Excellence)</v>
      </c>
      <c r="C34" s="1567">
        <v>238920.41</v>
      </c>
      <c r="D34" s="1567">
        <v>0</v>
      </c>
      <c r="E34" s="1567">
        <v>0</v>
      </c>
      <c r="F34" s="2306">
        <f>SUM(C34:E34)</f>
        <v>238920.41</v>
      </c>
      <c r="G34" s="1569">
        <v>48100</v>
      </c>
      <c r="H34" s="1569">
        <v>0</v>
      </c>
      <c r="I34" s="1569">
        <v>0</v>
      </c>
      <c r="J34" s="2306">
        <f>SUM(G34:I34)</f>
        <v>48100</v>
      </c>
      <c r="K34" s="2007">
        <f t="shared" ref="K34:K95" si="13">F34-J34</f>
        <v>190820.41</v>
      </c>
      <c r="L34" s="1581">
        <f t="shared" ref="L34:L95" si="14">ROUND(IF(K34&lt;0,0,K34),0)</f>
        <v>190820</v>
      </c>
    </row>
    <row r="35" spans="1:13" x14ac:dyDescent="0.3">
      <c r="A35" s="106"/>
      <c r="B35" s="9" t="str">
        <f>'1.2 Budgeted Enrollment YR1'!E35</f>
        <v>Academy For Career Education</v>
      </c>
      <c r="C35" s="1569">
        <v>130023.65999999999</v>
      </c>
      <c r="D35" s="1569">
        <v>0</v>
      </c>
      <c r="E35" s="1569">
        <v>0</v>
      </c>
      <c r="F35" s="2306">
        <f t="shared" ref="F35:F95" si="15">SUM(C35:E35)</f>
        <v>130023.65999999999</v>
      </c>
      <c r="G35" s="1569">
        <v>130023.66</v>
      </c>
      <c r="H35" s="1569">
        <v>0</v>
      </c>
      <c r="I35" s="1569">
        <v>0</v>
      </c>
      <c r="J35" s="2306">
        <f t="shared" ref="J35:J95" si="16">SUM(G35:I35)</f>
        <v>130023.66</v>
      </c>
      <c r="K35" s="1575">
        <f t="shared" si="13"/>
        <v>0</v>
      </c>
      <c r="L35" s="1581">
        <f t="shared" si="14"/>
        <v>0</v>
      </c>
    </row>
    <row r="36" spans="1:13" x14ac:dyDescent="0.3">
      <c r="A36" s="106"/>
      <c r="B36" s="9" t="str">
        <f>'1.2 Budgeted Enrollment YR1'!E36</f>
        <v xml:space="preserve">Alpine Academy </v>
      </c>
      <c r="C36" s="1569">
        <v>120626.09</v>
      </c>
      <c r="D36" s="1569">
        <v>4747.8100000000004</v>
      </c>
      <c r="E36" s="1569">
        <v>0</v>
      </c>
      <c r="F36" s="2306">
        <f t="shared" si="15"/>
        <v>125373.9</v>
      </c>
      <c r="G36" s="1569">
        <v>94693.32</v>
      </c>
      <c r="H36" s="1569">
        <v>0</v>
      </c>
      <c r="I36" s="1569">
        <v>0</v>
      </c>
      <c r="J36" s="2306">
        <f t="shared" si="16"/>
        <v>94693.32</v>
      </c>
      <c r="K36" s="1575">
        <f t="shared" si="13"/>
        <v>30680.579999999987</v>
      </c>
      <c r="L36" s="1581">
        <f t="shared" si="14"/>
        <v>30681</v>
      </c>
    </row>
    <row r="37" spans="1:13" x14ac:dyDescent="0.3">
      <c r="A37" s="106"/>
      <c r="B37" s="9" t="str">
        <f>'1.2 Budgeted Enrollment YR1'!E37</f>
        <v xml:space="preserve">Amplus (Formerly American Preparatory Academy) </v>
      </c>
      <c r="C37" s="1569">
        <v>992240.51</v>
      </c>
      <c r="D37" s="1569">
        <v>0</v>
      </c>
      <c r="E37" s="1569">
        <v>0</v>
      </c>
      <c r="F37" s="2306">
        <f t="shared" si="15"/>
        <v>992240.51</v>
      </c>
      <c r="G37" s="1569">
        <v>572277.01</v>
      </c>
      <c r="H37" s="1569">
        <v>0</v>
      </c>
      <c r="I37" s="1569">
        <v>0</v>
      </c>
      <c r="J37" s="2306">
        <f t="shared" si="16"/>
        <v>572277.01</v>
      </c>
      <c r="K37" s="1575">
        <f t="shared" si="13"/>
        <v>419963.5</v>
      </c>
      <c r="L37" s="1581">
        <f t="shared" si="14"/>
        <v>419964</v>
      </c>
    </row>
    <row r="38" spans="1:13" x14ac:dyDescent="0.3">
      <c r="A38" s="106"/>
      <c r="B38" s="9" t="str">
        <f>'1.2 Budgeted Enrollment YR1'!E38</f>
        <v>Bailey Charter School</v>
      </c>
      <c r="C38" s="1569">
        <v>91682.040000000008</v>
      </c>
      <c r="D38" s="1569">
        <v>0</v>
      </c>
      <c r="E38" s="1569">
        <v>0</v>
      </c>
      <c r="F38" s="2306">
        <f t="shared" si="15"/>
        <v>91682.040000000008</v>
      </c>
      <c r="G38" s="1569">
        <v>57788.29</v>
      </c>
      <c r="H38" s="1569">
        <v>0</v>
      </c>
      <c r="I38" s="1569">
        <v>0</v>
      </c>
      <c r="J38" s="2306">
        <f t="shared" si="16"/>
        <v>57788.29</v>
      </c>
      <c r="K38" s="1575">
        <f t="shared" si="13"/>
        <v>33893.750000000007</v>
      </c>
      <c r="L38" s="1581">
        <f t="shared" si="14"/>
        <v>33894</v>
      </c>
    </row>
    <row r="39" spans="1:13" x14ac:dyDescent="0.3">
      <c r="A39" s="106"/>
      <c r="B39" s="9" t="str">
        <f>'1.2 Budgeted Enrollment YR1'!E39</f>
        <v>Battle Born Academy</v>
      </c>
      <c r="C39" s="1569">
        <v>236151.72</v>
      </c>
      <c r="D39" s="1569">
        <v>0</v>
      </c>
      <c r="E39" s="1569">
        <v>0</v>
      </c>
      <c r="F39" s="2306">
        <f t="shared" si="15"/>
        <v>236151.72</v>
      </c>
      <c r="G39" s="1569">
        <v>82342.02</v>
      </c>
      <c r="H39" s="1569">
        <v>0</v>
      </c>
      <c r="I39" s="1569">
        <v>0</v>
      </c>
      <c r="J39" s="2306">
        <f t="shared" si="16"/>
        <v>82342.02</v>
      </c>
      <c r="K39" s="1575">
        <f t="shared" si="13"/>
        <v>153809.70000000001</v>
      </c>
      <c r="L39" s="1581">
        <f t="shared" si="14"/>
        <v>153810</v>
      </c>
    </row>
    <row r="40" spans="1:13" x14ac:dyDescent="0.3">
      <c r="A40" s="106"/>
      <c r="B40" s="9" t="str">
        <f>'1.2 Budgeted Enrollment YR1'!E40</f>
        <v>Beacon Academy</v>
      </c>
      <c r="C40" s="1569">
        <v>1278900.71</v>
      </c>
      <c r="D40" s="1569">
        <v>0</v>
      </c>
      <c r="E40" s="1569">
        <v>0</v>
      </c>
      <c r="F40" s="2306">
        <f t="shared" si="15"/>
        <v>1278900.71</v>
      </c>
      <c r="G40" s="1569">
        <v>477583.67</v>
      </c>
      <c r="H40" s="1569">
        <v>0</v>
      </c>
      <c r="I40" s="1569">
        <v>0</v>
      </c>
      <c r="J40" s="2306">
        <f t="shared" si="16"/>
        <v>477583.67</v>
      </c>
      <c r="K40" s="1575">
        <f t="shared" si="13"/>
        <v>801317.04</v>
      </c>
      <c r="L40" s="1581">
        <f t="shared" si="14"/>
        <v>801317</v>
      </c>
    </row>
    <row r="41" spans="1:13" x14ac:dyDescent="0.3">
      <c r="A41" s="106"/>
      <c r="B41" s="9" t="str">
        <f>'1.2 Budgeted Enrollment YR1'!E41</f>
        <v>Cactus Park</v>
      </c>
      <c r="C41" s="1569">
        <v>68678.25</v>
      </c>
      <c r="D41" s="1569">
        <v>0</v>
      </c>
      <c r="E41" s="1569">
        <v>0</v>
      </c>
      <c r="F41" s="2306">
        <f t="shared" si="15"/>
        <v>68678.25</v>
      </c>
      <c r="G41" s="1569">
        <v>37053.909999999996</v>
      </c>
      <c r="H41" s="1569">
        <v>0</v>
      </c>
      <c r="I41" s="1569">
        <v>0</v>
      </c>
      <c r="J41" s="2306">
        <f t="shared" si="16"/>
        <v>37053.909999999996</v>
      </c>
      <c r="K41" s="1575">
        <f t="shared" si="13"/>
        <v>31624.340000000004</v>
      </c>
      <c r="L41" s="1581">
        <f t="shared" si="14"/>
        <v>31624</v>
      </c>
    </row>
    <row r="42" spans="1:13" x14ac:dyDescent="0.3">
      <c r="A42" s="106"/>
      <c r="B42" s="9" t="str">
        <f>'1.2 Budgeted Enrollment YR1'!E42</f>
        <v>Carson Montessori</v>
      </c>
      <c r="C42" s="1569">
        <v>199126.28</v>
      </c>
      <c r="D42" s="1569">
        <v>0</v>
      </c>
      <c r="E42" s="1569">
        <v>0</v>
      </c>
      <c r="F42" s="2306">
        <f t="shared" si="15"/>
        <v>199126.28</v>
      </c>
      <c r="G42" s="1569">
        <v>131807.93</v>
      </c>
      <c r="H42" s="1569">
        <v>0</v>
      </c>
      <c r="I42" s="1569">
        <v>0</v>
      </c>
      <c r="J42" s="2306">
        <f t="shared" si="16"/>
        <v>131807.93</v>
      </c>
      <c r="K42" s="1575">
        <f t="shared" si="13"/>
        <v>67318.350000000006</v>
      </c>
      <c r="L42" s="1581">
        <f t="shared" si="14"/>
        <v>67318</v>
      </c>
    </row>
    <row r="43" spans="1:13" x14ac:dyDescent="0.3">
      <c r="A43" s="106"/>
      <c r="B43" s="9" t="str">
        <f>'1.2 Budgeted Enrollment YR1'!E43</f>
        <v>CIVICA Nevada Career &amp; Collegiate Academy</v>
      </c>
      <c r="C43" s="1569">
        <v>500547.98</v>
      </c>
      <c r="D43" s="1569">
        <v>0</v>
      </c>
      <c r="E43" s="1569">
        <v>0</v>
      </c>
      <c r="F43" s="2306">
        <f t="shared" si="15"/>
        <v>500547.98</v>
      </c>
      <c r="G43" s="1569">
        <v>242908.94</v>
      </c>
      <c r="H43" s="1569">
        <v>0</v>
      </c>
      <c r="I43" s="1569">
        <v>0</v>
      </c>
      <c r="J43" s="2306">
        <f t="shared" si="16"/>
        <v>242908.94</v>
      </c>
      <c r="K43" s="1575">
        <f t="shared" si="13"/>
        <v>257639.03999999998</v>
      </c>
      <c r="L43" s="1581">
        <f t="shared" si="14"/>
        <v>257639</v>
      </c>
    </row>
    <row r="44" spans="1:13" x14ac:dyDescent="0.3">
      <c r="A44" s="106"/>
      <c r="B44" s="9" t="str">
        <f>'1.2 Budgeted Enrollment YR1'!E44</f>
        <v>Coral Academy of Science Las Vegas</v>
      </c>
      <c r="C44" s="1569">
        <v>2008342.95</v>
      </c>
      <c r="D44" s="1569">
        <v>0</v>
      </c>
      <c r="E44" s="1569">
        <v>0</v>
      </c>
      <c r="F44" s="2306">
        <f t="shared" si="15"/>
        <v>2008342.95</v>
      </c>
      <c r="G44" s="1569">
        <v>1387462.9500000002</v>
      </c>
      <c r="H44" s="1569">
        <v>0</v>
      </c>
      <c r="I44" s="1569">
        <v>0</v>
      </c>
      <c r="J44" s="2306">
        <f t="shared" si="16"/>
        <v>1387462.9500000002</v>
      </c>
      <c r="K44" s="1575">
        <f t="shared" si="13"/>
        <v>620879.99999999977</v>
      </c>
      <c r="L44" s="1581">
        <f t="shared" si="14"/>
        <v>620880</v>
      </c>
    </row>
    <row r="45" spans="1:13" x14ac:dyDescent="0.3">
      <c r="A45" s="106"/>
      <c r="B45" s="9" t="str">
        <f>'1.2 Budgeted Enrollment YR1'!E45</f>
        <v>Coral Academy Washoe</v>
      </c>
      <c r="C45" s="1569">
        <v>759431.03</v>
      </c>
      <c r="D45" s="1569">
        <v>0</v>
      </c>
      <c r="E45" s="1569">
        <v>0</v>
      </c>
      <c r="F45" s="2306">
        <f t="shared" si="15"/>
        <v>759431.03</v>
      </c>
      <c r="G45" s="1569">
        <v>416901.26</v>
      </c>
      <c r="H45" s="1569">
        <v>0</v>
      </c>
      <c r="I45" s="1569">
        <v>0</v>
      </c>
      <c r="J45" s="2306">
        <f t="shared" si="16"/>
        <v>416901.26</v>
      </c>
      <c r="K45" s="1575">
        <f t="shared" si="13"/>
        <v>342529.77</v>
      </c>
      <c r="L45" s="1581">
        <f t="shared" si="14"/>
        <v>342530</v>
      </c>
    </row>
    <row r="46" spans="1:13" x14ac:dyDescent="0.3">
      <c r="A46" s="106"/>
      <c r="B46" s="9" t="str">
        <f>'1.2 Budgeted Enrollment YR1'!E46</f>
        <v>Delta Academy</v>
      </c>
      <c r="C46" s="1569">
        <v>978899.29</v>
      </c>
      <c r="D46" s="1569">
        <v>0</v>
      </c>
      <c r="E46" s="1569">
        <v>0</v>
      </c>
      <c r="F46" s="2306">
        <f t="shared" si="15"/>
        <v>978899.29</v>
      </c>
      <c r="G46" s="1569">
        <v>555000</v>
      </c>
      <c r="H46" s="1569">
        <v>0</v>
      </c>
      <c r="I46" s="1569">
        <v>0</v>
      </c>
      <c r="J46" s="2306">
        <f t="shared" si="16"/>
        <v>555000</v>
      </c>
      <c r="K46" s="1575">
        <f t="shared" si="13"/>
        <v>423899.29000000004</v>
      </c>
      <c r="L46" s="1581">
        <f t="shared" si="14"/>
        <v>423899</v>
      </c>
    </row>
    <row r="47" spans="1:13" x14ac:dyDescent="0.3">
      <c r="A47" s="106"/>
      <c r="B47" s="9" t="str">
        <f>'1.2 Budgeted Enrollment YR1'!E47</f>
        <v>Democracy Prep</v>
      </c>
      <c r="C47" s="1569">
        <v>532821.23</v>
      </c>
      <c r="D47" s="1569">
        <v>2401.86</v>
      </c>
      <c r="E47" s="1569">
        <v>0</v>
      </c>
      <c r="F47" s="2306">
        <f t="shared" si="15"/>
        <v>535223.09</v>
      </c>
      <c r="G47" s="1569">
        <v>535223.09</v>
      </c>
      <c r="H47" s="1569">
        <v>0</v>
      </c>
      <c r="I47" s="1569">
        <v>0</v>
      </c>
      <c r="J47" s="2306">
        <f t="shared" si="16"/>
        <v>535223.09</v>
      </c>
      <c r="K47" s="1575">
        <f t="shared" si="13"/>
        <v>0</v>
      </c>
      <c r="L47" s="1581">
        <f t="shared" si="14"/>
        <v>0</v>
      </c>
    </row>
    <row r="48" spans="1:13" x14ac:dyDescent="0.3">
      <c r="A48" s="106"/>
      <c r="B48" s="9" t="str">
        <f>'1.2 Budgeted Enrollment YR1'!E48</f>
        <v>Discovery Charter</v>
      </c>
      <c r="C48" s="1569">
        <v>385417.93</v>
      </c>
      <c r="D48" s="1569">
        <v>0</v>
      </c>
      <c r="E48" s="1569">
        <v>0</v>
      </c>
      <c r="F48" s="2306">
        <f t="shared" si="15"/>
        <v>385417.93</v>
      </c>
      <c r="G48" s="1569">
        <v>255260.25</v>
      </c>
      <c r="H48" s="1569">
        <v>0</v>
      </c>
      <c r="I48" s="1569">
        <v>0</v>
      </c>
      <c r="J48" s="2306">
        <f t="shared" si="16"/>
        <v>255260.25</v>
      </c>
      <c r="K48" s="1575">
        <f t="shared" si="13"/>
        <v>130157.68</v>
      </c>
      <c r="L48" s="1581">
        <f t="shared" si="14"/>
        <v>130158</v>
      </c>
    </row>
    <row r="49" spans="1:12" x14ac:dyDescent="0.3">
      <c r="A49" s="106"/>
      <c r="B49" s="9" t="str">
        <f>'1.2 Budgeted Enrollment YR1'!E49</f>
        <v>Do and Be Academy of Excellence</v>
      </c>
      <c r="C49" s="1569"/>
      <c r="D49" s="1569"/>
      <c r="E49" s="1569"/>
      <c r="F49" s="2306">
        <f t="shared" si="15"/>
        <v>0</v>
      </c>
      <c r="G49" s="1569"/>
      <c r="H49" s="1569"/>
      <c r="I49" s="1569"/>
      <c r="J49" s="2306">
        <f t="shared" si="16"/>
        <v>0</v>
      </c>
      <c r="K49" s="1575">
        <f t="shared" si="13"/>
        <v>0</v>
      </c>
      <c r="L49" s="1581">
        <f t="shared" si="14"/>
        <v>0</v>
      </c>
    </row>
    <row r="50" spans="1:12" x14ac:dyDescent="0.3">
      <c r="A50" s="106"/>
      <c r="B50" s="9" t="str">
        <f>'1.2 Budgeted Enrollment YR1'!E50</f>
        <v>Doral Academy</v>
      </c>
      <c r="C50" s="1569">
        <v>5348079.41</v>
      </c>
      <c r="D50" s="1569">
        <v>0</v>
      </c>
      <c r="E50" s="1569">
        <v>0</v>
      </c>
      <c r="F50" s="2306">
        <f t="shared" si="15"/>
        <v>5348079.41</v>
      </c>
      <c r="G50" s="1569">
        <v>2556719.5599999996</v>
      </c>
      <c r="H50" s="1569">
        <v>0</v>
      </c>
      <c r="I50" s="1569">
        <v>0</v>
      </c>
      <c r="J50" s="2306">
        <f t="shared" si="16"/>
        <v>2556719.5599999996</v>
      </c>
      <c r="K50" s="1575">
        <f t="shared" si="13"/>
        <v>2791359.8500000006</v>
      </c>
      <c r="L50" s="1581">
        <f t="shared" si="14"/>
        <v>2791360</v>
      </c>
    </row>
    <row r="51" spans="1:12" x14ac:dyDescent="0.3">
      <c r="A51" s="106"/>
      <c r="B51" s="9" t="str">
        <f>'1.2 Budgeted Enrollment YR1'!E51</f>
        <v>Doral Academy of Northern Nevada</v>
      </c>
      <c r="C51" s="1569">
        <v>542048.16999999993</v>
      </c>
      <c r="D51" s="1569">
        <v>0</v>
      </c>
      <c r="E51" s="1569">
        <v>0</v>
      </c>
      <c r="F51" s="2306">
        <f t="shared" si="15"/>
        <v>542048.16999999993</v>
      </c>
      <c r="G51" s="1569">
        <v>456998.17</v>
      </c>
      <c r="H51" s="1569">
        <v>0</v>
      </c>
      <c r="I51" s="1569">
        <v>0</v>
      </c>
      <c r="J51" s="2306">
        <f t="shared" si="16"/>
        <v>456998.17</v>
      </c>
      <c r="K51" s="1575">
        <f t="shared" si="13"/>
        <v>85049.999999999942</v>
      </c>
      <c r="L51" s="1581">
        <f t="shared" si="14"/>
        <v>85050</v>
      </c>
    </row>
    <row r="52" spans="1:12" x14ac:dyDescent="0.3">
      <c r="A52" s="106"/>
      <c r="B52" s="9" t="str">
        <f>'1.2 Budgeted Enrollment YR1'!E52</f>
        <v>Eagle Charter School (CLOSED)</v>
      </c>
      <c r="C52" s="1569">
        <v>0</v>
      </c>
      <c r="D52" s="1569">
        <v>0</v>
      </c>
      <c r="E52" s="1569">
        <v>0</v>
      </c>
      <c r="F52" s="2306">
        <f t="shared" si="15"/>
        <v>0</v>
      </c>
      <c r="G52" s="1569">
        <v>0</v>
      </c>
      <c r="H52" s="1569">
        <v>0</v>
      </c>
      <c r="I52" s="1569">
        <v>0</v>
      </c>
      <c r="J52" s="2306">
        <f t="shared" si="16"/>
        <v>0</v>
      </c>
      <c r="K52" s="1575">
        <f t="shared" si="13"/>
        <v>0</v>
      </c>
      <c r="L52" s="1581">
        <f t="shared" si="14"/>
        <v>0</v>
      </c>
    </row>
    <row r="53" spans="1:12" x14ac:dyDescent="0.3">
      <c r="A53" s="106"/>
      <c r="B53" s="9" t="str">
        <f>'1.2 Budgeted Enrollment YR1'!E53</f>
        <v>Elko Institute for Academic Achievement</v>
      </c>
      <c r="C53" s="1569">
        <v>284526.46999999997</v>
      </c>
      <c r="D53" s="1569">
        <v>0</v>
      </c>
      <c r="E53" s="1569">
        <v>0</v>
      </c>
      <c r="F53" s="2306">
        <f t="shared" si="15"/>
        <v>284526.46999999997</v>
      </c>
      <c r="G53" s="1569">
        <v>144098.52000000002</v>
      </c>
      <c r="H53" s="1569">
        <v>0</v>
      </c>
      <c r="I53" s="1569">
        <v>0</v>
      </c>
      <c r="J53" s="2306">
        <f t="shared" si="16"/>
        <v>144098.52000000002</v>
      </c>
      <c r="K53" s="1575">
        <f t="shared" si="13"/>
        <v>140427.94999999995</v>
      </c>
      <c r="L53" s="1581">
        <f t="shared" si="14"/>
        <v>140428</v>
      </c>
    </row>
    <row r="54" spans="1:12" x14ac:dyDescent="0.3">
      <c r="A54" s="106"/>
      <c r="B54" s="9" t="str">
        <f>'1.2 Budgeted Enrollment YR1'!E54</f>
        <v>enCompass Academy</v>
      </c>
      <c r="C54" s="1569">
        <v>84025.53</v>
      </c>
      <c r="D54" s="1569">
        <v>0</v>
      </c>
      <c r="E54" s="1569">
        <v>0</v>
      </c>
      <c r="F54" s="2306">
        <f t="shared" si="15"/>
        <v>84025.53</v>
      </c>
      <c r="G54" s="1569">
        <v>84025.53</v>
      </c>
      <c r="H54" s="1569">
        <v>0</v>
      </c>
      <c r="I54" s="1569">
        <v>0</v>
      </c>
      <c r="J54" s="2306">
        <f t="shared" si="16"/>
        <v>84025.53</v>
      </c>
      <c r="K54" s="1575">
        <f t="shared" si="13"/>
        <v>0</v>
      </c>
      <c r="L54" s="1581">
        <f t="shared" si="14"/>
        <v>0</v>
      </c>
    </row>
    <row r="55" spans="1:12" x14ac:dyDescent="0.3">
      <c r="A55" s="106"/>
      <c r="B55" s="9" t="str">
        <f>'1.2 Budgeted Enrollment YR1'!E55</f>
        <v>Equipo Academy</v>
      </c>
      <c r="C55" s="1569">
        <v>551644.38800000004</v>
      </c>
      <c r="D55" s="1569">
        <v>0</v>
      </c>
      <c r="E55" s="1569">
        <v>0</v>
      </c>
      <c r="F55" s="2306">
        <f t="shared" si="15"/>
        <v>551644.38800000004</v>
      </c>
      <c r="G55" s="1569">
        <v>201737.93000000002</v>
      </c>
      <c r="H55" s="1569">
        <v>0</v>
      </c>
      <c r="I55" s="1569">
        <v>0</v>
      </c>
      <c r="J55" s="2306">
        <f t="shared" si="16"/>
        <v>201737.93000000002</v>
      </c>
      <c r="K55" s="1575">
        <f t="shared" si="13"/>
        <v>349906.45799999998</v>
      </c>
      <c r="L55" s="1581">
        <f t="shared" si="14"/>
        <v>349906</v>
      </c>
    </row>
    <row r="56" spans="1:12" x14ac:dyDescent="0.3">
      <c r="A56" s="106"/>
      <c r="B56" s="9" t="str">
        <f>'1.2 Budgeted Enrollment YR1'!E56</f>
        <v>Explore Academy</v>
      </c>
      <c r="C56" s="1569">
        <v>189386.62</v>
      </c>
      <c r="D56" s="1569">
        <v>0</v>
      </c>
      <c r="E56" s="1569">
        <v>0</v>
      </c>
      <c r="F56" s="2306">
        <f t="shared" si="15"/>
        <v>189386.62</v>
      </c>
      <c r="G56" s="1569">
        <v>189386.62</v>
      </c>
      <c r="H56" s="1569">
        <v>0</v>
      </c>
      <c r="I56" s="1569">
        <v>0</v>
      </c>
      <c r="J56" s="2306">
        <f t="shared" si="16"/>
        <v>189386.62</v>
      </c>
      <c r="K56" s="1575">
        <f t="shared" si="13"/>
        <v>0</v>
      </c>
      <c r="L56" s="1581">
        <f t="shared" si="14"/>
        <v>0</v>
      </c>
    </row>
    <row r="57" spans="1:12" x14ac:dyDescent="0.3">
      <c r="A57" s="106"/>
      <c r="B57" s="9" t="str">
        <f>'1.2 Budgeted Enrollment YR1'!E57</f>
        <v>Explore Knowledge Academy</v>
      </c>
      <c r="C57" s="1569">
        <v>260232.75</v>
      </c>
      <c r="D57" s="1569">
        <v>0</v>
      </c>
      <c r="E57" s="1569">
        <v>0</v>
      </c>
      <c r="F57" s="2306">
        <f t="shared" si="15"/>
        <v>260232.75</v>
      </c>
      <c r="G57" s="1569">
        <v>233100</v>
      </c>
      <c r="H57" s="1569">
        <v>0</v>
      </c>
      <c r="I57" s="1569">
        <v>0</v>
      </c>
      <c r="J57" s="2306">
        <f t="shared" si="16"/>
        <v>233100</v>
      </c>
      <c r="K57" s="1575">
        <f t="shared" si="13"/>
        <v>27132.75</v>
      </c>
      <c r="L57" s="1581">
        <f t="shared" si="14"/>
        <v>27133</v>
      </c>
    </row>
    <row r="58" spans="1:12" x14ac:dyDescent="0.3">
      <c r="A58" s="106"/>
      <c r="B58" s="9" t="str">
        <f>'1.2 Budgeted Enrollment YR1'!E58</f>
        <v>Founders Academy of Las Vegas</v>
      </c>
      <c r="C58" s="1569">
        <v>431932.67000000004</v>
      </c>
      <c r="D58" s="1569">
        <v>115.68</v>
      </c>
      <c r="E58" s="1569">
        <v>0</v>
      </c>
      <c r="F58" s="2306">
        <f t="shared" si="15"/>
        <v>432048.35000000003</v>
      </c>
      <c r="G58" s="1569">
        <v>263494.45</v>
      </c>
      <c r="H58" s="1569">
        <v>0</v>
      </c>
      <c r="I58" s="1569">
        <v>0</v>
      </c>
      <c r="J58" s="2306">
        <f t="shared" si="16"/>
        <v>263494.45</v>
      </c>
      <c r="K58" s="1575">
        <f t="shared" si="13"/>
        <v>168553.90000000002</v>
      </c>
      <c r="L58" s="1581">
        <f t="shared" si="14"/>
        <v>168554</v>
      </c>
    </row>
    <row r="59" spans="1:12" x14ac:dyDescent="0.3">
      <c r="A59" s="106"/>
      <c r="B59" s="9" t="str">
        <f>'1.2 Budgeted Enrollment YR1'!E59</f>
        <v>Freedom Classical Academy</v>
      </c>
      <c r="C59" s="1569">
        <v>968791.97339694249</v>
      </c>
      <c r="D59" s="1569">
        <v>668.8</v>
      </c>
      <c r="E59" s="1569">
        <v>0</v>
      </c>
      <c r="F59" s="2306">
        <f t="shared" si="15"/>
        <v>969460.77339694253</v>
      </c>
      <c r="G59" s="1569">
        <v>424061.38</v>
      </c>
      <c r="H59" s="1569">
        <v>0</v>
      </c>
      <c r="I59" s="1569">
        <v>0</v>
      </c>
      <c r="J59" s="2306">
        <f t="shared" si="16"/>
        <v>424061.38</v>
      </c>
      <c r="K59" s="1575">
        <f t="shared" si="13"/>
        <v>545399.39339694253</v>
      </c>
      <c r="L59" s="1581">
        <f t="shared" si="14"/>
        <v>545399</v>
      </c>
    </row>
    <row r="60" spans="1:12" x14ac:dyDescent="0.3">
      <c r="A60" s="106"/>
      <c r="B60" s="9" t="str">
        <f>'1.2 Budgeted Enrollment YR1'!E60</f>
        <v>Futuro Academy Elementary</v>
      </c>
      <c r="C60" s="1569">
        <v>455975.26</v>
      </c>
      <c r="D60" s="1569">
        <v>0</v>
      </c>
      <c r="E60" s="1569">
        <v>0</v>
      </c>
      <c r="F60" s="2306">
        <f t="shared" si="15"/>
        <v>455975.26</v>
      </c>
      <c r="G60" s="1569">
        <v>123513.03</v>
      </c>
      <c r="H60" s="1569">
        <v>0</v>
      </c>
      <c r="I60" s="1569">
        <v>0</v>
      </c>
      <c r="J60" s="2306">
        <f t="shared" si="16"/>
        <v>123513.03</v>
      </c>
      <c r="K60" s="1575">
        <f t="shared" si="13"/>
        <v>332462.23</v>
      </c>
      <c r="L60" s="1581">
        <f t="shared" si="14"/>
        <v>332462</v>
      </c>
    </row>
    <row r="61" spans="1:12" x14ac:dyDescent="0.3">
      <c r="A61" s="106"/>
      <c r="B61" s="9" t="str">
        <f>'1.2 Budgeted Enrollment YR1'!E61</f>
        <v>High Desert Montessori</v>
      </c>
      <c r="C61" s="1569">
        <v>218769.96000000002</v>
      </c>
      <c r="D61" s="1569">
        <v>0</v>
      </c>
      <c r="E61" s="1569">
        <v>0</v>
      </c>
      <c r="F61" s="2306">
        <f t="shared" si="15"/>
        <v>218769.96000000002</v>
      </c>
      <c r="G61" s="1569">
        <v>218769.96</v>
      </c>
      <c r="H61" s="1569">
        <v>0</v>
      </c>
      <c r="I61" s="1569">
        <v>0</v>
      </c>
      <c r="J61" s="2306">
        <f t="shared" si="16"/>
        <v>218769.96</v>
      </c>
      <c r="K61" s="1575">
        <f t="shared" si="13"/>
        <v>0</v>
      </c>
      <c r="L61" s="1581">
        <f t="shared" si="14"/>
        <v>0</v>
      </c>
    </row>
    <row r="62" spans="1:12" x14ac:dyDescent="0.3">
      <c r="A62" s="106"/>
      <c r="B62" s="9" t="str">
        <f>'1.2 Budgeted Enrollment YR1'!E62</f>
        <v>Honors Academy of Literature</v>
      </c>
      <c r="C62" s="1569">
        <v>371051.20999999996</v>
      </c>
      <c r="D62" s="1569">
        <v>0</v>
      </c>
      <c r="E62" s="1569">
        <v>0</v>
      </c>
      <c r="F62" s="2306">
        <f t="shared" si="15"/>
        <v>371051.20999999996</v>
      </c>
      <c r="G62" s="1569">
        <v>139981.44</v>
      </c>
      <c r="H62" s="1569">
        <v>0</v>
      </c>
      <c r="I62" s="1569">
        <v>0</v>
      </c>
      <c r="J62" s="2306">
        <f t="shared" si="16"/>
        <v>139981.44</v>
      </c>
      <c r="K62" s="1575">
        <f t="shared" si="13"/>
        <v>231069.76999999996</v>
      </c>
      <c r="L62" s="1581">
        <f t="shared" si="14"/>
        <v>231070</v>
      </c>
    </row>
    <row r="63" spans="1:12" x14ac:dyDescent="0.3">
      <c r="A63" s="106"/>
      <c r="B63" s="9" t="str">
        <f>'1.2 Budgeted Enrollment YR1'!E63</f>
        <v>Imagine School Mountain View</v>
      </c>
      <c r="C63" s="1569">
        <v>559459.54</v>
      </c>
      <c r="D63" s="1569">
        <v>0</v>
      </c>
      <c r="E63" s="1569">
        <v>0</v>
      </c>
      <c r="F63" s="2306">
        <f t="shared" si="15"/>
        <v>559459.54</v>
      </c>
      <c r="G63" s="1569">
        <v>288197.05</v>
      </c>
      <c r="H63" s="1569">
        <v>0</v>
      </c>
      <c r="I63" s="1569">
        <v>0</v>
      </c>
      <c r="J63" s="2306">
        <f t="shared" si="16"/>
        <v>288197.05</v>
      </c>
      <c r="K63" s="1575">
        <f t="shared" si="13"/>
        <v>271262.49000000005</v>
      </c>
      <c r="L63" s="1581">
        <f t="shared" si="14"/>
        <v>271262</v>
      </c>
    </row>
    <row r="64" spans="1:12" x14ac:dyDescent="0.3">
      <c r="A64" s="106"/>
      <c r="B64" s="9" t="str">
        <f>'1.2 Budgeted Enrollment YR1'!E64</f>
        <v>Innovations Int'l Charter</v>
      </c>
      <c r="C64" s="1569">
        <v>498893</v>
      </c>
      <c r="D64" s="1569">
        <v>0</v>
      </c>
      <c r="E64" s="1569">
        <v>0</v>
      </c>
      <c r="F64" s="2306">
        <f t="shared" si="15"/>
        <v>498893</v>
      </c>
      <c r="G64" s="1569">
        <v>425500</v>
      </c>
      <c r="H64" s="1569">
        <v>0</v>
      </c>
      <c r="I64" s="1569">
        <v>0</v>
      </c>
      <c r="J64" s="2306">
        <f t="shared" si="16"/>
        <v>425500</v>
      </c>
      <c r="K64" s="1575">
        <f t="shared" si="13"/>
        <v>73393</v>
      </c>
      <c r="L64" s="1581">
        <f t="shared" si="14"/>
        <v>73393</v>
      </c>
    </row>
    <row r="65" spans="1:13" x14ac:dyDescent="0.3">
      <c r="A65" s="1582"/>
      <c r="B65" s="36" t="str">
        <f>'1.2 Budgeted Enrollment YR1'!E65</f>
        <v>Leadership Academy of Nevada</v>
      </c>
      <c r="C65" s="1569">
        <v>317838.11000000004</v>
      </c>
      <c r="D65" s="1569">
        <v>0</v>
      </c>
      <c r="E65" s="1569">
        <v>0</v>
      </c>
      <c r="F65" s="2306">
        <f t="shared" si="15"/>
        <v>317838.11000000004</v>
      </c>
      <c r="G65" s="1569">
        <v>107044.21999999999</v>
      </c>
      <c r="H65" s="1569">
        <v>0</v>
      </c>
      <c r="I65" s="1569">
        <v>0</v>
      </c>
      <c r="J65" s="2306">
        <f t="shared" si="16"/>
        <v>107044.21999999999</v>
      </c>
      <c r="K65" s="1575">
        <f t="shared" si="13"/>
        <v>210793.89000000007</v>
      </c>
      <c r="L65" s="1948">
        <f t="shared" si="14"/>
        <v>210794</v>
      </c>
    </row>
    <row r="66" spans="1:13" x14ac:dyDescent="0.3">
      <c r="A66" s="106"/>
      <c r="B66" s="36" t="str">
        <f>'1.2 Budgeted Enrollment YR1'!E66</f>
        <v>Learning Bridge</v>
      </c>
      <c r="C66" s="1569">
        <v>74107.819999999992</v>
      </c>
      <c r="D66" s="1569">
        <v>0</v>
      </c>
      <c r="E66" s="1569">
        <v>0</v>
      </c>
      <c r="F66" s="2306">
        <f t="shared" si="15"/>
        <v>74107.819999999992</v>
      </c>
      <c r="G66" s="1569">
        <v>74107.819999999992</v>
      </c>
      <c r="H66" s="1569">
        <v>0</v>
      </c>
      <c r="I66" s="1569">
        <v>0</v>
      </c>
      <c r="J66" s="2306">
        <f t="shared" si="16"/>
        <v>74107.819999999992</v>
      </c>
      <c r="K66" s="1575">
        <f t="shared" si="13"/>
        <v>0</v>
      </c>
      <c r="L66" s="1948">
        <f t="shared" si="14"/>
        <v>0</v>
      </c>
    </row>
    <row r="67" spans="1:13" x14ac:dyDescent="0.3">
      <c r="A67" s="106"/>
      <c r="B67" s="9" t="str">
        <f>'1.2 Budgeted Enrollment YR1'!E67</f>
        <v>Legacy Traditional Schools</v>
      </c>
      <c r="C67" s="1569">
        <v>2830822.6899999995</v>
      </c>
      <c r="D67" s="1569">
        <v>0</v>
      </c>
      <c r="E67" s="1569">
        <v>0</v>
      </c>
      <c r="F67" s="2306">
        <f t="shared" si="15"/>
        <v>2830822.6899999995</v>
      </c>
      <c r="G67" s="1569">
        <v>901645.07000000007</v>
      </c>
      <c r="H67" s="1569">
        <v>0</v>
      </c>
      <c r="I67" s="1569">
        <v>0</v>
      </c>
      <c r="J67" s="2306">
        <f t="shared" si="16"/>
        <v>901645.07000000007</v>
      </c>
      <c r="K67" s="1575">
        <f t="shared" si="13"/>
        <v>1929177.6199999994</v>
      </c>
      <c r="L67" s="1581">
        <f t="shared" si="14"/>
        <v>1929178</v>
      </c>
    </row>
    <row r="68" spans="1:13" x14ac:dyDescent="0.3">
      <c r="A68" s="106"/>
      <c r="B68" s="9" t="str">
        <f>'1.2 Budgeted Enrollment YR1'!E68</f>
        <v xml:space="preserve">Mariposa Language and Learning Academy </v>
      </c>
      <c r="C68" s="1569">
        <v>60742.32</v>
      </c>
      <c r="D68" s="1569">
        <v>0</v>
      </c>
      <c r="E68" s="1569">
        <v>0</v>
      </c>
      <c r="F68" s="2306">
        <f t="shared" si="15"/>
        <v>60742.32</v>
      </c>
      <c r="G68" s="1569">
        <v>0</v>
      </c>
      <c r="H68" s="1569">
        <v>0</v>
      </c>
      <c r="I68" s="1569">
        <v>0</v>
      </c>
      <c r="J68" s="2306">
        <f t="shared" si="16"/>
        <v>0</v>
      </c>
      <c r="K68" s="1575">
        <f t="shared" si="13"/>
        <v>60742.32</v>
      </c>
      <c r="L68" s="1581">
        <f t="shared" si="14"/>
        <v>60742</v>
      </c>
    </row>
    <row r="69" spans="1:13" x14ac:dyDescent="0.3">
      <c r="A69" s="106"/>
      <c r="B69" s="9" t="str">
        <f>'1.2 Budgeted Enrollment YR1'!E69</f>
        <v>Mater Academy</v>
      </c>
      <c r="C69" s="1569">
        <v>3479218.66</v>
      </c>
      <c r="D69" s="1569">
        <v>0</v>
      </c>
      <c r="E69" s="1569">
        <v>0</v>
      </c>
      <c r="F69" s="2306">
        <f t="shared" si="15"/>
        <v>3479218.66</v>
      </c>
      <c r="G69" s="1569">
        <v>1613903.4800000002</v>
      </c>
      <c r="H69" s="1569">
        <v>0</v>
      </c>
      <c r="I69" s="1569">
        <v>0</v>
      </c>
      <c r="J69" s="2306">
        <f t="shared" si="16"/>
        <v>1613903.4800000002</v>
      </c>
      <c r="K69" s="1575">
        <f t="shared" si="13"/>
        <v>1865315.18</v>
      </c>
      <c r="L69" s="1581">
        <f t="shared" si="14"/>
        <v>1865315</v>
      </c>
    </row>
    <row r="70" spans="1:13" x14ac:dyDescent="0.3">
      <c r="A70" s="106"/>
      <c r="B70" s="9" t="str">
        <f>'1.2 Budgeted Enrollment YR1'!E70</f>
        <v>Mater Academy of Northern Nevada</v>
      </c>
      <c r="C70" s="1569">
        <v>366761.65</v>
      </c>
      <c r="D70" s="1569">
        <v>0</v>
      </c>
      <c r="E70" s="1569">
        <v>0</v>
      </c>
      <c r="F70" s="2306">
        <f t="shared" si="15"/>
        <v>366761.65</v>
      </c>
      <c r="G70" s="1569">
        <v>312899.65000000002</v>
      </c>
      <c r="H70" s="1569">
        <v>0</v>
      </c>
      <c r="I70" s="1569">
        <v>0</v>
      </c>
      <c r="J70" s="2306">
        <f t="shared" si="16"/>
        <v>312899.65000000002</v>
      </c>
      <c r="K70" s="1575">
        <f t="shared" si="13"/>
        <v>53862</v>
      </c>
      <c r="L70" s="1581">
        <f t="shared" si="14"/>
        <v>53862</v>
      </c>
    </row>
    <row r="71" spans="1:13" x14ac:dyDescent="0.3">
      <c r="A71" s="106"/>
      <c r="B71" s="9" t="str">
        <f>'1.2 Budgeted Enrollment YR1'!E71</f>
        <v>Nevada Connections Academy</v>
      </c>
      <c r="C71" s="1569">
        <v>518754.68</v>
      </c>
      <c r="D71" s="1569">
        <v>0</v>
      </c>
      <c r="E71" s="1569">
        <v>0</v>
      </c>
      <c r="F71" s="2306">
        <f t="shared" si="15"/>
        <v>518754.68</v>
      </c>
      <c r="G71" s="1569">
        <v>518754.68</v>
      </c>
      <c r="H71" s="1569">
        <v>0</v>
      </c>
      <c r="I71" s="1569">
        <v>0</v>
      </c>
      <c r="J71" s="2306">
        <f t="shared" si="16"/>
        <v>518754.68</v>
      </c>
      <c r="K71" s="1575">
        <f t="shared" si="13"/>
        <v>0</v>
      </c>
      <c r="L71" s="1581">
        <f t="shared" si="14"/>
        <v>0</v>
      </c>
    </row>
    <row r="72" spans="1:13" x14ac:dyDescent="0.3">
      <c r="A72" s="106"/>
      <c r="B72" s="9" t="str">
        <f>'1.2 Budgeted Enrollment YR1'!E72</f>
        <v>Nevada Prep</v>
      </c>
      <c r="C72" s="1569">
        <v>337424.34</v>
      </c>
      <c r="D72" s="1569">
        <v>0</v>
      </c>
      <c r="E72" s="1569">
        <v>0</v>
      </c>
      <c r="F72" s="2306">
        <f t="shared" si="15"/>
        <v>337424.34</v>
      </c>
      <c r="G72" s="1569">
        <v>156449.82</v>
      </c>
      <c r="H72" s="1569">
        <v>0</v>
      </c>
      <c r="I72" s="1569">
        <v>0</v>
      </c>
      <c r="J72" s="2306">
        <f t="shared" si="16"/>
        <v>156449.82</v>
      </c>
      <c r="K72" s="1575">
        <f t="shared" si="13"/>
        <v>180974.52000000002</v>
      </c>
      <c r="L72" s="1581">
        <f t="shared" si="14"/>
        <v>180975</v>
      </c>
    </row>
    <row r="73" spans="1:13" x14ac:dyDescent="0.3">
      <c r="A73" s="106"/>
      <c r="B73" s="9" t="str">
        <f>'1.2 Budgeted Enrollment YR1'!E73</f>
        <v xml:space="preserve">Nevada Rise </v>
      </c>
      <c r="C73" s="1569">
        <v>428746.03</v>
      </c>
      <c r="D73" s="1569">
        <v>0</v>
      </c>
      <c r="E73" s="1569">
        <v>0</v>
      </c>
      <c r="F73" s="2306">
        <f t="shared" si="15"/>
        <v>428746.03</v>
      </c>
      <c r="G73" s="1569">
        <v>94693.32</v>
      </c>
      <c r="H73" s="1569">
        <v>0</v>
      </c>
      <c r="I73" s="1569">
        <v>0</v>
      </c>
      <c r="J73" s="2306">
        <f t="shared" si="16"/>
        <v>94693.32</v>
      </c>
      <c r="K73" s="1575">
        <f t="shared" si="13"/>
        <v>334052.71000000002</v>
      </c>
      <c r="L73" s="1581">
        <f t="shared" si="14"/>
        <v>334053</v>
      </c>
    </row>
    <row r="74" spans="1:13" x14ac:dyDescent="0.3">
      <c r="A74" s="106"/>
      <c r="B74" s="9" t="str">
        <f>'1.2 Budgeted Enrollment YR1'!E74</f>
        <v>Nevada State High School</v>
      </c>
      <c r="C74" s="1569">
        <v>75601.709999999992</v>
      </c>
      <c r="D74" s="1569">
        <v>0</v>
      </c>
      <c r="E74" s="1569">
        <v>0</v>
      </c>
      <c r="F74" s="2306">
        <f t="shared" si="15"/>
        <v>75601.709999999992</v>
      </c>
      <c r="G74" s="1569">
        <v>65873.61</v>
      </c>
      <c r="H74" s="1569">
        <v>0</v>
      </c>
      <c r="I74" s="1569">
        <v>0</v>
      </c>
      <c r="J74" s="2306">
        <f t="shared" si="16"/>
        <v>65873.61</v>
      </c>
      <c r="K74" s="1575">
        <f t="shared" si="13"/>
        <v>9728.0999999999913</v>
      </c>
      <c r="L74" s="1581">
        <f t="shared" si="14"/>
        <v>9728</v>
      </c>
    </row>
    <row r="75" spans="1:13" x14ac:dyDescent="0.3">
      <c r="A75" s="106"/>
      <c r="B75" s="9" t="str">
        <f>'1.2 Budgeted Enrollment YR1'!E75</f>
        <v>Nevada State High School-Meadowwood</v>
      </c>
      <c r="C75" s="1569">
        <v>0</v>
      </c>
      <c r="D75" s="1569">
        <v>0</v>
      </c>
      <c r="E75" s="1569">
        <v>0</v>
      </c>
      <c r="F75" s="2306">
        <f t="shared" si="15"/>
        <v>0</v>
      </c>
      <c r="G75" s="1569">
        <v>0</v>
      </c>
      <c r="H75" s="1569">
        <v>0</v>
      </c>
      <c r="I75" s="1569">
        <v>0</v>
      </c>
      <c r="J75" s="2306">
        <f t="shared" si="16"/>
        <v>0</v>
      </c>
      <c r="K75" s="1575">
        <f t="shared" si="13"/>
        <v>0</v>
      </c>
      <c r="L75" s="1581">
        <f t="shared" si="14"/>
        <v>0</v>
      </c>
    </row>
    <row r="76" spans="1:13" x14ac:dyDescent="0.3">
      <c r="A76" s="106"/>
      <c r="B76" s="9" t="str">
        <f>'1.2 Budgeted Enrollment YR1'!E76</f>
        <v>Nevada Virtual Academy</v>
      </c>
      <c r="C76" s="1569">
        <v>1598823.3926079369</v>
      </c>
      <c r="D76" s="1569">
        <v>6146.8</v>
      </c>
      <c r="E76" s="1569">
        <v>0</v>
      </c>
      <c r="F76" s="2306">
        <f t="shared" si="15"/>
        <v>1604970.1926079369</v>
      </c>
      <c r="G76" s="1569">
        <v>1091031.69</v>
      </c>
      <c r="H76" s="1569">
        <v>0</v>
      </c>
      <c r="I76" s="1569">
        <v>0</v>
      </c>
      <c r="J76" s="2306">
        <f t="shared" si="16"/>
        <v>1091031.69</v>
      </c>
      <c r="K76" s="1575">
        <f t="shared" si="13"/>
        <v>513938.50260793697</v>
      </c>
      <c r="L76" s="1581">
        <f t="shared" si="14"/>
        <v>513939</v>
      </c>
    </row>
    <row r="77" spans="1:13" x14ac:dyDescent="0.3">
      <c r="A77" s="106"/>
      <c r="B77" s="9" t="str">
        <f>'1.2 Budgeted Enrollment YR1'!E77</f>
        <v>Oasis Academy</v>
      </c>
      <c r="C77" s="1569">
        <v>906489.16</v>
      </c>
      <c r="D77" s="1569">
        <v>0</v>
      </c>
      <c r="E77" s="1569">
        <v>0</v>
      </c>
      <c r="F77" s="2306">
        <f t="shared" si="15"/>
        <v>906489.16</v>
      </c>
      <c r="G77" s="1569">
        <v>333485.16000000003</v>
      </c>
      <c r="H77" s="1569">
        <v>0</v>
      </c>
      <c r="I77" s="1569">
        <v>0</v>
      </c>
      <c r="J77" s="2306">
        <f t="shared" si="16"/>
        <v>333485.16000000003</v>
      </c>
      <c r="K77" s="1575">
        <f t="shared" si="13"/>
        <v>573004</v>
      </c>
      <c r="L77" s="1581">
        <f t="shared" si="14"/>
        <v>573004</v>
      </c>
    </row>
    <row r="78" spans="1:13" x14ac:dyDescent="0.3">
      <c r="A78" s="106"/>
      <c r="B78" s="9" t="str">
        <f>'1.2 Budgeted Enrollment YR1'!E78</f>
        <v>Odyssey Charter Schools</v>
      </c>
      <c r="C78" s="1569">
        <v>3469530.0600000005</v>
      </c>
      <c r="D78" s="1569">
        <v>7242.46</v>
      </c>
      <c r="E78" s="1569">
        <v>0</v>
      </c>
      <c r="F78" s="2306">
        <f t="shared" si="15"/>
        <v>3476772.5200000005</v>
      </c>
      <c r="G78" s="1569">
        <v>1080400</v>
      </c>
      <c r="H78" s="1569">
        <v>0</v>
      </c>
      <c r="I78" s="1569">
        <v>0</v>
      </c>
      <c r="J78" s="2306">
        <f t="shared" si="16"/>
        <v>1080400</v>
      </c>
      <c r="K78" s="1575">
        <f t="shared" si="13"/>
        <v>2396372.5200000005</v>
      </c>
      <c r="L78" s="1581">
        <f t="shared" si="14"/>
        <v>2396373</v>
      </c>
    </row>
    <row r="79" spans="1:13" x14ac:dyDescent="0.3">
      <c r="A79" s="106"/>
      <c r="B79" s="1528" t="str">
        <f>'1.2 Budgeted Enrollment YR1'!E79</f>
        <v>Pinecrest Academy of Northern Nevada</v>
      </c>
      <c r="C79" s="1569">
        <v>4571435.3330000006</v>
      </c>
      <c r="D79" s="1569">
        <v>0</v>
      </c>
      <c r="E79" s="1569">
        <v>0</v>
      </c>
      <c r="F79" s="2306">
        <f t="shared" si="15"/>
        <v>4571435.3330000006</v>
      </c>
      <c r="G79" s="1569">
        <v>3322500.29</v>
      </c>
      <c r="H79" s="1569">
        <v>0</v>
      </c>
      <c r="I79" s="1569">
        <v>0</v>
      </c>
      <c r="J79" s="2306">
        <f t="shared" si="16"/>
        <v>3322500.29</v>
      </c>
      <c r="K79" s="1575">
        <f t="shared" si="13"/>
        <v>1248935.0430000005</v>
      </c>
      <c r="L79" s="1581">
        <f t="shared" si="14"/>
        <v>1248935</v>
      </c>
      <c r="M79" s="9" t="s">
        <v>2328</v>
      </c>
    </row>
    <row r="80" spans="1:13" x14ac:dyDescent="0.3">
      <c r="A80" s="106"/>
      <c r="B80" s="1528" t="str">
        <f>'1.2 Budgeted Enrollment YR1'!E80</f>
        <v>Pinecrest Academy of Nevada</v>
      </c>
      <c r="C80" s="1569">
        <v>613244.48</v>
      </c>
      <c r="D80" s="1569">
        <v>0</v>
      </c>
      <c r="E80" s="1569">
        <v>0</v>
      </c>
      <c r="F80" s="2306">
        <f t="shared" si="15"/>
        <v>613244.48</v>
      </c>
      <c r="G80" s="1569">
        <v>469349.48</v>
      </c>
      <c r="H80" s="1569">
        <v>0</v>
      </c>
      <c r="I80" s="1569">
        <v>0</v>
      </c>
      <c r="J80" s="2306">
        <f t="shared" si="16"/>
        <v>469349.48</v>
      </c>
      <c r="K80" s="1575">
        <f t="shared" si="13"/>
        <v>143895</v>
      </c>
      <c r="L80" s="1581">
        <f t="shared" si="14"/>
        <v>143895</v>
      </c>
      <c r="M80" s="9" t="s">
        <v>2327</v>
      </c>
    </row>
    <row r="81" spans="1:12" x14ac:dyDescent="0.3">
      <c r="A81" s="106"/>
      <c r="B81" s="9" t="str">
        <f>'1.2 Budgeted Enrollment YR1'!E81</f>
        <v>Pioneer Technical Arts Academy</v>
      </c>
      <c r="C81" s="1569"/>
      <c r="D81" s="1569"/>
      <c r="E81" s="1569"/>
      <c r="F81" s="2306">
        <f t="shared" si="15"/>
        <v>0</v>
      </c>
      <c r="G81" s="1569"/>
      <c r="H81" s="1569"/>
      <c r="I81" s="1569"/>
      <c r="J81" s="2306">
        <f t="shared" si="16"/>
        <v>0</v>
      </c>
      <c r="K81" s="1575">
        <f t="shared" si="13"/>
        <v>0</v>
      </c>
      <c r="L81" s="1581">
        <f t="shared" si="14"/>
        <v>0</v>
      </c>
    </row>
    <row r="82" spans="1:12" x14ac:dyDescent="0.3">
      <c r="A82" s="106"/>
      <c r="B82" s="9" t="str">
        <f>'1.2 Budgeted Enrollment YR1'!E82</f>
        <v>Quest Academy</v>
      </c>
      <c r="C82" s="1569">
        <v>173833.13</v>
      </c>
      <c r="D82" s="1569">
        <v>0</v>
      </c>
      <c r="E82" s="1569">
        <v>0</v>
      </c>
      <c r="F82" s="2306">
        <f t="shared" si="15"/>
        <v>173833.13</v>
      </c>
      <c r="G82" s="1569">
        <v>127630.13</v>
      </c>
      <c r="H82" s="1569">
        <v>0</v>
      </c>
      <c r="I82" s="1569">
        <v>0</v>
      </c>
      <c r="J82" s="2306">
        <f t="shared" si="16"/>
        <v>127630.13</v>
      </c>
      <c r="K82" s="1575">
        <f t="shared" si="13"/>
        <v>46203</v>
      </c>
      <c r="L82" s="1581">
        <f t="shared" si="14"/>
        <v>46203</v>
      </c>
    </row>
    <row r="83" spans="1:12" x14ac:dyDescent="0.3">
      <c r="A83" s="106"/>
      <c r="B83" s="9" t="str">
        <f>'1.2 Budgeted Enrollment YR1'!E83</f>
        <v>Rainbow Dreams Academy</v>
      </c>
      <c r="C83" s="1569">
        <v>40634.04</v>
      </c>
      <c r="D83" s="1569">
        <v>0</v>
      </c>
      <c r="E83" s="1569">
        <v>0</v>
      </c>
      <c r="F83" s="2306">
        <f t="shared" si="15"/>
        <v>40634.04</v>
      </c>
      <c r="G83" s="1569">
        <v>0</v>
      </c>
      <c r="H83" s="1569">
        <v>0</v>
      </c>
      <c r="I83" s="1569">
        <v>0</v>
      </c>
      <c r="J83" s="2306">
        <f t="shared" si="16"/>
        <v>0</v>
      </c>
      <c r="K83" s="1575">
        <f t="shared" si="13"/>
        <v>40634.04</v>
      </c>
      <c r="L83" s="1581">
        <f t="shared" si="14"/>
        <v>40634</v>
      </c>
    </row>
    <row r="84" spans="1:12" x14ac:dyDescent="0.3">
      <c r="A84" s="106"/>
      <c r="B84" s="9" t="str">
        <f>'1.2 Budgeted Enrollment YR1'!E84</f>
        <v>Rooted Charter School</v>
      </c>
      <c r="C84" s="1569"/>
      <c r="D84" s="1569"/>
      <c r="E84" s="1569"/>
      <c r="F84" s="2306">
        <f t="shared" si="15"/>
        <v>0</v>
      </c>
      <c r="G84" s="1569"/>
      <c r="H84" s="1569"/>
      <c r="I84" s="1569"/>
      <c r="J84" s="2306">
        <f t="shared" si="16"/>
        <v>0</v>
      </c>
      <c r="K84" s="1575">
        <f t="shared" si="13"/>
        <v>0</v>
      </c>
      <c r="L84" s="1581">
        <f t="shared" si="14"/>
        <v>0</v>
      </c>
    </row>
    <row r="85" spans="1:12" x14ac:dyDescent="0.3">
      <c r="A85" s="106"/>
      <c r="B85" s="9" t="str">
        <f>'1.2 Budgeted Enrollment YR1'!E85</f>
        <v>Sage Collegiate Academy</v>
      </c>
      <c r="C85" s="1569">
        <v>171248.12</v>
      </c>
      <c r="D85" s="1569">
        <v>0</v>
      </c>
      <c r="E85" s="1569">
        <v>0</v>
      </c>
      <c r="F85" s="2306">
        <f t="shared" si="15"/>
        <v>171248.12</v>
      </c>
      <c r="G85" s="1569">
        <v>78224.92</v>
      </c>
      <c r="H85" s="1569">
        <v>0</v>
      </c>
      <c r="I85" s="1569">
        <v>0</v>
      </c>
      <c r="J85" s="2306">
        <f t="shared" si="16"/>
        <v>78224.92</v>
      </c>
      <c r="K85" s="1575">
        <f t="shared" si="13"/>
        <v>93023.2</v>
      </c>
      <c r="L85" s="1581">
        <f t="shared" si="14"/>
        <v>93023</v>
      </c>
    </row>
    <row r="86" spans="1:12" x14ac:dyDescent="0.3">
      <c r="A86" s="106"/>
      <c r="B86" s="9" t="str">
        <f>'1.2 Budgeted Enrollment YR1'!E86</f>
        <v>Sierra Nevada Academy Charter</v>
      </c>
      <c r="C86" s="1569">
        <v>262860.19</v>
      </c>
      <c r="D86" s="1569">
        <v>2196.89</v>
      </c>
      <c r="E86" s="1569">
        <v>0</v>
      </c>
      <c r="F86" s="2306">
        <f t="shared" si="15"/>
        <v>265057.08</v>
      </c>
      <c r="G86" s="1569">
        <v>0</v>
      </c>
      <c r="H86" s="1569">
        <v>0</v>
      </c>
      <c r="I86" s="1569">
        <v>0</v>
      </c>
      <c r="J86" s="2306">
        <f t="shared" si="16"/>
        <v>0</v>
      </c>
      <c r="K86" s="1575">
        <f t="shared" si="13"/>
        <v>265057.08</v>
      </c>
      <c r="L86" s="1581">
        <f t="shared" si="14"/>
        <v>265057</v>
      </c>
    </row>
    <row r="87" spans="1:12" x14ac:dyDescent="0.3">
      <c r="A87" s="106"/>
      <c r="B87" s="9" t="str">
        <f>'1.2 Budgeted Enrollment YR1'!E87</f>
        <v>Signature Preparatory</v>
      </c>
      <c r="C87" s="1569">
        <v>755319.04</v>
      </c>
      <c r="D87" s="1569">
        <v>0</v>
      </c>
      <c r="E87" s="1569">
        <v>0</v>
      </c>
      <c r="F87" s="2306">
        <f t="shared" si="15"/>
        <v>755319.04</v>
      </c>
      <c r="G87" s="1569">
        <v>473466.57999999996</v>
      </c>
      <c r="H87" s="1569">
        <v>0</v>
      </c>
      <c r="I87" s="1569">
        <v>0</v>
      </c>
      <c r="J87" s="2306">
        <f t="shared" si="16"/>
        <v>473466.57999999996</v>
      </c>
      <c r="K87" s="1575">
        <f t="shared" si="13"/>
        <v>281852.46000000008</v>
      </c>
      <c r="L87" s="1581">
        <f t="shared" si="14"/>
        <v>281852</v>
      </c>
    </row>
    <row r="88" spans="1:12" x14ac:dyDescent="0.3">
      <c r="A88" s="106"/>
      <c r="B88" s="9" t="str">
        <f>'1.2 Budgeted Enrollment YR1'!E88</f>
        <v>Silver Sands Montessori</v>
      </c>
      <c r="C88" s="1569">
        <v>113346.01999999999</v>
      </c>
      <c r="D88" s="1569">
        <v>0</v>
      </c>
      <c r="E88" s="1569">
        <v>0</v>
      </c>
      <c r="F88" s="2306">
        <f t="shared" si="15"/>
        <v>113346.01999999999</v>
      </c>
      <c r="G88" s="1569">
        <v>115278.82999999999</v>
      </c>
      <c r="H88" s="1569">
        <v>0</v>
      </c>
      <c r="I88" s="1569">
        <v>0</v>
      </c>
      <c r="J88" s="2306">
        <f t="shared" si="16"/>
        <v>115278.82999999999</v>
      </c>
      <c r="K88" s="1575">
        <f t="shared" si="13"/>
        <v>-1932.8099999999977</v>
      </c>
      <c r="L88" s="1581">
        <f t="shared" si="14"/>
        <v>0</v>
      </c>
    </row>
    <row r="89" spans="1:12" x14ac:dyDescent="0.3">
      <c r="A89" s="106"/>
      <c r="B89" s="9" t="str">
        <f>'1.2 Budgeted Enrollment YR1'!E89</f>
        <v>Somerset Academy</v>
      </c>
      <c r="C89" s="1569">
        <v>8985268.2699999996</v>
      </c>
      <c r="D89" s="1569">
        <v>0</v>
      </c>
      <c r="E89" s="1569">
        <v>0</v>
      </c>
      <c r="F89" s="2306">
        <f t="shared" si="15"/>
        <v>8985268.2699999996</v>
      </c>
      <c r="G89" s="1569">
        <v>4903466.9800000004</v>
      </c>
      <c r="H89" s="1569">
        <v>0</v>
      </c>
      <c r="I89" s="1569">
        <v>0</v>
      </c>
      <c r="J89" s="2306">
        <f t="shared" si="16"/>
        <v>4903466.9800000004</v>
      </c>
      <c r="K89" s="1575">
        <f t="shared" si="13"/>
        <v>4081801.2899999991</v>
      </c>
      <c r="L89" s="1581">
        <f t="shared" si="14"/>
        <v>4081801</v>
      </c>
    </row>
    <row r="90" spans="1:12" x14ac:dyDescent="0.3">
      <c r="A90" s="106"/>
      <c r="B90" s="9" t="str">
        <f>'1.2 Budgeted Enrollment YR1'!E90</f>
        <v>Southern Nevada Trade High School</v>
      </c>
      <c r="C90" s="1569">
        <v>0</v>
      </c>
      <c r="D90" s="1569">
        <v>0</v>
      </c>
      <c r="E90" s="1569">
        <v>0</v>
      </c>
      <c r="F90" s="2306">
        <f t="shared" si="15"/>
        <v>0</v>
      </c>
      <c r="G90" s="1569">
        <v>0</v>
      </c>
      <c r="H90" s="1569">
        <v>0</v>
      </c>
      <c r="I90" s="1569">
        <v>0</v>
      </c>
      <c r="J90" s="2306">
        <f t="shared" si="16"/>
        <v>0</v>
      </c>
      <c r="K90" s="1575">
        <f t="shared" si="13"/>
        <v>0</v>
      </c>
      <c r="L90" s="1581">
        <f t="shared" si="14"/>
        <v>0</v>
      </c>
    </row>
    <row r="91" spans="1:12" x14ac:dyDescent="0.3">
      <c r="A91" s="106"/>
      <c r="B91" s="9" t="str">
        <f>'1.2 Budgeted Enrollment YR1'!E91</f>
        <v>Sports Leadership and Management Academy</v>
      </c>
      <c r="C91" s="1569">
        <v>2168879.71</v>
      </c>
      <c r="D91" s="1569">
        <v>0</v>
      </c>
      <c r="E91" s="1569">
        <v>0</v>
      </c>
      <c r="F91" s="2306">
        <f t="shared" si="15"/>
        <v>2168879.71</v>
      </c>
      <c r="G91" s="1569">
        <v>753429.42000000016</v>
      </c>
      <c r="H91" s="1569">
        <v>0</v>
      </c>
      <c r="I91" s="1569">
        <v>0</v>
      </c>
      <c r="J91" s="2306">
        <f t="shared" si="16"/>
        <v>753429.42000000016</v>
      </c>
      <c r="K91" s="1575">
        <f t="shared" si="13"/>
        <v>1415450.2899999998</v>
      </c>
      <c r="L91" s="1581">
        <f t="shared" si="14"/>
        <v>1415450</v>
      </c>
    </row>
    <row r="92" spans="1:12" x14ac:dyDescent="0.3">
      <c r="A92" s="106"/>
      <c r="B92" s="9" t="str">
        <f>'1.2 Budgeted Enrollment YR1'!E92</f>
        <v>Strong Start Academy</v>
      </c>
      <c r="C92" s="1569">
        <v>252733.53</v>
      </c>
      <c r="D92" s="1569">
        <v>0</v>
      </c>
      <c r="E92" s="1569">
        <v>0</v>
      </c>
      <c r="F92" s="2306">
        <f t="shared" si="15"/>
        <v>252733.53</v>
      </c>
      <c r="G92" s="1569">
        <v>32936.81</v>
      </c>
      <c r="H92" s="1569">
        <v>0</v>
      </c>
      <c r="I92" s="1569">
        <v>0</v>
      </c>
      <c r="J92" s="2306">
        <f t="shared" si="16"/>
        <v>32936.81</v>
      </c>
      <c r="K92" s="1575">
        <f t="shared" si="13"/>
        <v>219796.72</v>
      </c>
      <c r="L92" s="1581">
        <f t="shared" si="14"/>
        <v>219797</v>
      </c>
    </row>
    <row r="93" spans="1:12" x14ac:dyDescent="0.3">
      <c r="A93" s="106"/>
      <c r="B93" s="9" t="str">
        <f>'1.2 Budgeted Enrollment YR1'!E93</f>
        <v>ThrivePoint</v>
      </c>
      <c r="C93" s="1569">
        <v>0</v>
      </c>
      <c r="D93" s="1569">
        <v>0</v>
      </c>
      <c r="E93" s="1569">
        <v>0</v>
      </c>
      <c r="F93" s="2306">
        <f t="shared" si="15"/>
        <v>0</v>
      </c>
      <c r="G93" s="1569">
        <v>0</v>
      </c>
      <c r="H93" s="1569">
        <v>0</v>
      </c>
      <c r="I93" s="1569">
        <v>0</v>
      </c>
      <c r="J93" s="2306">
        <f t="shared" si="16"/>
        <v>0</v>
      </c>
      <c r="K93" s="1575">
        <f t="shared" si="13"/>
        <v>0</v>
      </c>
      <c r="L93" s="1581">
        <f t="shared" si="14"/>
        <v>0</v>
      </c>
    </row>
    <row r="94" spans="1:12" x14ac:dyDescent="0.3">
      <c r="B94" s="9" t="str">
        <f>'1.2 Budgeted Enrollment YR1'!E94</f>
        <v>Vegas Vista Academy</v>
      </c>
      <c r="C94" s="1569">
        <v>0</v>
      </c>
      <c r="D94" s="1569">
        <v>0</v>
      </c>
      <c r="E94" s="1569">
        <v>0</v>
      </c>
      <c r="F94" s="2306">
        <f t="shared" si="15"/>
        <v>0</v>
      </c>
      <c r="G94" s="1569">
        <v>0</v>
      </c>
      <c r="H94" s="1569">
        <v>0</v>
      </c>
      <c r="I94" s="1569">
        <v>0</v>
      </c>
      <c r="J94" s="2306">
        <f t="shared" si="16"/>
        <v>0</v>
      </c>
      <c r="K94" s="1575">
        <f t="shared" si="13"/>
        <v>0</v>
      </c>
      <c r="L94" s="1581">
        <f t="shared" si="14"/>
        <v>0</v>
      </c>
    </row>
    <row r="95" spans="1:12" x14ac:dyDescent="0.3">
      <c r="A95" s="106"/>
      <c r="B95" s="9" t="str">
        <f>'1.2 Budgeted Enrollment YR1'!E95</f>
        <v>Young Women's Leadership Academy</v>
      </c>
      <c r="C95" s="1569">
        <v>151714.63</v>
      </c>
      <c r="D95" s="1569">
        <v>0</v>
      </c>
      <c r="E95" s="1569">
        <v>0</v>
      </c>
      <c r="F95" s="2306">
        <f t="shared" si="15"/>
        <v>151714.63</v>
      </c>
      <c r="G95" s="1569">
        <v>28819.71</v>
      </c>
      <c r="H95" s="1569">
        <v>0</v>
      </c>
      <c r="I95" s="1569">
        <v>0</v>
      </c>
      <c r="J95" s="2306">
        <f t="shared" si="16"/>
        <v>28819.71</v>
      </c>
      <c r="K95" s="1575">
        <f t="shared" si="13"/>
        <v>122894.92000000001</v>
      </c>
      <c r="L95" s="1581">
        <f t="shared" si="14"/>
        <v>122895</v>
      </c>
    </row>
    <row r="96" spans="1:12" x14ac:dyDescent="0.3">
      <c r="A96" s="2311"/>
      <c r="B96" s="2312" t="str">
        <f>'1.2 Budgeted Enrollment YR1'!E96</f>
        <v>Total Charter Schools</v>
      </c>
      <c r="C96" s="1378">
        <f t="shared" ref="C96:L96" si="17">SUM(C34:C95)</f>
        <v>52012004.147004887</v>
      </c>
      <c r="D96" s="1378">
        <f t="shared" si="17"/>
        <v>23520.3</v>
      </c>
      <c r="E96" s="1378">
        <f t="shared" si="17"/>
        <v>0</v>
      </c>
      <c r="F96" s="1378">
        <f t="shared" si="17"/>
        <v>52035524.447004884</v>
      </c>
      <c r="G96" s="1378">
        <f t="shared" si="17"/>
        <v>27429401.609999999</v>
      </c>
      <c r="H96" s="1378"/>
      <c r="I96" s="1378"/>
      <c r="J96" s="1378">
        <f t="shared" si="17"/>
        <v>27429401.609999999</v>
      </c>
      <c r="K96" s="1378">
        <f t="shared" si="17"/>
        <v>24606122.837004878</v>
      </c>
      <c r="L96" s="2313">
        <f t="shared" si="17"/>
        <v>24608056</v>
      </c>
    </row>
    <row r="97" spans="1:12" x14ac:dyDescent="0.3">
      <c r="C97" s="57">
        <f>C96-'6.2 Spec Ed Local YR2'!C96</f>
        <v>0</v>
      </c>
      <c r="D97" s="57">
        <f>D96-'6.2 Spec Ed Local YR2'!D96</f>
        <v>0</v>
      </c>
      <c r="E97" s="57">
        <f>E96-'6.2 Spec Ed Local YR2'!E96</f>
        <v>0</v>
      </c>
      <c r="F97" s="57">
        <f>F96-'6.2 Spec Ed Local YR2'!F96</f>
        <v>0</v>
      </c>
      <c r="G97" s="57">
        <f>G96-'6.2 Spec Ed Local YR2'!G96</f>
        <v>0</v>
      </c>
      <c r="H97" s="57"/>
      <c r="I97" s="57"/>
      <c r="J97" s="57">
        <f>J96-'6.2 Spec Ed Local YR2'!J96</f>
        <v>0</v>
      </c>
      <c r="K97" s="57">
        <f>K96-'6.2 Spec Ed Local YR2'!K96</f>
        <v>0</v>
      </c>
      <c r="L97" s="57">
        <f>L96-'6.2 Spec Ed Local YR2'!L96</f>
        <v>0</v>
      </c>
    </row>
    <row r="98" spans="1:12" x14ac:dyDescent="0.3">
      <c r="A98" s="4" t="str">
        <f>B27</f>
        <v>University Schools</v>
      </c>
    </row>
    <row r="99" spans="1:12" x14ac:dyDescent="0.3">
      <c r="A99" s="455"/>
      <c r="B99" s="207" t="str">
        <f>'1.2 Budgeted Enrollment YR1'!E100</f>
        <v>Davidson Academy</v>
      </c>
      <c r="C99" s="1567">
        <v>72842.899999999994</v>
      </c>
      <c r="D99" s="1567">
        <v>0</v>
      </c>
      <c r="E99" s="1567">
        <v>0</v>
      </c>
      <c r="F99" s="2305">
        <f t="shared" ref="F99" si="18">SUM(C99:E99)</f>
        <v>72842.899999999994</v>
      </c>
      <c r="G99" s="1567">
        <v>20575</v>
      </c>
      <c r="H99" s="1567">
        <v>0</v>
      </c>
      <c r="I99" s="1567">
        <v>0</v>
      </c>
      <c r="J99" s="2305">
        <f t="shared" ref="J99" si="19">SUM(G99:I99)</f>
        <v>20575</v>
      </c>
      <c r="K99" s="2007">
        <f t="shared" ref="K99" si="20">F99-J99</f>
        <v>52267.899999999994</v>
      </c>
      <c r="L99" s="1585">
        <f t="shared" ref="L99" si="21">ROUND(IF(K99&lt;0,0,K99),0)</f>
        <v>52268</v>
      </c>
    </row>
    <row r="100" spans="1:12" x14ac:dyDescent="0.3">
      <c r="A100" s="142"/>
      <c r="B100" s="137" t="str">
        <f>'1.2 Budgeted Enrollment YR1'!E101</f>
        <v>TBD</v>
      </c>
      <c r="C100" s="1572"/>
      <c r="D100" s="1572"/>
      <c r="E100" s="1572"/>
      <c r="F100" s="2307">
        <f t="shared" ref="F100" si="22">SUM(C100:E100)</f>
        <v>0</v>
      </c>
      <c r="G100" s="1572"/>
      <c r="H100" s="1572"/>
      <c r="I100" s="1572"/>
      <c r="J100" s="2307">
        <f t="shared" ref="J100" si="23">SUM(G100:I100)</f>
        <v>0</v>
      </c>
      <c r="K100" s="1577">
        <f>G100-J100</f>
        <v>0</v>
      </c>
      <c r="L100" s="1583">
        <f>ROUND(IF(SUM(C100-D100-E100-F100-G100)&lt;0,0,C100-D100-E100-F100-G100),0)</f>
        <v>0</v>
      </c>
    </row>
    <row r="101" spans="1:12" s="4" customFormat="1" x14ac:dyDescent="0.3">
      <c r="A101" s="1584"/>
      <c r="B101" s="1586" t="str">
        <f>'1.2 Budgeted Enrollment YR1'!E102</f>
        <v>Total University Schools</v>
      </c>
      <c r="C101" s="1245">
        <f>SUM(C99:C100)</f>
        <v>72842.899999999994</v>
      </c>
      <c r="D101" s="1245">
        <f t="shared" ref="D101:K101" si="24">SUM(D99:D100)</f>
        <v>0</v>
      </c>
      <c r="E101" s="1245">
        <f t="shared" si="24"/>
        <v>0</v>
      </c>
      <c r="F101" s="1245">
        <f t="shared" ref="F101" si="25">SUM(F99:F100)</f>
        <v>72842.899999999994</v>
      </c>
      <c r="G101" s="1245">
        <f t="shared" si="24"/>
        <v>20575</v>
      </c>
      <c r="H101" s="1245"/>
      <c r="I101" s="1245"/>
      <c r="J101" s="1245">
        <f t="shared" si="24"/>
        <v>20575</v>
      </c>
      <c r="K101" s="1578">
        <f t="shared" si="24"/>
        <v>52267.899999999994</v>
      </c>
      <c r="L101" s="1587">
        <f>SUM(L99:L100)</f>
        <v>52268</v>
      </c>
    </row>
    <row r="102" spans="1:12" x14ac:dyDescent="0.3">
      <c r="C102" s="57">
        <f>C101-'6.2 Spec Ed Local YR2'!C101</f>
        <v>0</v>
      </c>
      <c r="D102" s="57">
        <f>D101-'6.2 Spec Ed Local YR2'!D101</f>
        <v>0</v>
      </c>
      <c r="E102" s="57">
        <f>E101-'6.2 Spec Ed Local YR2'!E101</f>
        <v>0</v>
      </c>
      <c r="F102" s="57">
        <f>F101-'6.2 Spec Ed Local YR2'!F101</f>
        <v>0</v>
      </c>
      <c r="G102" s="57">
        <f>G101-'6.2 Spec Ed Local YR2'!G101</f>
        <v>0</v>
      </c>
      <c r="H102" s="57"/>
      <c r="I102" s="57"/>
      <c r="J102" s="57">
        <f>J101-'6.2 Spec Ed Local YR2'!J101</f>
        <v>0</v>
      </c>
      <c r="K102" s="57">
        <f>K101-'6.2 Spec Ed Local YR2'!K101</f>
        <v>0</v>
      </c>
      <c r="L102" s="57">
        <f>L101-'6.2 Spec Ed Local YR2'!L101</f>
        <v>0</v>
      </c>
    </row>
    <row r="103" spans="1:12" x14ac:dyDescent="0.3">
      <c r="A103" s="4" t="str">
        <f>B28</f>
        <v>City of Henderson</v>
      </c>
    </row>
    <row r="104" spans="1:12" x14ac:dyDescent="0.3">
      <c r="A104" s="455"/>
      <c r="B104" s="207" t="str">
        <f>'1.2 Budgeted Enrollment YR1'!E107</f>
        <v>TBD</v>
      </c>
      <c r="C104" s="1567">
        <v>0</v>
      </c>
      <c r="D104" s="1567">
        <v>0</v>
      </c>
      <c r="E104" s="1567">
        <v>0</v>
      </c>
      <c r="F104" s="2305">
        <f t="shared" ref="F104:F105" si="26">SUM(C104:E104)</f>
        <v>0</v>
      </c>
      <c r="G104" s="1567">
        <v>0</v>
      </c>
      <c r="H104" s="1567">
        <v>0</v>
      </c>
      <c r="I104" s="1567">
        <v>0</v>
      </c>
      <c r="J104" s="2305">
        <f t="shared" ref="J104:J105" si="27">SUM(G104:I104)</f>
        <v>0</v>
      </c>
      <c r="K104" s="2007">
        <f>G104-J104</f>
        <v>0</v>
      </c>
      <c r="L104" s="2008">
        <f>ROUND(IF(SUM(C104-D104-E104-F104-G104)&lt;0,0,C104-D104-E104-F104-G104),0)</f>
        <v>0</v>
      </c>
    </row>
    <row r="105" spans="1:12" x14ac:dyDescent="0.3">
      <c r="A105" s="142"/>
      <c r="B105" s="137" t="str">
        <f>'1.2 Budgeted Enrollment YR1'!E108</f>
        <v>TBD</v>
      </c>
      <c r="C105" s="1572">
        <v>0</v>
      </c>
      <c r="D105" s="1572">
        <v>0</v>
      </c>
      <c r="E105" s="1572">
        <v>0</v>
      </c>
      <c r="F105" s="2307">
        <f t="shared" si="26"/>
        <v>0</v>
      </c>
      <c r="G105" s="1572">
        <v>0</v>
      </c>
      <c r="H105" s="1572">
        <v>0</v>
      </c>
      <c r="I105" s="1572">
        <v>0</v>
      </c>
      <c r="J105" s="2307">
        <f t="shared" si="27"/>
        <v>0</v>
      </c>
      <c r="K105" s="1577">
        <f>G105-J105</f>
        <v>0</v>
      </c>
      <c r="L105" s="1588">
        <f>ROUND(IF(SUM(C105-D105-E105-F105-G105)&lt;0,0,C105-D105-E105-F105-G105),0)</f>
        <v>0</v>
      </c>
    </row>
    <row r="106" spans="1:12" s="4" customFormat="1" x14ac:dyDescent="0.3">
      <c r="A106" s="1584"/>
      <c r="B106" s="1586" t="s">
        <v>1387</v>
      </c>
      <c r="C106" s="1245">
        <f>SUM(C104:C105)</f>
        <v>0</v>
      </c>
      <c r="D106" s="1245">
        <f t="shared" ref="D106:K106" si="28">SUM(D104:D105)</f>
        <v>0</v>
      </c>
      <c r="E106" s="1245">
        <f t="shared" si="28"/>
        <v>0</v>
      </c>
      <c r="F106" s="1245">
        <f t="shared" si="28"/>
        <v>0</v>
      </c>
      <c r="G106" s="1245">
        <f t="shared" si="28"/>
        <v>0</v>
      </c>
      <c r="H106" s="1245"/>
      <c r="I106" s="1245"/>
      <c r="J106" s="1245">
        <f t="shared" si="28"/>
        <v>0</v>
      </c>
      <c r="K106" s="1578">
        <f t="shared" si="28"/>
        <v>0</v>
      </c>
      <c r="L106" s="1578">
        <f>SUM(L104:L105)</f>
        <v>0</v>
      </c>
    </row>
    <row r="108" spans="1:12" x14ac:dyDescent="0.3">
      <c r="A108" s="4" t="str">
        <f>B29</f>
        <v>City of North Las Vegas</v>
      </c>
    </row>
    <row r="109" spans="1:12" x14ac:dyDescent="0.3">
      <c r="A109" s="455"/>
      <c r="B109" s="207" t="str">
        <f>'1.2 Budgeted Enrollment YR1'!E113</f>
        <v>TBD</v>
      </c>
      <c r="C109" s="1567">
        <v>0</v>
      </c>
      <c r="D109" s="1567">
        <v>0</v>
      </c>
      <c r="E109" s="1567">
        <v>0</v>
      </c>
      <c r="F109" s="2305">
        <f t="shared" ref="F109:F110" si="29">SUM(C109:E109)</f>
        <v>0</v>
      </c>
      <c r="G109" s="1567">
        <v>0</v>
      </c>
      <c r="H109" s="1567">
        <v>0</v>
      </c>
      <c r="I109" s="1567">
        <v>0</v>
      </c>
      <c r="J109" s="2305">
        <f t="shared" ref="J109:J110" si="30">SUM(G109:I109)</f>
        <v>0</v>
      </c>
      <c r="K109" s="2007">
        <f>G109-J109</f>
        <v>0</v>
      </c>
      <c r="L109" s="1585">
        <f>ROUND(IF(SUM(C109-D109-E109-F109-G109)&lt;0,0,C109-D109-E109-F109-G109),0)</f>
        <v>0</v>
      </c>
    </row>
    <row r="110" spans="1:12" x14ac:dyDescent="0.3">
      <c r="A110" s="142"/>
      <c r="B110" s="137" t="str">
        <f>'1.2 Budgeted Enrollment YR1'!E114</f>
        <v>TBD</v>
      </c>
      <c r="C110" s="1572">
        <v>0</v>
      </c>
      <c r="D110" s="1572">
        <v>0</v>
      </c>
      <c r="E110" s="1572">
        <v>0</v>
      </c>
      <c r="F110" s="2307">
        <f t="shared" si="29"/>
        <v>0</v>
      </c>
      <c r="G110" s="1572">
        <v>0</v>
      </c>
      <c r="H110" s="1572">
        <v>0</v>
      </c>
      <c r="I110" s="1572">
        <v>0</v>
      </c>
      <c r="J110" s="2307">
        <f t="shared" si="30"/>
        <v>0</v>
      </c>
      <c r="K110" s="1577">
        <f>G110-J110</f>
        <v>0</v>
      </c>
      <c r="L110" s="1583">
        <f>ROUND(IF(SUM(C110-D110-E110-F110-G110)&lt;0,0,C110-D110-E110-F110-G110),0)</f>
        <v>0</v>
      </c>
    </row>
    <row r="111" spans="1:12" s="4" customFormat="1" x14ac:dyDescent="0.3">
      <c r="A111" s="1584"/>
      <c r="B111" s="1586" t="s">
        <v>1387</v>
      </c>
      <c r="C111" s="1245">
        <f>SUM(C109:C110)</f>
        <v>0</v>
      </c>
      <c r="D111" s="1245">
        <f t="shared" ref="D111:L111" si="31">SUM(D109:D110)</f>
        <v>0</v>
      </c>
      <c r="E111" s="1245">
        <f t="shared" si="31"/>
        <v>0</v>
      </c>
      <c r="F111" s="1245">
        <f t="shared" si="31"/>
        <v>0</v>
      </c>
      <c r="G111" s="1245">
        <f t="shared" si="31"/>
        <v>0</v>
      </c>
      <c r="H111" s="1245"/>
      <c r="I111" s="1245"/>
      <c r="J111" s="1245">
        <f t="shared" si="31"/>
        <v>0</v>
      </c>
      <c r="K111" s="1578">
        <f t="shared" si="31"/>
        <v>0</v>
      </c>
      <c r="L111" s="1587">
        <f t="shared" si="31"/>
        <v>0</v>
      </c>
    </row>
    <row r="113" spans="1:2" x14ac:dyDescent="0.3">
      <c r="A113" s="9" t="s">
        <v>1388</v>
      </c>
      <c r="B113" s="9" t="s">
        <v>1389</v>
      </c>
    </row>
  </sheetData>
  <pageMargins left="0.7" right="0.7" top="0.75" bottom="0.75" header="0.3" footer="0.3"/>
  <pageSetup paperSize="3" fitToHeight="0" orientation="landscape" r:id="rId1"/>
  <headerFooter>
    <oddHeader>&amp;R&amp;"Arial Narrow,Regular"&amp;10&amp;A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FD114-4A4E-4EC2-8BA5-C1A7900628C1}">
  <sheetPr codeName="Sheet299">
    <tabColor theme="6" tint="0.59999389629810485"/>
    <pageSetUpPr autoPageBreaks="0" fitToPage="1"/>
  </sheetPr>
  <dimension ref="A1:AK115"/>
  <sheetViews>
    <sheetView topLeftCell="A9" workbookViewId="0">
      <selection activeCell="E6" sqref="E6"/>
    </sheetView>
  </sheetViews>
  <sheetFormatPr defaultColWidth="8.7109375" defaultRowHeight="16.5" x14ac:dyDescent="0.3"/>
  <cols>
    <col min="1" max="1" width="6.140625" style="9" customWidth="1"/>
    <col min="2" max="2" width="39.42578125" style="9" bestFit="1" customWidth="1"/>
    <col min="3" max="3" width="18.42578125" style="9" bestFit="1" customWidth="1"/>
    <col min="4" max="4" width="22" style="22" bestFit="1" customWidth="1"/>
    <col min="5" max="5" width="22" style="9" bestFit="1" customWidth="1"/>
    <col min="6" max="6" width="14" style="9" bestFit="1" customWidth="1"/>
    <col min="7" max="10" width="8.7109375" style="9"/>
    <col min="11" max="11" width="13.7109375" style="9" customWidth="1"/>
    <col min="12" max="16384" width="8.7109375" style="9"/>
  </cols>
  <sheetData>
    <row r="1" spans="1:37" s="4" customFormat="1" x14ac:dyDescent="0.3">
      <c r="A1" s="4" t="s">
        <v>15</v>
      </c>
    </row>
    <row r="2" spans="1:37" x14ac:dyDescent="0.3">
      <c r="A2" s="9" t="str">
        <f>CONCATENATE("Pupil Center Funding Plan | FY",'1.1 Assumption Control YR1'!D5)</f>
        <v>Pupil Center Funding Plan | FY2026</v>
      </c>
      <c r="D2" s="9"/>
    </row>
    <row r="3" spans="1:37" x14ac:dyDescent="0.3">
      <c r="A3" s="9" t="s">
        <v>1390</v>
      </c>
      <c r="D3" s="9"/>
    </row>
    <row r="4" spans="1:37" s="4" customFormat="1" ht="15" customHeight="1" x14ac:dyDescent="0.3">
      <c r="B4" s="1562"/>
      <c r="D4" s="23"/>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K4" s="16"/>
    </row>
    <row r="5" spans="1:37" ht="17.25" thickBot="1" x14ac:dyDescent="0.35">
      <c r="C5" s="17" t="s">
        <v>1331</v>
      </c>
      <c r="D5" s="17" t="s">
        <v>1332</v>
      </c>
      <c r="E5" s="18" t="s">
        <v>1333</v>
      </c>
    </row>
    <row r="6" spans="1:37" ht="18" thickTop="1" thickBot="1" x14ac:dyDescent="0.35">
      <c r="B6" s="17" t="s">
        <v>1336</v>
      </c>
      <c r="C6" s="43">
        <f>'2.2 Spec Ed Local YR1'!E6</f>
        <v>4930665858</v>
      </c>
      <c r="D6" s="1746">
        <f>E35</f>
        <v>4374108452</v>
      </c>
      <c r="E6" s="45">
        <f>C6-D6</f>
        <v>556557406</v>
      </c>
    </row>
    <row r="7" spans="1:37" ht="18" thickTop="1" thickBot="1" x14ac:dyDescent="0.35">
      <c r="B7" s="17"/>
      <c r="C7" s="1734">
        <f>C6-'2.2 Spec Ed Local YR1'!E6</f>
        <v>0</v>
      </c>
      <c r="D7" s="155"/>
      <c r="E7" s="154"/>
    </row>
    <row r="8" spans="1:37" ht="18" thickTop="1" thickBot="1" x14ac:dyDescent="0.35">
      <c r="B8" s="17" t="str">
        <f>CONCATENATE("Statewide Base Per Pupil Funding | FY",'1.1 Assumption Control YR1'!$D$5,":")</f>
        <v>Statewide Base Per Pupil Funding | FY2026:</v>
      </c>
      <c r="C8" s="1735">
        <f>'1.1 Assumption Control YR1'!D28</f>
        <v>9432</v>
      </c>
      <c r="D8" s="9" t="s">
        <v>167</v>
      </c>
    </row>
    <row r="9" spans="1:37" ht="17.25" thickTop="1" x14ac:dyDescent="0.3">
      <c r="D9" s="23"/>
    </row>
    <row r="10" spans="1:37" x14ac:dyDescent="0.3">
      <c r="C10" s="24" t="s">
        <v>1391</v>
      </c>
      <c r="D10" s="23" t="s">
        <v>156</v>
      </c>
      <c r="E10" s="24" t="s">
        <v>1392</v>
      </c>
    </row>
    <row r="11" spans="1:37" ht="14.65" customHeight="1" x14ac:dyDescent="0.3">
      <c r="A11" s="4"/>
      <c r="C11" s="93" t="s">
        <v>1393</v>
      </c>
      <c r="D11" s="1736" t="s">
        <v>1394</v>
      </c>
      <c r="E11" s="93" t="s">
        <v>1395</v>
      </c>
    </row>
    <row r="12" spans="1:37" s="84" customFormat="1" ht="14.65" customHeight="1" x14ac:dyDescent="0.25">
      <c r="A12" s="1737"/>
      <c r="B12" s="203" t="s">
        <v>1346</v>
      </c>
      <c r="C12" s="1738" t="s">
        <v>1396</v>
      </c>
      <c r="D12" s="652" t="s">
        <v>195</v>
      </c>
      <c r="E12" s="334" t="s">
        <v>1397</v>
      </c>
    </row>
    <row r="13" spans="1:37" x14ac:dyDescent="0.3">
      <c r="A13" s="4" t="s">
        <v>1228</v>
      </c>
      <c r="C13" s="18"/>
      <c r="E13" s="6"/>
      <c r="F13" s="9" t="s">
        <v>260</v>
      </c>
    </row>
    <row r="14" spans="1:37" x14ac:dyDescent="0.3">
      <c r="A14" s="455"/>
      <c r="B14" s="207" t="str">
        <f>'1.2 Budgeted Enrollment YR1'!E9</f>
        <v>Carson City</v>
      </c>
      <c r="C14" s="605">
        <f>$C$8</f>
        <v>9432</v>
      </c>
      <c r="D14" s="514">
        <f>'1.2 Budgeted Enrollment YR1'!$G9</f>
        <v>6970.4860982512937</v>
      </c>
      <c r="E14" s="1739">
        <f>ROUND(D14*C14,0)</f>
        <v>65745625</v>
      </c>
      <c r="F14" s="514">
        <v>160</v>
      </c>
    </row>
    <row r="15" spans="1:37" x14ac:dyDescent="0.3">
      <c r="A15" s="106"/>
      <c r="B15" s="9" t="str">
        <f>'1.2 Budgeted Enrollment YR1'!E10</f>
        <v>Churchill</v>
      </c>
      <c r="C15" s="12">
        <f>$C$8</f>
        <v>9432</v>
      </c>
      <c r="D15" s="1492">
        <f>'1.2 Budgeted Enrollment YR1'!$G10</f>
        <v>3074.1458778318033</v>
      </c>
      <c r="E15" s="1740">
        <f t="shared" ref="E15:E30" si="0">ROUND(D15*C15,0)</f>
        <v>28995344</v>
      </c>
      <c r="F15" s="1492">
        <v>105</v>
      </c>
      <c r="M15" s="15"/>
    </row>
    <row r="16" spans="1:37" x14ac:dyDescent="0.3">
      <c r="A16" s="106"/>
      <c r="B16" s="9" t="str">
        <f>'1.2 Budgeted Enrollment YR1'!E11</f>
        <v>Clark</v>
      </c>
      <c r="C16" s="12">
        <f t="shared" ref="C16:C31" si="1">$C$8</f>
        <v>9432</v>
      </c>
      <c r="D16" s="1492">
        <f>'1.2 Budgeted Enrollment YR1'!$G11</f>
        <v>285878.81775061262</v>
      </c>
      <c r="E16" s="1740">
        <f t="shared" si="0"/>
        <v>2696409009</v>
      </c>
      <c r="F16" s="1492">
        <v>873</v>
      </c>
    </row>
    <row r="17" spans="1:11" x14ac:dyDescent="0.3">
      <c r="A17" s="106"/>
      <c r="B17" s="9" t="str">
        <f>'1.2 Budgeted Enrollment YR1'!E12</f>
        <v>Douglas</v>
      </c>
      <c r="C17" s="12">
        <f t="shared" si="1"/>
        <v>9432</v>
      </c>
      <c r="D17" s="1492">
        <f>'1.2 Budgeted Enrollment YR1'!$G12</f>
        <v>4790.5859463145525</v>
      </c>
      <c r="E17" s="1740">
        <f t="shared" si="0"/>
        <v>45184807</v>
      </c>
      <c r="F17" s="1492"/>
    </row>
    <row r="18" spans="1:11" x14ac:dyDescent="0.3">
      <c r="A18" s="106"/>
      <c r="B18" s="9" t="str">
        <f>'1.2 Budgeted Enrollment YR1'!E13</f>
        <v>Elko</v>
      </c>
      <c r="C18" s="12">
        <f t="shared" si="1"/>
        <v>9432</v>
      </c>
      <c r="D18" s="1492">
        <f>'1.2 Budgeted Enrollment YR1'!$G13</f>
        <v>9234.4483500865917</v>
      </c>
      <c r="E18" s="1740">
        <f t="shared" si="0"/>
        <v>87099317</v>
      </c>
      <c r="F18" s="1492"/>
    </row>
    <row r="19" spans="1:11" x14ac:dyDescent="0.3">
      <c r="A19" s="106"/>
      <c r="B19" s="9" t="str">
        <f>'1.2 Budgeted Enrollment YR1'!E14</f>
        <v>Esmeralda</v>
      </c>
      <c r="C19" s="12">
        <f t="shared" si="1"/>
        <v>9432</v>
      </c>
      <c r="D19" s="1492">
        <f>'1.2 Budgeted Enrollment YR1'!$G14</f>
        <v>80.635895560117746</v>
      </c>
      <c r="E19" s="1740">
        <f t="shared" si="0"/>
        <v>760558</v>
      </c>
      <c r="F19" s="1492"/>
    </row>
    <row r="20" spans="1:11" x14ac:dyDescent="0.3">
      <c r="A20" s="106"/>
      <c r="B20" s="9" t="str">
        <f>'1.2 Budgeted Enrollment YR1'!E15</f>
        <v>Eureka</v>
      </c>
      <c r="C20" s="12">
        <f t="shared" si="1"/>
        <v>9432</v>
      </c>
      <c r="D20" s="1492">
        <f>'1.2 Budgeted Enrollment YR1'!$G15</f>
        <v>297.58201989503061</v>
      </c>
      <c r="E20" s="1740">
        <f t="shared" si="0"/>
        <v>2806794</v>
      </c>
      <c r="F20" s="1492"/>
    </row>
    <row r="21" spans="1:11" x14ac:dyDescent="0.3">
      <c r="A21" s="106"/>
      <c r="B21" s="9" t="str">
        <f>'1.2 Budgeted Enrollment YR1'!E16</f>
        <v>Humboldt</v>
      </c>
      <c r="C21" s="12">
        <f t="shared" si="1"/>
        <v>9432</v>
      </c>
      <c r="D21" s="1492">
        <f>'1.2 Budgeted Enrollment YR1'!$G16</f>
        <v>3135.8857800940204</v>
      </c>
      <c r="E21" s="1740">
        <f t="shared" si="0"/>
        <v>29577675</v>
      </c>
      <c r="F21" s="1492">
        <v>85</v>
      </c>
      <c r="K21" s="15"/>
    </row>
    <row r="22" spans="1:11" x14ac:dyDescent="0.3">
      <c r="A22" s="106"/>
      <c r="B22" s="9" t="str">
        <f>'1.2 Budgeted Enrollment YR1'!E17</f>
        <v>Lander</v>
      </c>
      <c r="C22" s="12">
        <f t="shared" si="1"/>
        <v>9432</v>
      </c>
      <c r="D22" s="1492">
        <f>'1.2 Budgeted Enrollment YR1'!$G17</f>
        <v>970.28169719049401</v>
      </c>
      <c r="E22" s="1740">
        <f t="shared" si="0"/>
        <v>9151697</v>
      </c>
      <c r="F22" s="1492">
        <v>40</v>
      </c>
    </row>
    <row r="23" spans="1:11" x14ac:dyDescent="0.3">
      <c r="A23" s="106"/>
      <c r="B23" s="9" t="str">
        <f>'1.2 Budgeted Enrollment YR1'!E18</f>
        <v>Lincoln</v>
      </c>
      <c r="C23" s="12">
        <f t="shared" si="1"/>
        <v>9432</v>
      </c>
      <c r="D23" s="1492">
        <f>'1.2 Budgeted Enrollment YR1'!$G18</f>
        <v>870.02699048734246</v>
      </c>
      <c r="E23" s="1740">
        <f t="shared" si="0"/>
        <v>8206095</v>
      </c>
      <c r="F23" s="1492"/>
    </row>
    <row r="24" spans="1:11" x14ac:dyDescent="0.3">
      <c r="A24" s="106"/>
      <c r="B24" s="9" t="str">
        <f>'1.2 Budgeted Enrollment YR1'!E19</f>
        <v>Lyon</v>
      </c>
      <c r="C24" s="12">
        <f t="shared" si="1"/>
        <v>9432</v>
      </c>
      <c r="D24" s="1492">
        <f>'1.2 Budgeted Enrollment YR1'!$G19</f>
        <v>8933.9764767711295</v>
      </c>
      <c r="E24" s="1740">
        <f t="shared" si="0"/>
        <v>84265266</v>
      </c>
      <c r="F24" s="1492">
        <v>180</v>
      </c>
    </row>
    <row r="25" spans="1:11" x14ac:dyDescent="0.3">
      <c r="A25" s="106"/>
      <c r="B25" s="9" t="str">
        <f>'1.2 Budgeted Enrollment YR1'!E20</f>
        <v>Mineral</v>
      </c>
      <c r="C25" s="12">
        <f t="shared" si="1"/>
        <v>9432</v>
      </c>
      <c r="D25" s="1492">
        <f>'1.2 Budgeted Enrollment YR1'!$G20</f>
        <v>509.60323278309136</v>
      </c>
      <c r="E25" s="1740">
        <f t="shared" si="0"/>
        <v>4806578</v>
      </c>
      <c r="F25" s="1492">
        <v>40</v>
      </c>
    </row>
    <row r="26" spans="1:11" x14ac:dyDescent="0.3">
      <c r="A26" s="106"/>
      <c r="B26" s="9" t="str">
        <f>'1.2 Budgeted Enrollment YR1'!E21</f>
        <v>Nye</v>
      </c>
      <c r="C26" s="12">
        <f t="shared" si="1"/>
        <v>9432</v>
      </c>
      <c r="D26" s="1492">
        <f>'1.2 Budgeted Enrollment YR1'!$G21</f>
        <v>5457.0457625112185</v>
      </c>
      <c r="E26" s="1740">
        <f t="shared" si="0"/>
        <v>51470856</v>
      </c>
      <c r="F26" s="1492">
        <v>205</v>
      </c>
    </row>
    <row r="27" spans="1:11" x14ac:dyDescent="0.3">
      <c r="A27" s="106"/>
      <c r="B27" s="9" t="str">
        <f>'1.2 Budgeted Enrollment YR1'!E22</f>
        <v>Pershing</v>
      </c>
      <c r="C27" s="12">
        <f t="shared" si="1"/>
        <v>9432</v>
      </c>
      <c r="D27" s="1492">
        <f>'1.2 Budgeted Enrollment YR1'!$G22</f>
        <v>635.8592256998902</v>
      </c>
      <c r="E27" s="1740">
        <f t="shared" si="0"/>
        <v>5997424</v>
      </c>
      <c r="F27" s="1492">
        <v>30</v>
      </c>
      <c r="H27" s="10"/>
    </row>
    <row r="28" spans="1:11" x14ac:dyDescent="0.3">
      <c r="A28" s="106"/>
      <c r="B28" s="9" t="str">
        <f>'1.2 Budgeted Enrollment YR1'!E23</f>
        <v>Storey</v>
      </c>
      <c r="C28" s="12">
        <f t="shared" si="1"/>
        <v>9432</v>
      </c>
      <c r="D28" s="1492">
        <f>'1.2 Budgeted Enrollment YR1'!$G23</f>
        <v>395.34078642383383</v>
      </c>
      <c r="E28" s="1740">
        <f t="shared" si="0"/>
        <v>3728854</v>
      </c>
      <c r="F28" s="1492"/>
    </row>
    <row r="29" spans="1:11" x14ac:dyDescent="0.3">
      <c r="A29" s="106"/>
      <c r="B29" s="9" t="str">
        <f>'1.2 Budgeted Enrollment YR1'!E24</f>
        <v>Washoe</v>
      </c>
      <c r="C29" s="12">
        <f t="shared" si="1"/>
        <v>9432</v>
      </c>
      <c r="D29" s="1492">
        <f>'1.2 Budgeted Enrollment YR1'!$G24</f>
        <v>58816.718998091914</v>
      </c>
      <c r="E29" s="1740">
        <f t="shared" si="0"/>
        <v>554759294</v>
      </c>
      <c r="F29" s="1492">
        <v>694</v>
      </c>
    </row>
    <row r="30" spans="1:11" x14ac:dyDescent="0.3">
      <c r="A30" s="142"/>
      <c r="B30" s="137" t="str">
        <f>'1.2 Budgeted Enrollment YR1'!E25</f>
        <v>White Pine</v>
      </c>
      <c r="C30" s="440">
        <f t="shared" si="1"/>
        <v>9432</v>
      </c>
      <c r="D30" s="518">
        <f>'1.2 Budgeted Enrollment YR1'!$G25</f>
        <v>1231.0239819599622</v>
      </c>
      <c r="E30" s="1741">
        <f t="shared" si="0"/>
        <v>11611018</v>
      </c>
      <c r="F30" s="518">
        <v>39</v>
      </c>
    </row>
    <row r="31" spans="1:11" x14ac:dyDescent="0.3">
      <c r="A31" s="106"/>
      <c r="B31" s="9" t="str">
        <f>'1.2 Budgeted Enrollment YR1'!E26</f>
        <v>Charter Schools</v>
      </c>
      <c r="C31" s="12">
        <f t="shared" si="1"/>
        <v>9432</v>
      </c>
      <c r="D31" s="1492">
        <f>'1.2 Budgeted Enrollment YR1'!$G26</f>
        <v>72301.606666666703</v>
      </c>
      <c r="E31" s="1740">
        <f>E100</f>
        <v>681948756</v>
      </c>
      <c r="F31" s="1492">
        <v>252</v>
      </c>
    </row>
    <row r="32" spans="1:11" x14ac:dyDescent="0.3">
      <c r="A32" s="106"/>
      <c r="B32" s="9" t="str">
        <f>'1.2 Budgeted Enrollment YR1'!E27</f>
        <v>University Schools</v>
      </c>
      <c r="C32" s="12">
        <f>$C$8</f>
        <v>9432</v>
      </c>
      <c r="D32" s="1492">
        <f>'1.2 Budgeted Enrollment YR1'!$G27</f>
        <v>167.88437423074134</v>
      </c>
      <c r="E32" s="1740">
        <f>E105</f>
        <v>1583485</v>
      </c>
      <c r="F32" s="1492"/>
    </row>
    <row r="33" spans="1:6" x14ac:dyDescent="0.3">
      <c r="A33" s="106"/>
      <c r="B33" s="9" t="str">
        <f>'1.2 Budgeted Enrollment YR1'!E28</f>
        <v>City of Henderson</v>
      </c>
      <c r="C33" s="12">
        <f t="shared" ref="C33:C34" si="2">$C$8</f>
        <v>9432</v>
      </c>
      <c r="D33" s="1492">
        <f>SUM(D110)</f>
        <v>0</v>
      </c>
      <c r="E33" s="1740">
        <f>E110</f>
        <v>0</v>
      </c>
      <c r="F33" s="1492"/>
    </row>
    <row r="34" spans="1:6" x14ac:dyDescent="0.3">
      <c r="A34" s="142"/>
      <c r="B34" s="137" t="str">
        <f>'1.2 Budgeted Enrollment YR1'!E29</f>
        <v>City of North Las Vegas</v>
      </c>
      <c r="C34" s="440">
        <f t="shared" si="2"/>
        <v>9432</v>
      </c>
      <c r="D34" s="518">
        <f>D115</f>
        <v>0</v>
      </c>
      <c r="E34" s="1741">
        <f>E115</f>
        <v>0</v>
      </c>
      <c r="F34" s="518"/>
    </row>
    <row r="35" spans="1:6" s="4" customFormat="1" x14ac:dyDescent="0.3">
      <c r="A35" s="204"/>
      <c r="B35" s="135" t="s">
        <v>1354</v>
      </c>
      <c r="C35" s="387">
        <f>E35/D35</f>
        <v>9432.0000082869446</v>
      </c>
      <c r="D35" s="1747">
        <f>SUM(D14:D34)</f>
        <v>463751.95591146237</v>
      </c>
      <c r="E35" s="130">
        <f>SUM(E14:E34)</f>
        <v>4374108452</v>
      </c>
      <c r="F35" s="1747">
        <f>SUM(F14:F34)</f>
        <v>2703</v>
      </c>
    </row>
    <row r="36" spans="1:6" x14ac:dyDescent="0.3">
      <c r="D36" s="71">
        <f>D35-'1.2 Budgeted Enrollment YR1'!G30</f>
        <v>0</v>
      </c>
    </row>
    <row r="37" spans="1:6" x14ac:dyDescent="0.3">
      <c r="A37" s="4" t="s">
        <v>305</v>
      </c>
      <c r="D37" s="71"/>
    </row>
    <row r="38" spans="1:6" x14ac:dyDescent="0.3">
      <c r="A38" s="455"/>
      <c r="B38" s="207" t="str">
        <f>'1.2 Budgeted Enrollment YR1'!E34</f>
        <v>FuturEdge (Formerly 100 Academy Of Excellence)</v>
      </c>
      <c r="C38" s="605">
        <f>$C$8</f>
        <v>9432</v>
      </c>
      <c r="D38" s="514">
        <f>'1.2 Budgeted Enrollment YR1'!$G34</f>
        <v>240.86136805673826</v>
      </c>
      <c r="E38" s="2009">
        <f>ROUND(D38*C38,0)</f>
        <v>2271804</v>
      </c>
    </row>
    <row r="39" spans="1:6" x14ac:dyDescent="0.3">
      <c r="A39" s="106"/>
      <c r="B39" s="9" t="str">
        <f>'1.2 Budgeted Enrollment YR1'!E35</f>
        <v>Academy For Career Education</v>
      </c>
      <c r="C39" s="12">
        <f t="shared" ref="C39:C96" si="3">$C$8</f>
        <v>9432</v>
      </c>
      <c r="D39" s="1492">
        <f>'1.2 Budgeted Enrollment YR1'!$G35</f>
        <v>253.57864951202251</v>
      </c>
      <c r="E39" s="394">
        <f t="shared" ref="E39:E99" si="4">ROUND(D39*C39,0)</f>
        <v>2391754</v>
      </c>
    </row>
    <row r="40" spans="1:6" x14ac:dyDescent="0.3">
      <c r="A40" s="106"/>
      <c r="B40" s="9" t="str">
        <f>'1.2 Budgeted Enrollment YR1'!E36</f>
        <v xml:space="preserve">Alpine Academy </v>
      </c>
      <c r="C40" s="12">
        <f t="shared" si="3"/>
        <v>9432</v>
      </c>
      <c r="D40" s="1492">
        <f>'1.2 Budgeted Enrollment YR1'!$G36</f>
        <v>164.31844740358281</v>
      </c>
      <c r="E40" s="394">
        <f t="shared" si="4"/>
        <v>1549852</v>
      </c>
    </row>
    <row r="41" spans="1:6" x14ac:dyDescent="0.3">
      <c r="A41" s="106"/>
      <c r="B41" s="9" t="str">
        <f>'1.2 Budgeted Enrollment YR1'!E37</f>
        <v xml:space="preserve">Amplus (Formerly American Preparatory Academy) </v>
      </c>
      <c r="C41" s="12">
        <f t="shared" si="3"/>
        <v>9432</v>
      </c>
      <c r="D41" s="1492">
        <f>'1.2 Budgeted Enrollment YR1'!$G37</f>
        <v>2368.9011816066622</v>
      </c>
      <c r="E41" s="394">
        <f t="shared" si="4"/>
        <v>22343476</v>
      </c>
    </row>
    <row r="42" spans="1:6" x14ac:dyDescent="0.3">
      <c r="A42" s="106"/>
      <c r="B42" s="9" t="str">
        <f>'1.2 Budgeted Enrollment YR1'!E38</f>
        <v>Bailey Charter School</v>
      </c>
      <c r="C42" s="12">
        <f t="shared" si="3"/>
        <v>9432</v>
      </c>
      <c r="D42" s="1492">
        <f>'1.2 Budgeted Enrollment YR1'!$G38</f>
        <v>166.53929996193739</v>
      </c>
      <c r="E42" s="394">
        <f t="shared" si="4"/>
        <v>1570799</v>
      </c>
    </row>
    <row r="43" spans="1:6" x14ac:dyDescent="0.3">
      <c r="A43" s="106"/>
      <c r="B43" s="9" t="str">
        <f>'1.2 Budgeted Enrollment YR1'!E39</f>
        <v>Battle Born Academy</v>
      </c>
      <c r="C43" s="12">
        <f t="shared" si="3"/>
        <v>9432</v>
      </c>
      <c r="D43" s="1492">
        <f>'1.2 Budgeted Enrollment YR1'!$G39</f>
        <v>270.53331354166147</v>
      </c>
      <c r="E43" s="394">
        <f t="shared" si="4"/>
        <v>2551670</v>
      </c>
    </row>
    <row r="44" spans="1:6" x14ac:dyDescent="0.3">
      <c r="A44" s="106"/>
      <c r="B44" s="9" t="str">
        <f>'1.2 Budgeted Enrollment YR1'!E40</f>
        <v>Beacon Academy</v>
      </c>
      <c r="C44" s="12">
        <f t="shared" si="3"/>
        <v>9432</v>
      </c>
      <c r="D44" s="1492">
        <f>'1.2 Budgeted Enrollment YR1'!$G40</f>
        <v>857.51912183963623</v>
      </c>
      <c r="E44" s="394">
        <f t="shared" si="4"/>
        <v>8088120</v>
      </c>
    </row>
    <row r="45" spans="1:6" x14ac:dyDescent="0.3">
      <c r="A45" s="106"/>
      <c r="B45" s="9" t="str">
        <f>'1.2 Budgeted Enrollment YR1'!E41</f>
        <v>Cactus Park</v>
      </c>
      <c r="C45" s="12">
        <f t="shared" si="3"/>
        <v>9432</v>
      </c>
      <c r="D45" s="1492">
        <f>'1.2 Budgeted Enrollment YR1'!$G41</f>
        <v>301.59239347241777</v>
      </c>
      <c r="E45" s="394">
        <f t="shared" si="4"/>
        <v>2844619</v>
      </c>
    </row>
    <row r="46" spans="1:6" x14ac:dyDescent="0.3">
      <c r="A46" s="106"/>
      <c r="B46" s="9" t="str">
        <f>'1.2 Budgeted Enrollment YR1'!E42</f>
        <v>Carson Montessori</v>
      </c>
      <c r="C46" s="12">
        <f t="shared" si="3"/>
        <v>9432</v>
      </c>
      <c r="D46" s="1492">
        <f>'1.2 Budgeted Enrollment YR1'!$G42</f>
        <v>296.55722891108132</v>
      </c>
      <c r="E46" s="394">
        <f t="shared" si="4"/>
        <v>2797128</v>
      </c>
    </row>
    <row r="47" spans="1:6" x14ac:dyDescent="0.3">
      <c r="A47" s="106"/>
      <c r="B47" s="9" t="str">
        <f>'1.2 Budgeted Enrollment YR1'!E43</f>
        <v>CIVICA Nevada Career &amp; Collegiate Academy</v>
      </c>
      <c r="C47" s="12">
        <f t="shared" si="3"/>
        <v>9432</v>
      </c>
      <c r="D47" s="1492">
        <f>'1.2 Budgeted Enrollment YR1'!$G43</f>
        <v>916.3393721230467</v>
      </c>
      <c r="E47" s="394">
        <f t="shared" si="4"/>
        <v>8642913</v>
      </c>
    </row>
    <row r="48" spans="1:6" x14ac:dyDescent="0.3">
      <c r="A48" s="106"/>
      <c r="B48" s="9" t="str">
        <f>'1.2 Budgeted Enrollment YR1'!E44</f>
        <v>Coral Academy of Science Las Vegas</v>
      </c>
      <c r="C48" s="12">
        <f t="shared" si="3"/>
        <v>9432</v>
      </c>
      <c r="D48" s="1492">
        <f>'1.2 Budgeted Enrollment YR1'!$G44</f>
        <v>5480.3063751434274</v>
      </c>
      <c r="E48" s="394">
        <f t="shared" si="4"/>
        <v>51690250</v>
      </c>
    </row>
    <row r="49" spans="1:5" x14ac:dyDescent="0.3">
      <c r="A49" s="106"/>
      <c r="B49" s="9" t="str">
        <f>'1.2 Budgeted Enrollment YR1'!E45</f>
        <v>Coral Academy Washoe</v>
      </c>
      <c r="C49" s="12">
        <f t="shared" si="3"/>
        <v>9432</v>
      </c>
      <c r="D49" s="1492">
        <f>'1.2 Budgeted Enrollment YR1'!$G45</f>
        <v>2027.9998005260131</v>
      </c>
      <c r="E49" s="394">
        <f t="shared" si="4"/>
        <v>19128094</v>
      </c>
    </row>
    <row r="50" spans="1:5" x14ac:dyDescent="0.3">
      <c r="A50" s="106"/>
      <c r="B50" s="9" t="str">
        <f>'1.2 Budgeted Enrollment YR1'!E46</f>
        <v>Delta Academy</v>
      </c>
      <c r="C50" s="12">
        <f t="shared" si="3"/>
        <v>9432</v>
      </c>
      <c r="D50" s="1492">
        <f>'1.2 Budgeted Enrollment YR1'!$G46</f>
        <v>1405.0080479301287</v>
      </c>
      <c r="E50" s="394">
        <f t="shared" si="4"/>
        <v>13252036</v>
      </c>
    </row>
    <row r="51" spans="1:5" x14ac:dyDescent="0.3">
      <c r="A51" s="106"/>
      <c r="B51" s="9" t="str">
        <f>'1.2 Budgeted Enrollment YR1'!E47</f>
        <v>Democracy Prep</v>
      </c>
      <c r="C51" s="12">
        <f t="shared" si="3"/>
        <v>9432</v>
      </c>
      <c r="D51" s="1492">
        <f>'1.2 Budgeted Enrollment YR1'!$G47</f>
        <v>1279.0046975769933</v>
      </c>
      <c r="E51" s="394">
        <f t="shared" si="4"/>
        <v>12063572</v>
      </c>
    </row>
    <row r="52" spans="1:5" x14ac:dyDescent="0.3">
      <c r="A52" s="106"/>
      <c r="B52" s="9" t="str">
        <f>'1.2 Budgeted Enrollment YR1'!E48</f>
        <v>Discovery Charter</v>
      </c>
      <c r="C52" s="12">
        <f t="shared" si="3"/>
        <v>9432</v>
      </c>
      <c r="D52" s="1492">
        <f>'1.2 Budgeted Enrollment YR1'!$G48</f>
        <v>499.79963400639872</v>
      </c>
      <c r="E52" s="394">
        <f t="shared" si="4"/>
        <v>4714110</v>
      </c>
    </row>
    <row r="53" spans="1:5" x14ac:dyDescent="0.3">
      <c r="A53" s="106"/>
      <c r="B53" s="9" t="str">
        <f>'1.2 Budgeted Enrollment YR1'!E49</f>
        <v>Do and Be Academy of Excellence</v>
      </c>
      <c r="C53" s="12">
        <f t="shared" si="3"/>
        <v>9432</v>
      </c>
      <c r="D53" s="1492">
        <f>'1.2 Budgeted Enrollment YR1'!$G49</f>
        <v>55.444307975565003</v>
      </c>
      <c r="E53" s="394">
        <f t="shared" si="4"/>
        <v>522951</v>
      </c>
    </row>
    <row r="54" spans="1:5" x14ac:dyDescent="0.3">
      <c r="A54" s="106"/>
      <c r="B54" s="9" t="str">
        <f>'1.2 Budgeted Enrollment YR1'!E50</f>
        <v>Doral Academy</v>
      </c>
      <c r="C54" s="12">
        <f t="shared" si="3"/>
        <v>9432</v>
      </c>
      <c r="D54" s="1492">
        <f>'1.2 Budgeted Enrollment YR1'!$G50</f>
        <v>6463.7282261846876</v>
      </c>
      <c r="E54" s="394">
        <f t="shared" si="4"/>
        <v>60965885</v>
      </c>
    </row>
    <row r="55" spans="1:5" x14ac:dyDescent="0.3">
      <c r="A55" s="106"/>
      <c r="B55" s="9" t="str">
        <f>'1.2 Budgeted Enrollment YR1'!E51</f>
        <v>Doral Academy of Northern Nevada</v>
      </c>
      <c r="C55" s="12">
        <f t="shared" si="3"/>
        <v>9432</v>
      </c>
      <c r="D55" s="1492">
        <f>'1.2 Budgeted Enrollment YR1'!$G51</f>
        <v>1018.777864840123</v>
      </c>
      <c r="E55" s="394">
        <f t="shared" si="4"/>
        <v>9609113</v>
      </c>
    </row>
    <row r="56" spans="1:5" x14ac:dyDescent="0.3">
      <c r="A56" s="106"/>
      <c r="B56" s="9" t="str">
        <f>'1.2 Budgeted Enrollment YR1'!E52</f>
        <v>Eagle Charter School (CLOSED)</v>
      </c>
      <c r="C56" s="12">
        <f t="shared" si="3"/>
        <v>9432</v>
      </c>
      <c r="D56" s="1492">
        <f>'1.2 Budgeted Enrollment YR1'!$G52</f>
        <v>0</v>
      </c>
      <c r="E56" s="394">
        <f t="shared" si="4"/>
        <v>0</v>
      </c>
    </row>
    <row r="57" spans="1:5" x14ac:dyDescent="0.3">
      <c r="A57" s="106"/>
      <c r="B57" s="9" t="str">
        <f>'1.2 Budgeted Enrollment YR1'!E53</f>
        <v>Elko Institute for Academic Achievement</v>
      </c>
      <c r="C57" s="12">
        <f t="shared" si="3"/>
        <v>9432</v>
      </c>
      <c r="D57" s="1492">
        <f>'1.2 Budgeted Enrollment YR1'!$G53</f>
        <v>315.7286385132989</v>
      </c>
      <c r="E57" s="394">
        <f t="shared" si="4"/>
        <v>2977953</v>
      </c>
    </row>
    <row r="58" spans="1:5" x14ac:dyDescent="0.3">
      <c r="A58" s="106"/>
      <c r="B58" s="9" t="str">
        <f>'1.2 Budgeted Enrollment YR1'!E54</f>
        <v>enCompass Academy</v>
      </c>
      <c r="C58" s="12">
        <f t="shared" si="3"/>
        <v>9432</v>
      </c>
      <c r="D58" s="1492">
        <f>'1.2 Budgeted Enrollment YR1'!$G54</f>
        <v>129.86699722187711</v>
      </c>
      <c r="E58" s="394">
        <f t="shared" si="4"/>
        <v>1224906</v>
      </c>
    </row>
    <row r="59" spans="1:5" x14ac:dyDescent="0.3">
      <c r="A59" s="106"/>
      <c r="B59" s="9" t="str">
        <f>'1.2 Budgeted Enrollment YR1'!E55</f>
        <v>Equipo Academy</v>
      </c>
      <c r="C59" s="12">
        <f t="shared" si="3"/>
        <v>9432</v>
      </c>
      <c r="D59" s="1492">
        <f>'1.2 Budgeted Enrollment YR1'!$G55</f>
        <v>900.7667088070209</v>
      </c>
      <c r="E59" s="394">
        <f t="shared" si="4"/>
        <v>8496032</v>
      </c>
    </row>
    <row r="60" spans="1:5" x14ac:dyDescent="0.3">
      <c r="A60" s="106"/>
      <c r="B60" s="9" t="str">
        <f>'1.2 Budgeted Enrollment YR1'!E56</f>
        <v>Explore Academy</v>
      </c>
      <c r="C60" s="12">
        <f t="shared" si="3"/>
        <v>9432</v>
      </c>
      <c r="D60" s="1492">
        <f>'1.2 Budgeted Enrollment YR1'!$G56</f>
        <v>285.9150020191048</v>
      </c>
      <c r="E60" s="394">
        <f t="shared" si="4"/>
        <v>2696750</v>
      </c>
    </row>
    <row r="61" spans="1:5" x14ac:dyDescent="0.3">
      <c r="A61" s="106"/>
      <c r="B61" s="9" t="str">
        <f>'1.2 Budgeted Enrollment YR1'!E57</f>
        <v>Explore Knowledge Academy</v>
      </c>
      <c r="C61" s="12">
        <f t="shared" si="3"/>
        <v>9432</v>
      </c>
      <c r="D61" s="1492">
        <f>'1.2 Budgeted Enrollment YR1'!$G57</f>
        <v>664.59038477421791</v>
      </c>
      <c r="E61" s="394">
        <f t="shared" si="4"/>
        <v>6268417</v>
      </c>
    </row>
    <row r="62" spans="1:5" x14ac:dyDescent="0.3">
      <c r="A62" s="106"/>
      <c r="B62" s="9" t="str">
        <f>'1.2 Budgeted Enrollment YR1'!E58</f>
        <v>Founders Academy of Las Vegas</v>
      </c>
      <c r="C62" s="12">
        <f t="shared" si="3"/>
        <v>9432</v>
      </c>
      <c r="D62" s="1492">
        <f>'1.2 Budgeted Enrollment YR1'!$G58</f>
        <v>1110.2866416609052</v>
      </c>
      <c r="E62" s="394">
        <f t="shared" si="4"/>
        <v>10472224</v>
      </c>
    </row>
    <row r="63" spans="1:5" x14ac:dyDescent="0.3">
      <c r="A63" s="106"/>
      <c r="B63" s="9" t="str">
        <f>'1.2 Budgeted Enrollment YR1'!E59</f>
        <v>Freedom Classical Academy</v>
      </c>
      <c r="C63" s="12">
        <f>$C$8</f>
        <v>9432</v>
      </c>
      <c r="D63" s="1492">
        <f>'1.2 Budgeted Enrollment YR1'!$G59</f>
        <v>1074.7232250803561</v>
      </c>
      <c r="E63" s="394">
        <f t="shared" si="4"/>
        <v>10136789</v>
      </c>
    </row>
    <row r="64" spans="1:5" s="19" customFormat="1" x14ac:dyDescent="0.3">
      <c r="A64" s="1742"/>
      <c r="B64" s="9" t="str">
        <f>'1.2 Budgeted Enrollment YR1'!E60</f>
        <v>Futuro Academy Elementary</v>
      </c>
      <c r="C64" s="12">
        <f t="shared" si="3"/>
        <v>9432</v>
      </c>
      <c r="D64" s="1492">
        <f>'1.2 Budgeted Enrollment YR1'!$G60</f>
        <v>467.88219404846518</v>
      </c>
      <c r="E64" s="394">
        <f t="shared" si="4"/>
        <v>4413065</v>
      </c>
    </row>
    <row r="65" spans="1:5" x14ac:dyDescent="0.3">
      <c r="A65" s="106"/>
      <c r="B65" s="9" t="str">
        <f>'1.2 Budgeted Enrollment YR1'!E61</f>
        <v>High Desert Montessori</v>
      </c>
      <c r="C65" s="12">
        <f t="shared" si="3"/>
        <v>9432</v>
      </c>
      <c r="D65" s="1492">
        <f>'1.2 Budgeted Enrollment YR1'!$G61</f>
        <v>411.94504777978403</v>
      </c>
      <c r="E65" s="394">
        <f t="shared" si="4"/>
        <v>3885466</v>
      </c>
    </row>
    <row r="66" spans="1:5" x14ac:dyDescent="0.3">
      <c r="A66" s="106"/>
      <c r="B66" s="9" t="str">
        <f>'1.2 Budgeted Enrollment YR1'!E62</f>
        <v>Honors Academy of Literature</v>
      </c>
      <c r="C66" s="12">
        <f t="shared" si="3"/>
        <v>9432</v>
      </c>
      <c r="D66" s="1492">
        <f>'1.2 Budgeted Enrollment YR1'!$G62</f>
        <v>219.20317856717219</v>
      </c>
      <c r="E66" s="394">
        <f t="shared" si="4"/>
        <v>2067524</v>
      </c>
    </row>
    <row r="67" spans="1:5" x14ac:dyDescent="0.3">
      <c r="A67" s="106"/>
      <c r="B67" s="9" t="str">
        <f>'1.2 Budgeted Enrollment YR1'!E63</f>
        <v>Imagine School Mountain View</v>
      </c>
      <c r="C67" s="12">
        <f t="shared" si="3"/>
        <v>9432</v>
      </c>
      <c r="D67" s="1492">
        <f>'1.2 Budgeted Enrollment YR1'!$G63</f>
        <v>695.95030141306381</v>
      </c>
      <c r="E67" s="394">
        <f t="shared" si="4"/>
        <v>6564203</v>
      </c>
    </row>
    <row r="68" spans="1:5" x14ac:dyDescent="0.3">
      <c r="A68" s="106"/>
      <c r="B68" s="9" t="str">
        <f>'1.2 Budgeted Enrollment YR1'!E64</f>
        <v>Innovations Int'l Charter</v>
      </c>
      <c r="C68" s="12">
        <f t="shared" si="3"/>
        <v>9432</v>
      </c>
      <c r="D68" s="1492">
        <f>'1.2 Budgeted Enrollment YR1'!$G64</f>
        <v>682.14466872714809</v>
      </c>
      <c r="E68" s="394">
        <f t="shared" si="4"/>
        <v>6433989</v>
      </c>
    </row>
    <row r="69" spans="1:5" x14ac:dyDescent="0.3">
      <c r="A69" s="106"/>
      <c r="B69" s="9" t="str">
        <f>'1.2 Budgeted Enrollment YR1'!E65</f>
        <v>Leadership Academy of Nevada</v>
      </c>
      <c r="C69" s="12">
        <f t="shared" si="3"/>
        <v>9432</v>
      </c>
      <c r="D69" s="1492">
        <f>'1.2 Budgeted Enrollment YR1'!$G65</f>
        <v>287.40686460222514</v>
      </c>
      <c r="E69" s="394">
        <f t="shared" si="4"/>
        <v>2710822</v>
      </c>
    </row>
    <row r="70" spans="1:5" x14ac:dyDescent="0.3">
      <c r="A70" s="106"/>
      <c r="B70" s="9" t="str">
        <f>'1.2 Budgeted Enrollment YR1'!E66</f>
        <v>Learning Bridge</v>
      </c>
      <c r="C70" s="12">
        <f t="shared" si="3"/>
        <v>9432</v>
      </c>
      <c r="D70" s="1492">
        <f>'1.2 Budgeted Enrollment YR1'!$G66</f>
        <v>170.53745061484202</v>
      </c>
      <c r="E70" s="394">
        <f t="shared" si="4"/>
        <v>1608509</v>
      </c>
    </row>
    <row r="71" spans="1:5" x14ac:dyDescent="0.3">
      <c r="A71" s="106"/>
      <c r="B71" s="9" t="str">
        <f>'1.2 Budgeted Enrollment YR1'!E67</f>
        <v>Legacy Traditional Schools</v>
      </c>
      <c r="C71" s="12">
        <f t="shared" si="3"/>
        <v>9432</v>
      </c>
      <c r="D71" s="1492">
        <f>'1.2 Budgeted Enrollment YR1'!$G67</f>
        <v>4125.1478938155515</v>
      </c>
      <c r="E71" s="394">
        <f t="shared" si="4"/>
        <v>38908395</v>
      </c>
    </row>
    <row r="72" spans="1:5" x14ac:dyDescent="0.3">
      <c r="A72" s="106"/>
      <c r="B72" s="9" t="str">
        <f>'1.2 Budgeted Enrollment YR1'!E68</f>
        <v xml:space="preserve">Mariposa Language and Learning Academy </v>
      </c>
      <c r="C72" s="12">
        <f t="shared" si="3"/>
        <v>9432</v>
      </c>
      <c r="D72" s="1492">
        <f>'1.2 Budgeted Enrollment YR1'!$G68</f>
        <v>164.39442664043821</v>
      </c>
      <c r="E72" s="394">
        <f t="shared" si="4"/>
        <v>1550568</v>
      </c>
    </row>
    <row r="73" spans="1:5" x14ac:dyDescent="0.3">
      <c r="A73" s="106"/>
      <c r="B73" s="9" t="str">
        <f>'1.2 Budgeted Enrollment YR1'!E69</f>
        <v>Mater Academy</v>
      </c>
      <c r="C73" s="12">
        <f t="shared" si="3"/>
        <v>9432</v>
      </c>
      <c r="D73" s="1492">
        <f>'1.2 Budgeted Enrollment YR1'!$G69</f>
        <v>4489.9355041692297</v>
      </c>
      <c r="E73" s="394">
        <f t="shared" si="4"/>
        <v>42349072</v>
      </c>
    </row>
    <row r="74" spans="1:5" x14ac:dyDescent="0.3">
      <c r="A74" s="106"/>
      <c r="B74" s="9" t="str">
        <f>'1.2 Budgeted Enrollment YR1'!E70</f>
        <v>Mater Academy of Northern Nevada</v>
      </c>
      <c r="C74" s="12">
        <f t="shared" si="3"/>
        <v>9432</v>
      </c>
      <c r="D74" s="1492">
        <f>'1.2 Budgeted Enrollment YR1'!$G70</f>
        <v>502.85317793083078</v>
      </c>
      <c r="E74" s="394">
        <f t="shared" si="4"/>
        <v>4742911</v>
      </c>
    </row>
    <row r="75" spans="1:5" x14ac:dyDescent="0.3">
      <c r="A75" s="106"/>
      <c r="B75" s="9" t="str">
        <f>'1.2 Budgeted Enrollment YR1'!E71</f>
        <v>Nevada Connections Academy</v>
      </c>
      <c r="C75" s="12">
        <f t="shared" si="3"/>
        <v>9432</v>
      </c>
      <c r="D75" s="1492">
        <f>'1.2 Budgeted Enrollment YR1'!$G71</f>
        <v>1200.806661656123</v>
      </c>
      <c r="E75" s="394">
        <f t="shared" si="4"/>
        <v>11326008</v>
      </c>
    </row>
    <row r="76" spans="1:5" x14ac:dyDescent="0.3">
      <c r="A76" s="106"/>
      <c r="B76" s="9" t="str">
        <f>'1.2 Budgeted Enrollment YR1'!E72</f>
        <v>Nevada Prep</v>
      </c>
      <c r="C76" s="12">
        <f t="shared" si="3"/>
        <v>9432</v>
      </c>
      <c r="D76" s="1492">
        <f>'1.2 Budgeted Enrollment YR1'!$G72</f>
        <v>305.23837009503319</v>
      </c>
      <c r="E76" s="394">
        <f t="shared" si="4"/>
        <v>2879008</v>
      </c>
    </row>
    <row r="77" spans="1:5" x14ac:dyDescent="0.3">
      <c r="A77" s="106"/>
      <c r="B77" s="9" t="str">
        <f>'1.2 Budgeted Enrollment YR1'!E73</f>
        <v xml:space="preserve">Nevada Rise </v>
      </c>
      <c r="C77" s="12">
        <f t="shared" si="3"/>
        <v>9432</v>
      </c>
      <c r="D77" s="1492">
        <f>'1.2 Budgeted Enrollment YR1'!$G73</f>
        <v>372.57548213135692</v>
      </c>
      <c r="E77" s="394">
        <f t="shared" si="4"/>
        <v>3514132</v>
      </c>
    </row>
    <row r="78" spans="1:5" x14ac:dyDescent="0.3">
      <c r="A78" s="106"/>
      <c r="B78" s="9" t="str">
        <f>'1.2 Budgeted Enrollment YR1'!E74</f>
        <v>Nevada State High School</v>
      </c>
      <c r="C78" s="12">
        <f t="shared" si="3"/>
        <v>9432</v>
      </c>
      <c r="D78" s="1492">
        <f>'1.2 Budgeted Enrollment YR1'!$G74</f>
        <v>913.27248049484274</v>
      </c>
      <c r="E78" s="394">
        <f t="shared" si="4"/>
        <v>8613986</v>
      </c>
    </row>
    <row r="79" spans="1:5" x14ac:dyDescent="0.3">
      <c r="A79" s="106"/>
      <c r="B79" s="9" t="str">
        <f>'1.2 Budgeted Enrollment YR1'!E75</f>
        <v>Nevada State High School-Meadowwood</v>
      </c>
      <c r="C79" s="12">
        <f t="shared" si="3"/>
        <v>9432</v>
      </c>
      <c r="D79" s="1492">
        <f>'1.2 Budgeted Enrollment YR1'!$G75</f>
        <v>30.196612917803087</v>
      </c>
      <c r="E79" s="394">
        <f t="shared" si="4"/>
        <v>284814</v>
      </c>
    </row>
    <row r="80" spans="1:5" x14ac:dyDescent="0.3">
      <c r="A80" s="106"/>
      <c r="B80" s="9" t="str">
        <f>'1.2 Budgeted Enrollment YR1'!E76</f>
        <v>Nevada Virtual Academy</v>
      </c>
      <c r="C80" s="12">
        <f t="shared" si="3"/>
        <v>9432</v>
      </c>
      <c r="D80" s="1492">
        <f>'1.2 Budgeted Enrollment YR1'!$G76</f>
        <v>1819.9707035088049</v>
      </c>
      <c r="E80" s="394">
        <f t="shared" si="4"/>
        <v>17165964</v>
      </c>
    </row>
    <row r="81" spans="1:5" x14ac:dyDescent="0.3">
      <c r="A81" s="106"/>
      <c r="B81" s="9" t="str">
        <f>'1.2 Budgeted Enrollment YR1'!E77</f>
        <v>Oasis Academy</v>
      </c>
      <c r="C81" s="12">
        <f t="shared" si="3"/>
        <v>9432</v>
      </c>
      <c r="D81" s="1492">
        <f>'1.2 Budgeted Enrollment YR1'!$G77</f>
        <v>785.63660329576021</v>
      </c>
      <c r="E81" s="394">
        <f t="shared" si="4"/>
        <v>7410124</v>
      </c>
    </row>
    <row r="82" spans="1:5" x14ac:dyDescent="0.3">
      <c r="A82" s="106"/>
      <c r="B82" s="9" t="str">
        <f>'1.2 Budgeted Enrollment YR1'!E78</f>
        <v>Odyssey Charter Schools</v>
      </c>
      <c r="C82" s="12">
        <f>$C$8</f>
        <v>9432</v>
      </c>
      <c r="D82" s="1492">
        <f>'1.2 Budgeted Enrollment YR1'!$G78</f>
        <v>2400.7898726641642</v>
      </c>
      <c r="E82" s="394">
        <f t="shared" si="4"/>
        <v>22644250</v>
      </c>
    </row>
    <row r="83" spans="1:5" x14ac:dyDescent="0.3">
      <c r="A83" s="106"/>
      <c r="B83" s="9" t="str">
        <f>'1.2 Budgeted Enrollment YR1'!E79</f>
        <v>Pinecrest Academy of Northern Nevada</v>
      </c>
      <c r="C83" s="12">
        <f t="shared" si="3"/>
        <v>9432</v>
      </c>
      <c r="D83" s="1492">
        <f>'1.2 Budgeted Enrollment YR1'!$G79</f>
        <v>1022.3920123229747</v>
      </c>
      <c r="E83" s="394">
        <f t="shared" si="4"/>
        <v>9643201</v>
      </c>
    </row>
    <row r="84" spans="1:5" x14ac:dyDescent="0.3">
      <c r="A84" s="106"/>
      <c r="B84" s="9" t="str">
        <f>'1.2 Budgeted Enrollment YR1'!E80</f>
        <v>Pinecrest Academy of Nevada</v>
      </c>
      <c r="C84" s="12">
        <f t="shared" si="3"/>
        <v>9432</v>
      </c>
      <c r="D84" s="1492">
        <f>'1.2 Budgeted Enrollment YR1'!$G80</f>
        <v>8054.8515217779041</v>
      </c>
      <c r="E84" s="394">
        <f t="shared" si="4"/>
        <v>75973360</v>
      </c>
    </row>
    <row r="85" spans="1:5" x14ac:dyDescent="0.3">
      <c r="A85" s="106"/>
      <c r="B85" s="9" t="str">
        <f>'1.2 Budgeted Enrollment YR1'!E81</f>
        <v>Pioneer Technical Arts Academy</v>
      </c>
      <c r="C85" s="12">
        <f t="shared" si="3"/>
        <v>9432</v>
      </c>
      <c r="D85" s="1492">
        <f>'1.2 Budgeted Enrollment YR1'!$G81</f>
        <v>263.87383610592974</v>
      </c>
      <c r="E85" s="394">
        <f t="shared" si="4"/>
        <v>2488858</v>
      </c>
    </row>
    <row r="86" spans="1:5" x14ac:dyDescent="0.3">
      <c r="A86" s="106"/>
      <c r="B86" s="9" t="str">
        <f>'1.2 Budgeted Enrollment YR1'!E82</f>
        <v>Quest Academy</v>
      </c>
      <c r="C86" s="12">
        <f t="shared" si="3"/>
        <v>9432</v>
      </c>
      <c r="D86" s="1492">
        <f>'1.2 Budgeted Enrollment YR1'!$G82</f>
        <v>455.57355767788971</v>
      </c>
      <c r="E86" s="394">
        <f t="shared" si="4"/>
        <v>4296970</v>
      </c>
    </row>
    <row r="87" spans="1:5" x14ac:dyDescent="0.3">
      <c r="A87" s="106"/>
      <c r="B87" s="9" t="str">
        <f>'1.2 Budgeted Enrollment YR1'!E83</f>
        <v>Rainbow Dreams Academy</v>
      </c>
      <c r="C87" s="12">
        <f t="shared" si="3"/>
        <v>9432</v>
      </c>
      <c r="D87" s="1492">
        <f>'1.2 Budgeted Enrollment YR1'!$G83</f>
        <v>63.383111480510713</v>
      </c>
      <c r="E87" s="394">
        <f t="shared" si="4"/>
        <v>597830</v>
      </c>
    </row>
    <row r="88" spans="1:5" x14ac:dyDescent="0.3">
      <c r="A88" s="106"/>
      <c r="B88" s="9" t="str">
        <f>'1.2 Budgeted Enrollment YR1'!E84</f>
        <v>Rooted Charter School</v>
      </c>
      <c r="C88" s="12">
        <f t="shared" si="3"/>
        <v>9432</v>
      </c>
      <c r="D88" s="1492">
        <f>'1.2 Budgeted Enrollment YR1'!$G84</f>
        <v>23.615168211814723</v>
      </c>
      <c r="E88" s="394">
        <f t="shared" si="4"/>
        <v>222738</v>
      </c>
    </row>
    <row r="89" spans="1:5" x14ac:dyDescent="0.3">
      <c r="A89" s="106"/>
      <c r="B89" s="9" t="str">
        <f>'1.2 Budgeted Enrollment YR1'!E85</f>
        <v>Sage Collegiate Academy</v>
      </c>
      <c r="C89" s="12">
        <f t="shared" si="3"/>
        <v>9432</v>
      </c>
      <c r="D89" s="1492">
        <f>'1.2 Budgeted Enrollment YR1'!$G85</f>
        <v>236.13114718926738</v>
      </c>
      <c r="E89" s="394">
        <f t="shared" si="4"/>
        <v>2227189</v>
      </c>
    </row>
    <row r="90" spans="1:5" x14ac:dyDescent="0.3">
      <c r="A90" s="106"/>
      <c r="B90" s="9" t="str">
        <f>'1.2 Budgeted Enrollment YR1'!E86</f>
        <v>Sierra Nevada Academy Charter</v>
      </c>
      <c r="C90" s="12">
        <f t="shared" si="3"/>
        <v>9432</v>
      </c>
      <c r="D90" s="1492">
        <f>'1.2 Budgeted Enrollment YR1'!$G86</f>
        <v>265.07102245962432</v>
      </c>
      <c r="E90" s="394">
        <f t="shared" si="4"/>
        <v>2500150</v>
      </c>
    </row>
    <row r="91" spans="1:5" x14ac:dyDescent="0.3">
      <c r="A91" s="106"/>
      <c r="B91" s="9" t="str">
        <f>'1.2 Budgeted Enrollment YR1'!E87</f>
        <v>Signature Preparatory</v>
      </c>
      <c r="C91" s="12">
        <f t="shared" si="3"/>
        <v>9432</v>
      </c>
      <c r="D91" s="1492">
        <f>'1.2 Budgeted Enrollment YR1'!$G87</f>
        <v>995.39371457820653</v>
      </c>
      <c r="E91" s="394">
        <f t="shared" si="4"/>
        <v>9388554</v>
      </c>
    </row>
    <row r="92" spans="1:5" x14ac:dyDescent="0.3">
      <c r="A92" s="106"/>
      <c r="B92" s="9" t="str">
        <f>'1.2 Budgeted Enrollment YR1'!E88</f>
        <v>Silver Sands Montessori</v>
      </c>
      <c r="C92" s="12">
        <f t="shared" si="3"/>
        <v>9432</v>
      </c>
      <c r="D92" s="1492">
        <f>'1.2 Budgeted Enrollment YR1'!$G88</f>
        <v>239.7637761081109</v>
      </c>
      <c r="E92" s="394">
        <f t="shared" si="4"/>
        <v>2261452</v>
      </c>
    </row>
    <row r="93" spans="1:5" x14ac:dyDescent="0.3">
      <c r="A93" s="106"/>
      <c r="B93" s="9" t="str">
        <f>'1.2 Budgeted Enrollment YR1'!E89</f>
        <v>Somerset Academy</v>
      </c>
      <c r="C93" s="12">
        <f t="shared" si="3"/>
        <v>9432</v>
      </c>
      <c r="D93" s="1492">
        <f>'1.2 Budgeted Enrollment YR1'!$G89</f>
        <v>9613.0429519265235</v>
      </c>
      <c r="E93" s="394">
        <f t="shared" si="4"/>
        <v>90670221</v>
      </c>
    </row>
    <row r="94" spans="1:5" x14ac:dyDescent="0.3">
      <c r="A94" s="106"/>
      <c r="B94" s="9" t="str">
        <f>'1.2 Budgeted Enrollment YR1'!E90</f>
        <v>Southern Nevada Trade High School</v>
      </c>
      <c r="C94" s="12">
        <f t="shared" si="3"/>
        <v>9432</v>
      </c>
      <c r="D94" s="1492">
        <f>'1.2 Budgeted Enrollment YR1'!$G90</f>
        <v>81.083193428487846</v>
      </c>
      <c r="E94" s="394">
        <f t="shared" si="4"/>
        <v>764777</v>
      </c>
    </row>
    <row r="95" spans="1:5" x14ac:dyDescent="0.3">
      <c r="A95" s="106"/>
      <c r="B95" s="9" t="str">
        <f>'1.2 Budgeted Enrollment YR1'!E91</f>
        <v>Sports Leadership and Management Academy</v>
      </c>
      <c r="C95" s="12">
        <f t="shared" si="3"/>
        <v>9432</v>
      </c>
      <c r="D95" s="1492">
        <f>'1.2 Budgeted Enrollment YR1'!$G91</f>
        <v>1868.7586142879702</v>
      </c>
      <c r="E95" s="394">
        <f t="shared" si="4"/>
        <v>17626131</v>
      </c>
    </row>
    <row r="96" spans="1:5" x14ac:dyDescent="0.3">
      <c r="A96" s="106"/>
      <c r="B96" s="9" t="str">
        <f>'1.2 Budgeted Enrollment YR1'!E92</f>
        <v>Strong Start Academy</v>
      </c>
      <c r="C96" s="12">
        <f t="shared" si="3"/>
        <v>9432</v>
      </c>
      <c r="D96" s="1492">
        <f>'1.2 Budgeted Enrollment YR1'!$G92</f>
        <v>147.52292907276259</v>
      </c>
      <c r="E96" s="394">
        <f t="shared" si="4"/>
        <v>1391436</v>
      </c>
    </row>
    <row r="97" spans="1:5" x14ac:dyDescent="0.3">
      <c r="A97" s="106"/>
      <c r="B97" s="9" t="str">
        <f>'1.2 Budgeted Enrollment YR1'!E93</f>
        <v>ThrivePoint</v>
      </c>
      <c r="C97" s="12">
        <f t="shared" ref="C97:C105" si="5">$C$8</f>
        <v>9432</v>
      </c>
      <c r="D97" s="1492">
        <f>'1.2 Budgeted Enrollment YR1'!$G93</f>
        <v>152.98522015479972</v>
      </c>
      <c r="E97" s="394">
        <f t="shared" si="4"/>
        <v>1442957</v>
      </c>
    </row>
    <row r="98" spans="1:5" x14ac:dyDescent="0.3">
      <c r="A98" s="106"/>
      <c r="B98" s="9" t="str">
        <f>'1.2 Budgeted Enrollment YR1'!E94</f>
        <v>Vegas Vista Academy</v>
      </c>
      <c r="C98" s="12">
        <f t="shared" si="5"/>
        <v>9432</v>
      </c>
      <c r="D98" s="1492">
        <f>'1.2 Budgeted Enrollment YR1'!$G94</f>
        <v>104.72813728717834</v>
      </c>
      <c r="E98" s="394">
        <f t="shared" si="4"/>
        <v>987796</v>
      </c>
    </row>
    <row r="99" spans="1:5" x14ac:dyDescent="0.3">
      <c r="A99" s="142"/>
      <c r="B99" s="137" t="str">
        <f>'1.2 Budgeted Enrollment YR1'!E95</f>
        <v>Young Women's Leadership Academy</v>
      </c>
      <c r="C99" s="440">
        <f t="shared" si="5"/>
        <v>9432</v>
      </c>
      <c r="D99" s="518">
        <f>'1.2 Budgeted Enrollment YR1'!$G95</f>
        <v>118.86232883517145</v>
      </c>
      <c r="E99" s="392">
        <f t="shared" si="4"/>
        <v>1121109</v>
      </c>
    </row>
    <row r="100" spans="1:5" s="4" customFormat="1" x14ac:dyDescent="0.3">
      <c r="A100" s="289"/>
      <c r="B100" s="291" t="s">
        <v>1398</v>
      </c>
      <c r="C100" s="1743">
        <f t="shared" si="5"/>
        <v>9432</v>
      </c>
      <c r="D100" s="1748">
        <f>SUM(D38:D99)</f>
        <v>72301.606666666703</v>
      </c>
      <c r="E100" s="1744">
        <f>SUM(E38:E99)</f>
        <v>681948756</v>
      </c>
    </row>
    <row r="101" spans="1:5" x14ac:dyDescent="0.3">
      <c r="C101" s="12"/>
      <c r="D101" s="71"/>
    </row>
    <row r="102" spans="1:5" s="4" customFormat="1" x14ac:dyDescent="0.3">
      <c r="A102" s="4" t="str">
        <f>B32</f>
        <v>University Schools</v>
      </c>
      <c r="C102" s="8"/>
      <c r="D102" s="1749"/>
    </row>
    <row r="103" spans="1:5" x14ac:dyDescent="0.3">
      <c r="A103" s="455"/>
      <c r="B103" s="207" t="str">
        <f>'1.2 Budgeted Enrollment YR1'!E100</f>
        <v>Davidson Academy</v>
      </c>
      <c r="C103" s="605">
        <f t="shared" si="5"/>
        <v>9432</v>
      </c>
      <c r="D103" s="1750">
        <f>'1.2 Budgeted Enrollment YR1'!G100</f>
        <v>167.88437423074134</v>
      </c>
      <c r="E103" s="476">
        <f>ROUND(D103*C103,0)</f>
        <v>1583485</v>
      </c>
    </row>
    <row r="104" spans="1:5" x14ac:dyDescent="0.3">
      <c r="A104" s="142"/>
      <c r="B104" s="137" t="str">
        <f>'1.2 Budgeted Enrollment YR1'!E101</f>
        <v>TBD</v>
      </c>
      <c r="C104" s="440">
        <f t="shared" si="5"/>
        <v>9432</v>
      </c>
      <c r="D104" s="1751">
        <v>0</v>
      </c>
      <c r="E104" s="403">
        <f>D104*C104</f>
        <v>0</v>
      </c>
    </row>
    <row r="105" spans="1:5" s="4" customFormat="1" x14ac:dyDescent="0.3">
      <c r="A105" s="204"/>
      <c r="B105" s="135" t="s">
        <v>1387</v>
      </c>
      <c r="C105" s="817">
        <f t="shared" si="5"/>
        <v>9432</v>
      </c>
      <c r="D105" s="1752">
        <f>SUM(D103:D104)</f>
        <v>167.88437423074134</v>
      </c>
      <c r="E105" s="1745">
        <f>SUM(E103:E104)</f>
        <v>1583485</v>
      </c>
    </row>
    <row r="106" spans="1:5" x14ac:dyDescent="0.3">
      <c r="D106" s="71"/>
    </row>
    <row r="107" spans="1:5" s="4" customFormat="1" x14ac:dyDescent="0.3">
      <c r="A107" s="4" t="str">
        <f>B33</f>
        <v>City of Henderson</v>
      </c>
      <c r="C107" s="8"/>
      <c r="D107" s="1749"/>
    </row>
    <row r="108" spans="1:5" x14ac:dyDescent="0.3">
      <c r="A108" s="455"/>
      <c r="B108" s="207" t="str">
        <f>'1.2 Budgeted Enrollment YR1'!E107</f>
        <v>TBD</v>
      </c>
      <c r="C108" s="605">
        <f t="shared" ref="C108:C114" si="6">$C$8</f>
        <v>9432</v>
      </c>
      <c r="D108" s="1750">
        <f>'1.2 Budgeted Enrollment YR1'!G107</f>
        <v>0</v>
      </c>
      <c r="E108" s="476">
        <f>ROUND(D108*C108,0)</f>
        <v>0</v>
      </c>
    </row>
    <row r="109" spans="1:5" x14ac:dyDescent="0.3">
      <c r="A109" s="142"/>
      <c r="B109" s="137" t="str">
        <f>'1.2 Budgeted Enrollment YR1'!E108</f>
        <v>TBD</v>
      </c>
      <c r="C109" s="440">
        <f t="shared" si="6"/>
        <v>9432</v>
      </c>
      <c r="D109" s="1751">
        <f>'1.2 Budgeted Enrollment YR1'!G108</f>
        <v>0</v>
      </c>
      <c r="E109" s="403">
        <f>D109*C109</f>
        <v>0</v>
      </c>
    </row>
    <row r="110" spans="1:5" s="4" customFormat="1" x14ac:dyDescent="0.3">
      <c r="A110" s="204"/>
      <c r="B110" s="135" t="s">
        <v>156</v>
      </c>
      <c r="C110" s="817">
        <f t="shared" si="6"/>
        <v>9432</v>
      </c>
      <c r="D110" s="1752">
        <f>SUM(D108:D109)</f>
        <v>0</v>
      </c>
      <c r="E110" s="1745">
        <f>SUM(E108:E109)</f>
        <v>0</v>
      </c>
    </row>
    <row r="111" spans="1:5" x14ac:dyDescent="0.3">
      <c r="D111" s="71"/>
    </row>
    <row r="112" spans="1:5" s="4" customFormat="1" x14ac:dyDescent="0.3">
      <c r="A112" s="4" t="str">
        <f>B34</f>
        <v>City of North Las Vegas</v>
      </c>
      <c r="C112" s="8"/>
      <c r="D112" s="1749"/>
    </row>
    <row r="113" spans="1:5" x14ac:dyDescent="0.3">
      <c r="A113" s="455"/>
      <c r="B113" s="207" t="str">
        <f>'1.2 Budgeted Enrollment YR1'!E113</f>
        <v>TBD</v>
      </c>
      <c r="C113" s="605">
        <f t="shared" si="6"/>
        <v>9432</v>
      </c>
      <c r="D113" s="1750">
        <f>'1.2 Budgeted Enrollment YR1'!G113</f>
        <v>0</v>
      </c>
      <c r="E113" s="476">
        <f>ROUND(D113*C113,0)</f>
        <v>0</v>
      </c>
    </row>
    <row r="114" spans="1:5" x14ac:dyDescent="0.3">
      <c r="A114" s="142"/>
      <c r="B114" s="137" t="str">
        <f>'1.2 Budgeted Enrollment YR1'!E114</f>
        <v>TBD</v>
      </c>
      <c r="C114" s="440">
        <f t="shared" si="6"/>
        <v>9432</v>
      </c>
      <c r="D114" s="1751">
        <f>'1.2 Budgeted Enrollment YR1'!G114</f>
        <v>0</v>
      </c>
      <c r="E114" s="403">
        <f>D114*C114</f>
        <v>0</v>
      </c>
    </row>
    <row r="115" spans="1:5" s="4" customFormat="1" x14ac:dyDescent="0.3">
      <c r="A115" s="204"/>
      <c r="B115" s="135" t="s">
        <v>156</v>
      </c>
      <c r="C115" s="817">
        <f>$C$8</f>
        <v>9432</v>
      </c>
      <c r="D115" s="1752">
        <f>SUM(D113:D114)</f>
        <v>0</v>
      </c>
      <c r="E115" s="1745">
        <f>SUM(E113:E114)</f>
        <v>0</v>
      </c>
    </row>
  </sheetData>
  <customSheetViews>
    <customSheetView guid="{CA1C9262-C0F9-4BBB-95C8-A52990BD1149}" scale="70" showPageBreaks="1" fitToPage="1" printArea="1">
      <selection activeCell="A3" sqref="A3"/>
      <rowBreaks count="1" manualBreakCount="1">
        <brk id="30" max="16383" man="1"/>
      </rowBreaks>
      <pageMargins left="0" right="0" top="0" bottom="0" header="0" footer="0"/>
      <pageSetup paperSize="3"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fitToPage="1" printArea="1">
      <selection activeCell="A3" sqref="A3"/>
      <rowBreaks count="1" manualBreakCount="1">
        <brk id="30" max="16383" man="1"/>
      </rowBreaks>
      <pageMargins left="0" right="0" top="0" bottom="0" header="0" footer="0"/>
      <pageSetup paperSize="3"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fitToPage="1">
      <selection activeCell="I21" sqref="I21"/>
      <rowBreaks count="1" manualBreakCount="1">
        <brk id="30" max="16383" man="1"/>
      </rowBreaks>
      <pageMargins left="0" right="0" top="0" bottom="0" header="0" footer="0"/>
      <pageSetup paperSize="3"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pageMargins left="0.7" right="0.7" top="0.75" bottom="0.75" header="0.3" footer="0.3"/>
  <pageSetup paperSize="3" fitToHeight="0" orientation="landscape" r:id="rId4"/>
  <headerFooter>
    <oddHeader>&amp;R&amp;"Arial Narrow,Regular"&amp;10&amp;A
&amp;P</oddHeader>
  </headerFooter>
  <rowBreaks count="1" manualBreakCount="1">
    <brk id="66"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1713-2488-4065-AA7E-4683904E0006}">
  <sheetPr>
    <tabColor theme="1"/>
    <pageSetUpPr autoPageBreaks="0" fitToPage="1"/>
  </sheetPr>
  <dimension ref="A1:R56"/>
  <sheetViews>
    <sheetView workbookViewId="0">
      <selection activeCell="D19" sqref="D19"/>
    </sheetView>
  </sheetViews>
  <sheetFormatPr defaultColWidth="8.7109375" defaultRowHeight="16.5" x14ac:dyDescent="0.3"/>
  <cols>
    <col min="1" max="1" width="2.7109375" style="9" customWidth="1"/>
    <col min="2" max="2" width="4.5703125" style="13" customWidth="1"/>
    <col min="3" max="3" width="4" style="9" customWidth="1"/>
    <col min="4" max="4" width="90.140625" style="9" bestFit="1" customWidth="1"/>
    <col min="5" max="5" width="8.7109375" style="9"/>
    <col min="6" max="6" width="7.140625" style="9" customWidth="1"/>
    <col min="7" max="7" width="7.5703125" style="9" customWidth="1"/>
    <col min="8" max="8" width="7" style="9" customWidth="1"/>
    <col min="9" max="10" width="7.7109375" style="9" customWidth="1"/>
    <col min="11" max="11" width="2.42578125" style="9" customWidth="1"/>
    <col min="12" max="12" width="2.7109375" style="9" customWidth="1"/>
    <col min="13" max="15" width="8.7109375" style="9"/>
    <col min="16" max="16" width="8.7109375" style="9" customWidth="1"/>
    <col min="17" max="17" width="8.7109375" style="9"/>
    <col min="18" max="18" width="4.5703125" style="9" customWidth="1"/>
    <col min="19" max="16384" width="8.7109375" style="9"/>
  </cols>
  <sheetData>
    <row r="1" spans="1:18" s="4" customFormat="1" x14ac:dyDescent="0.3">
      <c r="A1" s="4" t="s">
        <v>15</v>
      </c>
      <c r="B1" s="17"/>
    </row>
    <row r="2" spans="1:18" x14ac:dyDescent="0.3">
      <c r="A2" s="9" t="str">
        <f>CONCATENATE("Pupil Center Funding Plan | FY",'1.1 Assumption Control YR1'!D5)</f>
        <v>Pupil Center Funding Plan | FY2026</v>
      </c>
    </row>
    <row r="3" spans="1:18" ht="17.25" thickBot="1" x14ac:dyDescent="0.35">
      <c r="A3" s="9" t="s">
        <v>16</v>
      </c>
    </row>
    <row r="4" spans="1:18" ht="17.25" thickTop="1" x14ac:dyDescent="0.3">
      <c r="K4" s="50"/>
      <c r="L4" s="51"/>
      <c r="M4" s="51"/>
      <c r="N4" s="51"/>
      <c r="O4" s="51"/>
      <c r="P4" s="51"/>
      <c r="Q4" s="51"/>
      <c r="R4" s="52"/>
    </row>
    <row r="5" spans="1:18" ht="17.25" thickBot="1" x14ac:dyDescent="0.35">
      <c r="A5" s="4" t="s">
        <v>17</v>
      </c>
      <c r="K5" s="53"/>
      <c r="L5" s="4" t="s">
        <v>18</v>
      </c>
      <c r="R5" s="54"/>
    </row>
    <row r="6" spans="1:18" ht="18" thickTop="1" thickBot="1" x14ac:dyDescent="0.35">
      <c r="B6" s="34" t="s">
        <v>19</v>
      </c>
      <c r="H6" s="47"/>
      <c r="K6" s="53"/>
      <c r="M6" s="9" t="s">
        <v>20</v>
      </c>
      <c r="Q6" s="41"/>
      <c r="R6" s="54"/>
    </row>
    <row r="7" spans="1:18" ht="18" thickTop="1" thickBot="1" x14ac:dyDescent="0.35">
      <c r="B7" s="34" t="s">
        <v>21</v>
      </c>
      <c r="H7" s="48"/>
      <c r="K7" s="53"/>
      <c r="M7" s="9" t="s">
        <v>22</v>
      </c>
      <c r="Q7" s="46"/>
      <c r="R7" s="54"/>
    </row>
    <row r="8" spans="1:18" ht="18" thickTop="1" thickBot="1" x14ac:dyDescent="0.35">
      <c r="B8" s="34" t="s">
        <v>23</v>
      </c>
      <c r="H8" s="49"/>
      <c r="K8" s="53"/>
      <c r="M8" s="9" t="s">
        <v>24</v>
      </c>
      <c r="Q8" s="348"/>
      <c r="R8" s="54"/>
    </row>
    <row r="9" spans="1:18" ht="18" thickTop="1" thickBot="1" x14ac:dyDescent="0.35">
      <c r="B9" s="34" t="s">
        <v>25</v>
      </c>
      <c r="H9" s="530"/>
      <c r="K9" s="53"/>
      <c r="M9" s="9" t="s">
        <v>26</v>
      </c>
      <c r="Q9" s="42"/>
      <c r="R9" s="54"/>
    </row>
    <row r="10" spans="1:18" ht="18" thickTop="1" thickBot="1" x14ac:dyDescent="0.35">
      <c r="B10" s="34" t="s">
        <v>27</v>
      </c>
      <c r="H10" s="531"/>
      <c r="K10" s="53"/>
      <c r="M10" s="9" t="s">
        <v>28</v>
      </c>
      <c r="Q10" s="44"/>
      <c r="R10" s="54"/>
    </row>
    <row r="11" spans="1:18" ht="18" thickTop="1" thickBot="1" x14ac:dyDescent="0.35">
      <c r="K11" s="53"/>
      <c r="M11" s="9" t="s">
        <v>29</v>
      </c>
      <c r="Q11" s="45"/>
      <c r="R11" s="54"/>
    </row>
    <row r="12" spans="1:18" ht="18" thickTop="1" thickBot="1" x14ac:dyDescent="0.35">
      <c r="A12" s="4" t="s">
        <v>16</v>
      </c>
      <c r="K12" s="55"/>
      <c r="L12" s="14"/>
      <c r="M12" s="14"/>
      <c r="N12" s="14"/>
      <c r="O12" s="14"/>
      <c r="P12" s="14"/>
      <c r="Q12" s="14"/>
      <c r="R12" s="56"/>
    </row>
    <row r="13" spans="1:18" ht="17.25" thickTop="1" x14ac:dyDescent="0.3">
      <c r="B13" s="435" t="s">
        <v>30</v>
      </c>
      <c r="C13" s="9" t="s">
        <v>31</v>
      </c>
    </row>
    <row r="14" spans="1:18" x14ac:dyDescent="0.3">
      <c r="C14" s="435" t="s">
        <v>32</v>
      </c>
      <c r="D14" s="9" t="str">
        <f>'1.1 Assumption Control YR1'!A3</f>
        <v>Assumptions Controls (Year 1)</v>
      </c>
    </row>
    <row r="15" spans="1:18" x14ac:dyDescent="0.3">
      <c r="C15" s="435" t="s">
        <v>33</v>
      </c>
      <c r="D15" s="9" t="str">
        <f>'1.2 Budgeted Enrollment YR1'!A3</f>
        <v>Budgeted Enrollment Projections (Year 1)</v>
      </c>
    </row>
    <row r="16" spans="1:18" x14ac:dyDescent="0.3">
      <c r="C16" s="435" t="s">
        <v>34</v>
      </c>
      <c r="D16" s="9" t="str">
        <f>'1.3 Budgeted Revenues YR1'!A3</f>
        <v>Budgeted Revenue Projections (Year 1)</v>
      </c>
    </row>
    <row r="17" spans="2:4" x14ac:dyDescent="0.3">
      <c r="C17" s="435" t="s">
        <v>35</v>
      </c>
      <c r="D17" s="9" t="str">
        <f>'1.4 FY 2020 Revenue Received'!A3</f>
        <v>FY 2020 Baseline Revenue Received (All Years)</v>
      </c>
    </row>
    <row r="19" spans="2:4" x14ac:dyDescent="0.3">
      <c r="B19" s="435" t="s">
        <v>36</v>
      </c>
      <c r="C19" s="9" t="s">
        <v>37</v>
      </c>
    </row>
    <row r="20" spans="2:4" x14ac:dyDescent="0.3">
      <c r="C20" s="435" t="s">
        <v>38</v>
      </c>
      <c r="D20" s="9" t="str">
        <f>'2.1 Auxiliary Services YR1'!A3</f>
        <v>Auxiliary Services Calculations (Transportation and Food Service) (Year 1)</v>
      </c>
    </row>
    <row r="21" spans="2:4" x14ac:dyDescent="0.3">
      <c r="C21" s="435" t="s">
        <v>39</v>
      </c>
      <c r="D21" s="9" t="str">
        <f>'2.2 Spec Ed Local YR1'!A3</f>
        <v>Local Special Education Funding Calculations (Year 1)</v>
      </c>
    </row>
    <row r="22" spans="2:4" x14ac:dyDescent="0.3">
      <c r="C22" s="435" t="s">
        <v>40</v>
      </c>
      <c r="D22" s="9" t="str">
        <f>'2.3 Statewide Base Funding YR1'!A3</f>
        <v>Statewide Base Per Pupil Funding Calculations for School Districts and Charter Schools (Year 1)</v>
      </c>
    </row>
    <row r="23" spans="2:4" x14ac:dyDescent="0.3">
      <c r="C23" s="435" t="s">
        <v>41</v>
      </c>
      <c r="D23" s="9" t="str">
        <f>'2.4 District Size Adj. YR1'!A3</f>
        <v>District Size Adjustment by Attendance Area Calculations (Year 1)</v>
      </c>
    </row>
    <row r="24" spans="2:4" x14ac:dyDescent="0.3">
      <c r="C24" s="435" t="s">
        <v>42</v>
      </c>
      <c r="D24" s="9" t="str">
        <f>'2.5 NCEI Adj. YR1'!B3</f>
        <v>Nevada Cost of Education Index (NCEI) Calculations for School Districts and Charter Schools (Year 1)</v>
      </c>
    </row>
    <row r="25" spans="2:4" x14ac:dyDescent="0.3">
      <c r="C25" s="435" t="s">
        <v>43</v>
      </c>
      <c r="D25" s="9" t="str">
        <f>'2.6 Adj. Base Summary YR1'!A3</f>
        <v>Adjusted Base Funding Summary for School Districts and Charter Schools (Year 1)</v>
      </c>
    </row>
    <row r="26" spans="2:4" x14ac:dyDescent="0.3">
      <c r="C26" s="435" t="s">
        <v>44</v>
      </c>
      <c r="D26" s="9" t="str">
        <f>'2.7 Weighted Funding YR1'!A3</f>
        <v>Weighted Funding Calculations for School Districts and Charter Schools (Year 1)</v>
      </c>
    </row>
    <row r="27" spans="2:4" x14ac:dyDescent="0.3">
      <c r="C27" s="435" t="s">
        <v>45</v>
      </c>
      <c r="D27" s="9" t="str">
        <f>'2.8 Alloc of Residual Rev. YR1'!A3</f>
        <v>Allocation of Residual Revenue (Year 1)</v>
      </c>
    </row>
    <row r="28" spans="2:4" x14ac:dyDescent="0.3">
      <c r="C28" s="435" t="s">
        <v>46</v>
      </c>
      <c r="D28" s="9" t="str">
        <f>'2.9 PCFP Funding Comparison YR1'!A3</f>
        <v>Comparison of PCFP allocations with FY 2020 Baseline (Year 1)</v>
      </c>
    </row>
    <row r="30" spans="2:4" x14ac:dyDescent="0.3">
      <c r="B30" s="435" t="s">
        <v>47</v>
      </c>
      <c r="C30" s="9" t="s">
        <v>48</v>
      </c>
    </row>
    <row r="31" spans="2:4" x14ac:dyDescent="0.3">
      <c r="C31" s="435" t="s">
        <v>49</v>
      </c>
      <c r="D31" s="9" t="str">
        <f>'3.1a Initial Allocations YR1'!A3</f>
        <v>Initial Results, Allocation of K12 Education Funding, Prior to Proportional FY 2020 Baseline Reductions (Year 1)</v>
      </c>
    </row>
    <row r="32" spans="2:4" x14ac:dyDescent="0.3">
      <c r="C32" s="435" t="s">
        <v>50</v>
      </c>
      <c r="D32" s="9" t="str">
        <f>'3.1b Allocation Adj. YR1 '!A3</f>
        <v>Final Results, Allocation of K12 Education Funding, After Proportional FY 2020 Baseline Reductions (Year 1)</v>
      </c>
    </row>
    <row r="33" spans="2:4" x14ac:dyDescent="0.3">
      <c r="C33" s="435"/>
    </row>
    <row r="34" spans="2:4" x14ac:dyDescent="0.3">
      <c r="B34" s="435" t="s">
        <v>51</v>
      </c>
      <c r="C34" s="9" t="str">
        <f>'4.0 PCFP Allocation Summary'!A3</f>
        <v>Pupil-Centered Funding Plan Allocation Summary for Year 1 and Year 2</v>
      </c>
    </row>
    <row r="36" spans="2:4" x14ac:dyDescent="0.3">
      <c r="B36" s="435" t="s">
        <v>52</v>
      </c>
      <c r="C36" s="9" t="s">
        <v>53</v>
      </c>
    </row>
    <row r="37" spans="2:4" x14ac:dyDescent="0.3">
      <c r="C37" s="9">
        <v>5.0999999999999996</v>
      </c>
      <c r="D37" s="9" t="str">
        <f>'5.1 Assumption Control YR2'!A3</f>
        <v>Assumption Control (Year 2)</v>
      </c>
    </row>
    <row r="38" spans="2:4" x14ac:dyDescent="0.3">
      <c r="C38" s="9">
        <v>5.2</v>
      </c>
      <c r="D38" s="9" t="str">
        <f>'5.2 Budgeted Enrollment YR2'!A3</f>
        <v>Budgeted Enrollment Projections (Year 2)</v>
      </c>
    </row>
    <row r="39" spans="2:4" x14ac:dyDescent="0.3">
      <c r="C39" s="9">
        <v>5.3</v>
      </c>
      <c r="D39" s="9" t="str">
        <f>'5.3 Budgeted Revenues YR2'!A3</f>
        <v>Budgeted Revenue Projections  (Year 2)</v>
      </c>
    </row>
    <row r="41" spans="2:4" x14ac:dyDescent="0.3">
      <c r="B41" s="435" t="s">
        <v>54</v>
      </c>
      <c r="C41" s="9" t="s">
        <v>37</v>
      </c>
    </row>
    <row r="42" spans="2:4" x14ac:dyDescent="0.3">
      <c r="C42" s="9">
        <v>6.1</v>
      </c>
      <c r="D42" s="9" t="s">
        <v>55</v>
      </c>
    </row>
    <row r="43" spans="2:4" x14ac:dyDescent="0.3">
      <c r="C43" s="9">
        <v>6.2</v>
      </c>
      <c r="D43" s="9" t="s">
        <v>56</v>
      </c>
    </row>
    <row r="44" spans="2:4" x14ac:dyDescent="0.3">
      <c r="C44" s="9">
        <v>6.3</v>
      </c>
      <c r="D44" s="9" t="s">
        <v>57</v>
      </c>
    </row>
    <row r="45" spans="2:4" x14ac:dyDescent="0.3">
      <c r="C45" s="9">
        <v>6.4</v>
      </c>
      <c r="D45" s="9" t="s">
        <v>58</v>
      </c>
    </row>
    <row r="46" spans="2:4" x14ac:dyDescent="0.3">
      <c r="C46" s="9">
        <v>6.5</v>
      </c>
      <c r="D46" s="9" t="s">
        <v>59</v>
      </c>
    </row>
    <row r="47" spans="2:4" x14ac:dyDescent="0.3">
      <c r="C47" s="9">
        <v>6.6</v>
      </c>
      <c r="D47" s="9" t="s">
        <v>60</v>
      </c>
    </row>
    <row r="48" spans="2:4" x14ac:dyDescent="0.3">
      <c r="C48" s="9">
        <v>6.7</v>
      </c>
      <c r="D48" s="9" t="s">
        <v>61</v>
      </c>
    </row>
    <row r="49" spans="2:4" x14ac:dyDescent="0.3">
      <c r="C49" s="9">
        <v>6.8</v>
      </c>
      <c r="D49" s="9" t="s">
        <v>62</v>
      </c>
    </row>
    <row r="50" spans="2:4" x14ac:dyDescent="0.3">
      <c r="C50" s="9">
        <v>6.9</v>
      </c>
      <c r="D50" s="9" t="s">
        <v>63</v>
      </c>
    </row>
    <row r="52" spans="2:4" x14ac:dyDescent="0.3">
      <c r="B52" s="435" t="s">
        <v>64</v>
      </c>
      <c r="C52" s="9" t="s">
        <v>65</v>
      </c>
    </row>
    <row r="53" spans="2:4" x14ac:dyDescent="0.3">
      <c r="C53" s="9" t="s">
        <v>66</v>
      </c>
      <c r="D53" s="9" t="s">
        <v>67</v>
      </c>
    </row>
    <row r="54" spans="2:4" x14ac:dyDescent="0.3">
      <c r="C54" s="9" t="s">
        <v>68</v>
      </c>
      <c r="D54" s="9" t="s">
        <v>69</v>
      </c>
    </row>
    <row r="56" spans="2:4" x14ac:dyDescent="0.3">
      <c r="B56" s="435" t="s">
        <v>70</v>
      </c>
      <c r="C56" s="9" t="s">
        <v>71</v>
      </c>
    </row>
  </sheetData>
  <customSheetViews>
    <customSheetView guid="{CA1C9262-C0F9-4BBB-95C8-A52990BD1149}" scale="80" showPageBreaks="1" showGridLines="0" fitToPage="1" printArea="1">
      <selection activeCell="C18" sqref="C18"/>
      <pageMargins left="0" right="0" top="0" bottom="0" header="0" footer="0"/>
      <pageSetup paperSize="3" fitToHeight="0" orientation="landscape" verticalDpi="1200"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80" showPageBreaks="1" showGridLines="0" fitToPage="1" printArea="1">
      <selection activeCell="C18" sqref="C18"/>
      <pageMargins left="0" right="0" top="0" bottom="0" header="0" footer="0"/>
      <pageSetup paperSize="3" fitToHeight="0" orientation="landscape" verticalDpi="1200"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80" showGridLines="0" fitToPage="1">
      <selection activeCell="A7" sqref="A7:A8"/>
      <pageMargins left="0" right="0" top="0" bottom="0" header="0" footer="0"/>
      <pageSetup paperSize="3" fitToHeight="0" orientation="landscape" verticalDpi="1200"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pageMargins left="0.7" right="0.7" top="0.75" bottom="0.75" header="0.3" footer="0.3"/>
  <pageSetup paperSize="3" scale="68" orientation="landscape" verticalDpi="1200" r:id="rId4"/>
  <headerFooter>
    <oddHeader>&amp;R&amp;"Arial Narrow,Regular"&amp;10&amp;A
&amp;P</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AC63-58E9-4A3B-9532-66E53125971D}">
  <sheetPr>
    <tabColor theme="6" tint="0.59999389629810485"/>
    <pageSetUpPr fitToPage="1"/>
  </sheetPr>
  <dimension ref="A1:I205"/>
  <sheetViews>
    <sheetView workbookViewId="0">
      <selection activeCell="D78" sqref="D78"/>
    </sheetView>
  </sheetViews>
  <sheetFormatPr defaultColWidth="18.7109375" defaultRowHeight="16.5" x14ac:dyDescent="0.3"/>
  <cols>
    <col min="1" max="6" width="18.7109375" style="9"/>
    <col min="7" max="7" width="25.5703125" style="9" bestFit="1" customWidth="1"/>
    <col min="8" max="16384" width="18.7109375" style="9"/>
  </cols>
  <sheetData>
    <row r="1" spans="1:9" s="4" customFormat="1" x14ac:dyDescent="0.3">
      <c r="A1" s="4" t="s">
        <v>15</v>
      </c>
    </row>
    <row r="2" spans="1:9" x14ac:dyDescent="0.3">
      <c r="A2" s="9" t="str">
        <f>CONCATENATE("Pupil Center Funding Plan | FY",'1.1 Assumption Control YR1'!D5)</f>
        <v>Pupil Center Funding Plan | FY2026</v>
      </c>
    </row>
    <row r="3" spans="1:9" x14ac:dyDescent="0.3">
      <c r="A3" s="9" t="s">
        <v>1399</v>
      </c>
    </row>
    <row r="4" spans="1:9" x14ac:dyDescent="0.3">
      <c r="A4" s="1562"/>
    </row>
    <row r="5" spans="1:9" x14ac:dyDescent="0.3">
      <c r="A5" s="4" t="s">
        <v>1400</v>
      </c>
    </row>
    <row r="6" spans="1:9" s="76" customFormat="1" ht="50.25" thickBot="1" x14ac:dyDescent="0.35">
      <c r="A6" s="80" t="s">
        <v>1401</v>
      </c>
      <c r="B6" s="80" t="s">
        <v>1402</v>
      </c>
      <c r="C6" s="80" t="s">
        <v>1403</v>
      </c>
      <c r="D6" s="80" t="s">
        <v>1404</v>
      </c>
      <c r="E6" s="81" t="s">
        <v>1405</v>
      </c>
    </row>
    <row r="7" spans="1:9" ht="18" thickTop="1" thickBot="1" x14ac:dyDescent="0.35">
      <c r="A7" s="66">
        <v>0</v>
      </c>
      <c r="B7" s="66">
        <v>17</v>
      </c>
      <c r="C7" s="68">
        <f>25.003</f>
        <v>25.003</v>
      </c>
      <c r="D7" s="70">
        <v>-0.79100000000000004</v>
      </c>
      <c r="E7" s="34" t="s">
        <v>1406</v>
      </c>
    </row>
    <row r="8" spans="1:9" ht="18" thickTop="1" thickBot="1" x14ac:dyDescent="0.35">
      <c r="A8" s="66">
        <v>18</v>
      </c>
      <c r="B8" s="66">
        <v>3899</v>
      </c>
      <c r="C8" s="69">
        <v>3.4</v>
      </c>
      <c r="D8" s="70">
        <f>-0.281</f>
        <v>-0.28100000000000003</v>
      </c>
      <c r="E8" s="34" t="s">
        <v>1407</v>
      </c>
      <c r="G8" s="71"/>
    </row>
    <row r="9" spans="1:9" ht="18" thickTop="1" thickBot="1" x14ac:dyDescent="0.35">
      <c r="A9" s="66">
        <v>3900</v>
      </c>
      <c r="B9" s="66">
        <v>1000000</v>
      </c>
      <c r="C9" s="69">
        <f>1.0868</f>
        <v>1.0868</v>
      </c>
      <c r="D9" s="70">
        <f>(-0.000001735)</f>
        <v>-1.7349999999999999E-6</v>
      </c>
      <c r="E9" s="34" t="s">
        <v>1408</v>
      </c>
      <c r="G9" s="71"/>
    </row>
    <row r="10" spans="1:9" ht="18" thickTop="1" thickBot="1" x14ac:dyDescent="0.35">
      <c r="E10" s="35"/>
    </row>
    <row r="11" spans="1:9" ht="18" thickTop="1" thickBot="1" x14ac:dyDescent="0.35">
      <c r="D11" s="77" t="str">
        <f>'1.1 Assumption Control YR1'!A21</f>
        <v>Statewide Base Funding including Inflation for | FY2026</v>
      </c>
      <c r="E11" s="358">
        <f>'1.1 Assumption Control YR1'!D28</f>
        <v>9432</v>
      </c>
      <c r="F11" s="9" t="s">
        <v>167</v>
      </c>
    </row>
    <row r="12" spans="1:9" ht="17.25" thickTop="1" x14ac:dyDescent="0.3">
      <c r="E12" s="35"/>
      <c r="F12" s="17"/>
    </row>
    <row r="13" spans="1:9" s="76" customFormat="1" ht="66" x14ac:dyDescent="0.3">
      <c r="A13" s="79" t="s">
        <v>1409</v>
      </c>
      <c r="B13" s="79" t="s">
        <v>256</v>
      </c>
      <c r="C13" s="80" t="s">
        <v>1410</v>
      </c>
      <c r="D13" s="80" t="s">
        <v>1411</v>
      </c>
      <c r="E13" s="80" t="s">
        <v>1412</v>
      </c>
      <c r="F13" s="80" t="s">
        <v>1413</v>
      </c>
      <c r="G13" s="80" t="s">
        <v>1414</v>
      </c>
    </row>
    <row r="14" spans="1:9" s="120" customFormat="1" ht="33" x14ac:dyDescent="0.25">
      <c r="A14" s="1753"/>
      <c r="B14" s="203" t="s">
        <v>1346</v>
      </c>
      <c r="C14" s="652" t="s">
        <v>195</v>
      </c>
      <c r="D14" s="1754" t="s">
        <v>1415</v>
      </c>
      <c r="E14" s="1754" t="s">
        <v>1416</v>
      </c>
      <c r="F14" s="1755" t="s">
        <v>1417</v>
      </c>
      <c r="G14" s="1756" t="s">
        <v>1418</v>
      </c>
    </row>
    <row r="15" spans="1:9" s="120" customFormat="1" x14ac:dyDescent="0.25">
      <c r="A15" s="121"/>
      <c r="B15" s="122"/>
      <c r="C15" s="107"/>
      <c r="D15" s="124"/>
      <c r="E15" s="124"/>
      <c r="F15" s="125"/>
      <c r="G15" s="125"/>
    </row>
    <row r="16" spans="1:9" s="4" customFormat="1" x14ac:dyDescent="0.3">
      <c r="A16" s="4" t="s">
        <v>270</v>
      </c>
      <c r="B16" s="313" t="s">
        <v>270</v>
      </c>
      <c r="C16" s="412">
        <f>SUMIF('1.2 Budgeted Enrollment YR1'!$D$119:$D$753,B16,'1.2 Budgeted Enrollment YR1'!$G$119:$G$753)</f>
        <v>6970.4860982512937</v>
      </c>
      <c r="D16" s="412">
        <f>IF(C16=0,0,(IF($C$9+($D$9*$C16)&lt;1,1,IF($C16&lt;=$B$7,$C$7*($C16^$D$7),IF($C16&lt;=$B$8,$C$8+($D$8*LN($C16)),$C$9+($C16*$D$9))))*C16-C16))</f>
        <v>520.73857469455106</v>
      </c>
      <c r="E16" s="37">
        <f>E11</f>
        <v>9432</v>
      </c>
      <c r="F16" s="372">
        <f>ROUND(D16*E16,0)</f>
        <v>4911606</v>
      </c>
      <c r="G16" s="372">
        <f>F16/C16</f>
        <v>704.6289069039517</v>
      </c>
      <c r="H16" s="73"/>
      <c r="I16" s="74"/>
    </row>
    <row r="17" spans="1:9" x14ac:dyDescent="0.3">
      <c r="C17" s="71"/>
      <c r="D17" s="71"/>
      <c r="F17" s="10"/>
      <c r="G17" s="10"/>
      <c r="H17" s="35"/>
      <c r="I17" s="74"/>
    </row>
    <row r="18" spans="1:9" s="4" customFormat="1" x14ac:dyDescent="0.3">
      <c r="A18" s="4" t="s">
        <v>271</v>
      </c>
      <c r="B18" s="313" t="s">
        <v>272</v>
      </c>
      <c r="C18" s="412">
        <f>SUMIF('1.2 Budgeted Enrollment YR1'!$D$119:$D$753,B18,'1.2 Budgeted Enrollment YR1'!$G$119:$G$753)</f>
        <v>3074.1458778318033</v>
      </c>
      <c r="D18" s="412">
        <f>IF(C18=0,0,(IF($C$9+($D$9*$C18)&lt;1,1,IF($C18&lt;=$B$7,$C$7*($C18^$D$7),IF($C18&lt;=$B$8,$C$8+($D$8*LN($C18)),$C$9+($C18*$D$9))))*C18-C18))</f>
        <v>440.67927788440966</v>
      </c>
      <c r="E18" s="37">
        <f>E11</f>
        <v>9432</v>
      </c>
      <c r="F18" s="372">
        <f>ROUND(D18*E18,0)</f>
        <v>4156487</v>
      </c>
      <c r="G18" s="372">
        <f>F18/C18</f>
        <v>1352.078647266919</v>
      </c>
      <c r="H18" s="73"/>
      <c r="I18" s="74"/>
    </row>
    <row r="19" spans="1:9" x14ac:dyDescent="0.3">
      <c r="C19" s="71"/>
      <c r="D19" s="71"/>
      <c r="F19" s="10"/>
      <c r="G19" s="10"/>
      <c r="H19" s="35"/>
    </row>
    <row r="20" spans="1:9" x14ac:dyDescent="0.3">
      <c r="A20" s="4" t="s">
        <v>273</v>
      </c>
      <c r="B20" s="309" t="s">
        <v>274</v>
      </c>
      <c r="C20" s="396">
        <f>SUMIF('1.2 Budgeted Enrollment YR1'!$D$119:$D$753,B20,'1.2 Budgeted Enrollment YR1'!$G$119:$G$753)</f>
        <v>38.612530926119462</v>
      </c>
      <c r="D20" s="396">
        <f>IF(C20=0,0,(IF($C$9+($D$9*$C20)&lt;1,1,IF($C20&lt;=$B$7,$C$7*($C20^$D$7),IF($C20&lt;=$B$8,$C$8+($D$8*LN($C20)),$C$9+($C20*$D$9))))*C20-C20))</f>
        <v>53.028322522730875</v>
      </c>
      <c r="E20" s="29">
        <f>$E$11</f>
        <v>9432</v>
      </c>
      <c r="F20" s="385">
        <f>ROUND(D20*E20,0)</f>
        <v>500163</v>
      </c>
      <c r="G20" s="368">
        <f t="shared" ref="G20:G30" si="0">F20/C20</f>
        <v>12953.385546184556</v>
      </c>
      <c r="H20" s="35"/>
    </row>
    <row r="21" spans="1:9" x14ac:dyDescent="0.3">
      <c r="B21" s="309" t="s">
        <v>276</v>
      </c>
      <c r="C21" s="396">
        <f>SUMIF('1.2 Budgeted Enrollment YR1'!$D$119:$D$753,B21,'1.2 Budgeted Enrollment YR1'!$G$119:$G$753)</f>
        <v>1749.5159318419542</v>
      </c>
      <c r="D21" s="396">
        <f t="shared" ref="D21:D30" si="1">IF(C21=0,0,(IF($C$9+($D$9*$C21)&lt;1,1,IF($C21&lt;=$B$7,$C$7*($C21^$D$7),IF($C21&lt;=$B$8,$C$8+($D$8*LN($C21)),$C$9+($C21*$D$9))))*C21-C21))</f>
        <v>527.91025395469205</v>
      </c>
      <c r="E21" s="29">
        <f t="shared" ref="E21:E30" si="2">$E$11</f>
        <v>9432</v>
      </c>
      <c r="F21" s="385">
        <f t="shared" ref="F21:F30" si="3">ROUND(D21*E21,0)</f>
        <v>4979250</v>
      </c>
      <c r="G21" s="368">
        <f t="shared" si="0"/>
        <v>2846.0729675994799</v>
      </c>
      <c r="H21" s="35"/>
    </row>
    <row r="22" spans="1:9" x14ac:dyDescent="0.3">
      <c r="B22" s="309" t="s">
        <v>278</v>
      </c>
      <c r="C22" s="396">
        <f>SUMIF('1.2 Budgeted Enrollment YR1'!$D$119:$D$753,B22,'1.2 Budgeted Enrollment YR1'!$G$119:$G$753)</f>
        <v>2.9722674888122818</v>
      </c>
      <c r="D22" s="396">
        <f t="shared" si="1"/>
        <v>28.42323874045406</v>
      </c>
      <c r="E22" s="29">
        <f t="shared" si="2"/>
        <v>9432</v>
      </c>
      <c r="F22" s="385">
        <f t="shared" si="3"/>
        <v>268088</v>
      </c>
      <c r="G22" s="368">
        <f t="shared" si="0"/>
        <v>90196.458094398491</v>
      </c>
      <c r="H22" s="35"/>
    </row>
    <row r="23" spans="1:9" x14ac:dyDescent="0.3">
      <c r="B23" s="309" t="s">
        <v>280</v>
      </c>
      <c r="C23" s="396">
        <f>SUMIF('1.2 Budgeted Enrollment YR1'!$D$119:$D$753,B23,'1.2 Budgeted Enrollment YR1'!$G$119:$G$753)</f>
        <v>333.04689409557164</v>
      </c>
      <c r="D23" s="396">
        <f t="shared" si="1"/>
        <v>255.73751515327541</v>
      </c>
      <c r="E23" s="29">
        <f t="shared" si="2"/>
        <v>9432</v>
      </c>
      <c r="F23" s="385">
        <f t="shared" si="3"/>
        <v>2412116</v>
      </c>
      <c r="G23" s="368">
        <f t="shared" si="0"/>
        <v>7242.5716701258762</v>
      </c>
      <c r="H23" s="35"/>
    </row>
    <row r="24" spans="1:9" x14ac:dyDescent="0.3">
      <c r="B24" s="309" t="s">
        <v>319</v>
      </c>
      <c r="C24" s="396">
        <f>SUMIF('1.2 Budgeted Enrollment YR1'!$D$119:$D$753,B24,'1.2 Budgeted Enrollment YR1'!$G$119:$G$753)</f>
        <v>278807.7216877843</v>
      </c>
      <c r="D24" s="396">
        <f t="shared" si="1"/>
        <v>0</v>
      </c>
      <c r="E24" s="29">
        <f t="shared" si="2"/>
        <v>9432</v>
      </c>
      <c r="F24" s="385">
        <f t="shared" si="3"/>
        <v>0</v>
      </c>
      <c r="G24" s="368">
        <f>F24/C24</f>
        <v>0</v>
      </c>
      <c r="H24" s="72"/>
    </row>
    <row r="25" spans="1:9" x14ac:dyDescent="0.3">
      <c r="B25" s="309" t="s">
        <v>284</v>
      </c>
      <c r="C25" s="396">
        <f>SUMIF('1.2 Budgeted Enrollment YR1'!$D$119:$D$753,B25,'1.2 Budgeted Enrollment YR1'!$G$119:$G$753)</f>
        <v>628.93584569057998</v>
      </c>
      <c r="D25" s="396">
        <f t="shared" si="1"/>
        <v>370.58647128857342</v>
      </c>
      <c r="E25" s="29">
        <f t="shared" si="2"/>
        <v>9432</v>
      </c>
      <c r="F25" s="385">
        <f t="shared" si="3"/>
        <v>3495372</v>
      </c>
      <c r="G25" s="368">
        <f t="shared" si="0"/>
        <v>5557.5970489677447</v>
      </c>
      <c r="H25" s="35"/>
    </row>
    <row r="26" spans="1:9" x14ac:dyDescent="0.3">
      <c r="B26" s="309" t="s">
        <v>286</v>
      </c>
      <c r="C26" s="396">
        <f>SUMIF('1.2 Budgeted Enrollment YR1'!$D$119:$D$753,B26,'1.2 Budgeted Enrollment YR1'!$G$119:$G$753)</f>
        <v>1.016159552142015</v>
      </c>
      <c r="D26" s="396">
        <f t="shared" si="1"/>
        <v>24.07074969939843</v>
      </c>
      <c r="E26" s="29">
        <f t="shared" si="2"/>
        <v>9432</v>
      </c>
      <c r="F26" s="385">
        <f t="shared" si="3"/>
        <v>227035</v>
      </c>
      <c r="G26" s="368">
        <f t="shared" si="0"/>
        <v>223424.55918602669</v>
      </c>
      <c r="H26" s="35"/>
    </row>
    <row r="27" spans="1:9" x14ac:dyDescent="0.3">
      <c r="B27" s="309" t="s">
        <v>288</v>
      </c>
      <c r="C27" s="396">
        <f>SUMIF('1.2 Budgeted Enrollment YR1'!$D$119:$D$753,B27,'1.2 Budgeted Enrollment YR1'!$G$119:$G$753)</f>
        <v>2281.9234201812169</v>
      </c>
      <c r="D27" s="396">
        <f t="shared" si="1"/>
        <v>518.20316231686957</v>
      </c>
      <c r="E27" s="29">
        <f t="shared" si="2"/>
        <v>9432</v>
      </c>
      <c r="F27" s="385">
        <f t="shared" si="3"/>
        <v>4887692</v>
      </c>
      <c r="G27" s="368">
        <f t="shared" si="0"/>
        <v>2141.9176282488256</v>
      </c>
      <c r="H27" s="35"/>
    </row>
    <row r="28" spans="1:9" x14ac:dyDescent="0.3">
      <c r="B28" s="309" t="s">
        <v>290</v>
      </c>
      <c r="C28" s="396">
        <f>SUMIF('1.2 Budgeted Enrollment YR1'!$D$119:$D$753,B28,'1.2 Budgeted Enrollment YR1'!$G$119:$G$753)</f>
        <v>1730.6456283445993</v>
      </c>
      <c r="D28" s="396">
        <f t="shared" si="1"/>
        <v>527.49006170731059</v>
      </c>
      <c r="E28" s="29">
        <f t="shared" si="2"/>
        <v>9432</v>
      </c>
      <c r="F28" s="385">
        <f t="shared" si="3"/>
        <v>4975286</v>
      </c>
      <c r="G28" s="368">
        <f t="shared" si="0"/>
        <v>2874.8149930375812</v>
      </c>
      <c r="H28" s="35"/>
    </row>
    <row r="29" spans="1:9" x14ac:dyDescent="0.3">
      <c r="B29" s="309" t="s">
        <v>292</v>
      </c>
      <c r="C29" s="396">
        <f>SUMIF('1.2 Budgeted Enrollment YR1'!$D$119:$D$753,B29,'1.2 Budgeted Enrollment YR1'!$G$119:$G$753)</f>
        <v>293.92169869554857</v>
      </c>
      <c r="D29" s="396">
        <f t="shared" si="1"/>
        <v>236.01587161712951</v>
      </c>
      <c r="E29" s="29">
        <f t="shared" si="2"/>
        <v>9432</v>
      </c>
      <c r="F29" s="385">
        <f t="shared" si="3"/>
        <v>2226102</v>
      </c>
      <c r="G29" s="368">
        <f t="shared" si="0"/>
        <v>7573.7926457272279</v>
      </c>
      <c r="H29" s="35"/>
    </row>
    <row r="30" spans="1:9" x14ac:dyDescent="0.3">
      <c r="B30" s="529" t="s">
        <v>294</v>
      </c>
      <c r="C30" s="566">
        <f>SUMIF('1.2 Budgeted Enrollment YR1'!$D$119:$D$753,B30,'1.2 Budgeted Enrollment YR1'!$G$119:$G$753)</f>
        <v>10.505686011797483</v>
      </c>
      <c r="D30" s="566">
        <f t="shared" si="1"/>
        <v>30.370448909616858</v>
      </c>
      <c r="E30" s="148">
        <f t="shared" si="2"/>
        <v>9432</v>
      </c>
      <c r="F30" s="391">
        <f t="shared" si="3"/>
        <v>286454</v>
      </c>
      <c r="G30" s="391">
        <f t="shared" si="0"/>
        <v>27266.567807025942</v>
      </c>
      <c r="H30" s="35"/>
    </row>
    <row r="31" spans="1:9" s="4" customFormat="1" x14ac:dyDescent="0.3">
      <c r="B31" s="4" t="s">
        <v>1419</v>
      </c>
      <c r="C31" s="412">
        <f>SUM(C20:C30)</f>
        <v>285878.81775061274</v>
      </c>
      <c r="D31" s="412">
        <f>SUMPRODUCT(C20:C30,D20:D30)/C31</f>
        <v>11.924909920147428</v>
      </c>
      <c r="F31" s="371">
        <f>SUM(F20:F30)</f>
        <v>24257558</v>
      </c>
      <c r="G31" s="413">
        <f>F31/C31</f>
        <v>84.852589607255041</v>
      </c>
      <c r="H31" s="73"/>
    </row>
    <row r="32" spans="1:9" x14ac:dyDescent="0.3">
      <c r="C32" s="71"/>
      <c r="D32" s="71"/>
      <c r="H32" s="35"/>
    </row>
    <row r="33" spans="1:9" x14ac:dyDescent="0.3">
      <c r="A33" s="4" t="s">
        <v>275</v>
      </c>
      <c r="B33" s="309" t="s">
        <v>296</v>
      </c>
      <c r="C33" s="396">
        <f>SUMIF('1.2 Budgeted Enrollment YR1'!$D$119:$D$753,'2.4 District Size Adj. YR1'!$B33,'1.2 Budgeted Enrollment YR1'!$G$119:$G$753)</f>
        <v>4496.0594697245606</v>
      </c>
      <c r="D33" s="396">
        <f>IF(C33=0,0,(IF($C$9+($D$9*$C33)&lt;1,1,IF($C33&lt;=$B$7,$C$7*($C33^$D$7),IF($C33&lt;=$B$8,$C$8+($D$8*LN($C33)),$C$9+($C33*$D$9))))*C33-C33))</f>
        <v>355.18571641164635</v>
      </c>
      <c r="E33" s="29">
        <f>$E$11</f>
        <v>9432</v>
      </c>
      <c r="F33" s="368">
        <f>ROUND(D33*E33,0)</f>
        <v>3350112</v>
      </c>
      <c r="G33" s="368">
        <f>F33/C33</f>
        <v>745.12181668389633</v>
      </c>
      <c r="H33" s="35"/>
    </row>
    <row r="34" spans="1:9" x14ac:dyDescent="0.3">
      <c r="B34" s="309" t="s">
        <v>298</v>
      </c>
      <c r="C34" s="396">
        <f>SUMIF('1.2 Budgeted Enrollment YR1'!$D$119:$D$753,'2.4 District Size Adj. YR1'!$B34,'1.2 Budgeted Enrollment YR1'!$G$119:$G$753)</f>
        <v>21.757778987325345</v>
      </c>
      <c r="D34" s="396">
        <f>IF(C34=0,0,(IF($C$9+($D$9*$C34)&lt;1,1,IF($C34&lt;=$B$7,$C$7*($C34^$D$7),IF($C34&lt;=$B$8,$C$8+($D$8*LN($C34)),$C$9+($C34*$D$9))))*C34-C34))</f>
        <v>33.387922187013871</v>
      </c>
      <c r="E34" s="29">
        <f>$E$11</f>
        <v>9432</v>
      </c>
      <c r="F34" s="368">
        <f t="shared" ref="F34:F35" si="4">ROUND(D34*E34,0)</f>
        <v>314915</v>
      </c>
      <c r="G34" s="368">
        <f>F34/C34</f>
        <v>14473.673998777578</v>
      </c>
      <c r="H34" s="35"/>
    </row>
    <row r="35" spans="1:9" x14ac:dyDescent="0.3">
      <c r="B35" s="529" t="s">
        <v>300</v>
      </c>
      <c r="C35" s="566">
        <f>SUMIF('1.2 Budgeted Enrollment YR1'!$D$119:$D$753,'2.4 District Size Adj. YR1'!$B35,'1.2 Budgeted Enrollment YR1'!$G$119:$G$753)</f>
        <v>272.7686976026672</v>
      </c>
      <c r="D35" s="566">
        <f>IF(C35=0,0,(IF($C$9+($D$9*$C35)&lt;1,1,IF($C35&lt;=$B$7,$C$7*($C35^$D$7),IF($C35&lt;=$B$8,$C$8+($D$8*LN($C35)),$C$9+($C35*$D$9))))*C35-C35))</f>
        <v>224.75502593494753</v>
      </c>
      <c r="E35" s="148">
        <f>$E$11</f>
        <v>9432</v>
      </c>
      <c r="F35" s="391">
        <f t="shared" si="4"/>
        <v>2119889</v>
      </c>
      <c r="G35" s="391">
        <f>F35/C35</f>
        <v>7771.7458734505144</v>
      </c>
      <c r="H35" s="35"/>
    </row>
    <row r="36" spans="1:9" s="4" customFormat="1" x14ac:dyDescent="0.3">
      <c r="B36" s="4" t="s">
        <v>1420</v>
      </c>
      <c r="C36" s="412">
        <f>SUM(C33:C35)</f>
        <v>4790.5859463145534</v>
      </c>
      <c r="D36" s="412">
        <f>SUMPRODUCT(C33:C35,D33:D35)/C36</f>
        <v>346.29765651015333</v>
      </c>
      <c r="F36" s="371">
        <f>SUM(F33:F35)</f>
        <v>5784916</v>
      </c>
      <c r="G36" s="372">
        <f>F36/C36</f>
        <v>1207.5591722658467</v>
      </c>
      <c r="H36" s="73"/>
    </row>
    <row r="37" spans="1:9" x14ac:dyDescent="0.3">
      <c r="C37" s="71"/>
      <c r="D37" s="71"/>
      <c r="H37" s="35"/>
    </row>
    <row r="38" spans="1:9" x14ac:dyDescent="0.3">
      <c r="A38" s="4" t="s">
        <v>277</v>
      </c>
      <c r="B38" s="309" t="s">
        <v>302</v>
      </c>
      <c r="C38" s="396">
        <f>SUMIF('1.2 Budgeted Enrollment YR1'!$D$119:$D$753,'2.4 District Size Adj. YR1'!$B38,'1.2 Budgeted Enrollment YR1'!$G$119:$G$753)</f>
        <v>367.2879132298051</v>
      </c>
      <c r="D38" s="396">
        <f t="shared" ref="D38:D48" si="5">IF(C38=0,0,(IF($C$9+($D$9*$C38)&lt;1,1,IF($C38&lt;=$B$7,$C$7*($C38^$D$7),IF($C38&lt;=$B$8,$C$8+($D$8*LN($C38)),$C$9+($C38*$D$9))))*C38-C38))</f>
        <v>271.93003996669563</v>
      </c>
      <c r="E38" s="29">
        <f t="shared" ref="E38:E48" si="6">$E$11</f>
        <v>9432</v>
      </c>
      <c r="F38" s="385">
        <f>ROUND(D38*E38,0)</f>
        <v>2564844</v>
      </c>
      <c r="G38" s="368">
        <f t="shared" ref="G38:G48" si="7">F38/C38</f>
        <v>6983.1973980456733</v>
      </c>
      <c r="H38" s="35"/>
      <c r="I38" s="277"/>
    </row>
    <row r="39" spans="1:9" x14ac:dyDescent="0.3">
      <c r="B39" s="309" t="s">
        <v>277</v>
      </c>
      <c r="C39" s="396">
        <f>SUMIF('1.2 Budgeted Enrollment YR1'!$D$119:$D$753,'2.4 District Size Adj. YR1'!$B39,'1.2 Budgeted Enrollment YR1'!$G$119:$G$753)</f>
        <v>4380.8088936925305</v>
      </c>
      <c r="D39" s="396">
        <f t="shared" si="5"/>
        <v>346.95698278561031</v>
      </c>
      <c r="E39" s="29">
        <f t="shared" si="6"/>
        <v>9432</v>
      </c>
      <c r="F39" s="385">
        <f t="shared" ref="F39:F48" si="8">ROUND(D39*E39,0)</f>
        <v>3272498</v>
      </c>
      <c r="G39" s="368">
        <f t="shared" si="7"/>
        <v>747.0077055202587</v>
      </c>
      <c r="H39" s="35"/>
      <c r="I39" s="277"/>
    </row>
    <row r="40" spans="1:9" x14ac:dyDescent="0.3">
      <c r="B40" s="313" t="s">
        <v>307</v>
      </c>
      <c r="C40" s="396">
        <f>SUMIF('1.2 Budgeted Enrollment YR1'!$D$119:$D$753,'2.4 District Size Adj. YR1'!$B40,'1.2 Budgeted Enrollment YR1'!$G$119:$G$753)</f>
        <v>7.7698438022583343</v>
      </c>
      <c r="D40" s="396">
        <f t="shared" si="5"/>
        <v>30.608682048119114</v>
      </c>
      <c r="E40" s="29">
        <f t="shared" si="6"/>
        <v>9432</v>
      </c>
      <c r="F40" s="385">
        <f t="shared" si="8"/>
        <v>288701</v>
      </c>
      <c r="G40" s="368">
        <f t="shared" si="7"/>
        <v>37156.60280276007</v>
      </c>
      <c r="H40" s="35"/>
      <c r="I40" s="277"/>
    </row>
    <row r="41" spans="1:9" x14ac:dyDescent="0.3">
      <c r="B41" s="309" t="s">
        <v>308</v>
      </c>
      <c r="C41" s="396">
        <f>SUMIF('1.2 Budgeted Enrollment YR1'!$D$119:$D$753,'2.4 District Size Adj. YR1'!$B41,'1.2 Budgeted Enrollment YR1'!$G$119:$G$753)</f>
        <v>125.55400859008948</v>
      </c>
      <c r="D41" s="396">
        <f t="shared" si="5"/>
        <v>130.82742513651471</v>
      </c>
      <c r="E41" s="29">
        <f t="shared" si="6"/>
        <v>9432</v>
      </c>
      <c r="F41" s="385">
        <f t="shared" si="8"/>
        <v>1233964</v>
      </c>
      <c r="G41" s="368">
        <f>F41/C41</f>
        <v>9828.1529507246814</v>
      </c>
      <c r="H41" s="35"/>
      <c r="I41" s="277"/>
    </row>
    <row r="42" spans="1:9" x14ac:dyDescent="0.3">
      <c r="B42" s="309" t="s">
        <v>309</v>
      </c>
      <c r="C42" s="396">
        <f>SUMIF('1.2 Budgeted Enrollment YR1'!$D$119:$D$753,'2.4 District Size Adj. YR1'!$B42,'1.2 Budgeted Enrollment YR1'!$G$119:$G$753)</f>
        <v>9.0420294649163502</v>
      </c>
      <c r="D42" s="396">
        <f>IF(C42=0,0,(IF($C$9+($D$9*$C42)&lt;1,1,IF($C42&lt;=$B$7,$C$7*($C42^$D$7),IF($C42&lt;=$B$8,$C$8+($D$8*LN($C42)),$C$9+($C42*$D$9))))*C42-C42))</f>
        <v>30.572244223984367</v>
      </c>
      <c r="E42" s="29">
        <f>$E$11</f>
        <v>9432</v>
      </c>
      <c r="F42" s="385">
        <f t="shared" si="8"/>
        <v>288357</v>
      </c>
      <c r="G42" s="368">
        <f>F42/C42</f>
        <v>31890.738812436248</v>
      </c>
      <c r="H42" s="35"/>
      <c r="I42" s="277"/>
    </row>
    <row r="43" spans="1:9" x14ac:dyDescent="0.3">
      <c r="B43" s="313" t="s">
        <v>311</v>
      </c>
      <c r="C43" s="396">
        <f>SUMIF('1.2 Budgeted Enrollment YR1'!$D$119:$D$753,'2.4 District Size Adj. YR1'!$B43,'1.2 Budgeted Enrollment YR1'!$G$119:$G$753)</f>
        <v>9.345510337143045</v>
      </c>
      <c r="D43" s="396">
        <f t="shared" si="5"/>
        <v>30.543030761817924</v>
      </c>
      <c r="E43" s="29">
        <f t="shared" si="6"/>
        <v>9432</v>
      </c>
      <c r="F43" s="385">
        <f t="shared" si="8"/>
        <v>288082</v>
      </c>
      <c r="G43" s="368">
        <f>F43/C43</f>
        <v>30825.710914367002</v>
      </c>
      <c r="H43" s="35"/>
      <c r="I43" s="277"/>
    </row>
    <row r="44" spans="1:9" x14ac:dyDescent="0.3">
      <c r="B44" s="309" t="s">
        <v>314</v>
      </c>
      <c r="C44" s="396">
        <f>SUMIF('1.2 Budgeted Enrollment YR1'!$D$119:$D$753,'2.4 District Size Adj. YR1'!$B44,'1.2 Budgeted Enrollment YR1'!$G$119:$G$753)</f>
        <v>222.83135404708102</v>
      </c>
      <c r="D44" s="396">
        <f t="shared" si="5"/>
        <v>196.26925982256117</v>
      </c>
      <c r="E44" s="29">
        <f t="shared" si="6"/>
        <v>9432</v>
      </c>
      <c r="F44" s="385">
        <f t="shared" si="8"/>
        <v>1851212</v>
      </c>
      <c r="G44" s="368">
        <f>F44/C44</f>
        <v>8307.681869620852</v>
      </c>
      <c r="H44" s="35"/>
      <c r="I44" s="277"/>
    </row>
    <row r="45" spans="1:9" x14ac:dyDescent="0.3">
      <c r="B45" s="313" t="s">
        <v>318</v>
      </c>
      <c r="C45" s="396">
        <f>SUMIF('1.2 Budgeted Enrollment YR1'!$D$119:$D$753,'2.4 District Size Adj. YR1'!$B45,'1.2 Budgeted Enrollment YR1'!$G$119:$G$753)</f>
        <v>7.8777581915974242</v>
      </c>
      <c r="D45" s="396">
        <f t="shared" si="5"/>
        <v>30.611564955808468</v>
      </c>
      <c r="E45" s="29">
        <f t="shared" si="6"/>
        <v>9432</v>
      </c>
      <c r="F45" s="385">
        <f t="shared" si="8"/>
        <v>288728</v>
      </c>
      <c r="G45" s="368">
        <f t="shared" si="7"/>
        <v>36651.03611684389</v>
      </c>
      <c r="H45" s="35"/>
      <c r="I45" s="277"/>
    </row>
    <row r="46" spans="1:9" x14ac:dyDescent="0.3">
      <c r="B46" s="309" t="s">
        <v>322</v>
      </c>
      <c r="C46" s="396">
        <f>SUMIF('1.2 Budgeted Enrollment YR1'!$D$119:$D$753,'2.4 District Size Adj. YR1'!$B46,'1.2 Budgeted Enrollment YR1'!$G$119:$G$753)</f>
        <v>2924.0911449004329</v>
      </c>
      <c r="D46" s="396">
        <f t="shared" si="5"/>
        <v>460.28803924386602</v>
      </c>
      <c r="E46" s="29">
        <f t="shared" si="6"/>
        <v>9432</v>
      </c>
      <c r="F46" s="385">
        <f t="shared" si="8"/>
        <v>4341437</v>
      </c>
      <c r="G46" s="368">
        <f t="shared" si="7"/>
        <v>1484.7132954700796</v>
      </c>
      <c r="H46" s="35"/>
      <c r="I46" s="277"/>
    </row>
    <row r="47" spans="1:9" x14ac:dyDescent="0.3">
      <c r="B47" s="309" t="s">
        <v>326</v>
      </c>
      <c r="C47" s="396">
        <f>SUMIF('1.2 Budgeted Enrollment YR1'!$D$119:$D$753,'2.4 District Size Adj. YR1'!$B47,'1.2 Budgeted Enrollment YR1'!$G$119:$G$753)</f>
        <v>285.62289734669088</v>
      </c>
      <c r="D47" s="396">
        <f t="shared" si="5"/>
        <v>231.65075367324863</v>
      </c>
      <c r="E47" s="29">
        <f t="shared" si="6"/>
        <v>9432</v>
      </c>
      <c r="F47" s="385">
        <f t="shared" si="8"/>
        <v>2184930</v>
      </c>
      <c r="G47" s="368">
        <f t="shared" si="7"/>
        <v>7649.7018281693227</v>
      </c>
      <c r="H47" s="35"/>
      <c r="I47" s="277"/>
    </row>
    <row r="48" spans="1:9" x14ac:dyDescent="0.3">
      <c r="B48" s="529" t="s">
        <v>329</v>
      </c>
      <c r="C48" s="566">
        <f>SUMIF('1.2 Budgeted Enrollment YR1'!$D$119:$D$753,'2.4 District Size Adj. YR1'!$B48,'1.2 Budgeted Enrollment YR1'!$G$119:$G$753)</f>
        <v>894.21699648404774</v>
      </c>
      <c r="D48" s="566">
        <f t="shared" si="5"/>
        <v>438.46900250862996</v>
      </c>
      <c r="E48" s="148">
        <f t="shared" si="6"/>
        <v>9432</v>
      </c>
      <c r="F48" s="391">
        <f t="shared" si="8"/>
        <v>4135640</v>
      </c>
      <c r="G48" s="391">
        <f t="shared" si="7"/>
        <v>4624.8729517117572</v>
      </c>
      <c r="H48" s="35"/>
      <c r="I48" s="277"/>
    </row>
    <row r="49" spans="1:9" s="4" customFormat="1" x14ac:dyDescent="0.3">
      <c r="B49" s="4" t="s">
        <v>1421</v>
      </c>
      <c r="C49" s="412">
        <f>SUM(C38:C48)</f>
        <v>9234.4483500865936</v>
      </c>
      <c r="D49" s="412">
        <f>SUMPRODUCT(C38:C48,D38:D48)/C49</f>
        <v>377.41354950416525</v>
      </c>
      <c r="F49" s="371">
        <f>SUM(F38:F48)</f>
        <v>20738393</v>
      </c>
      <c r="G49" s="372">
        <f>F49/C49</f>
        <v>2245.7641446232715</v>
      </c>
      <c r="H49" s="73"/>
    </row>
    <row r="50" spans="1:9" x14ac:dyDescent="0.3">
      <c r="C50" s="414"/>
      <c r="D50" s="414"/>
      <c r="H50" s="35"/>
    </row>
    <row r="51" spans="1:9" x14ac:dyDescent="0.3">
      <c r="A51" s="4" t="s">
        <v>332</v>
      </c>
      <c r="B51" s="309" t="s">
        <v>333</v>
      </c>
      <c r="C51" s="396">
        <f>SUMIF('1.2 Budgeted Enrollment YR1'!$D$119:$D$753,'2.4 District Size Adj. YR1'!$B51,'1.2 Budgeted Enrollment YR1'!$G$119:$G$753)</f>
        <v>45.589011809178224</v>
      </c>
      <c r="D51" s="396">
        <f>IF(C51=0,0,(IF($C$9+($D$9*$C51)&lt;1,1,IF($C51&lt;=$B$7,$C$7*($C51^$D$7),IF($C51&lt;=$B$8,$C$8+($D$8*LN($C51)),$C$9+($C51*$D$9))))*C51-C51))</f>
        <v>60.481740794045713</v>
      </c>
      <c r="E51" s="29">
        <f>$E$11</f>
        <v>9432</v>
      </c>
      <c r="F51" s="385">
        <f>ROUND(D51*E51,0)</f>
        <v>570464</v>
      </c>
      <c r="G51" s="368">
        <f>F51/C51</f>
        <v>12513.190730867107</v>
      </c>
      <c r="H51" s="35"/>
      <c r="I51" s="277"/>
    </row>
    <row r="52" spans="1:9" x14ac:dyDescent="0.3">
      <c r="B52" s="309" t="s">
        <v>336</v>
      </c>
      <c r="C52" s="396">
        <f>SUMIF('1.2 Budgeted Enrollment YR1'!$D$119:$D$753,'2.4 District Size Adj. YR1'!$B52,'1.2 Budgeted Enrollment YR1'!$G$119:$G$753)</f>
        <v>26.777283932698449</v>
      </c>
      <c r="D52" s="396">
        <f>IF(C52=0,0,(IF($C$9+($D$9*$C52)&lt;1,1,IF($C52&lt;=$B$7,$C$7*($C52^$D$7),IF($C52&lt;=$B$8,$C$8+($D$8*LN($C52)),$C$9+($C52*$D$9))))*C52-C52))</f>
        <v>39.528555588823323</v>
      </c>
      <c r="E52" s="29">
        <f>$E$11</f>
        <v>9432</v>
      </c>
      <c r="F52" s="385">
        <f t="shared" ref="F52:F53" si="9">ROUND(D52*E52,0)</f>
        <v>372833</v>
      </c>
      <c r="G52" s="368">
        <f>F52/C52</f>
        <v>13923.480848060313</v>
      </c>
      <c r="H52" s="35"/>
      <c r="I52" s="277"/>
    </row>
    <row r="53" spans="1:9" x14ac:dyDescent="0.3">
      <c r="B53" s="529" t="s">
        <v>339</v>
      </c>
      <c r="C53" s="566">
        <f>SUMIF('1.2 Budgeted Enrollment YR1'!$D$119:$D$753,'2.4 District Size Adj. YR1'!$B53,'1.2 Budgeted Enrollment YR1'!$G$119:$G$753)</f>
        <v>8.2695998182410762</v>
      </c>
      <c r="D53" s="566">
        <f>IF(C53=0,0,(IF($C$9+($D$9*$C53)&lt;1,1,IF($C53&lt;=$B$7,$C$7*($C53^$D$7),IF($C53&lt;=$B$8,$C$8+($D$8*LN($C53)),$C$9+($C53*$D$9))))*C53-C53))</f>
        <v>30.612201798274178</v>
      </c>
      <c r="E53" s="148">
        <f>$E$11</f>
        <v>9432</v>
      </c>
      <c r="F53" s="391">
        <f t="shared" si="9"/>
        <v>288734</v>
      </c>
      <c r="G53" s="391">
        <f>F53/C53</f>
        <v>34915.111534552227</v>
      </c>
      <c r="H53" s="35"/>
      <c r="I53" s="277"/>
    </row>
    <row r="54" spans="1:9" s="4" customFormat="1" x14ac:dyDescent="0.3">
      <c r="B54" s="4" t="s">
        <v>1422</v>
      </c>
      <c r="C54" s="412">
        <f>SUM(C51:C53)</f>
        <v>80.635895560117746</v>
      </c>
      <c r="D54" s="412">
        <f>SUMPRODUCT(C51:C53,D51:D53)/C54</f>
        <v>50.460415698417869</v>
      </c>
      <c r="F54" s="371">
        <f>SUM(F51:F53)</f>
        <v>1232031</v>
      </c>
      <c r="G54" s="372">
        <f>F54/C54</f>
        <v>15278.939874630209</v>
      </c>
      <c r="H54" s="73"/>
    </row>
    <row r="55" spans="1:9" x14ac:dyDescent="0.3">
      <c r="C55" s="71"/>
      <c r="D55" s="71"/>
      <c r="H55" s="35"/>
    </row>
    <row r="56" spans="1:9" x14ac:dyDescent="0.3">
      <c r="A56" s="4" t="s">
        <v>281</v>
      </c>
      <c r="B56" s="309" t="s">
        <v>342</v>
      </c>
      <c r="C56" s="567">
        <f>SUMIF('1.2 Budgeted Enrollment YR1'!$D$119:$D$753,'2.4 District Size Adj. YR1'!$B56,'1.2 Budgeted Enrollment YR1'!$G$119:$G$753)</f>
        <v>26.400500304391105</v>
      </c>
      <c r="D56" s="567">
        <f t="shared" ref="D56:D65" si="10">IF(C56=0,0,(IF($C$9+($D$9*$C56)&lt;1,1,IF($C56&lt;=$B$7,$C$7*($C56^$D$7),IF($C56&lt;=$B$8,$C$8+($D$8*LN($C56)),$C$9+($C56*$D$9))))*C56-C56))</f>
        <v>39.077476383132023</v>
      </c>
      <c r="E56" s="154">
        <f>$E$11</f>
        <v>9432</v>
      </c>
      <c r="F56" s="385">
        <f>ROUND(D56*E56,0)</f>
        <v>368579</v>
      </c>
      <c r="G56" s="385">
        <f>F56/C56</f>
        <v>13961.061182567646</v>
      </c>
      <c r="H56" s="35"/>
    </row>
    <row r="57" spans="1:9" x14ac:dyDescent="0.3">
      <c r="B57" s="529" t="s">
        <v>281</v>
      </c>
      <c r="C57" s="566">
        <f>SUMIF('1.2 Budgeted Enrollment YR1'!$D$119:$D$753,'2.4 District Size Adj. YR1'!$B57,'1.2 Budgeted Enrollment YR1'!$G$119:$G$753)</f>
        <v>271.18151959063948</v>
      </c>
      <c r="D57" s="566">
        <f t="shared" si="10"/>
        <v>223.89192530242752</v>
      </c>
      <c r="E57" s="148">
        <f>$E$11</f>
        <v>9432</v>
      </c>
      <c r="F57" s="391">
        <f>ROUND(D57*E57,0)</f>
        <v>2111749</v>
      </c>
      <c r="G57" s="391">
        <f>F57/C57</f>
        <v>7787.2157482846869</v>
      </c>
      <c r="H57" s="35"/>
    </row>
    <row r="58" spans="1:9" s="4" customFormat="1" x14ac:dyDescent="0.3">
      <c r="B58" s="4" t="s">
        <v>1423</v>
      </c>
      <c r="C58" s="412">
        <f>SUM(C56:C57)</f>
        <v>297.58201989503061</v>
      </c>
      <c r="D58" s="412">
        <f>SUMPRODUCT(C56:C57,D56:D57)/C58</f>
        <v>207.49579385379084</v>
      </c>
      <c r="F58" s="371">
        <f>SUM(F56:F57)</f>
        <v>2480328</v>
      </c>
      <c r="G58" s="372">
        <f>F58/C58</f>
        <v>8334.9390560455013</v>
      </c>
      <c r="H58" s="73"/>
    </row>
    <row r="59" spans="1:9" x14ac:dyDescent="0.3">
      <c r="C59" s="71"/>
      <c r="D59" s="71"/>
      <c r="H59" s="35"/>
    </row>
    <row r="60" spans="1:9" x14ac:dyDescent="0.3">
      <c r="A60" s="4" t="s">
        <v>283</v>
      </c>
      <c r="B60" s="309" t="s">
        <v>347</v>
      </c>
      <c r="C60" s="396">
        <f>SUMIF('1.2 Budgeted Enrollment YR1'!$D$119:$D$753,'2.4 District Size Adj. YR1'!$B60,'1.2 Budgeted Enrollment YR1'!$G$119:$G$753)</f>
        <v>6.1532279571726054</v>
      </c>
      <c r="D60" s="396">
        <f t="shared" si="10"/>
        <v>30.399066937731504</v>
      </c>
      <c r="E60" s="29">
        <f t="shared" ref="E60:E65" si="11">$E$11</f>
        <v>9432</v>
      </c>
      <c r="F60" s="368">
        <f>ROUND(D60*E60,0)</f>
        <v>286724</v>
      </c>
      <c r="G60" s="368">
        <f t="shared" ref="G60:G65" si="12">F60/C60</f>
        <v>46597.331026193453</v>
      </c>
      <c r="H60" s="35"/>
    </row>
    <row r="61" spans="1:9" x14ac:dyDescent="0.3">
      <c r="B61" s="309" t="s">
        <v>350</v>
      </c>
      <c r="C61" s="396">
        <f>SUMIF('1.2 Budgeted Enrollment YR1'!$D$119:$D$753,'2.4 District Size Adj. YR1'!$B61,'1.2 Budgeted Enrollment YR1'!$G$119:$G$753)</f>
        <v>7.8578728185988655</v>
      </c>
      <c r="D61" s="396">
        <f t="shared" si="10"/>
        <v>30.61112434075568</v>
      </c>
      <c r="E61" s="29">
        <f t="shared" si="11"/>
        <v>9432</v>
      </c>
      <c r="F61" s="368">
        <f t="shared" ref="F61:F65" si="13">ROUND(D61*E61,0)</f>
        <v>288724</v>
      </c>
      <c r="G61" s="368">
        <f t="shared" si="12"/>
        <v>36743.277304847274</v>
      </c>
      <c r="H61" s="35"/>
    </row>
    <row r="62" spans="1:9" x14ac:dyDescent="0.3">
      <c r="B62" s="309" t="s">
        <v>353</v>
      </c>
      <c r="C62" s="396">
        <f>SUMIF('1.2 Budgeted Enrollment YR1'!$D$119:$D$753,'2.4 District Size Adj. YR1'!$B62,'1.2 Budgeted Enrollment YR1'!$G$119:$G$753)</f>
        <v>111.92387516646239</v>
      </c>
      <c r="D62" s="396">
        <f t="shared" si="10"/>
        <v>120.2390215075347</v>
      </c>
      <c r="E62" s="29">
        <f t="shared" si="11"/>
        <v>9432</v>
      </c>
      <c r="F62" s="368">
        <f t="shared" si="13"/>
        <v>1134094</v>
      </c>
      <c r="G62" s="368">
        <f t="shared" si="12"/>
        <v>10132.726358100826</v>
      </c>
      <c r="H62" s="35"/>
    </row>
    <row r="63" spans="1:9" x14ac:dyDescent="0.3">
      <c r="B63" s="309" t="s">
        <v>356</v>
      </c>
      <c r="C63" s="396">
        <f>SUMIF('1.2 Budgeted Enrollment YR1'!$D$119:$D$753,'2.4 District Size Adj. YR1'!$B63,'1.2 Budgeted Enrollment YR1'!$G$119:$G$753)</f>
        <v>34.73744067827058</v>
      </c>
      <c r="D63" s="396">
        <f t="shared" si="10"/>
        <v>48.738821810423438</v>
      </c>
      <c r="E63" s="29">
        <f t="shared" si="11"/>
        <v>9432</v>
      </c>
      <c r="F63" s="368">
        <f t="shared" si="13"/>
        <v>459705</v>
      </c>
      <c r="G63" s="368">
        <f t="shared" si="12"/>
        <v>13233.703779667358</v>
      </c>
      <c r="H63" s="35"/>
    </row>
    <row r="64" spans="1:9" x14ac:dyDescent="0.3">
      <c r="B64" s="309" t="s">
        <v>359</v>
      </c>
      <c r="C64" s="396">
        <f>SUMIF('1.2 Budgeted Enrollment YR1'!$D$119:$D$753,'2.4 District Size Adj. YR1'!$B64,'1.2 Budgeted Enrollment YR1'!$G$119:$G$753)</f>
        <v>26.182486735596299</v>
      </c>
      <c r="D64" s="396">
        <f t="shared" si="10"/>
        <v>38.815785357986513</v>
      </c>
      <c r="E64" s="29">
        <f t="shared" si="11"/>
        <v>9432</v>
      </c>
      <c r="F64" s="368">
        <f t="shared" si="13"/>
        <v>366110</v>
      </c>
      <c r="G64" s="368">
        <f t="shared" si="12"/>
        <v>13983.010998808473</v>
      </c>
      <c r="H64" s="35"/>
    </row>
    <row r="65" spans="1:9" x14ac:dyDescent="0.3">
      <c r="B65" s="529" t="s">
        <v>362</v>
      </c>
      <c r="C65" s="566">
        <f>SUMIF('1.2 Budgeted Enrollment YR1'!$D$119:$D$753,'2.4 District Size Adj. YR1'!$B65,'1.2 Budgeted Enrollment YR1'!$G$119:$G$753)</f>
        <v>2949.0308767379197</v>
      </c>
      <c r="D65" s="566">
        <f t="shared" si="10"/>
        <v>457.17599475281304</v>
      </c>
      <c r="E65" s="148">
        <f t="shared" si="11"/>
        <v>9432</v>
      </c>
      <c r="F65" s="391">
        <f t="shared" si="13"/>
        <v>4312084</v>
      </c>
      <c r="G65" s="391">
        <f t="shared" si="12"/>
        <v>1462.2037476833157</v>
      </c>
      <c r="H65" s="35"/>
    </row>
    <row r="66" spans="1:9" s="4" customFormat="1" x14ac:dyDescent="0.3">
      <c r="B66" s="4" t="s">
        <v>1424</v>
      </c>
      <c r="C66" s="412">
        <f>SUM(C60:C65)</f>
        <v>3135.8857800940204</v>
      </c>
      <c r="D66" s="412">
        <f>SUMPRODUCT(C60:C65,D60:D65)/C66</f>
        <v>435.22653055588603</v>
      </c>
      <c r="F66" s="371">
        <f>SUM(F60:F65)</f>
        <v>6847441</v>
      </c>
      <c r="G66" s="372">
        <f>F66/C66</f>
        <v>2183.5747473540632</v>
      </c>
      <c r="H66" s="73"/>
    </row>
    <row r="67" spans="1:9" x14ac:dyDescent="0.3">
      <c r="C67" s="414"/>
      <c r="E67" s="35"/>
    </row>
    <row r="68" spans="1:9" x14ac:dyDescent="0.3">
      <c r="A68" s="4" t="s">
        <v>366</v>
      </c>
      <c r="B68" s="309" t="s">
        <v>367</v>
      </c>
      <c r="C68" s="396">
        <f>SUMIF('1.2 Budgeted Enrollment YR1'!$D$119:$D$753,'2.4 District Size Adj. YR1'!$B68,'1.2 Budgeted Enrollment YR1'!$G$119:$G$753)</f>
        <v>7.596048896613067</v>
      </c>
      <c r="D68" s="396">
        <f>IF(C68=0,0,(IF($C$9+($D$9*$C68)&lt;1,1,IF($C68&lt;=$B$7,$C$7*($C68^$D$7),IF($C68&lt;=$B$8,$C$8+($D$8*LN($C68)),$C$9+($C68*$D$9))))*C68-C68))</f>
        <v>30.60145298695225</v>
      </c>
      <c r="E68" s="29">
        <f>$E$11</f>
        <v>9432</v>
      </c>
      <c r="F68" s="385">
        <f>ROUND(D68*E68,0)</f>
        <v>288633</v>
      </c>
      <c r="G68" s="368">
        <f>F68/C68</f>
        <v>37997.780678939009</v>
      </c>
    </row>
    <row r="69" spans="1:9" x14ac:dyDescent="0.3">
      <c r="B69" s="529" t="s">
        <v>371</v>
      </c>
      <c r="C69" s="566">
        <f>SUMIF('1.2 Budgeted Enrollment YR1'!$D$119:$D$753,'2.4 District Size Adj. YR1'!$B69,'1.2 Budgeted Enrollment YR1'!$G$119:$G$753)</f>
        <v>962.68564829388106</v>
      </c>
      <c r="D69" s="566">
        <f>IF(C69=0,0,(IF($C$9+($D$9*$C69)&lt;1,1,IF($C69&lt;=$B$7,$C$7*($C69^$D$7),IF($C69&lt;=$B$8,$C$8+($D$8*LN($C69)),$C$9+($C69*$D$9))))*C69-C69))</f>
        <v>452.083662179258</v>
      </c>
      <c r="E69" s="148">
        <f>$E$11</f>
        <v>9432</v>
      </c>
      <c r="F69" s="391">
        <f>ROUND(D69*E69,0)</f>
        <v>4264053</v>
      </c>
      <c r="G69" s="391">
        <f>F69/C69</f>
        <v>4429.3305998245269</v>
      </c>
    </row>
    <row r="70" spans="1:9" s="4" customFormat="1" x14ac:dyDescent="0.3">
      <c r="B70" s="4" t="s">
        <v>1425</v>
      </c>
      <c r="C70" s="412">
        <f>C69+C68</f>
        <v>970.28169719049413</v>
      </c>
      <c r="D70" s="412">
        <f>SUMPRODUCT(C68:C69,D68:D69)/C70</f>
        <v>448.78400242132619</v>
      </c>
      <c r="E70" s="5"/>
      <c r="F70" s="371">
        <f>SUM(F68:F69)</f>
        <v>4552686</v>
      </c>
      <c r="G70" s="372">
        <f>F70/C70</f>
        <v>4692.1280831974482</v>
      </c>
      <c r="I70" s="9"/>
    </row>
    <row r="71" spans="1:9" x14ac:dyDescent="0.3">
      <c r="C71" s="71"/>
      <c r="E71" s="35"/>
    </row>
    <row r="72" spans="1:9" x14ac:dyDescent="0.3">
      <c r="A72" s="4" t="s">
        <v>287</v>
      </c>
      <c r="B72" s="309" t="s">
        <v>374</v>
      </c>
      <c r="C72" s="396">
        <f>SUMIF('1.2 Budgeted Enrollment YR1'!$D$119:$D$753,'2.4 District Size Adj. YR1'!$B72,'1.2 Budgeted Enrollment YR1'!$G$119:$G$753)</f>
        <v>296.66386249376734</v>
      </c>
      <c r="D72" s="396">
        <f>IF(C72=0,0,(IF($C$9+($D$9*$C72)&lt;1,1,IF($C72&lt;=$B$7,$C$7*($C72^$D$7),IF($C72&lt;=$B$8,$C$8+($D$8*LN($C72)),$C$9+($C72*$D$9))))*C72-C72))</f>
        <v>237.44366746047211</v>
      </c>
      <c r="E72" s="29">
        <f>$E$11</f>
        <v>9432</v>
      </c>
      <c r="F72" s="368">
        <f>ROUND(D72*E72,0)</f>
        <v>2239569</v>
      </c>
      <c r="G72" s="368">
        <f>F72/C72</f>
        <v>7549.1803456413618</v>
      </c>
    </row>
    <row r="73" spans="1:9" x14ac:dyDescent="0.3">
      <c r="A73" s="4"/>
      <c r="B73" s="309" t="s">
        <v>377</v>
      </c>
      <c r="C73" s="396">
        <f>SUMIF('1.2 Budgeted Enrollment YR1'!$D$119:$D$753,'2.4 District Size Adj. YR1'!$B73,'1.2 Budgeted Enrollment YR1'!$G$119:$G$753)</f>
        <v>119.17334282349242</v>
      </c>
      <c r="D73" s="396">
        <f>IF(C73=0,0,(IF($C$9+($D$9*$C73)&lt;1,1,IF($C73&lt;=$B$7,$C$7*($C73^$D$7),IF($C73&lt;=$B$8,$C$8+($D$8*LN($C73)),$C$9+($C73*$D$9))))*C73-C73))</f>
        <v>125.92537957791814</v>
      </c>
      <c r="E73" s="29">
        <f>$E$11</f>
        <v>9432</v>
      </c>
      <c r="F73" s="368">
        <f t="shared" ref="F73:F75" si="14">ROUND(D73*E73,0)</f>
        <v>1187728</v>
      </c>
      <c r="G73" s="368">
        <f>F73/C73</f>
        <v>9966.3898977738954</v>
      </c>
    </row>
    <row r="74" spans="1:9" x14ac:dyDescent="0.3">
      <c r="A74" s="4"/>
      <c r="B74" s="309" t="s">
        <v>380</v>
      </c>
      <c r="C74" s="396">
        <f>SUMIF('1.2 Budgeted Enrollment YR1'!$D$119:$D$753,'2.4 District Size Adj. YR1'!$B74,'1.2 Budgeted Enrollment YR1'!$G$119:$G$753)</f>
        <v>405.34803927651626</v>
      </c>
      <c r="D74" s="396">
        <f>IF(C74=0,0,(IF($C$9+($D$9*$C74)&lt;1,1,IF($C74&lt;=$B$7,$C$7*($C74^$D$7),IF($C74&lt;=$B$8,$C$8+($D$8*LN($C74)),$C$9+($C74*$D$9))))*C74-C74))</f>
        <v>288.87791117317909</v>
      </c>
      <c r="E74" s="29">
        <f>$E$11</f>
        <v>9432</v>
      </c>
      <c r="F74" s="368">
        <f t="shared" si="14"/>
        <v>2724696</v>
      </c>
      <c r="G74" s="368">
        <f>F74/C74</f>
        <v>6721.8679652753772</v>
      </c>
    </row>
    <row r="75" spans="1:9" x14ac:dyDescent="0.3">
      <c r="A75" s="4"/>
      <c r="B75" s="529" t="s">
        <v>383</v>
      </c>
      <c r="C75" s="566">
        <f>SUMIF('1.2 Budgeted Enrollment YR1'!$D$119:$D$753,'2.4 District Size Adj. YR1'!$B75,'1.2 Budgeted Enrollment YR1'!$G$119:$G$753)</f>
        <v>48.841745893566603</v>
      </c>
      <c r="D75" s="566">
        <f>IF(C75=0,0,(IF($C$9+($D$9*$C75)&lt;1,1,IF($C75&lt;=$B$7,$C$7*($C75^$D$7),IF($C75&lt;=$B$8,$C$8+($D$8*LN($C75)),$C$9+($C75*$D$9))))*C75-C75))</f>
        <v>63.851180904246597</v>
      </c>
      <c r="E75" s="148">
        <f>$E$11</f>
        <v>9432</v>
      </c>
      <c r="F75" s="391">
        <f t="shared" si="14"/>
        <v>602244</v>
      </c>
      <c r="G75" s="391">
        <f>F75/C75</f>
        <v>12330.517449404426</v>
      </c>
    </row>
    <row r="76" spans="1:9" s="4" customFormat="1" x14ac:dyDescent="0.3">
      <c r="B76" s="4" t="s">
        <v>1425</v>
      </c>
      <c r="C76" s="412">
        <f>SUM(C72:C75)</f>
        <v>870.02699048734257</v>
      </c>
      <c r="D76" s="412">
        <f>SUMPRODUCT(C72:C75,D72:D75)/C76</f>
        <v>236.3864618337862</v>
      </c>
      <c r="E76" s="5"/>
      <c r="F76" s="371">
        <f>SUM(F72:F75)</f>
        <v>6754237</v>
      </c>
      <c r="G76" s="372">
        <f>F76/C76</f>
        <v>7763.2499610347004</v>
      </c>
      <c r="I76" s="9"/>
    </row>
    <row r="77" spans="1:9" x14ac:dyDescent="0.3">
      <c r="A77" s="4"/>
      <c r="C77" s="71"/>
      <c r="E77" s="35"/>
    </row>
    <row r="78" spans="1:9" x14ac:dyDescent="0.3">
      <c r="A78" s="4" t="s">
        <v>289</v>
      </c>
      <c r="B78" s="309" t="s">
        <v>386</v>
      </c>
      <c r="C78" s="396">
        <f>SUMIF('1.2 Budgeted Enrollment YR1'!$D$119:$D$753,'2.4 District Size Adj. YR1'!$B78,'1.2 Budgeted Enrollment YR1'!$G$119:$G$753)</f>
        <v>2398.9317526745263</v>
      </c>
      <c r="D78" s="396">
        <f>IF(C78=0,0,(IF($C$9+($D$9*$C78)&lt;1,1,IF($C78&lt;=$B$7,$C$7*($C78^$D$7),IF($C78&lt;=$B$8,$C$8+($D$8*LN($C78)),$C$9+($C78*$D$9))))*C78-C78))</f>
        <v>511.06638920058549</v>
      </c>
      <c r="E78" s="29">
        <f>$E$11</f>
        <v>9432</v>
      </c>
      <c r="F78" s="385">
        <f>ROUND(D78*E78,0)</f>
        <v>4820378</v>
      </c>
      <c r="G78" s="368">
        <f t="shared" ref="G78:G83" si="15">F78/C78</f>
        <v>2009.3852168265505</v>
      </c>
    </row>
    <row r="79" spans="1:9" x14ac:dyDescent="0.3">
      <c r="A79" s="4"/>
      <c r="B79" s="309" t="s">
        <v>389</v>
      </c>
      <c r="C79" s="396">
        <f>SUMIF('1.2 Budgeted Enrollment YR1'!$D$119:$D$753,'2.4 District Size Adj. YR1'!$B79,'1.2 Budgeted Enrollment YR1'!$G$119:$G$753)</f>
        <v>4078.2407054894766</v>
      </c>
      <c r="D79" s="396">
        <f>IF(C79=0,0,(IF($C$9+($D$9*$C79)&lt;1,1,IF($C79&lt;=$B$7,$C$7*($C79^$D$7),IF($C79&lt;=$B$8,$C$8+($D$8*LN($C79)),$C$9+($C79*$D$9))))*C79-C79))</f>
        <v>325.13469125442043</v>
      </c>
      <c r="E79" s="29">
        <f>$E$11</f>
        <v>9432</v>
      </c>
      <c r="F79" s="385">
        <f t="shared" ref="F79:F82" si="16">ROUND(D79*E79,0)</f>
        <v>3066670</v>
      </c>
      <c r="G79" s="368">
        <f t="shared" si="15"/>
        <v>751.95904838871786</v>
      </c>
    </row>
    <row r="80" spans="1:9" x14ac:dyDescent="0.3">
      <c r="A80" s="4"/>
      <c r="B80" s="309" t="s">
        <v>393</v>
      </c>
      <c r="C80" s="396">
        <f>SUMIF('1.2 Budgeted Enrollment YR1'!$D$119:$D$753,'2.4 District Size Adj. YR1'!$B80,'1.2 Budgeted Enrollment YR1'!$G$119:$G$753)</f>
        <v>1011.3117519066052</v>
      </c>
      <c r="D80" s="396">
        <f>IF(C80=0,0,(IF($C$9+($D$9*$C80)&lt;1,1,IF($C80&lt;=$B$7,$C$7*($C80^$D$7),IF($C80&lt;=$B$8,$C$8+($D$8*LN($C80)),$C$9+($C80*$D$9))))*C80-C80))</f>
        <v>460.91545180258572</v>
      </c>
      <c r="E80" s="29">
        <f>$E$11</f>
        <v>9432</v>
      </c>
      <c r="F80" s="385">
        <f t="shared" si="16"/>
        <v>4347355</v>
      </c>
      <c r="G80" s="368">
        <f t="shared" si="15"/>
        <v>4298.7288457827381</v>
      </c>
    </row>
    <row r="81" spans="1:9" x14ac:dyDescent="0.3">
      <c r="A81" s="4"/>
      <c r="B81" s="309" t="s">
        <v>396</v>
      </c>
      <c r="C81" s="396">
        <f>SUMIF('1.2 Budgeted Enrollment YR1'!$D$119:$D$753,'2.4 District Size Adj. YR1'!$B81,'1.2 Budgeted Enrollment YR1'!$G$119:$G$753)</f>
        <v>189.86443292246088</v>
      </c>
      <c r="D81" s="396">
        <f>IF(C81=0,0,(IF($C$9+($D$9*$C81)&lt;1,1,IF($C81&lt;=$B$7,$C$7*($C81^$D$7),IF($C81&lt;=$B$8,$C$8+($D$8*LN($C81)),$C$9+($C81*$D$9))))*C81-C81))</f>
        <v>175.77398652155205</v>
      </c>
      <c r="E81" s="29">
        <f>$E$11</f>
        <v>9432</v>
      </c>
      <c r="F81" s="385">
        <f t="shared" si="16"/>
        <v>1657900</v>
      </c>
      <c r="G81" s="368">
        <f t="shared" si="15"/>
        <v>8732.0198653376701</v>
      </c>
    </row>
    <row r="82" spans="1:9" x14ac:dyDescent="0.3">
      <c r="A82" s="4"/>
      <c r="B82" s="529" t="s">
        <v>988</v>
      </c>
      <c r="C82" s="566">
        <f>SUMIF('1.2 Budgeted Enrollment YR1'!$D$119:$D$753,'2.4 District Size Adj. YR1'!$B82,'1.2 Budgeted Enrollment YR1'!$G$119:$G$753)</f>
        <v>1255.6278337780584</v>
      </c>
      <c r="D82" s="566">
        <f>IF(C82=0,0,(IF($C$9+($D$9*$C82)&lt;1,1,IF($C82&lt;=$B$7,$C$7*($C82^$D$7),IF($C82&lt;=$B$8,$C$8+($D$8*LN($C82)),$C$9+($C82*$D$9))))*C82-C82))</f>
        <v>495.91665573560817</v>
      </c>
      <c r="E82" s="148">
        <f>$E$11</f>
        <v>9432</v>
      </c>
      <c r="F82" s="391">
        <f t="shared" si="16"/>
        <v>4677486</v>
      </c>
      <c r="G82" s="391">
        <f t="shared" si="15"/>
        <v>3725.2168788946906</v>
      </c>
    </row>
    <row r="83" spans="1:9" s="4" customFormat="1" x14ac:dyDescent="0.3">
      <c r="B83" s="4" t="s">
        <v>1426</v>
      </c>
      <c r="C83" s="412">
        <f>SUM(C78:C82)</f>
        <v>8933.9764767711276</v>
      </c>
      <c r="D83" s="412">
        <f>SUMPRODUCT(C78:C82,D78:D82)/C83</f>
        <v>411.25921122180182</v>
      </c>
      <c r="E83" s="5"/>
      <c r="F83" s="371">
        <f>SUM(F78:F82)</f>
        <v>18569789</v>
      </c>
      <c r="G83" s="372">
        <f t="shared" si="15"/>
        <v>2078.5580808593531</v>
      </c>
      <c r="I83" s="9"/>
    </row>
    <row r="84" spans="1:9" x14ac:dyDescent="0.3">
      <c r="A84" s="4"/>
      <c r="C84" s="71"/>
      <c r="E84" s="35"/>
    </row>
    <row r="85" spans="1:9" x14ac:dyDescent="0.3">
      <c r="A85" s="4" t="s">
        <v>291</v>
      </c>
      <c r="B85" s="309" t="s">
        <v>400</v>
      </c>
      <c r="C85" s="396">
        <f>SUMIF('1.2 Budgeted Enrollment YR1'!$D$119:$D$753,'2.4 District Size Adj. YR1'!$B85,'1.2 Budgeted Enrollment YR1'!$G$119:$G$753)</f>
        <v>449.48766885692839</v>
      </c>
      <c r="D85" s="396">
        <f>IF(C85=0,0,(IF($C$9+($D$9*$C85)&lt;1,1,IF($C85&lt;=$B$7,$C$7*($C85^$D$7),IF($C85&lt;=$B$8,$C$8+($D$8*LN($C85)),$C$9+($C85*$D$9))))*C85-C85))</f>
        <v>307.27944962413494</v>
      </c>
      <c r="E85" s="29">
        <f>$E$11</f>
        <v>9432</v>
      </c>
      <c r="F85" s="368">
        <f>ROUND(D85*E85,0)</f>
        <v>2898260</v>
      </c>
      <c r="G85" s="368">
        <f>F85/C85</f>
        <v>6447.918821378199</v>
      </c>
    </row>
    <row r="86" spans="1:9" x14ac:dyDescent="0.3">
      <c r="A86" s="4"/>
      <c r="B86" s="529" t="s">
        <v>404</v>
      </c>
      <c r="C86" s="566">
        <f>SUMIF('1.2 Budgeted Enrollment YR1'!$D$119:$D$753,'2.4 District Size Adj. YR1'!$B86,'1.2 Budgeted Enrollment YR1'!$G$119:$G$753)</f>
        <v>60.115563926162991</v>
      </c>
      <c r="D86" s="566">
        <f>IF(C86=0,0,(IF($C$9+($D$9*$C86)&lt;1,1,IF($C86&lt;=$B$7,$C$7*($C86^$D$7),IF($C86&lt;=$B$8,$C$8+($D$8*LN($C86)),$C$9+($C86*$D$9))))*C86-C86))</f>
        <v>75.081241839844267</v>
      </c>
      <c r="E86" s="148">
        <f>$E$11</f>
        <v>9432</v>
      </c>
      <c r="F86" s="391">
        <f>ROUND(D86*E86,0)</f>
        <v>708166</v>
      </c>
      <c r="G86" s="391">
        <f>F86/C86</f>
        <v>11780.077466624212</v>
      </c>
    </row>
    <row r="87" spans="1:9" s="4" customFormat="1" x14ac:dyDescent="0.3">
      <c r="B87" s="4" t="s">
        <v>1427</v>
      </c>
      <c r="C87" s="412">
        <f>SUM(C85:C86)</f>
        <v>509.60323278309136</v>
      </c>
      <c r="D87" s="412">
        <f>SUMPRODUCT(C85:C86,D85:D86)/C87</f>
        <v>279.88808845210247</v>
      </c>
      <c r="E87" s="5"/>
      <c r="F87" s="371">
        <f>SUM(F85:F86)</f>
        <v>3606426</v>
      </c>
      <c r="G87" s="372">
        <f>F87/C87</f>
        <v>7076.9292029492426</v>
      </c>
      <c r="I87" s="9"/>
    </row>
    <row r="88" spans="1:9" x14ac:dyDescent="0.3">
      <c r="A88" s="4"/>
      <c r="C88" s="71"/>
      <c r="E88" s="35"/>
    </row>
    <row r="89" spans="1:9" x14ac:dyDescent="0.3">
      <c r="A89" s="4" t="s">
        <v>293</v>
      </c>
      <c r="B89" s="309" t="s">
        <v>408</v>
      </c>
      <c r="C89" s="396">
        <f>SUMIF('1.2 Budgeted Enrollment YR1'!$D$119:$D$753,'2.4 District Size Adj. YR1'!$B89,'1.2 Budgeted Enrollment YR1'!$G$119:$G$753)</f>
        <v>142.46937336049228</v>
      </c>
      <c r="D89" s="396">
        <f t="shared" ref="D89:D94" si="17">IF(C89=0,0,(IF($C$9+($D$9*$C89)&lt;1,1,IF($C89&lt;=$B$7,$C$7*($C89^$D$7),IF($C89&lt;=$B$8,$C$8+($D$8*LN($C89)),$C$9+($C89*$D$9))))*C89-C89))</f>
        <v>143.39332972492815</v>
      </c>
      <c r="E89" s="29">
        <f t="shared" ref="E89:E94" si="18">$E$11</f>
        <v>9432</v>
      </c>
      <c r="F89" s="385">
        <f>ROUND(D89*E89,0)</f>
        <v>1352486</v>
      </c>
      <c r="G89" s="368">
        <f t="shared" ref="G89:G95" si="19">F89/C89</f>
        <v>9493.1701326276307</v>
      </c>
    </row>
    <row r="90" spans="1:9" x14ac:dyDescent="0.3">
      <c r="B90" s="309" t="s">
        <v>412</v>
      </c>
      <c r="C90" s="396">
        <f>SUMIF('1.2 Budgeted Enrollment YR1'!$D$119:$D$753,'2.4 District Size Adj. YR1'!$B90,'1.2 Budgeted Enrollment YR1'!$G$119:$G$753)</f>
        <v>183.13483900852086</v>
      </c>
      <c r="D90" s="396">
        <f t="shared" si="17"/>
        <v>171.40091727853488</v>
      </c>
      <c r="E90" s="29">
        <f t="shared" si="18"/>
        <v>9432</v>
      </c>
      <c r="F90" s="385">
        <f t="shared" ref="F90:F94" si="20">ROUND(D90*E90,0)</f>
        <v>1616653</v>
      </c>
      <c r="G90" s="368">
        <f t="shared" si="19"/>
        <v>8827.6649530610648</v>
      </c>
    </row>
    <row r="91" spans="1:9" x14ac:dyDescent="0.3">
      <c r="B91" s="309" t="s">
        <v>415</v>
      </c>
      <c r="C91" s="396">
        <f>SUMIF('1.2 Budgeted Enrollment YR1'!$D$119:$D$753,'2.4 District Size Adj. YR1'!$B91,'1.2 Budgeted Enrollment YR1'!$G$119:$G$753)</f>
        <v>26.523182086061858</v>
      </c>
      <c r="D91" s="396">
        <f t="shared" si="17"/>
        <v>39.224513872289329</v>
      </c>
      <c r="E91" s="29">
        <f t="shared" si="18"/>
        <v>9432</v>
      </c>
      <c r="F91" s="385">
        <f t="shared" si="20"/>
        <v>369966</v>
      </c>
      <c r="G91" s="368">
        <f t="shared" si="19"/>
        <v>13948.778800354428</v>
      </c>
    </row>
    <row r="92" spans="1:9" x14ac:dyDescent="0.3">
      <c r="B92" s="309" t="s">
        <v>418</v>
      </c>
      <c r="C92" s="396">
        <f>SUMIF('1.2 Budgeted Enrollment YR1'!$D$119:$D$753,'2.4 District Size Adj. YR1'!$B92,'1.2 Budgeted Enrollment YR1'!$G$119:$G$753)</f>
        <v>4558.6527750565374</v>
      </c>
      <c r="D92" s="396">
        <f t="shared" si="17"/>
        <v>359.63547913558159</v>
      </c>
      <c r="E92" s="29">
        <f t="shared" si="18"/>
        <v>9432</v>
      </c>
      <c r="F92" s="385">
        <f t="shared" si="20"/>
        <v>3392082</v>
      </c>
      <c r="G92" s="368">
        <f t="shared" si="19"/>
        <v>744.09747076161784</v>
      </c>
    </row>
    <row r="93" spans="1:9" x14ac:dyDescent="0.3">
      <c r="B93" s="309" t="s">
        <v>421</v>
      </c>
      <c r="C93" s="396">
        <f>SUMIF('1.2 Budgeted Enrollment YR1'!$D$119:$D$753,'2.4 District Size Adj. YR1'!$B93,'1.2 Budgeted Enrollment YR1'!$G$119:$G$753)</f>
        <v>265.24817415692428</v>
      </c>
      <c r="D93" s="396">
        <f t="shared" si="17"/>
        <v>220.64215362864252</v>
      </c>
      <c r="E93" s="29">
        <f t="shared" si="18"/>
        <v>9432</v>
      </c>
      <c r="F93" s="385">
        <f t="shared" si="20"/>
        <v>2081097</v>
      </c>
      <c r="G93" s="368">
        <f t="shared" si="19"/>
        <v>7845.84854020068</v>
      </c>
    </row>
    <row r="94" spans="1:9" x14ac:dyDescent="0.3">
      <c r="B94" s="529" t="s">
        <v>424</v>
      </c>
      <c r="C94" s="566">
        <f>SUMIF('1.2 Budgeted Enrollment YR1'!$D$119:$D$753,'2.4 District Size Adj. YR1'!$B94,'1.2 Budgeted Enrollment YR1'!$G$119:$G$753)</f>
        <v>281.01741884268188</v>
      </c>
      <c r="D94" s="566">
        <f t="shared" si="17"/>
        <v>229.1991893054315</v>
      </c>
      <c r="E94" s="148">
        <f t="shared" si="18"/>
        <v>9432</v>
      </c>
      <c r="F94" s="391">
        <f t="shared" si="20"/>
        <v>2161807</v>
      </c>
      <c r="G94" s="391">
        <f t="shared" si="19"/>
        <v>7692.7864788702464</v>
      </c>
    </row>
    <row r="95" spans="1:9" s="4" customFormat="1" x14ac:dyDescent="0.3">
      <c r="B95" s="4" t="s">
        <v>1428</v>
      </c>
      <c r="C95" s="412">
        <f>SUM(C89:C94)</f>
        <v>5457.0457625112185</v>
      </c>
      <c r="D95" s="412">
        <f>SUMPRODUCT(C89:C94,D89:D94)/C95</f>
        <v>332.64265008687386</v>
      </c>
      <c r="E95" s="5"/>
      <c r="F95" s="371">
        <f>SUM(F89:F94)</f>
        <v>10974091</v>
      </c>
      <c r="G95" s="372">
        <f t="shared" si="19"/>
        <v>2010.9948638125315</v>
      </c>
      <c r="I95" s="9"/>
    </row>
    <row r="96" spans="1:9" x14ac:dyDescent="0.3">
      <c r="C96" s="71"/>
      <c r="E96" s="35"/>
    </row>
    <row r="97" spans="1:9" x14ac:dyDescent="0.3">
      <c r="A97" s="4" t="s">
        <v>428</v>
      </c>
      <c r="B97" s="309" t="s">
        <v>429</v>
      </c>
      <c r="C97" s="396">
        <f>SUMIF('1.2 Budgeted Enrollment YR1'!$D$119:$D$753,'2.4 District Size Adj. YR1'!$B97,'1.2 Budgeted Enrollment YR1'!$G$119:$G$753)</f>
        <v>15.32928314037374</v>
      </c>
      <c r="D97" s="396">
        <f>IF(C97=0,0,(IF($C$9+($D$9*$C97)&lt;1,1,IF($C97&lt;=$B$7,$C$7*($C97^$D$7),IF($C97&lt;=$B$8,$C$8+($D$8*LN($C97)),$C$9+($C97*$D$9))))*C97-C97))</f>
        <v>28.905732655266853</v>
      </c>
      <c r="E97" s="29">
        <f>$E$11</f>
        <v>9432</v>
      </c>
      <c r="F97" s="368">
        <f>ROUND(D97*E97,0)</f>
        <v>272639</v>
      </c>
      <c r="G97" s="368">
        <f>F97/C97</f>
        <v>17785.502264090403</v>
      </c>
    </row>
    <row r="98" spans="1:9" x14ac:dyDescent="0.3">
      <c r="A98" s="4"/>
      <c r="B98" s="529" t="s">
        <v>432</v>
      </c>
      <c r="C98" s="566">
        <f>SUMIF('1.2 Budgeted Enrollment YR1'!$D$119:$D$753,'2.4 District Size Adj. YR1'!$B98,'1.2 Budgeted Enrollment YR1'!$G$119:$G$753)</f>
        <v>620.52994255951637</v>
      </c>
      <c r="D98" s="566">
        <f>IF(C98=0,0,(IF($C$9+($D$9*$C98)&lt;1,1,IF($C98&lt;=$B$7,$C$7*($C98^$D$7),IF($C98&lt;=$B$8,$C$8+($D$8*LN($C98)),$C$9+($C98*$D$9))))*C98-C98))</f>
        <v>367.97968285479067</v>
      </c>
      <c r="E98" s="148">
        <f>$E$11</f>
        <v>9432</v>
      </c>
      <c r="F98" s="391">
        <f>ROUND(D98*E98,0)</f>
        <v>3470784</v>
      </c>
      <c r="G98" s="391">
        <f>F98/C98</f>
        <v>5593.257894508627</v>
      </c>
    </row>
    <row r="99" spans="1:9" s="4" customFormat="1" x14ac:dyDescent="0.3">
      <c r="B99" s="4" t="s">
        <v>1429</v>
      </c>
      <c r="C99" s="412">
        <f>SUM(C97:C98)</f>
        <v>635.85922569989009</v>
      </c>
      <c r="D99" s="412">
        <f>SUMPRODUCT(C97:C98,D97:D98)/C99</f>
        <v>359.80529396798585</v>
      </c>
      <c r="E99" s="5"/>
      <c r="F99" s="371">
        <f>SUM(F97:F98)</f>
        <v>3743423</v>
      </c>
      <c r="G99" s="372">
        <f>F99/C99</f>
        <v>5887.1883094557843</v>
      </c>
      <c r="I99" s="9"/>
    </row>
    <row r="100" spans="1:9" x14ac:dyDescent="0.3">
      <c r="A100" s="4"/>
      <c r="C100" s="71"/>
      <c r="E100" s="35"/>
    </row>
    <row r="101" spans="1:9" x14ac:dyDescent="0.3">
      <c r="A101" s="4" t="s">
        <v>297</v>
      </c>
      <c r="B101" s="309" t="s">
        <v>435</v>
      </c>
      <c r="C101" s="396">
        <f>SUMIF('1.2 Budgeted Enrollment YR1'!$D$119:$D$753,'2.4 District Size Adj. YR1'!$B101,'1.2 Budgeted Enrollment YR1'!$G$119:$G$753)</f>
        <v>42.867496326932724</v>
      </c>
      <c r="D101" s="396">
        <f>IF(C101=0,0,(IF($C$9+($D$9*$C101)&lt;1,1,IF($C101&lt;=$B$7,$C$7*($C101^$D$7),IF($C101&lt;=$B$8,$C$8+($D$8*LN($C101)),$C$9+($C101*$D$9))))*C101-C101))</f>
        <v>57.612629057984435</v>
      </c>
      <c r="E101" s="29">
        <f>$E$11</f>
        <v>9432</v>
      </c>
      <c r="F101" s="368">
        <f>ROUND(D101*E101,0)</f>
        <v>543402</v>
      </c>
      <c r="G101" s="368">
        <f>F101/C101</f>
        <v>12676.317642992186</v>
      </c>
    </row>
    <row r="102" spans="1:9" x14ac:dyDescent="0.3">
      <c r="A102" s="4"/>
      <c r="B102" s="529" t="s">
        <v>438</v>
      </c>
      <c r="C102" s="566">
        <f>SUMIF('1.2 Budgeted Enrollment YR1'!$D$119:$D$753,'2.4 District Size Adj. YR1'!$B102,'1.2 Budgeted Enrollment YR1'!$G$119:$G$753)</f>
        <v>352.47329009690111</v>
      </c>
      <c r="D102" s="566">
        <f>IF(C102=0,0,(IF($C$9+($D$9*$C102)&lt;1,1,IF($C102&lt;=$B$7,$C$7*($C102^$D$7),IF($C102&lt;=$B$8,$C$8+($D$8*LN($C102)),$C$9+($C102*$D$9))))*C102-C102))</f>
        <v>265.03949470671739</v>
      </c>
      <c r="E102" s="148">
        <f>$E$11</f>
        <v>9432</v>
      </c>
      <c r="F102" s="391">
        <f>ROUND(D102*E102,0)</f>
        <v>2499853</v>
      </c>
      <c r="G102" s="391">
        <f>F102/C102</f>
        <v>7092.3189649710657</v>
      </c>
    </row>
    <row r="103" spans="1:9" s="4" customFormat="1" x14ac:dyDescent="0.3">
      <c r="B103" s="4" t="s">
        <v>1430</v>
      </c>
      <c r="C103" s="412">
        <f>SUM(C101:C102)</f>
        <v>395.34078642383383</v>
      </c>
      <c r="D103" s="412">
        <f>SUMPRODUCT(C101:C102,D101:D102)/C103</f>
        <v>242.54783508885166</v>
      </c>
      <c r="E103" s="5"/>
      <c r="F103" s="371">
        <f>SUM(F101:F102)</f>
        <v>3043255</v>
      </c>
      <c r="G103" s="372">
        <f>F103/C103</f>
        <v>7697.8017561218976</v>
      </c>
      <c r="I103" s="9"/>
    </row>
    <row r="104" spans="1:9" x14ac:dyDescent="0.3">
      <c r="A104" s="4"/>
      <c r="C104" s="71"/>
      <c r="E104" s="35"/>
    </row>
    <row r="105" spans="1:9" x14ac:dyDescent="0.3">
      <c r="A105" s="4" t="s">
        <v>299</v>
      </c>
      <c r="B105" s="309" t="s">
        <v>441</v>
      </c>
      <c r="C105" s="396">
        <f>SUMIF('1.2 Budgeted Enrollment YR1'!$D$119:$D$753,'2.4 District Size Adj. YR1'!$B105,'1.2 Budgeted Enrollment YR1'!$G$119:$G$753)</f>
        <v>1362.8598361367704</v>
      </c>
      <c r="D105" s="396">
        <f t="shared" ref="D105:D112" si="21">IF(C105=0,0,(IF($C$9+($D$9*$C105)&lt;1,1,IF($C105&lt;=$B$7,$C$7*($C105^$D$7),IF($C105&lt;=$B$8,$C$8+($D$8*LN($C105)),$C$9+($C105*$D$9))))*C105-C105))</f>
        <v>506.88477063443293</v>
      </c>
      <c r="E105" s="29">
        <f t="shared" ref="E105:E112" si="22">$E$11</f>
        <v>9432</v>
      </c>
      <c r="F105" s="368">
        <f>ROUND(D105*E105,0)</f>
        <v>4780937</v>
      </c>
      <c r="G105" s="368">
        <f t="shared" ref="G105:G113" si="23">F105/C105</f>
        <v>3508.0181198620394</v>
      </c>
      <c r="I105" s="277"/>
    </row>
    <row r="106" spans="1:9" x14ac:dyDescent="0.3">
      <c r="A106" s="4"/>
      <c r="B106" s="309" t="s">
        <v>444</v>
      </c>
      <c r="C106" s="396">
        <f>SUMIF('1.2 Budgeted Enrollment YR1'!$D$119:$D$753,'2.4 District Size Adj. YR1'!$B106,'1.2 Budgeted Enrollment YR1'!$G$119:$G$753)</f>
        <v>24.345171974615241</v>
      </c>
      <c r="D106" s="396">
        <f t="shared" si="21"/>
        <v>36.589680207652542</v>
      </c>
      <c r="E106" s="29">
        <f t="shared" si="22"/>
        <v>9432</v>
      </c>
      <c r="F106" s="368">
        <f t="shared" ref="F106:F112" si="24">ROUND(D106*E106,0)</f>
        <v>345114</v>
      </c>
      <c r="G106" s="368">
        <f t="shared" si="23"/>
        <v>14175.870285896975</v>
      </c>
      <c r="I106" s="277"/>
    </row>
    <row r="107" spans="1:9" x14ac:dyDescent="0.3">
      <c r="A107" s="4"/>
      <c r="B107" s="309" t="s">
        <v>447</v>
      </c>
      <c r="C107" s="396">
        <f>SUMIF('1.2 Budgeted Enrollment YR1'!$D$119:$D$753,'2.4 District Size Adj. YR1'!$B107,'1.2 Budgeted Enrollment YR1'!$G$119:$G$753)</f>
        <v>637.5186649653823</v>
      </c>
      <c r="D107" s="396">
        <f t="shared" si="21"/>
        <v>373.21555274534433</v>
      </c>
      <c r="E107" s="29">
        <f t="shared" si="22"/>
        <v>9432</v>
      </c>
      <c r="F107" s="368">
        <f t="shared" si="24"/>
        <v>3520169</v>
      </c>
      <c r="G107" s="368">
        <f t="shared" si="23"/>
        <v>5521.6720598935681</v>
      </c>
      <c r="I107" s="277"/>
    </row>
    <row r="108" spans="1:9" x14ac:dyDescent="0.3">
      <c r="A108" s="4"/>
      <c r="B108" s="309" t="s">
        <v>1102</v>
      </c>
      <c r="C108" s="396">
        <f>SUMIF('1.2 Budgeted Enrollment YR1'!$D$119:$D$753,'2.4 District Size Adj. YR1'!$B108,'1.2 Budgeted Enrollment YR1'!$G$119:$G$753)</f>
        <v>314.56616803964442</v>
      </c>
      <c r="D108" s="396">
        <f t="shared" si="21"/>
        <v>246.59293657614154</v>
      </c>
      <c r="E108" s="29">
        <f t="shared" si="22"/>
        <v>9432</v>
      </c>
      <c r="F108" s="368">
        <f t="shared" si="24"/>
        <v>2325865</v>
      </c>
      <c r="G108" s="368">
        <f t="shared" si="23"/>
        <v>7393.8815941162302</v>
      </c>
      <c r="I108" s="277"/>
    </row>
    <row r="109" spans="1:9" x14ac:dyDescent="0.3">
      <c r="A109" s="4"/>
      <c r="B109" s="309" t="s">
        <v>449</v>
      </c>
      <c r="C109" s="396">
        <f>SUMIF('1.2 Budgeted Enrollment YR1'!$D$119:$D$753,'2.4 District Size Adj. YR1'!$B109,'1.2 Budgeted Enrollment YR1'!$G$119:$G$753)</f>
        <v>51791.688613507977</v>
      </c>
      <c r="D109" s="396">
        <f>IF(C109=0,0,(IF($C$9+($D$9*$C109)&lt;1,1,IF($C109&lt;=$B$7,$C$7*($C109^$D$7),IF($C109&lt;=$B$8,$C$8+($D$8*LN($C109)),$C$9+($C109*$D$9))))*C109-C109))</f>
        <v>0</v>
      </c>
      <c r="E109" s="29">
        <f t="shared" si="22"/>
        <v>9432</v>
      </c>
      <c r="F109" s="368">
        <f t="shared" si="24"/>
        <v>0</v>
      </c>
      <c r="G109" s="368">
        <f>F109/C109</f>
        <v>0</v>
      </c>
      <c r="I109" s="277"/>
    </row>
    <row r="110" spans="1:9" x14ac:dyDescent="0.3">
      <c r="A110" s="4"/>
      <c r="B110" s="309" t="s">
        <v>452</v>
      </c>
      <c r="C110" s="396">
        <f>SUMIF('1.2 Budgeted Enrollment YR1'!$D$119:$D$753,'2.4 District Size Adj. YR1'!$B110,'1.2 Budgeted Enrollment YR1'!$G$119:$G$753)</f>
        <v>4350.7590047731646</v>
      </c>
      <c r="D110" s="396">
        <f>IF(C110=0,0,(IF($C$9+($D$9*$C110)&lt;1,1,IF($C110&lt;=$B$7,$C$7*($C110^$D$7),IF($C110&lt;=$B$8,$C$8+($D$8*LN($C110)),$C$9+($C110*$D$9))))*C110-C110))</f>
        <v>344.80388631724873</v>
      </c>
      <c r="E110" s="29">
        <f t="shared" si="22"/>
        <v>9432</v>
      </c>
      <c r="F110" s="368">
        <f t="shared" si="24"/>
        <v>3252190</v>
      </c>
      <c r="G110" s="368">
        <f>F110/C110</f>
        <v>747.49945846967432</v>
      </c>
      <c r="I110" s="277"/>
    </row>
    <row r="111" spans="1:9" x14ac:dyDescent="0.3">
      <c r="A111" s="4"/>
      <c r="B111" s="309" t="s">
        <v>455</v>
      </c>
      <c r="C111" s="396">
        <f>SUMIF('1.2 Budgeted Enrollment YR1'!$D$119:$D$753,'2.4 District Size Adj. YR1'!$B111,'1.2 Budgeted Enrollment YR1'!$G$119:$G$753)</f>
        <v>222.49154626003153</v>
      </c>
      <c r="D111" s="396">
        <f t="shared" si="21"/>
        <v>196.06537117906143</v>
      </c>
      <c r="E111" s="29">
        <f t="shared" si="22"/>
        <v>9432</v>
      </c>
      <c r="F111" s="368">
        <f t="shared" si="24"/>
        <v>1849289</v>
      </c>
      <c r="G111" s="368">
        <f t="shared" si="23"/>
        <v>8311.7270345125344</v>
      </c>
      <c r="I111" s="277"/>
    </row>
    <row r="112" spans="1:9" x14ac:dyDescent="0.3">
      <c r="A112" s="4"/>
      <c r="B112" s="529" t="s">
        <v>458</v>
      </c>
      <c r="C112" s="566">
        <f>SUMIF('1.2 Budgeted Enrollment YR1'!$D$119:$D$753,'2.4 District Size Adj. YR1'!$B112,'1.2 Budgeted Enrollment YR1'!$G$119:$G$753)</f>
        <v>112.48999243432719</v>
      </c>
      <c r="D112" s="566">
        <f t="shared" si="21"/>
        <v>120.68771666335608</v>
      </c>
      <c r="E112" s="148">
        <f t="shared" si="22"/>
        <v>9432</v>
      </c>
      <c r="F112" s="391">
        <f t="shared" si="24"/>
        <v>1138327</v>
      </c>
      <c r="G112" s="391">
        <f t="shared" si="23"/>
        <v>10119.362401633789</v>
      </c>
      <c r="I112" s="277"/>
    </row>
    <row r="113" spans="1:9" s="4" customFormat="1" x14ac:dyDescent="0.3">
      <c r="B113" s="4" t="s">
        <v>1431</v>
      </c>
      <c r="C113" s="412">
        <f>SUM(C105:C112)</f>
        <v>58816.718998091914</v>
      </c>
      <c r="D113" s="412">
        <f>SUMPRODUCT(C105:C112,D105:D112)/C113</f>
        <v>43.602619432987275</v>
      </c>
      <c r="E113" s="5"/>
      <c r="F113" s="371">
        <f>SUM(F105:F112)</f>
        <v>17211891</v>
      </c>
      <c r="G113" s="372">
        <f t="shared" si="23"/>
        <v>292.63602753085183</v>
      </c>
      <c r="I113" s="277"/>
    </row>
    <row r="114" spans="1:9" x14ac:dyDescent="0.3">
      <c r="A114" s="4"/>
      <c r="C114" s="71"/>
      <c r="E114" s="35"/>
      <c r="I114" s="277"/>
    </row>
    <row r="115" spans="1:9" x14ac:dyDescent="0.3">
      <c r="A115" s="4" t="s">
        <v>461</v>
      </c>
      <c r="B115" s="309" t="s">
        <v>462</v>
      </c>
      <c r="C115" s="396">
        <f>SUMIF('1.2 Budgeted Enrollment YR1'!$D$119:$D$753,'2.4 District Size Adj. YR1'!$B115,'1.2 Budgeted Enrollment YR1'!$G$119:$G$753)</f>
        <v>2.1943232547095333</v>
      </c>
      <c r="D115" s="396">
        <f>IF(C115=0,0,(IF($C$9+($D$9*$C115)&lt;1,1,IF($C115&lt;=$B$7,$C$7*($C115^$D$7),IF($C115&lt;=$B$8,$C$8+($D$8*LN($C115)),$C$9+($C115*$D$9))))*C115-C115))</f>
        <v>27.271864206264382</v>
      </c>
      <c r="E115" s="29">
        <f>$E$11</f>
        <v>9432</v>
      </c>
      <c r="F115" s="368">
        <f>ROUND(D115*E115,0)</f>
        <v>257228</v>
      </c>
      <c r="G115" s="368">
        <f>F115/C115</f>
        <v>117224.29657887838</v>
      </c>
      <c r="I115" s="277"/>
    </row>
    <row r="116" spans="1:9" x14ac:dyDescent="0.3">
      <c r="B116" s="309" t="s">
        <v>425</v>
      </c>
      <c r="C116" s="396">
        <f>SUMIF('1.2 Budgeted Enrollment YR1'!$D$119:$D$753,'2.4 District Size Adj. YR1'!$B116,'1.2 Budgeted Enrollment YR1'!$G$119:$G$753)</f>
        <v>988.88411845452652</v>
      </c>
      <c r="D116" s="396">
        <f>IF(C116=0,0,(IF($C$9+($D$9*$C116)&lt;1,1,IF($C116&lt;=$B$7,$C$7*($C116^$D$7),IF($C116&lt;=$B$8,$C$8+($D$8*LN($C116)),$C$9+($C116*$D$9))))*C116-C116))</f>
        <v>456.92559517742075</v>
      </c>
      <c r="E116" s="29">
        <f>$E$11</f>
        <v>9432</v>
      </c>
      <c r="F116" s="368">
        <f t="shared" ref="F116:F118" si="25">ROUND(D116*E116,0)</f>
        <v>4309722</v>
      </c>
      <c r="G116" s="368">
        <f>F116/C116</f>
        <v>4358.1668666450332</v>
      </c>
      <c r="I116" s="277"/>
    </row>
    <row r="117" spans="1:9" x14ac:dyDescent="0.3">
      <c r="B117" s="309" t="s">
        <v>467</v>
      </c>
      <c r="C117" s="396">
        <f>SUMIF('1.2 Budgeted Enrollment YR1'!$D$119:$D$753,'2.4 District Size Adj. YR1'!$B117,'1.2 Budgeted Enrollment YR1'!$G$119:$G$753)</f>
        <v>113.09221883761623</v>
      </c>
      <c r="D117" s="396">
        <f>IF(C117=0,0,(IF($C$9+($D$9*$C117)&lt;1,1,IF($C117&lt;=$B$7,$C$7*($C117^$D$7),IF($C117&lt;=$B$8,$C$8+($D$8*LN($C117)),$C$9+($C117*$D$9))))*C117-C117))</f>
        <v>121.16415260536473</v>
      </c>
      <c r="E117" s="29">
        <f>$E$11</f>
        <v>9432</v>
      </c>
      <c r="F117" s="368">
        <f t="shared" si="25"/>
        <v>1142820</v>
      </c>
      <c r="G117" s="368">
        <f>F117/C117</f>
        <v>10105.204511381293</v>
      </c>
      <c r="I117" s="277"/>
    </row>
    <row r="118" spans="1:9" x14ac:dyDescent="0.3">
      <c r="B118" s="529" t="s">
        <v>470</v>
      </c>
      <c r="C118" s="566">
        <f>SUMIF('1.2 Budgeted Enrollment YR1'!$D$119:$D$753,'2.4 District Size Adj. YR1'!$B118,'1.2 Budgeted Enrollment YR1'!$G$119:$G$753)</f>
        <v>126.85332141311</v>
      </c>
      <c r="D118" s="566">
        <f>IF(C118=0,0,(IF($C$9+($D$9*$C118)&lt;1,1,IF($C118&lt;=$B$7,$C$7*($C118^$D$7),IF($C118&lt;=$B$8,$C$8+($D$8*LN($C118)),$C$9+($C118*$D$9))))*C118-C118))</f>
        <v>131.81432103229889</v>
      </c>
      <c r="E118" s="148">
        <f>$E$11</f>
        <v>9432</v>
      </c>
      <c r="F118" s="391">
        <f t="shared" si="25"/>
        <v>1243273</v>
      </c>
      <c r="G118" s="391">
        <f>F118/C118</f>
        <v>9800.8706918375628</v>
      </c>
      <c r="I118" s="277"/>
    </row>
    <row r="119" spans="1:9" s="4" customFormat="1" x14ac:dyDescent="0.3">
      <c r="B119" s="4" t="s">
        <v>1432</v>
      </c>
      <c r="C119" s="412">
        <f>SUM(C115:C118)</f>
        <v>1231.0239819599624</v>
      </c>
      <c r="D119" s="412">
        <f>SUMPRODUCT(C115:C118,D115:D118)/C119</f>
        <v>391.81211904475248</v>
      </c>
      <c r="E119" s="5"/>
      <c r="F119" s="371">
        <f>SUM(F115:F118)</f>
        <v>6953043</v>
      </c>
      <c r="G119" s="372">
        <f>F119/C119</f>
        <v>5648.1783473704409</v>
      </c>
      <c r="I119" s="642"/>
    </row>
    <row r="120" spans="1:9" x14ac:dyDescent="0.3">
      <c r="C120" s="22"/>
      <c r="E120" s="35"/>
      <c r="I120" s="277"/>
    </row>
    <row r="121" spans="1:9" x14ac:dyDescent="0.3">
      <c r="C121" s="22"/>
      <c r="D121" s="4"/>
      <c r="E121" s="17" t="s">
        <v>1433</v>
      </c>
      <c r="F121" s="371">
        <f>SUM(F119,F113,F103,F99,F95,F87,F83,F76,F70,F66,F58,F54,F49,F36,F31,F18,F16)</f>
        <v>145817601</v>
      </c>
    </row>
    <row r="122" spans="1:9" x14ac:dyDescent="0.3">
      <c r="C122" s="22"/>
      <c r="E122" s="35"/>
    </row>
    <row r="123" spans="1:9" x14ac:dyDescent="0.3">
      <c r="B123" s="13" t="s">
        <v>1434</v>
      </c>
      <c r="C123" s="108">
        <f>SUM(C119,C113,C103,C99,C95,C87,C83,C76,C66,C58,C54,C49,C36,C31,C18,C16,C70)</f>
        <v>391282.46487056499</v>
      </c>
      <c r="D123" s="57">
        <f>C124-C123</f>
        <v>0</v>
      </c>
      <c r="E123" s="1757"/>
    </row>
    <row r="124" spans="1:9" x14ac:dyDescent="0.3">
      <c r="B124" s="139" t="s">
        <v>1435</v>
      </c>
      <c r="C124" s="355">
        <f>SUM('1.2 Budgeted Enrollment YR1'!G30-SUM('1.2 Budgeted Enrollment YR1'!G26:G27))</f>
        <v>391282.46487056493</v>
      </c>
      <c r="D124" s="57"/>
      <c r="E124" s="35"/>
    </row>
    <row r="126" spans="1:9" ht="66" x14ac:dyDescent="0.3">
      <c r="A126" s="278" t="s">
        <v>1436</v>
      </c>
      <c r="B126" s="279"/>
      <c r="C126" s="1758" t="str">
        <f>'2.4 District Size Adj. YR1'!B13</f>
        <v>Attendance Area</v>
      </c>
      <c r="D126" s="279" t="str">
        <f>'2.4 District Size Adj. YR1'!C13</f>
        <v>Enrollment by  Attendance Area less Distant Education Students</v>
      </c>
      <c r="E126" s="1759" t="s">
        <v>1437</v>
      </c>
      <c r="F126" s="280"/>
      <c r="G126" s="1760" t="s">
        <v>1438</v>
      </c>
    </row>
    <row r="127" spans="1:9" x14ac:dyDescent="0.3">
      <c r="A127" s="455" t="str">
        <f>'1.2 Budgeted Enrollment YR1'!E34</f>
        <v>FuturEdge (Formerly 100 Academy Of Excellence)</v>
      </c>
      <c r="B127" s="207"/>
      <c r="C127" s="207" t="str">
        <f>'1.2 Budgeted Enrollment YR1'!D34</f>
        <v>Las Vegas</v>
      </c>
      <c r="D127" s="514">
        <f>'1.2 Budgeted Enrollment YR1'!G34</f>
        <v>240.86136805673826</v>
      </c>
      <c r="E127" s="1761">
        <f>IF(C127="Carson City",$G$16,IF(C127="Fallon",$G$18,IF(C127="Elko",$G$39,IF(C127="Ely",$G$116,IF(C127="Stead",$G$110,0)))))</f>
        <v>0</v>
      </c>
      <c r="F127" s="1374"/>
      <c r="G127" s="1762">
        <f>ROUND(D127*E127,0)</f>
        <v>0</v>
      </c>
      <c r="I127" s="277"/>
    </row>
    <row r="128" spans="1:9" x14ac:dyDescent="0.3">
      <c r="A128" s="106" t="str">
        <f>'1.2 Budgeted Enrollment YR1'!E35</f>
        <v>Academy For Career Education</v>
      </c>
      <c r="C128" s="9" t="str">
        <f>'1.2 Budgeted Enrollment YR1'!D35</f>
        <v>Reno</v>
      </c>
      <c r="D128" s="1492">
        <f>'1.2 Budgeted Enrollment YR1'!G35</f>
        <v>253.57864951202251</v>
      </c>
      <c r="E128" s="820">
        <f t="shared" ref="E128:E158" si="26">IF(C128="Carson City",$G$16,IF(C128="Fallon",$G$18,IF(C128="Elko",$G$39,IF(C128="Ely",$G$116,IF(C128="Stead",$G$110,0)))))</f>
        <v>0</v>
      </c>
      <c r="F128" s="821"/>
      <c r="G128" s="1763">
        <f t="shared" ref="G128:G188" si="27">ROUND(D128*E128,0)</f>
        <v>0</v>
      </c>
      <c r="I128" s="277"/>
    </row>
    <row r="129" spans="1:9" x14ac:dyDescent="0.3">
      <c r="A129" s="106" t="str">
        <f>'1.2 Budgeted Enrollment YR1'!E36</f>
        <v xml:space="preserve">Alpine Academy </v>
      </c>
      <c r="C129" s="9" t="str">
        <f>'1.2 Budgeted Enrollment YR1'!D36</f>
        <v>Reno</v>
      </c>
      <c r="D129" s="1492">
        <f>'1.2 Budgeted Enrollment YR1'!G36</f>
        <v>164.31844740358281</v>
      </c>
      <c r="E129" s="820">
        <f t="shared" si="26"/>
        <v>0</v>
      </c>
      <c r="F129" s="821"/>
      <c r="G129" s="1763">
        <f t="shared" si="27"/>
        <v>0</v>
      </c>
      <c r="I129" s="277"/>
    </row>
    <row r="130" spans="1:9" x14ac:dyDescent="0.3">
      <c r="A130" s="106" t="str">
        <f>'1.2 Budgeted Enrollment YR1'!E37</f>
        <v xml:space="preserve">Amplus (Formerly American Preparatory Academy) </v>
      </c>
      <c r="C130" s="9" t="str">
        <f>'1.2 Budgeted Enrollment YR1'!D37</f>
        <v>Las Vegas</v>
      </c>
      <c r="D130" s="1492">
        <f>'1.2 Budgeted Enrollment YR1'!G37</f>
        <v>2368.9011816066622</v>
      </c>
      <c r="E130" s="820">
        <f t="shared" si="26"/>
        <v>0</v>
      </c>
      <c r="F130" s="821"/>
      <c r="G130" s="1763">
        <f t="shared" si="27"/>
        <v>0</v>
      </c>
      <c r="I130" s="277"/>
    </row>
    <row r="131" spans="1:9" x14ac:dyDescent="0.3">
      <c r="A131" s="106" t="str">
        <f>'1.2 Budgeted Enrollment YR1'!E38</f>
        <v>Bailey Charter School</v>
      </c>
      <c r="C131" s="9" t="str">
        <f>'1.2 Budgeted Enrollment YR1'!D38</f>
        <v>Reno</v>
      </c>
      <c r="D131" s="1492">
        <f>'1.2 Budgeted Enrollment YR1'!G38</f>
        <v>166.53929996193739</v>
      </c>
      <c r="E131" s="820">
        <f t="shared" si="26"/>
        <v>0</v>
      </c>
      <c r="F131" s="821"/>
      <c r="G131" s="1763">
        <f t="shared" si="27"/>
        <v>0</v>
      </c>
      <c r="I131" s="277"/>
    </row>
    <row r="132" spans="1:9" x14ac:dyDescent="0.3">
      <c r="A132" s="106" t="str">
        <f>'1.2 Budgeted Enrollment YR1'!E39</f>
        <v>Battle Born Academy</v>
      </c>
      <c r="C132" s="9" t="str">
        <f>'1.2 Budgeted Enrollment YR1'!D39</f>
        <v>Las Vegas</v>
      </c>
      <c r="D132" s="1492">
        <f>'1.2 Budgeted Enrollment YR1'!G39</f>
        <v>270.53331354166147</v>
      </c>
      <c r="E132" s="820">
        <f t="shared" si="26"/>
        <v>0</v>
      </c>
      <c r="F132" s="821"/>
      <c r="G132" s="1763">
        <f t="shared" si="27"/>
        <v>0</v>
      </c>
      <c r="I132" s="277"/>
    </row>
    <row r="133" spans="1:9" x14ac:dyDescent="0.3">
      <c r="A133" s="106" t="str">
        <f>'1.2 Budgeted Enrollment YR1'!E40</f>
        <v>Beacon Academy</v>
      </c>
      <c r="C133" s="9" t="str">
        <f>'1.2 Budgeted Enrollment YR1'!D40</f>
        <v>Las Vegas</v>
      </c>
      <c r="D133" s="1492">
        <f>'1.2 Budgeted Enrollment YR1'!G40</f>
        <v>857.51912183963623</v>
      </c>
      <c r="E133" s="820">
        <f t="shared" si="26"/>
        <v>0</v>
      </c>
      <c r="F133" s="821"/>
      <c r="G133" s="1763">
        <f t="shared" si="27"/>
        <v>0</v>
      </c>
      <c r="I133" s="277"/>
    </row>
    <row r="134" spans="1:9" x14ac:dyDescent="0.3">
      <c r="A134" s="106" t="str">
        <f>'1.2 Budgeted Enrollment YR1'!E41</f>
        <v>Cactus Park</v>
      </c>
      <c r="C134" s="9" t="str">
        <f>'1.2 Budgeted Enrollment YR1'!D41</f>
        <v>Las Vegas</v>
      </c>
      <c r="D134" s="1492">
        <f>'1.2 Budgeted Enrollment YR1'!G41</f>
        <v>301.59239347241777</v>
      </c>
      <c r="E134" s="820">
        <f t="shared" si="26"/>
        <v>0</v>
      </c>
      <c r="F134" s="821"/>
      <c r="G134" s="1763">
        <f t="shared" si="27"/>
        <v>0</v>
      </c>
      <c r="I134" s="277"/>
    </row>
    <row r="135" spans="1:9" s="76" customFormat="1" x14ac:dyDescent="0.3">
      <c r="A135" s="106" t="str">
        <f>'1.2 Budgeted Enrollment YR1'!E42</f>
        <v>Carson Montessori</v>
      </c>
      <c r="B135" s="9"/>
      <c r="C135" s="9" t="str">
        <f>'1.2 Budgeted Enrollment YR1'!D42</f>
        <v>Carson City</v>
      </c>
      <c r="D135" s="1492">
        <f>'1.2 Budgeted Enrollment YR1'!G42</f>
        <v>296.55722891108132</v>
      </c>
      <c r="E135" s="820">
        <f>IF(C135="Carson City",$G$16,IF(C135="Fallon",$G$18,IF(C135="Elko",$G$39,IF(C135="Ely",$G$116,IF(C135="Stead",$G$110,0)))))</f>
        <v>704.6289069039517</v>
      </c>
      <c r="F135" s="821"/>
      <c r="G135" s="1763">
        <f t="shared" si="27"/>
        <v>208963</v>
      </c>
      <c r="I135" s="277"/>
    </row>
    <row r="136" spans="1:9" x14ac:dyDescent="0.3">
      <c r="A136" s="106" t="str">
        <f>'1.2 Budgeted Enrollment YR1'!E43</f>
        <v>CIVICA Nevada Career &amp; Collegiate Academy</v>
      </c>
      <c r="C136" s="9" t="str">
        <f>'1.2 Budgeted Enrollment YR1'!D43</f>
        <v>Las Vegas</v>
      </c>
      <c r="D136" s="1492">
        <f>'1.2 Budgeted Enrollment YR1'!G43</f>
        <v>916.3393721230467</v>
      </c>
      <c r="E136" s="820">
        <f t="shared" si="26"/>
        <v>0</v>
      </c>
      <c r="F136" s="821"/>
      <c r="G136" s="1763">
        <f t="shared" si="27"/>
        <v>0</v>
      </c>
      <c r="I136" s="277"/>
    </row>
    <row r="137" spans="1:9" x14ac:dyDescent="0.3">
      <c r="A137" s="106" t="str">
        <f>'1.2 Budgeted Enrollment YR1'!E44</f>
        <v>Coral Academy of Science Las Vegas</v>
      </c>
      <c r="C137" s="9" t="str">
        <f>'1.2 Budgeted Enrollment YR1'!D44</f>
        <v>Las Vegas</v>
      </c>
      <c r="D137" s="1492">
        <f>'1.2 Budgeted Enrollment YR1'!G44</f>
        <v>5480.3063751434274</v>
      </c>
      <c r="E137" s="820">
        <f t="shared" si="26"/>
        <v>0</v>
      </c>
      <c r="F137" s="821"/>
      <c r="G137" s="1763">
        <f t="shared" si="27"/>
        <v>0</v>
      </c>
      <c r="I137" s="277"/>
    </row>
    <row r="138" spans="1:9" x14ac:dyDescent="0.3">
      <c r="A138" s="106" t="str">
        <f>'1.2 Budgeted Enrollment YR1'!E45</f>
        <v>Coral Academy Washoe</v>
      </c>
      <c r="C138" s="9" t="str">
        <f>'1.2 Budgeted Enrollment YR1'!D45</f>
        <v>Reno</v>
      </c>
      <c r="D138" s="1492">
        <f>'1.2 Budgeted Enrollment YR1'!G45</f>
        <v>2027.9998005260131</v>
      </c>
      <c r="E138" s="820">
        <f t="shared" si="26"/>
        <v>0</v>
      </c>
      <c r="F138" s="821"/>
      <c r="G138" s="1763">
        <f t="shared" si="27"/>
        <v>0</v>
      </c>
      <c r="I138" s="277"/>
    </row>
    <row r="139" spans="1:9" x14ac:dyDescent="0.3">
      <c r="A139" s="106" t="str">
        <f>'1.2 Budgeted Enrollment YR1'!E46</f>
        <v>Delta Academy</v>
      </c>
      <c r="C139" s="9" t="str">
        <f>'1.2 Budgeted Enrollment YR1'!D46</f>
        <v>Las Vegas</v>
      </c>
      <c r="D139" s="1492">
        <f>'1.2 Budgeted Enrollment YR1'!G46</f>
        <v>1405.0080479301287</v>
      </c>
      <c r="E139" s="820">
        <f t="shared" si="26"/>
        <v>0</v>
      </c>
      <c r="F139" s="821"/>
      <c r="G139" s="1763">
        <f t="shared" si="27"/>
        <v>0</v>
      </c>
      <c r="I139" s="277"/>
    </row>
    <row r="140" spans="1:9" x14ac:dyDescent="0.3">
      <c r="A140" s="106" t="str">
        <f>'1.2 Budgeted Enrollment YR1'!E47</f>
        <v>Democracy Prep</v>
      </c>
      <c r="C140" s="9" t="str">
        <f>'1.2 Budgeted Enrollment YR1'!D47</f>
        <v>Las Vegas</v>
      </c>
      <c r="D140" s="1492">
        <f>'1.2 Budgeted Enrollment YR1'!G47</f>
        <v>1279.0046975769933</v>
      </c>
      <c r="E140" s="820">
        <f t="shared" si="26"/>
        <v>0</v>
      </c>
      <c r="F140" s="821"/>
      <c r="G140" s="1763">
        <f t="shared" si="27"/>
        <v>0</v>
      </c>
      <c r="I140" s="277"/>
    </row>
    <row r="141" spans="1:9" x14ac:dyDescent="0.3">
      <c r="A141" s="106" t="str">
        <f>'1.2 Budgeted Enrollment YR1'!E48</f>
        <v>Discovery Charter</v>
      </c>
      <c r="C141" s="9" t="str">
        <f>'1.2 Budgeted Enrollment YR1'!D48</f>
        <v>Las Vegas</v>
      </c>
      <c r="D141" s="1492">
        <f>'1.2 Budgeted Enrollment YR1'!G48</f>
        <v>499.79963400639872</v>
      </c>
      <c r="E141" s="820">
        <f t="shared" si="26"/>
        <v>0</v>
      </c>
      <c r="F141" s="821"/>
      <c r="G141" s="1763">
        <f t="shared" si="27"/>
        <v>0</v>
      </c>
      <c r="I141" s="277"/>
    </row>
    <row r="142" spans="1:9" x14ac:dyDescent="0.3">
      <c r="A142" s="106" t="str">
        <f>'1.2 Budgeted Enrollment YR1'!E49</f>
        <v>Do and Be Academy of Excellence</v>
      </c>
      <c r="C142" s="9" t="str">
        <f>'1.2 Budgeted Enrollment YR1'!D49</f>
        <v>Las Vegas</v>
      </c>
      <c r="D142" s="1492">
        <f>'1.2 Budgeted Enrollment YR1'!G49</f>
        <v>55.444307975565003</v>
      </c>
      <c r="E142" s="820">
        <f t="shared" si="26"/>
        <v>0</v>
      </c>
      <c r="F142" s="821"/>
      <c r="G142" s="1763">
        <f t="shared" si="27"/>
        <v>0</v>
      </c>
      <c r="H142" s="9" t="s">
        <v>370</v>
      </c>
      <c r="I142" s="277"/>
    </row>
    <row r="143" spans="1:9" x14ac:dyDescent="0.3">
      <c r="A143" s="106" t="str">
        <f>'1.2 Budgeted Enrollment YR1'!E50</f>
        <v>Doral Academy</v>
      </c>
      <c r="C143" s="9" t="str">
        <f>'1.2 Budgeted Enrollment YR1'!D50</f>
        <v>Las Vegas</v>
      </c>
      <c r="D143" s="1492">
        <f>'1.2 Budgeted Enrollment YR1'!G50</f>
        <v>6463.7282261846876</v>
      </c>
      <c r="E143" s="820">
        <f t="shared" si="26"/>
        <v>0</v>
      </c>
      <c r="F143" s="821"/>
      <c r="G143" s="1763">
        <f t="shared" si="27"/>
        <v>0</v>
      </c>
      <c r="I143" s="277"/>
    </row>
    <row r="144" spans="1:9" x14ac:dyDescent="0.3">
      <c r="A144" s="106" t="str">
        <f>'1.2 Budgeted Enrollment YR1'!E51</f>
        <v>Doral Academy of Northern Nevada</v>
      </c>
      <c r="C144" s="9" t="str">
        <f>'1.2 Budgeted Enrollment YR1'!D51</f>
        <v>Reno</v>
      </c>
      <c r="D144" s="1492">
        <f>'1.2 Budgeted Enrollment YR1'!G51</f>
        <v>1018.777864840123</v>
      </c>
      <c r="E144" s="820">
        <f t="shared" si="26"/>
        <v>0</v>
      </c>
      <c r="F144" s="821"/>
      <c r="G144" s="1763">
        <f t="shared" si="27"/>
        <v>0</v>
      </c>
      <c r="I144" s="277"/>
    </row>
    <row r="145" spans="1:9" x14ac:dyDescent="0.3">
      <c r="A145" s="106" t="str">
        <f>'1.2 Budgeted Enrollment YR1'!E52</f>
        <v>Eagle Charter School (CLOSED)</v>
      </c>
      <c r="C145" s="9" t="str">
        <f>'1.2 Budgeted Enrollment YR1'!D52</f>
        <v>Las Vegas</v>
      </c>
      <c r="D145" s="1492">
        <f>'1.2 Budgeted Enrollment YR1'!G52</f>
        <v>0</v>
      </c>
      <c r="E145" s="820">
        <f t="shared" si="26"/>
        <v>0</v>
      </c>
      <c r="F145" s="821"/>
      <c r="G145" s="1763">
        <f t="shared" si="27"/>
        <v>0</v>
      </c>
      <c r="I145" s="277"/>
    </row>
    <row r="146" spans="1:9" x14ac:dyDescent="0.3">
      <c r="A146" s="106" t="str">
        <f>'1.2 Budgeted Enrollment YR1'!E53</f>
        <v>Elko Institute for Academic Achievement</v>
      </c>
      <c r="C146" s="9" t="str">
        <f>'1.2 Budgeted Enrollment YR1'!D53</f>
        <v>Elko</v>
      </c>
      <c r="D146" s="1492">
        <f>'1.2 Budgeted Enrollment YR1'!G53</f>
        <v>315.7286385132989</v>
      </c>
      <c r="E146" s="820">
        <f t="shared" si="26"/>
        <v>747.0077055202587</v>
      </c>
      <c r="F146" s="821"/>
      <c r="G146" s="1763">
        <f t="shared" si="27"/>
        <v>235852</v>
      </c>
      <c r="I146" s="277"/>
    </row>
    <row r="147" spans="1:9" x14ac:dyDescent="0.3">
      <c r="A147" s="106" t="str">
        <f>'1.2 Budgeted Enrollment YR1'!E54</f>
        <v>enCompass Academy</v>
      </c>
      <c r="C147" s="9" t="str">
        <f>'1.2 Budgeted Enrollment YR1'!D54</f>
        <v>Reno</v>
      </c>
      <c r="D147" s="1492">
        <f>'1.2 Budgeted Enrollment YR1'!G54</f>
        <v>129.86699722187711</v>
      </c>
      <c r="E147" s="820">
        <f t="shared" si="26"/>
        <v>0</v>
      </c>
      <c r="F147" s="821"/>
      <c r="G147" s="1763">
        <f t="shared" si="27"/>
        <v>0</v>
      </c>
      <c r="I147" s="277"/>
    </row>
    <row r="148" spans="1:9" x14ac:dyDescent="0.3">
      <c r="A148" s="106" t="str">
        <f>'1.2 Budgeted Enrollment YR1'!E55</f>
        <v>Equipo Academy</v>
      </c>
      <c r="C148" s="9" t="str">
        <f>'1.2 Budgeted Enrollment YR1'!D55</f>
        <v>Las Vegas</v>
      </c>
      <c r="D148" s="1492">
        <f>'1.2 Budgeted Enrollment YR1'!G55</f>
        <v>900.7667088070209</v>
      </c>
      <c r="E148" s="820">
        <f t="shared" si="26"/>
        <v>0</v>
      </c>
      <c r="F148" s="821"/>
      <c r="G148" s="1763">
        <f t="shared" si="27"/>
        <v>0</v>
      </c>
      <c r="I148" s="277"/>
    </row>
    <row r="149" spans="1:9" x14ac:dyDescent="0.3">
      <c r="A149" s="106" t="str">
        <f>'1.2 Budgeted Enrollment YR1'!E56</f>
        <v>Explore Academy</v>
      </c>
      <c r="C149" s="9" t="str">
        <f>'1.2 Budgeted Enrollment YR1'!D56</f>
        <v>Las Vegas</v>
      </c>
      <c r="D149" s="1492">
        <f>'1.2 Budgeted Enrollment YR1'!G56</f>
        <v>285.9150020191048</v>
      </c>
      <c r="E149" s="820">
        <f t="shared" si="26"/>
        <v>0</v>
      </c>
      <c r="F149" s="821"/>
      <c r="G149" s="1763">
        <f t="shared" si="27"/>
        <v>0</v>
      </c>
      <c r="I149" s="277"/>
    </row>
    <row r="150" spans="1:9" x14ac:dyDescent="0.3">
      <c r="A150" s="106" t="str">
        <f>'1.2 Budgeted Enrollment YR1'!E57</f>
        <v>Explore Knowledge Academy</v>
      </c>
      <c r="C150" s="9" t="str">
        <f>'1.2 Budgeted Enrollment YR1'!D57</f>
        <v>Las Vegas</v>
      </c>
      <c r="D150" s="1492">
        <f>'1.2 Budgeted Enrollment YR1'!G57</f>
        <v>664.59038477421791</v>
      </c>
      <c r="E150" s="820">
        <f t="shared" si="26"/>
        <v>0</v>
      </c>
      <c r="F150" s="821"/>
      <c r="G150" s="1763">
        <f t="shared" si="27"/>
        <v>0</v>
      </c>
      <c r="I150" s="277"/>
    </row>
    <row r="151" spans="1:9" x14ac:dyDescent="0.3">
      <c r="A151" s="106" t="str">
        <f>'1.2 Budgeted Enrollment YR1'!E58</f>
        <v>Founders Academy of Las Vegas</v>
      </c>
      <c r="C151" s="9" t="str">
        <f>'1.2 Budgeted Enrollment YR1'!D58</f>
        <v>Las Vegas</v>
      </c>
      <c r="D151" s="1492">
        <f>'1.2 Budgeted Enrollment YR1'!G58</f>
        <v>1110.2866416609052</v>
      </c>
      <c r="E151" s="820">
        <f t="shared" si="26"/>
        <v>0</v>
      </c>
      <c r="F151" s="821"/>
      <c r="G151" s="1763">
        <f t="shared" si="27"/>
        <v>0</v>
      </c>
      <c r="I151" s="277"/>
    </row>
    <row r="152" spans="1:9" x14ac:dyDescent="0.3">
      <c r="A152" s="106" t="str">
        <f>'1.2 Budgeted Enrollment YR1'!E59</f>
        <v>Freedom Classical Academy</v>
      </c>
      <c r="C152" s="9" t="str">
        <f>'1.2 Budgeted Enrollment YR1'!D59</f>
        <v>Las Vegas</v>
      </c>
      <c r="D152" s="1492">
        <f>'1.2 Budgeted Enrollment YR1'!G59</f>
        <v>1074.7232250803561</v>
      </c>
      <c r="E152" s="820">
        <f t="shared" si="26"/>
        <v>0</v>
      </c>
      <c r="F152" s="821"/>
      <c r="G152" s="1763">
        <f t="shared" si="27"/>
        <v>0</v>
      </c>
      <c r="I152" s="277"/>
    </row>
    <row r="153" spans="1:9" x14ac:dyDescent="0.3">
      <c r="A153" s="106" t="str">
        <f>'1.2 Budgeted Enrollment YR1'!E60</f>
        <v>Futuro Academy Elementary</v>
      </c>
      <c r="C153" s="9" t="str">
        <f>'1.2 Budgeted Enrollment YR1'!D60</f>
        <v>Las Vegas</v>
      </c>
      <c r="D153" s="1492">
        <f>'1.2 Budgeted Enrollment YR1'!G60</f>
        <v>467.88219404846518</v>
      </c>
      <c r="E153" s="820">
        <f t="shared" si="26"/>
        <v>0</v>
      </c>
      <c r="F153" s="821"/>
      <c r="G153" s="1763">
        <f t="shared" si="27"/>
        <v>0</v>
      </c>
      <c r="I153" s="277"/>
    </row>
    <row r="154" spans="1:9" x14ac:dyDescent="0.3">
      <c r="A154" s="106" t="str">
        <f>'1.2 Budgeted Enrollment YR1'!E61</f>
        <v>High Desert Montessori</v>
      </c>
      <c r="C154" s="9" t="str">
        <f>'1.2 Budgeted Enrollment YR1'!D61</f>
        <v>Reno</v>
      </c>
      <c r="D154" s="1492">
        <f>'1.2 Budgeted Enrollment YR1'!G61</f>
        <v>411.94504777978403</v>
      </c>
      <c r="E154" s="820">
        <f t="shared" si="26"/>
        <v>0</v>
      </c>
      <c r="F154" s="821"/>
      <c r="G154" s="1763">
        <f t="shared" si="27"/>
        <v>0</v>
      </c>
      <c r="I154" s="277"/>
    </row>
    <row r="155" spans="1:9" x14ac:dyDescent="0.3">
      <c r="A155" s="106" t="str">
        <f>'1.2 Budgeted Enrollment YR1'!E62</f>
        <v>Honors Academy of Literature</v>
      </c>
      <c r="C155" s="9" t="str">
        <f>'1.2 Budgeted Enrollment YR1'!D62</f>
        <v>Reno</v>
      </c>
      <c r="D155" s="1492">
        <f>'1.2 Budgeted Enrollment YR1'!G62</f>
        <v>219.20317856717219</v>
      </c>
      <c r="E155" s="820">
        <f t="shared" si="26"/>
        <v>0</v>
      </c>
      <c r="F155" s="821"/>
      <c r="G155" s="1763">
        <f t="shared" si="27"/>
        <v>0</v>
      </c>
      <c r="I155" s="277"/>
    </row>
    <row r="156" spans="1:9" x14ac:dyDescent="0.3">
      <c r="A156" s="106" t="str">
        <f>'1.2 Budgeted Enrollment YR1'!E63</f>
        <v>Imagine School Mountain View</v>
      </c>
      <c r="C156" s="9" t="str">
        <f>'1.2 Budgeted Enrollment YR1'!D63</f>
        <v>Las Vegas</v>
      </c>
      <c r="D156" s="1492">
        <f>'1.2 Budgeted Enrollment YR1'!G63</f>
        <v>695.95030141306381</v>
      </c>
      <c r="E156" s="820">
        <f t="shared" si="26"/>
        <v>0</v>
      </c>
      <c r="F156" s="821"/>
      <c r="G156" s="1763">
        <f t="shared" si="27"/>
        <v>0</v>
      </c>
      <c r="I156" s="277"/>
    </row>
    <row r="157" spans="1:9" x14ac:dyDescent="0.3">
      <c r="A157" s="106" t="str">
        <f>'1.2 Budgeted Enrollment YR1'!E64</f>
        <v>Innovations Int'l Charter</v>
      </c>
      <c r="C157" s="9" t="str">
        <f>'1.2 Budgeted Enrollment YR1'!D64</f>
        <v>Las Vegas</v>
      </c>
      <c r="D157" s="1492">
        <f>'1.2 Budgeted Enrollment YR1'!G64</f>
        <v>682.14466872714809</v>
      </c>
      <c r="E157" s="820">
        <f t="shared" si="26"/>
        <v>0</v>
      </c>
      <c r="F157" s="821"/>
      <c r="G157" s="1763">
        <f t="shared" si="27"/>
        <v>0</v>
      </c>
      <c r="I157" s="277"/>
    </row>
    <row r="158" spans="1:9" x14ac:dyDescent="0.3">
      <c r="A158" s="106" t="str">
        <f>'1.2 Budgeted Enrollment YR1'!E65</f>
        <v>Leadership Academy of Nevada</v>
      </c>
      <c r="C158" s="9" t="str">
        <f>'1.2 Budgeted Enrollment YR1'!D65</f>
        <v>Las Vegas</v>
      </c>
      <c r="D158" s="1492">
        <f>'1.2 Budgeted Enrollment YR1'!G65</f>
        <v>287.40686460222514</v>
      </c>
      <c r="E158" s="820">
        <f t="shared" si="26"/>
        <v>0</v>
      </c>
      <c r="F158" s="821"/>
      <c r="G158" s="1763">
        <f t="shared" si="27"/>
        <v>0</v>
      </c>
      <c r="I158" s="277"/>
    </row>
    <row r="159" spans="1:9" x14ac:dyDescent="0.3">
      <c r="A159" s="106" t="str">
        <f>'1.2 Budgeted Enrollment YR1'!E66</f>
        <v>Learning Bridge</v>
      </c>
      <c r="C159" s="9" t="str">
        <f>'1.2 Budgeted Enrollment YR1'!D66</f>
        <v>Ely</v>
      </c>
      <c r="D159" s="1492">
        <f>'1.2 Budgeted Enrollment YR1'!G66</f>
        <v>170.53745061484202</v>
      </c>
      <c r="E159" s="820">
        <f t="shared" ref="E159:E188" si="28">IF(C159="Carson City",$G$16,IF(C159="Fallon",$G$18,IF(C159="Elko",$G$39,IF(C159="Ely",$G$116,IF(C159="Stead",$G$110,0)))))</f>
        <v>4358.1668666450332</v>
      </c>
      <c r="F159" s="821"/>
      <c r="G159" s="1763">
        <f t="shared" si="27"/>
        <v>743231</v>
      </c>
      <c r="I159" s="277"/>
    </row>
    <row r="160" spans="1:9" x14ac:dyDescent="0.3">
      <c r="A160" s="106" t="str">
        <f>'1.2 Budgeted Enrollment YR1'!E67</f>
        <v>Legacy Traditional Schools</v>
      </c>
      <c r="C160" s="9" t="str">
        <f>'1.2 Budgeted Enrollment YR1'!D67</f>
        <v>Las Vegas</v>
      </c>
      <c r="D160" s="1492">
        <f>'1.2 Budgeted Enrollment YR1'!G67</f>
        <v>4125.1478938155515</v>
      </c>
      <c r="E160" s="820">
        <f t="shared" si="28"/>
        <v>0</v>
      </c>
      <c r="F160" s="821"/>
      <c r="G160" s="1763">
        <f t="shared" si="27"/>
        <v>0</v>
      </c>
      <c r="I160" s="277"/>
    </row>
    <row r="161" spans="1:9" x14ac:dyDescent="0.3">
      <c r="A161" s="106" t="str">
        <f>'1.2 Budgeted Enrollment YR1'!E68</f>
        <v xml:space="preserve">Mariposa Language and Learning Academy </v>
      </c>
      <c r="C161" s="9" t="str">
        <f>'1.2 Budgeted Enrollment YR1'!D68</f>
        <v>Reno</v>
      </c>
      <c r="D161" s="1492">
        <f>'1.2 Budgeted Enrollment YR1'!G68</f>
        <v>164.39442664043821</v>
      </c>
      <c r="E161" s="820">
        <f t="shared" si="28"/>
        <v>0</v>
      </c>
      <c r="F161" s="821"/>
      <c r="G161" s="1763">
        <f t="shared" si="27"/>
        <v>0</v>
      </c>
      <c r="I161" s="277"/>
    </row>
    <row r="162" spans="1:9" x14ac:dyDescent="0.3">
      <c r="A162" s="106" t="str">
        <f>'1.2 Budgeted Enrollment YR1'!E69</f>
        <v>Mater Academy</v>
      </c>
      <c r="C162" s="9" t="str">
        <f>'1.2 Budgeted Enrollment YR1'!D69</f>
        <v>Las Vegas</v>
      </c>
      <c r="D162" s="1492">
        <f>'1.2 Budgeted Enrollment YR1'!G69</f>
        <v>4489.9355041692297</v>
      </c>
      <c r="E162" s="820">
        <f t="shared" si="28"/>
        <v>0</v>
      </c>
      <c r="F162" s="821"/>
      <c r="G162" s="1763">
        <f t="shared" si="27"/>
        <v>0</v>
      </c>
      <c r="I162" s="277"/>
    </row>
    <row r="163" spans="1:9" x14ac:dyDescent="0.3">
      <c r="A163" s="106" t="str">
        <f>'1.2 Budgeted Enrollment YR1'!E70</f>
        <v>Mater Academy of Northern Nevada</v>
      </c>
      <c r="C163" s="9" t="str">
        <f>'1.2 Budgeted Enrollment YR1'!D70</f>
        <v>Reno</v>
      </c>
      <c r="D163" s="1492">
        <f>'1.2 Budgeted Enrollment YR1'!G70</f>
        <v>502.85317793083078</v>
      </c>
      <c r="E163" s="820">
        <f t="shared" si="28"/>
        <v>0</v>
      </c>
      <c r="F163" s="821"/>
      <c r="G163" s="1763">
        <f t="shared" si="27"/>
        <v>0</v>
      </c>
      <c r="I163" s="277"/>
    </row>
    <row r="164" spans="1:9" x14ac:dyDescent="0.3">
      <c r="A164" s="106" t="str">
        <f>'1.2 Budgeted Enrollment YR1'!E71</f>
        <v>Nevada Connections Academy</v>
      </c>
      <c r="C164" s="9" t="str">
        <f>'1.2 Budgeted Enrollment YR1'!D71</f>
        <v>Reno</v>
      </c>
      <c r="D164" s="1492">
        <f>'1.2 Budgeted Enrollment YR1'!G71</f>
        <v>1200.806661656123</v>
      </c>
      <c r="E164" s="820">
        <f t="shared" si="28"/>
        <v>0</v>
      </c>
      <c r="F164" s="821"/>
      <c r="G164" s="1763">
        <f t="shared" si="27"/>
        <v>0</v>
      </c>
      <c r="I164" s="277"/>
    </row>
    <row r="165" spans="1:9" x14ac:dyDescent="0.3">
      <c r="A165" s="106" t="str">
        <f>'1.2 Budgeted Enrollment YR1'!E72</f>
        <v>Nevada Prep</v>
      </c>
      <c r="C165" s="9" t="str">
        <f>'1.2 Budgeted Enrollment YR1'!D72</f>
        <v>Las Vegas</v>
      </c>
      <c r="D165" s="1492">
        <f>'1.2 Budgeted Enrollment YR1'!G72</f>
        <v>305.23837009503319</v>
      </c>
      <c r="E165" s="820">
        <f t="shared" si="28"/>
        <v>0</v>
      </c>
      <c r="F165" s="821"/>
      <c r="G165" s="1763">
        <f t="shared" si="27"/>
        <v>0</v>
      </c>
      <c r="I165" s="277"/>
    </row>
    <row r="166" spans="1:9" x14ac:dyDescent="0.3">
      <c r="A166" s="106" t="str">
        <f>'1.2 Budgeted Enrollment YR1'!E73</f>
        <v xml:space="preserve">Nevada Rise </v>
      </c>
      <c r="C166" s="9" t="str">
        <f>'1.2 Budgeted Enrollment YR1'!D73</f>
        <v>Las Vegas</v>
      </c>
      <c r="D166" s="1492">
        <f>'1.2 Budgeted Enrollment YR1'!G73</f>
        <v>372.57548213135692</v>
      </c>
      <c r="E166" s="820">
        <f t="shared" si="28"/>
        <v>0</v>
      </c>
      <c r="F166" s="821"/>
      <c r="G166" s="1763">
        <f t="shared" si="27"/>
        <v>0</v>
      </c>
      <c r="I166" s="277"/>
    </row>
    <row r="167" spans="1:9" x14ac:dyDescent="0.3">
      <c r="A167" s="106" t="str">
        <f>'1.2 Budgeted Enrollment YR1'!E74</f>
        <v>Nevada State High School</v>
      </c>
      <c r="C167" s="9" t="str">
        <f>'1.2 Budgeted Enrollment YR1'!D74</f>
        <v>Las Vegas</v>
      </c>
      <c r="D167" s="1492">
        <f>'1.2 Budgeted Enrollment YR1'!G74</f>
        <v>913.27248049484274</v>
      </c>
      <c r="E167" s="820">
        <f t="shared" si="28"/>
        <v>0</v>
      </c>
      <c r="F167" s="821"/>
      <c r="G167" s="1763">
        <f t="shared" si="27"/>
        <v>0</v>
      </c>
      <c r="I167" s="277"/>
    </row>
    <row r="168" spans="1:9" x14ac:dyDescent="0.3">
      <c r="A168" s="106" t="str">
        <f>'1.2 Budgeted Enrollment YR1'!E75</f>
        <v>Nevada State High School-Meadowwood</v>
      </c>
      <c r="C168" s="9" t="str">
        <f>'1.2 Budgeted Enrollment YR1'!D75</f>
        <v>Reno</v>
      </c>
      <c r="D168" s="1492">
        <f>'1.2 Budgeted Enrollment YR1'!G75</f>
        <v>30.196612917803087</v>
      </c>
      <c r="E168" s="820">
        <f t="shared" si="28"/>
        <v>0</v>
      </c>
      <c r="F168" s="821"/>
      <c r="G168" s="1763">
        <f t="shared" si="27"/>
        <v>0</v>
      </c>
      <c r="I168" s="277"/>
    </row>
    <row r="169" spans="1:9" x14ac:dyDescent="0.3">
      <c r="A169" s="106" t="str">
        <f>'1.2 Budgeted Enrollment YR1'!E76</f>
        <v>Nevada Virtual Academy</v>
      </c>
      <c r="C169" s="9" t="str">
        <f>'1.2 Budgeted Enrollment YR1'!D76</f>
        <v>Las Vegas</v>
      </c>
      <c r="D169" s="1492">
        <f>'1.2 Budgeted Enrollment YR1'!G76</f>
        <v>1819.9707035088049</v>
      </c>
      <c r="E169" s="820">
        <f t="shared" si="28"/>
        <v>0</v>
      </c>
      <c r="F169" s="821"/>
      <c r="G169" s="1763">
        <f t="shared" si="27"/>
        <v>0</v>
      </c>
      <c r="I169" s="277"/>
    </row>
    <row r="170" spans="1:9" x14ac:dyDescent="0.3">
      <c r="A170" s="106" t="str">
        <f>'1.2 Budgeted Enrollment YR1'!E77</f>
        <v>Oasis Academy</v>
      </c>
      <c r="C170" s="9" t="str">
        <f>'1.2 Budgeted Enrollment YR1'!D77</f>
        <v>Fallon</v>
      </c>
      <c r="D170" s="1492">
        <f>'1.2 Budgeted Enrollment YR1'!G77</f>
        <v>785.63660329576021</v>
      </c>
      <c r="E170" s="820">
        <f t="shared" si="28"/>
        <v>1352.078647266919</v>
      </c>
      <c r="F170" s="821"/>
      <c r="G170" s="1763">
        <f t="shared" si="27"/>
        <v>1062242</v>
      </c>
      <c r="I170" s="277"/>
    </row>
    <row r="171" spans="1:9" x14ac:dyDescent="0.3">
      <c r="A171" s="106" t="str">
        <f>'1.2 Budgeted Enrollment YR1'!E78</f>
        <v>Odyssey Charter Schools</v>
      </c>
      <c r="C171" s="9" t="str">
        <f>'1.2 Budgeted Enrollment YR1'!D78</f>
        <v>Las Vegas</v>
      </c>
      <c r="D171" s="1492">
        <f>'1.2 Budgeted Enrollment YR1'!G78</f>
        <v>2400.7898726641642</v>
      </c>
      <c r="E171" s="820">
        <f t="shared" si="28"/>
        <v>0</v>
      </c>
      <c r="F171" s="821"/>
      <c r="G171" s="1763">
        <f t="shared" si="27"/>
        <v>0</v>
      </c>
      <c r="I171" s="277"/>
    </row>
    <row r="172" spans="1:9" x14ac:dyDescent="0.3">
      <c r="A172" s="106" t="str">
        <f>'1.2 Budgeted Enrollment YR1'!E79</f>
        <v>Pinecrest Academy of Northern Nevada</v>
      </c>
      <c r="C172" s="9" t="str">
        <f>'1.2 Budgeted Enrollment YR1'!D79</f>
        <v>Reno</v>
      </c>
      <c r="D172" s="1492">
        <f>'1.2 Budgeted Enrollment YR1'!G79</f>
        <v>1022.3920123229747</v>
      </c>
      <c r="E172" s="820">
        <f t="shared" si="28"/>
        <v>0</v>
      </c>
      <c r="F172" s="821"/>
      <c r="G172" s="1763">
        <f t="shared" si="27"/>
        <v>0</v>
      </c>
      <c r="I172" s="277"/>
    </row>
    <row r="173" spans="1:9" x14ac:dyDescent="0.3">
      <c r="A173" s="106" t="str">
        <f>'1.2 Budgeted Enrollment YR1'!E80</f>
        <v>Pinecrest Academy of Nevada</v>
      </c>
      <c r="C173" s="9" t="str">
        <f>'1.2 Budgeted Enrollment YR1'!D80</f>
        <v>Las Vegas</v>
      </c>
      <c r="D173" s="1492">
        <f>'1.2 Budgeted Enrollment YR1'!G80</f>
        <v>8054.8515217779041</v>
      </c>
      <c r="E173" s="820">
        <f t="shared" si="28"/>
        <v>0</v>
      </c>
      <c r="F173" s="821"/>
      <c r="G173" s="1763">
        <f t="shared" si="27"/>
        <v>0</v>
      </c>
      <c r="I173" s="277"/>
    </row>
    <row r="174" spans="1:9" x14ac:dyDescent="0.3">
      <c r="A174" s="106" t="str">
        <f>'1.2 Budgeted Enrollment YR1'!E81</f>
        <v>Pioneer Technical Arts Academy</v>
      </c>
      <c r="C174" s="9" t="str">
        <f>'1.2 Budgeted Enrollment YR1'!D81</f>
        <v>Las Vegas</v>
      </c>
      <c r="D174" s="1492">
        <f>'1.2 Budgeted Enrollment YR1'!G81</f>
        <v>263.87383610592974</v>
      </c>
      <c r="E174" s="820">
        <f t="shared" si="28"/>
        <v>0</v>
      </c>
      <c r="F174" s="821"/>
      <c r="G174" s="1763">
        <f t="shared" si="27"/>
        <v>0</v>
      </c>
      <c r="H174" s="9" t="s">
        <v>370</v>
      </c>
      <c r="I174" s="277"/>
    </row>
    <row r="175" spans="1:9" x14ac:dyDescent="0.3">
      <c r="A175" s="106" t="str">
        <f>'1.2 Budgeted Enrollment YR1'!E82</f>
        <v>Quest Academy</v>
      </c>
      <c r="C175" s="9" t="str">
        <f>'1.2 Budgeted Enrollment YR1'!D82</f>
        <v>Las Vegas</v>
      </c>
      <c r="D175" s="1492">
        <f>'1.2 Budgeted Enrollment YR1'!G82</f>
        <v>455.57355767788971</v>
      </c>
      <c r="E175" s="820">
        <f t="shared" si="28"/>
        <v>0</v>
      </c>
      <c r="F175" s="821"/>
      <c r="G175" s="1763">
        <f t="shared" si="27"/>
        <v>0</v>
      </c>
      <c r="I175" s="277"/>
    </row>
    <row r="176" spans="1:9" x14ac:dyDescent="0.3">
      <c r="A176" s="106" t="str">
        <f>'1.2 Budgeted Enrollment YR1'!E83</f>
        <v>Rainbow Dreams Academy</v>
      </c>
      <c r="C176" s="9" t="str">
        <f>'1.2 Budgeted Enrollment YR1'!D83</f>
        <v>Las Vegas</v>
      </c>
      <c r="D176" s="1492">
        <f>'1.2 Budgeted Enrollment YR1'!G83</f>
        <v>63.383111480510713</v>
      </c>
      <c r="E176" s="820">
        <f t="shared" si="28"/>
        <v>0</v>
      </c>
      <c r="F176" s="821"/>
      <c r="G176" s="1763">
        <f t="shared" si="27"/>
        <v>0</v>
      </c>
      <c r="I176" s="277"/>
    </row>
    <row r="177" spans="1:9" x14ac:dyDescent="0.3">
      <c r="A177" s="106" t="str">
        <f>'1.2 Budgeted Enrollment YR1'!E84</f>
        <v>Rooted Charter School</v>
      </c>
      <c r="C177" s="9" t="str">
        <f>'1.2 Budgeted Enrollment YR1'!D84</f>
        <v>Las Vegas</v>
      </c>
      <c r="D177" s="1492">
        <f>'1.2 Budgeted Enrollment YR1'!G84</f>
        <v>23.615168211814723</v>
      </c>
      <c r="E177" s="820">
        <f t="shared" si="28"/>
        <v>0</v>
      </c>
      <c r="F177" s="821"/>
      <c r="G177" s="1763">
        <f t="shared" si="27"/>
        <v>0</v>
      </c>
      <c r="I177" s="277"/>
    </row>
    <row r="178" spans="1:9" x14ac:dyDescent="0.3">
      <c r="A178" s="106" t="str">
        <f>'1.2 Budgeted Enrollment YR1'!E85</f>
        <v>Sage Collegiate Academy</v>
      </c>
      <c r="C178" s="9" t="str">
        <f>'1.2 Budgeted Enrollment YR1'!D85</f>
        <v>Las Vegas</v>
      </c>
      <c r="D178" s="1492">
        <f>'1.2 Budgeted Enrollment YR1'!G85</f>
        <v>236.13114718926738</v>
      </c>
      <c r="E178" s="820">
        <f t="shared" si="28"/>
        <v>0</v>
      </c>
      <c r="F178" s="821"/>
      <c r="G178" s="1763">
        <f t="shared" si="27"/>
        <v>0</v>
      </c>
      <c r="I178" s="277"/>
    </row>
    <row r="179" spans="1:9" x14ac:dyDescent="0.3">
      <c r="A179" s="106" t="str">
        <f>'1.2 Budgeted Enrollment YR1'!E86</f>
        <v>Sierra Nevada Academy Charter</v>
      </c>
      <c r="C179" s="9" t="str">
        <f>'1.2 Budgeted Enrollment YR1'!D86</f>
        <v>Stead</v>
      </c>
      <c r="D179" s="1492">
        <f>'1.2 Budgeted Enrollment YR1'!G86</f>
        <v>265.07102245962432</v>
      </c>
      <c r="E179" s="820">
        <f t="shared" si="28"/>
        <v>747.49945846967432</v>
      </c>
      <c r="F179" s="821"/>
      <c r="G179" s="1763">
        <f t="shared" si="27"/>
        <v>198140</v>
      </c>
      <c r="I179" s="277"/>
    </row>
    <row r="180" spans="1:9" x14ac:dyDescent="0.3">
      <c r="A180" s="106" t="str">
        <f>'1.2 Budgeted Enrollment YR1'!E87</f>
        <v>Signature Preparatory</v>
      </c>
      <c r="C180" s="9" t="str">
        <f>'1.2 Budgeted Enrollment YR1'!D87</f>
        <v>Las Vegas</v>
      </c>
      <c r="D180" s="1492">
        <f>'1.2 Budgeted Enrollment YR1'!G87</f>
        <v>995.39371457820653</v>
      </c>
      <c r="E180" s="820">
        <f t="shared" si="28"/>
        <v>0</v>
      </c>
      <c r="F180" s="821"/>
      <c r="G180" s="1763">
        <f t="shared" si="27"/>
        <v>0</v>
      </c>
      <c r="I180" s="277"/>
    </row>
    <row r="181" spans="1:9" x14ac:dyDescent="0.3">
      <c r="A181" s="106" t="str">
        <f>'1.2 Budgeted Enrollment YR1'!E88</f>
        <v>Silver Sands Montessori</v>
      </c>
      <c r="C181" s="9" t="str">
        <f>'1.2 Budgeted Enrollment YR1'!D88</f>
        <v>Las Vegas</v>
      </c>
      <c r="D181" s="1492">
        <f>'1.2 Budgeted Enrollment YR1'!G88</f>
        <v>239.7637761081109</v>
      </c>
      <c r="E181" s="820">
        <f t="shared" si="28"/>
        <v>0</v>
      </c>
      <c r="F181" s="821"/>
      <c r="G181" s="1763">
        <f t="shared" si="27"/>
        <v>0</v>
      </c>
      <c r="I181" s="277"/>
    </row>
    <row r="182" spans="1:9" x14ac:dyDescent="0.3">
      <c r="A182" s="106" t="str">
        <f>'1.2 Budgeted Enrollment YR1'!E89</f>
        <v>Somerset Academy</v>
      </c>
      <c r="C182" s="9" t="str">
        <f>'1.2 Budgeted Enrollment YR1'!D89</f>
        <v>Las Vegas</v>
      </c>
      <c r="D182" s="1492">
        <f>'1.2 Budgeted Enrollment YR1'!G89</f>
        <v>9613.0429519265235</v>
      </c>
      <c r="E182" s="820">
        <f t="shared" si="28"/>
        <v>0</v>
      </c>
      <c r="F182" s="821"/>
      <c r="G182" s="1763">
        <f t="shared" si="27"/>
        <v>0</v>
      </c>
      <c r="I182" s="277"/>
    </row>
    <row r="183" spans="1:9" x14ac:dyDescent="0.3">
      <c r="A183" s="106" t="str">
        <f>'1.2 Budgeted Enrollment YR1'!E90</f>
        <v>Southern Nevada Trade High School</v>
      </c>
      <c r="C183" s="9" t="str">
        <f>'1.2 Budgeted Enrollment YR1'!D90</f>
        <v>Las Vegas</v>
      </c>
      <c r="D183" s="1492">
        <f>'1.2 Budgeted Enrollment YR1'!G90</f>
        <v>81.083193428487846</v>
      </c>
      <c r="E183" s="820">
        <f t="shared" si="28"/>
        <v>0</v>
      </c>
      <c r="F183" s="821"/>
      <c r="G183" s="1763">
        <f t="shared" si="27"/>
        <v>0</v>
      </c>
      <c r="I183" s="277"/>
    </row>
    <row r="184" spans="1:9" x14ac:dyDescent="0.3">
      <c r="A184" s="106" t="str">
        <f>'1.2 Budgeted Enrollment YR1'!E91</f>
        <v>Sports Leadership and Management Academy</v>
      </c>
      <c r="C184" s="9" t="str">
        <f>'1.2 Budgeted Enrollment YR1'!D91</f>
        <v>Las Vegas</v>
      </c>
      <c r="D184" s="1492">
        <f>'1.2 Budgeted Enrollment YR1'!G91</f>
        <v>1868.7586142879702</v>
      </c>
      <c r="E184" s="820">
        <f t="shared" si="28"/>
        <v>0</v>
      </c>
      <c r="F184" s="821"/>
      <c r="G184" s="1763">
        <f t="shared" si="27"/>
        <v>0</v>
      </c>
      <c r="I184" s="277"/>
    </row>
    <row r="185" spans="1:9" x14ac:dyDescent="0.3">
      <c r="A185" s="106" t="str">
        <f>'1.2 Budgeted Enrollment YR1'!E92</f>
        <v>Strong Start Academy</v>
      </c>
      <c r="C185" s="9" t="str">
        <f>'1.2 Budgeted Enrollment YR1'!D92</f>
        <v>Las Vegas</v>
      </c>
      <c r="D185" s="1492">
        <f>'1.2 Budgeted Enrollment YR1'!G92</f>
        <v>147.52292907276259</v>
      </c>
      <c r="E185" s="820">
        <f t="shared" si="28"/>
        <v>0</v>
      </c>
      <c r="F185" s="821"/>
      <c r="G185" s="1763">
        <f t="shared" si="27"/>
        <v>0</v>
      </c>
      <c r="I185" s="277"/>
    </row>
    <row r="186" spans="1:9" x14ac:dyDescent="0.3">
      <c r="A186" s="106" t="str">
        <f>'1.2 Budgeted Enrollment YR1'!E93</f>
        <v>ThrivePoint</v>
      </c>
      <c r="C186" s="9" t="str">
        <f>'1.2 Budgeted Enrollment YR1'!D93</f>
        <v>Las Vegas</v>
      </c>
      <c r="D186" s="1492">
        <f>'1.2 Budgeted Enrollment YR1'!G93</f>
        <v>152.98522015479972</v>
      </c>
      <c r="E186" s="820">
        <f t="shared" si="28"/>
        <v>0</v>
      </c>
      <c r="F186" s="821"/>
      <c r="G186" s="1763">
        <f t="shared" si="27"/>
        <v>0</v>
      </c>
      <c r="H186" s="9" t="s">
        <v>370</v>
      </c>
      <c r="I186" s="277"/>
    </row>
    <row r="187" spans="1:9" x14ac:dyDescent="0.3">
      <c r="A187" s="106" t="str">
        <f>'1.2 Budgeted Enrollment YR1'!E94</f>
        <v>Vegas Vista Academy</v>
      </c>
      <c r="C187" s="9" t="str">
        <f>'1.2 Budgeted Enrollment YR1'!D94</f>
        <v>Las Vegas</v>
      </c>
      <c r="D187" s="1492">
        <f>'1.2 Budgeted Enrollment YR1'!G94</f>
        <v>104.72813728717834</v>
      </c>
      <c r="E187" s="820">
        <f>IF(C187="Carson City",$G$16,IF(C187="Fallon",$G$18,IF(C187="Elko",$G$39,IF(C187="Ely",$G$116,IF(C187="Stead",$G$110,0)))))</f>
        <v>0</v>
      </c>
      <c r="F187" s="821"/>
      <c r="G187" s="1763">
        <f t="shared" si="27"/>
        <v>0</v>
      </c>
      <c r="H187" s="9" t="s">
        <v>370</v>
      </c>
      <c r="I187" s="277"/>
    </row>
    <row r="188" spans="1:9" x14ac:dyDescent="0.3">
      <c r="A188" s="142" t="str">
        <f>'1.2 Budgeted Enrollment YR1'!E95</f>
        <v>Young Women's Leadership Academy</v>
      </c>
      <c r="B188" s="137"/>
      <c r="C188" s="137" t="str">
        <f>'1.2 Budgeted Enrollment YR1'!D95</f>
        <v>Las Vegas</v>
      </c>
      <c r="D188" s="518">
        <f>'1.2 Budgeted Enrollment YR1'!G95</f>
        <v>118.86232883517145</v>
      </c>
      <c r="E188" s="822">
        <f t="shared" si="28"/>
        <v>0</v>
      </c>
      <c r="F188" s="823"/>
      <c r="G188" s="1764">
        <f t="shared" si="27"/>
        <v>0</v>
      </c>
      <c r="I188" s="277"/>
    </row>
    <row r="189" spans="1:9" x14ac:dyDescent="0.3">
      <c r="A189" s="204" t="s">
        <v>1439</v>
      </c>
      <c r="B189" s="135"/>
      <c r="C189" s="135"/>
      <c r="D189" s="1256">
        <f>SUM(D127:D188)</f>
        <v>72301.606666666703</v>
      </c>
      <c r="E189" s="1765"/>
      <c r="F189" s="1765"/>
      <c r="G189" s="1766">
        <f>SUM(G127:G188)</f>
        <v>2448428</v>
      </c>
    </row>
    <row r="190" spans="1:9" x14ac:dyDescent="0.3">
      <c r="D190" s="57">
        <f>D189-'1.2 Budgeted Enrollment YR1'!G26</f>
        <v>0</v>
      </c>
      <c r="E190" s="821"/>
      <c r="F190" s="821"/>
      <c r="G190" s="821">
        <f>G189-'2.6 Adj. Base Summary YR1'!E101</f>
        <v>0</v>
      </c>
    </row>
    <row r="191" spans="1:9" x14ac:dyDescent="0.3">
      <c r="D191" s="57"/>
      <c r="E191" s="821"/>
      <c r="F191" s="821"/>
      <c r="G191" s="821"/>
    </row>
    <row r="192" spans="1:9" s="79" customFormat="1" ht="66" x14ac:dyDescent="0.3">
      <c r="A192" s="1767" t="str">
        <f>'2.3 Statewide Base Funding YR1'!A102</f>
        <v>University Schools</v>
      </c>
      <c r="B192" s="1489"/>
      <c r="C192" s="1489" t="s">
        <v>256</v>
      </c>
      <c r="D192" s="1768" t="s">
        <v>1440</v>
      </c>
      <c r="E192" s="1769" t="str">
        <f>E126</f>
        <v>Adjustment amount per pupil based on Attendance Area</v>
      </c>
      <c r="F192" s="1770"/>
      <c r="G192" s="1769" t="str">
        <f>G126</f>
        <v>Size Adjustment consistent with other public schools in the Attendance Area Where the charter operates</v>
      </c>
    </row>
    <row r="193" spans="1:7" x14ac:dyDescent="0.3">
      <c r="A193" s="455" t="str">
        <f>'1.2 Budgeted Enrollment YR1'!E100</f>
        <v>Davidson Academy</v>
      </c>
      <c r="B193" s="207"/>
      <c r="C193" s="207" t="str">
        <f>'1.2 Budgeted Enrollment YR1'!D100</f>
        <v>Reno</v>
      </c>
      <c r="D193" s="498">
        <f>'1.2 Budgeted Enrollment YR1'!G100</f>
        <v>167.88437423074134</v>
      </c>
      <c r="E193" s="1374">
        <f>IF(C193="Carson City",$G$16,IF(C193="Fallon",$G$18,IF(C193="Elko",$G$39,IF(C193="Ely",$G$116,0))))</f>
        <v>0</v>
      </c>
      <c r="F193" s="1374"/>
      <c r="G193" s="1762">
        <f>ROUND(D193*E193,0)</f>
        <v>0</v>
      </c>
    </row>
    <row r="194" spans="1:7" x14ac:dyDescent="0.3">
      <c r="A194" s="142" t="str">
        <f>'1.2 Budgeted Enrollment YR1'!E101</f>
        <v>TBD</v>
      </c>
      <c r="B194" s="137"/>
      <c r="C194" s="137">
        <f>'1.2 Budgeted Enrollment YR1'!D101</f>
        <v>0</v>
      </c>
      <c r="D194" s="490">
        <f>'1.2 Budgeted Enrollment YR1'!G101</f>
        <v>0</v>
      </c>
      <c r="E194" s="823">
        <f>IF(C194="Carson City",$G$16,IF(C194="Fallon",$G$18,IF(C194="Elko",$G$39,IF(C194="Ely",$G$116,0))))</f>
        <v>0</v>
      </c>
      <c r="F194" s="823"/>
      <c r="G194" s="1764">
        <f>ROUND(D194*E194,0)</f>
        <v>0</v>
      </c>
    </row>
    <row r="195" spans="1:7" x14ac:dyDescent="0.3">
      <c r="A195" s="142"/>
      <c r="B195" s="137"/>
      <c r="C195" s="137"/>
      <c r="D195" s="490">
        <f>SUM(D193:D194)-'1.2 Budgeted Enrollment YR1'!G102</f>
        <v>0</v>
      </c>
      <c r="E195" s="823"/>
      <c r="F195" s="823"/>
      <c r="G195" s="1764">
        <f>SUM(G193:G194)</f>
        <v>0</v>
      </c>
    </row>
    <row r="196" spans="1:7" x14ac:dyDescent="0.3">
      <c r="E196" s="821"/>
      <c r="F196" s="821"/>
      <c r="G196" s="821"/>
    </row>
    <row r="197" spans="1:7" s="79" customFormat="1" ht="66" x14ac:dyDescent="0.3">
      <c r="A197" s="1767" t="str">
        <f>'2.3 Statewide Base Funding YR1'!A107</f>
        <v>City of Henderson</v>
      </c>
      <c r="B197" s="1489"/>
      <c r="C197" s="1489" t="s">
        <v>256</v>
      </c>
      <c r="D197" s="1768" t="s">
        <v>1440</v>
      </c>
      <c r="E197" s="1769" t="s">
        <v>1437</v>
      </c>
      <c r="F197" s="1770"/>
      <c r="G197" s="1769" t="s">
        <v>1438</v>
      </c>
    </row>
    <row r="198" spans="1:7" x14ac:dyDescent="0.3">
      <c r="A198" s="455" t="str">
        <f>'1.2 Budgeted Enrollment YR1'!E107</f>
        <v>TBD</v>
      </c>
      <c r="B198" s="207"/>
      <c r="C198" s="207" t="str">
        <f>'1.2 Budgeted Enrollment YR1'!D107</f>
        <v>Las Vegas</v>
      </c>
      <c r="D198" s="498">
        <f>'1.2 Budgeted Enrollment YR1'!G107</f>
        <v>0</v>
      </c>
      <c r="E198" s="1374">
        <f>IF(C198="Carson City",$G$16,IF(C198="Fallon",$G$18,IF(C198="Elko",$G$39,IF(C198="Ely",$G$116,0))))</f>
        <v>0</v>
      </c>
      <c r="F198" s="1374"/>
      <c r="G198" s="1762">
        <f>ROUND(D198*E198,0)</f>
        <v>0</v>
      </c>
    </row>
    <row r="199" spans="1:7" x14ac:dyDescent="0.3">
      <c r="A199" s="142" t="str">
        <f>'1.2 Budgeted Enrollment YR1'!E108</f>
        <v>TBD</v>
      </c>
      <c r="B199" s="137"/>
      <c r="C199" s="137" t="str">
        <f>'1.2 Budgeted Enrollment YR1'!D108</f>
        <v>Las Vegas</v>
      </c>
      <c r="D199" s="490">
        <f>'1.2 Budgeted Enrollment YR1'!G108</f>
        <v>0</v>
      </c>
      <c r="E199" s="823">
        <f>IF(C199="Carson City",$G$16,IF(C199="Fallon",$G$18,IF(C199="Elko",$G$39,IF(C199="Ely",$G$116,0))))</f>
        <v>0</v>
      </c>
      <c r="F199" s="823"/>
      <c r="G199" s="1764">
        <f>ROUND(D199*E199,0)</f>
        <v>0</v>
      </c>
    </row>
    <row r="200" spans="1:7" x14ac:dyDescent="0.3">
      <c r="A200" s="142"/>
      <c r="B200" s="137"/>
      <c r="C200" s="137"/>
      <c r="D200" s="490">
        <f>SUM(D198:D199)-'1.2 Budgeted Enrollment YR1'!G107</f>
        <v>0</v>
      </c>
      <c r="E200" s="823"/>
      <c r="F200" s="823"/>
      <c r="G200" s="1764">
        <f>SUM(G198:G199)</f>
        <v>0</v>
      </c>
    </row>
    <row r="202" spans="1:7" s="79" customFormat="1" ht="66" x14ac:dyDescent="0.3">
      <c r="A202" s="1771" t="str">
        <f>'2.3 Statewide Base Funding YR1'!A112</f>
        <v>City of North Las Vegas</v>
      </c>
      <c r="B202" s="462"/>
      <c r="C202" s="462" t="s">
        <v>256</v>
      </c>
      <c r="D202" s="1772" t="s">
        <v>1440</v>
      </c>
      <c r="E202" s="1773" t="s">
        <v>1437</v>
      </c>
      <c r="F202" s="1774"/>
      <c r="G202" s="1773" t="s">
        <v>1438</v>
      </c>
    </row>
    <row r="203" spans="1:7" x14ac:dyDescent="0.3">
      <c r="A203" s="455" t="str">
        <f>'1.2 Budgeted Enrollment YR1'!E113</f>
        <v>TBD</v>
      </c>
      <c r="B203" s="207"/>
      <c r="C203" s="207" t="str">
        <f>'1.2 Budgeted Enrollment YR1'!D113</f>
        <v>Las Vegas</v>
      </c>
      <c r="D203" s="498">
        <f>'1.2 Budgeted Enrollment YR1'!G113</f>
        <v>0</v>
      </c>
      <c r="E203" s="1374">
        <f>IF(C203="Carson City",$G$16,IF(C203="Fallon",$G$18,IF(C203="Elko",$G$39,IF(C203="Ely",$G$116,0))))</f>
        <v>0</v>
      </c>
      <c r="F203" s="1374"/>
      <c r="G203" s="1762">
        <f>ROUND(D203*E203,0)</f>
        <v>0</v>
      </c>
    </row>
    <row r="204" spans="1:7" x14ac:dyDescent="0.3">
      <c r="A204" s="142" t="str">
        <f>'1.2 Budgeted Enrollment YR1'!E114</f>
        <v>TBD</v>
      </c>
      <c r="B204" s="137"/>
      <c r="C204" s="137" t="str">
        <f>'1.2 Budgeted Enrollment YR1'!D114</f>
        <v>Las Vegas</v>
      </c>
      <c r="D204" s="490">
        <f>'1.2 Budgeted Enrollment YR1'!G114</f>
        <v>0</v>
      </c>
      <c r="E204" s="823">
        <f>IF(C204="Carson City",$G$16,IF(C204="Fallon",$G$18,IF(C204="Elko",$G$39,IF(C204="Ely",$G$116,0))))</f>
        <v>0</v>
      </c>
      <c r="F204" s="823"/>
      <c r="G204" s="1764">
        <f>ROUND(D204*E204,0)</f>
        <v>0</v>
      </c>
    </row>
    <row r="205" spans="1:7" x14ac:dyDescent="0.3">
      <c r="A205" s="142"/>
      <c r="B205" s="137"/>
      <c r="C205" s="137"/>
      <c r="D205" s="490">
        <f>SUM(D203:D204)-'1.2 Budgeted Enrollment YR1'!G112</f>
        <v>0</v>
      </c>
      <c r="E205" s="823"/>
      <c r="F205" s="823"/>
      <c r="G205" s="1764">
        <f>SUM(G203:G204)</f>
        <v>0</v>
      </c>
    </row>
  </sheetData>
  <autoFilter ref="A126:G189" xr:uid="{2FD2AC63-58E9-4A3B-9532-66E53125971D}"/>
  <pageMargins left="0.7" right="0.7" top="0.75" bottom="0.75" header="0.3" footer="0.3"/>
  <pageSetup scale="89" fitToHeight="4" orientation="landscape" horizontalDpi="1200" verticalDpi="1200" r:id="rId1"/>
  <rowBreaks count="3" manualBreakCount="3">
    <brk id="49" max="6" man="1"/>
    <brk id="87" max="6" man="1"/>
    <brk id="119" max="6"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3A65E-D28D-4715-911A-56ABEE416BFA}">
  <sheetPr>
    <tabColor theme="6" tint="0.59999389629810485"/>
    <pageSetUpPr autoPageBreaks="0" fitToPage="1"/>
  </sheetPr>
  <dimension ref="A1:M110"/>
  <sheetViews>
    <sheetView topLeftCell="A87" workbookViewId="0">
      <selection activeCell="K10" sqref="K10"/>
    </sheetView>
  </sheetViews>
  <sheetFormatPr defaultColWidth="8.7109375" defaultRowHeight="16.5" x14ac:dyDescent="0.3"/>
  <cols>
    <col min="1" max="1" width="4.140625" style="4" customWidth="1"/>
    <col min="2" max="2" width="46.140625" style="9" customWidth="1"/>
    <col min="3" max="3" width="11.140625" style="9" bestFit="1" customWidth="1"/>
    <col min="4" max="4" width="13.5703125" style="9" bestFit="1" customWidth="1"/>
    <col min="5" max="5" width="10.5703125" style="9" bestFit="1" customWidth="1"/>
    <col min="6" max="6" width="15" style="9" bestFit="1" customWidth="1"/>
    <col min="7" max="7" width="15.5703125" style="9" bestFit="1" customWidth="1"/>
    <col min="8" max="8" width="15.7109375" style="9" bestFit="1" customWidth="1"/>
    <col min="9" max="9" width="18.7109375" style="9" bestFit="1" customWidth="1"/>
    <col min="10" max="10" width="17.7109375" style="9" bestFit="1" customWidth="1"/>
    <col min="11" max="11" width="13.140625" style="78" bestFit="1" customWidth="1"/>
    <col min="12" max="12" width="8.140625" style="9" customWidth="1"/>
    <col min="13" max="13" width="12.7109375" style="9" bestFit="1" customWidth="1"/>
    <col min="14" max="16384" width="8.7109375" style="9"/>
  </cols>
  <sheetData>
    <row r="1" spans="1:13" s="4" customFormat="1" x14ac:dyDescent="0.3">
      <c r="B1" s="4" t="s">
        <v>15</v>
      </c>
      <c r="K1" s="16"/>
    </row>
    <row r="2" spans="1:13" x14ac:dyDescent="0.3">
      <c r="B2" s="9" t="str">
        <f>CONCATENATE("Pupil Center Funding Plan | FY",'1.1 Assumption Control YR1'!D5)</f>
        <v>Pupil Center Funding Plan | FY2026</v>
      </c>
      <c r="K2" s="162"/>
    </row>
    <row r="3" spans="1:13" x14ac:dyDescent="0.3">
      <c r="B3" s="9" t="s">
        <v>1441</v>
      </c>
      <c r="K3" s="162"/>
    </row>
    <row r="4" spans="1:13" x14ac:dyDescent="0.3">
      <c r="D4" s="35" t="s">
        <v>1442</v>
      </c>
      <c r="E4" s="35" t="s">
        <v>241</v>
      </c>
      <c r="I4" s="79"/>
      <c r="J4" s="76"/>
    </row>
    <row r="5" spans="1:13" ht="66" x14ac:dyDescent="0.3">
      <c r="A5" s="4" t="str">
        <f>'2.3 Statewide Base Funding YR1'!A13</f>
        <v>School District</v>
      </c>
      <c r="B5" s="4"/>
      <c r="C5" s="4"/>
      <c r="D5" s="80" t="s">
        <v>1443</v>
      </c>
      <c r="E5" s="644" t="s">
        <v>1444</v>
      </c>
      <c r="F5" s="2010" t="s">
        <v>1445</v>
      </c>
      <c r="G5" s="1775" t="s">
        <v>1446</v>
      </c>
      <c r="H5" s="645" t="s">
        <v>1447</v>
      </c>
      <c r="I5" s="1776" t="s">
        <v>1448</v>
      </c>
      <c r="J5" s="2010" t="s">
        <v>1449</v>
      </c>
    </row>
    <row r="6" spans="1:13" s="1784" customFormat="1" ht="33" x14ac:dyDescent="0.3">
      <c r="A6" s="1737"/>
      <c r="B6" s="1777" t="s">
        <v>1346</v>
      </c>
      <c r="C6" s="330" t="s">
        <v>195</v>
      </c>
      <c r="D6" s="330" t="s">
        <v>226</v>
      </c>
      <c r="E6" s="1778" t="s">
        <v>1450</v>
      </c>
      <c r="F6" s="1779" t="s">
        <v>1451</v>
      </c>
      <c r="G6" s="1780" t="s">
        <v>1452</v>
      </c>
      <c r="H6" s="2095" t="s">
        <v>1453</v>
      </c>
      <c r="I6" s="1781" t="s">
        <v>167</v>
      </c>
      <c r="J6" s="1782" t="s">
        <v>1454</v>
      </c>
      <c r="K6" s="1783" t="s">
        <v>1455</v>
      </c>
    </row>
    <row r="7" spans="1:13" x14ac:dyDescent="0.3">
      <c r="B7" s="9" t="str">
        <f>'1.2 Budgeted Enrollment YR1'!E9</f>
        <v>Carson City</v>
      </c>
      <c r="C7" s="35">
        <f>'1.2 Budgeted Enrollment YR1'!B9</f>
        <v>13</v>
      </c>
      <c r="D7" s="641">
        <f>'2.3 Statewide Base Funding YR1'!C14</f>
        <v>9432</v>
      </c>
      <c r="E7" s="1785">
        <f>IF($E$4="No",0,'1.2 Budgeted Enrollment YR1'!L9)</f>
        <v>0</v>
      </c>
      <c r="F7" s="632">
        <f>ROUND(D7*E7,0)</f>
        <v>0</v>
      </c>
      <c r="G7" s="1786">
        <f>'1.2 Budgeted Enrollment YR1'!G9-E7</f>
        <v>6970.4860982512937</v>
      </c>
      <c r="H7" s="186">
        <f>ROUND(D7*G7,0)</f>
        <v>65745625</v>
      </c>
      <c r="I7" s="1787">
        <f>'1.1 Assumption Control YR1'!M35</f>
        <v>1</v>
      </c>
      <c r="J7" s="1396">
        <f>ROUND(SUM(H7)*(I7-1),0)</f>
        <v>0</v>
      </c>
      <c r="K7" s="643">
        <f>(F7+H7)-'2.3 Statewide Base Funding YR1'!E14</f>
        <v>0</v>
      </c>
    </row>
    <row r="8" spans="1:13" x14ac:dyDescent="0.3">
      <c r="B8" s="9" t="str">
        <f>'1.2 Budgeted Enrollment YR1'!E10</f>
        <v>Churchill</v>
      </c>
      <c r="C8" s="35">
        <f>'1.2 Budgeted Enrollment YR1'!B10</f>
        <v>1</v>
      </c>
      <c r="D8" s="641">
        <f>'2.3 Statewide Base Funding YR1'!C15</f>
        <v>9432</v>
      </c>
      <c r="E8" s="1788">
        <f>IF($E$4="No",0,'1.2 Budgeted Enrollment YR1'!L10)</f>
        <v>0</v>
      </c>
      <c r="F8" s="632">
        <f t="shared" ref="F8:F23" si="0">ROUND(D8*E8,0)</f>
        <v>0</v>
      </c>
      <c r="G8" s="1786">
        <f>'1.2 Budgeted Enrollment YR1'!G10-E8</f>
        <v>3074.1458778318033</v>
      </c>
      <c r="H8" s="186">
        <f t="shared" ref="H8:H23" si="1">ROUND(D8*G8,0)</f>
        <v>28995344</v>
      </c>
      <c r="I8" s="1787">
        <f>'1.1 Assumption Control YR1'!M36</f>
        <v>1</v>
      </c>
      <c r="J8" s="1396">
        <f t="shared" ref="J8:J23" si="2">ROUND(SUM(H8)*(I8-1),0)</f>
        <v>0</v>
      </c>
      <c r="K8" s="643">
        <f>(F8+H8)-'2.3 Statewide Base Funding YR1'!E15</f>
        <v>0</v>
      </c>
      <c r="M8" s="153"/>
    </row>
    <row r="9" spans="1:13" x14ac:dyDescent="0.3">
      <c r="B9" s="9" t="str">
        <f>'1.2 Budgeted Enrollment YR1'!E11</f>
        <v>Clark</v>
      </c>
      <c r="C9" s="35">
        <f>'1.2 Budgeted Enrollment YR1'!B11</f>
        <v>2</v>
      </c>
      <c r="D9" s="641">
        <f>'2.3 Statewide Base Funding YR1'!C16</f>
        <v>9432</v>
      </c>
      <c r="E9" s="1788">
        <f>IF($E$4="No",0,'1.2 Budgeted Enrollment YR1'!L11)</f>
        <v>0</v>
      </c>
      <c r="F9" s="632">
        <f t="shared" si="0"/>
        <v>0</v>
      </c>
      <c r="G9" s="1786">
        <f>'1.2 Budgeted Enrollment YR1'!G11-E9</f>
        <v>285878.81775061262</v>
      </c>
      <c r="H9" s="186">
        <f t="shared" si="1"/>
        <v>2696409009</v>
      </c>
      <c r="I9" s="1787">
        <f>'1.1 Assumption Control YR1'!M37</f>
        <v>1</v>
      </c>
      <c r="J9" s="1396">
        <f t="shared" si="2"/>
        <v>0</v>
      </c>
      <c r="K9" s="643">
        <f>(F9+H9)-'2.3 Statewide Base Funding YR1'!E16</f>
        <v>0</v>
      </c>
      <c r="M9" s="153"/>
    </row>
    <row r="10" spans="1:13" x14ac:dyDescent="0.3">
      <c r="B10" s="9" t="str">
        <f>'1.2 Budgeted Enrollment YR1'!E12</f>
        <v>Douglas</v>
      </c>
      <c r="C10" s="35">
        <f>'1.2 Budgeted Enrollment YR1'!B12</f>
        <v>3</v>
      </c>
      <c r="D10" s="641">
        <f>'2.3 Statewide Base Funding YR1'!C17</f>
        <v>9432</v>
      </c>
      <c r="E10" s="1788">
        <f>IF($E$4="No",0,'1.2 Budgeted Enrollment YR1'!L12)</f>
        <v>0</v>
      </c>
      <c r="F10" s="632">
        <f t="shared" si="0"/>
        <v>0</v>
      </c>
      <c r="G10" s="1786">
        <f>'1.2 Budgeted Enrollment YR1'!G12-E10</f>
        <v>4790.5859463145525</v>
      </c>
      <c r="H10" s="186">
        <f t="shared" si="1"/>
        <v>45184807</v>
      </c>
      <c r="I10" s="1787">
        <f>'1.1 Assumption Control YR1'!M38</f>
        <v>1</v>
      </c>
      <c r="J10" s="1396">
        <f t="shared" si="2"/>
        <v>0</v>
      </c>
      <c r="K10" s="643">
        <f>(F10+H10)-'2.3 Statewide Base Funding YR1'!E17</f>
        <v>0</v>
      </c>
      <c r="M10" s="153"/>
    </row>
    <row r="11" spans="1:13" x14ac:dyDescent="0.3">
      <c r="B11" s="9" t="str">
        <f>'1.2 Budgeted Enrollment YR1'!E13</f>
        <v>Elko</v>
      </c>
      <c r="C11" s="35">
        <f>'1.2 Budgeted Enrollment YR1'!B13</f>
        <v>4</v>
      </c>
      <c r="D11" s="641">
        <f>'2.3 Statewide Base Funding YR1'!C18</f>
        <v>9432</v>
      </c>
      <c r="E11" s="1788">
        <f>IF($E$4="No",0,'1.2 Budgeted Enrollment YR1'!L13)</f>
        <v>0</v>
      </c>
      <c r="F11" s="632">
        <f t="shared" si="0"/>
        <v>0</v>
      </c>
      <c r="G11" s="1786">
        <f>'1.2 Budgeted Enrollment YR1'!G13-E11</f>
        <v>9234.4483500865917</v>
      </c>
      <c r="H11" s="186">
        <f t="shared" si="1"/>
        <v>87099317</v>
      </c>
      <c r="I11" s="1787">
        <f>'1.1 Assumption Control YR1'!M39</f>
        <v>1</v>
      </c>
      <c r="J11" s="1396">
        <f t="shared" si="2"/>
        <v>0</v>
      </c>
      <c r="K11" s="643">
        <f>(F11+H11)-'2.3 Statewide Base Funding YR1'!E18</f>
        <v>0</v>
      </c>
      <c r="M11" s="153"/>
    </row>
    <row r="12" spans="1:13" x14ac:dyDescent="0.3">
      <c r="B12" s="9" t="str">
        <f>'1.2 Budgeted Enrollment YR1'!E14</f>
        <v>Esmeralda</v>
      </c>
      <c r="C12" s="35">
        <f>'1.2 Budgeted Enrollment YR1'!B14</f>
        <v>5</v>
      </c>
      <c r="D12" s="641">
        <f>'2.3 Statewide Base Funding YR1'!C19</f>
        <v>9432</v>
      </c>
      <c r="E12" s="1788">
        <f>IF($E$4="No",0,'1.2 Budgeted Enrollment YR1'!L14)</f>
        <v>0</v>
      </c>
      <c r="F12" s="632">
        <f t="shared" si="0"/>
        <v>0</v>
      </c>
      <c r="G12" s="1786">
        <f>'1.2 Budgeted Enrollment YR1'!G14-E12</f>
        <v>80.635895560117746</v>
      </c>
      <c r="H12" s="186">
        <f t="shared" si="1"/>
        <v>760558</v>
      </c>
      <c r="I12" s="1787">
        <f>'1.1 Assumption Control YR1'!M40</f>
        <v>1</v>
      </c>
      <c r="J12" s="1396">
        <f t="shared" si="2"/>
        <v>0</v>
      </c>
      <c r="K12" s="643">
        <f>(F12+H12)-'2.3 Statewide Base Funding YR1'!E19</f>
        <v>0</v>
      </c>
      <c r="M12" s="153"/>
    </row>
    <row r="13" spans="1:13" x14ac:dyDescent="0.3">
      <c r="B13" s="9" t="str">
        <f>'1.2 Budgeted Enrollment YR1'!E15</f>
        <v>Eureka</v>
      </c>
      <c r="C13" s="35">
        <f>'1.2 Budgeted Enrollment YR1'!B15</f>
        <v>6</v>
      </c>
      <c r="D13" s="641">
        <f>'2.3 Statewide Base Funding YR1'!C20</f>
        <v>9432</v>
      </c>
      <c r="E13" s="1788">
        <f>IF($E$4="No",0,'1.2 Budgeted Enrollment YR1'!L15)</f>
        <v>0</v>
      </c>
      <c r="F13" s="632">
        <f t="shared" si="0"/>
        <v>0</v>
      </c>
      <c r="G13" s="1786">
        <f>'1.2 Budgeted Enrollment YR1'!G15-E13</f>
        <v>297.58201989503061</v>
      </c>
      <c r="H13" s="186">
        <f t="shared" si="1"/>
        <v>2806794</v>
      </c>
      <c r="I13" s="1787">
        <f>'1.1 Assumption Control YR1'!M41</f>
        <v>1</v>
      </c>
      <c r="J13" s="1396">
        <f t="shared" si="2"/>
        <v>0</v>
      </c>
      <c r="K13" s="643">
        <f>(F13+H13)-'2.3 Statewide Base Funding YR1'!E20</f>
        <v>0</v>
      </c>
      <c r="M13" s="153"/>
    </row>
    <row r="14" spans="1:13" x14ac:dyDescent="0.3">
      <c r="B14" s="9" t="str">
        <f>'1.2 Budgeted Enrollment YR1'!E16</f>
        <v>Humboldt</v>
      </c>
      <c r="C14" s="35">
        <f>'1.2 Budgeted Enrollment YR1'!B16</f>
        <v>7</v>
      </c>
      <c r="D14" s="641">
        <f>'2.3 Statewide Base Funding YR1'!C21</f>
        <v>9432</v>
      </c>
      <c r="E14" s="1788">
        <f>IF($E$4="No",0,'1.2 Budgeted Enrollment YR1'!L16)</f>
        <v>0</v>
      </c>
      <c r="F14" s="632">
        <f t="shared" si="0"/>
        <v>0</v>
      </c>
      <c r="G14" s="1786">
        <f>'1.2 Budgeted Enrollment YR1'!G16-E14</f>
        <v>3135.8857800940204</v>
      </c>
      <c r="H14" s="186">
        <f t="shared" si="1"/>
        <v>29577675</v>
      </c>
      <c r="I14" s="1787">
        <f>'1.1 Assumption Control YR1'!M42</f>
        <v>1</v>
      </c>
      <c r="J14" s="1396">
        <f t="shared" si="2"/>
        <v>0</v>
      </c>
      <c r="K14" s="643">
        <f>(F14+H14)-'2.3 Statewide Base Funding YR1'!E21</f>
        <v>0</v>
      </c>
      <c r="M14" s="153"/>
    </row>
    <row r="15" spans="1:13" x14ac:dyDescent="0.3">
      <c r="B15" s="9" t="str">
        <f>'1.2 Budgeted Enrollment YR1'!E17</f>
        <v>Lander</v>
      </c>
      <c r="C15" s="35">
        <f>'1.2 Budgeted Enrollment YR1'!B17</f>
        <v>8</v>
      </c>
      <c r="D15" s="641">
        <f>'2.3 Statewide Base Funding YR1'!C22</f>
        <v>9432</v>
      </c>
      <c r="E15" s="1788">
        <f>IF($E$4="No",0,'1.2 Budgeted Enrollment YR1'!L17)</f>
        <v>0</v>
      </c>
      <c r="F15" s="632">
        <f t="shared" si="0"/>
        <v>0</v>
      </c>
      <c r="G15" s="1786">
        <f>'1.2 Budgeted Enrollment YR1'!G17-E15</f>
        <v>970.28169719049401</v>
      </c>
      <c r="H15" s="186">
        <f t="shared" si="1"/>
        <v>9151697</v>
      </c>
      <c r="I15" s="1787">
        <f>'1.1 Assumption Control YR1'!M43</f>
        <v>1</v>
      </c>
      <c r="J15" s="1396">
        <f t="shared" si="2"/>
        <v>0</v>
      </c>
      <c r="K15" s="643">
        <f>(F15+H15)-'2.3 Statewide Base Funding YR1'!E22</f>
        <v>0</v>
      </c>
      <c r="M15" s="153"/>
    </row>
    <row r="16" spans="1:13" x14ac:dyDescent="0.3">
      <c r="B16" s="9" t="str">
        <f>'1.2 Budgeted Enrollment YR1'!E18</f>
        <v>Lincoln</v>
      </c>
      <c r="C16" s="35">
        <f>'1.2 Budgeted Enrollment YR1'!B18</f>
        <v>9</v>
      </c>
      <c r="D16" s="641">
        <f>'2.3 Statewide Base Funding YR1'!C23</f>
        <v>9432</v>
      </c>
      <c r="E16" s="1788">
        <f>IF($E$4="No",0,'1.2 Budgeted Enrollment YR1'!L18)</f>
        <v>0</v>
      </c>
      <c r="F16" s="632">
        <f t="shared" si="0"/>
        <v>0</v>
      </c>
      <c r="G16" s="1786">
        <f>'1.2 Budgeted Enrollment YR1'!G18-E16</f>
        <v>870.02699048734246</v>
      </c>
      <c r="H16" s="186">
        <f t="shared" si="1"/>
        <v>8206095</v>
      </c>
      <c r="I16" s="1787">
        <f>'1.1 Assumption Control YR1'!M44</f>
        <v>1</v>
      </c>
      <c r="J16" s="1396">
        <f t="shared" si="2"/>
        <v>0</v>
      </c>
      <c r="K16" s="643">
        <f>(F16+H16)-'2.3 Statewide Base Funding YR1'!E23</f>
        <v>0</v>
      </c>
      <c r="M16" s="153"/>
    </row>
    <row r="17" spans="1:13" x14ac:dyDescent="0.3">
      <c r="B17" s="9" t="str">
        <f>'1.2 Budgeted Enrollment YR1'!E19</f>
        <v>Lyon</v>
      </c>
      <c r="C17" s="35">
        <f>'1.2 Budgeted Enrollment YR1'!B19</f>
        <v>10</v>
      </c>
      <c r="D17" s="641">
        <f>'2.3 Statewide Base Funding YR1'!C24</f>
        <v>9432</v>
      </c>
      <c r="E17" s="1788">
        <f>IF($E$4="No",0,'1.2 Budgeted Enrollment YR1'!L19)</f>
        <v>0</v>
      </c>
      <c r="F17" s="632">
        <f t="shared" si="0"/>
        <v>0</v>
      </c>
      <c r="G17" s="1786">
        <f>'1.2 Budgeted Enrollment YR1'!G19-E17</f>
        <v>8933.9764767711295</v>
      </c>
      <c r="H17" s="186">
        <f t="shared" si="1"/>
        <v>84265266</v>
      </c>
      <c r="I17" s="1787">
        <f>'1.1 Assumption Control YR1'!M45</f>
        <v>1</v>
      </c>
      <c r="J17" s="1396">
        <f t="shared" si="2"/>
        <v>0</v>
      </c>
      <c r="K17" s="643">
        <f>(F17+H17)-'2.3 Statewide Base Funding YR1'!E24</f>
        <v>0</v>
      </c>
      <c r="M17" s="153"/>
    </row>
    <row r="18" spans="1:13" x14ac:dyDescent="0.3">
      <c r="B18" s="9" t="str">
        <f>'1.2 Budgeted Enrollment YR1'!E20</f>
        <v>Mineral</v>
      </c>
      <c r="C18" s="35">
        <f>'1.2 Budgeted Enrollment YR1'!B20</f>
        <v>11</v>
      </c>
      <c r="D18" s="641">
        <f>'2.3 Statewide Base Funding YR1'!C25</f>
        <v>9432</v>
      </c>
      <c r="E18" s="1788">
        <f>IF($E$4="No",0,'1.2 Budgeted Enrollment YR1'!L20)</f>
        <v>0</v>
      </c>
      <c r="F18" s="632">
        <f t="shared" si="0"/>
        <v>0</v>
      </c>
      <c r="G18" s="1786">
        <f>'1.2 Budgeted Enrollment YR1'!G20-E18</f>
        <v>509.60323278309136</v>
      </c>
      <c r="H18" s="186">
        <f t="shared" si="1"/>
        <v>4806578</v>
      </c>
      <c r="I18" s="1787">
        <f>'1.1 Assumption Control YR1'!M46</f>
        <v>1</v>
      </c>
      <c r="J18" s="1396">
        <f t="shared" si="2"/>
        <v>0</v>
      </c>
      <c r="K18" s="643">
        <f>(F18+H18)-'2.3 Statewide Base Funding YR1'!E25</f>
        <v>0</v>
      </c>
      <c r="M18" s="153"/>
    </row>
    <row r="19" spans="1:13" x14ac:dyDescent="0.3">
      <c r="B19" s="9" t="str">
        <f>'1.2 Budgeted Enrollment YR1'!E21</f>
        <v>Nye</v>
      </c>
      <c r="C19" s="35">
        <f>'1.2 Budgeted Enrollment YR1'!B21</f>
        <v>12</v>
      </c>
      <c r="D19" s="641">
        <f>'2.3 Statewide Base Funding YR1'!C26</f>
        <v>9432</v>
      </c>
      <c r="E19" s="1788">
        <f>IF($E$4="No",0,'1.2 Budgeted Enrollment YR1'!L21)</f>
        <v>0</v>
      </c>
      <c r="F19" s="632">
        <f t="shared" si="0"/>
        <v>0</v>
      </c>
      <c r="G19" s="1786">
        <f>'1.2 Budgeted Enrollment YR1'!G21-E19</f>
        <v>5457.0457625112185</v>
      </c>
      <c r="H19" s="186">
        <f t="shared" si="1"/>
        <v>51470856</v>
      </c>
      <c r="I19" s="1787">
        <f>'1.1 Assumption Control YR1'!M47</f>
        <v>1</v>
      </c>
      <c r="J19" s="1396">
        <f t="shared" si="2"/>
        <v>0</v>
      </c>
      <c r="K19" s="643">
        <f>(F19+H19)-'2.3 Statewide Base Funding YR1'!E26</f>
        <v>0</v>
      </c>
      <c r="M19" s="153"/>
    </row>
    <row r="20" spans="1:13" x14ac:dyDescent="0.3">
      <c r="B20" s="9" t="str">
        <f>'1.2 Budgeted Enrollment YR1'!E22</f>
        <v>Pershing</v>
      </c>
      <c r="C20" s="35">
        <f>'1.2 Budgeted Enrollment YR1'!B22</f>
        <v>14</v>
      </c>
      <c r="D20" s="641">
        <f>'2.3 Statewide Base Funding YR1'!C27</f>
        <v>9432</v>
      </c>
      <c r="E20" s="1788">
        <f>IF($E$4="No",0,'1.2 Budgeted Enrollment YR1'!L22)</f>
        <v>0</v>
      </c>
      <c r="F20" s="632">
        <f t="shared" si="0"/>
        <v>0</v>
      </c>
      <c r="G20" s="1786">
        <f>'1.2 Budgeted Enrollment YR1'!G22-E20</f>
        <v>635.8592256998902</v>
      </c>
      <c r="H20" s="186">
        <f t="shared" si="1"/>
        <v>5997424</v>
      </c>
      <c r="I20" s="1787">
        <f>'1.1 Assumption Control YR1'!M48</f>
        <v>1</v>
      </c>
      <c r="J20" s="1396">
        <f t="shared" si="2"/>
        <v>0</v>
      </c>
      <c r="K20" s="643">
        <f>(F20+H20)-'2.3 Statewide Base Funding YR1'!E27</f>
        <v>0</v>
      </c>
    </row>
    <row r="21" spans="1:13" x14ac:dyDescent="0.3">
      <c r="B21" s="9" t="str">
        <f>'1.2 Budgeted Enrollment YR1'!E23</f>
        <v>Storey</v>
      </c>
      <c r="C21" s="35">
        <f>'1.2 Budgeted Enrollment YR1'!B23</f>
        <v>15</v>
      </c>
      <c r="D21" s="641">
        <f>'2.3 Statewide Base Funding YR1'!C28</f>
        <v>9432</v>
      </c>
      <c r="E21" s="1788">
        <f>IF($E$4="No",0,'1.2 Budgeted Enrollment YR1'!L23)</f>
        <v>0</v>
      </c>
      <c r="F21" s="632">
        <f t="shared" si="0"/>
        <v>0</v>
      </c>
      <c r="G21" s="1786">
        <f>'1.2 Budgeted Enrollment YR1'!G23-E21</f>
        <v>395.34078642383383</v>
      </c>
      <c r="H21" s="186">
        <f t="shared" si="1"/>
        <v>3728854</v>
      </c>
      <c r="I21" s="1787">
        <f>'1.1 Assumption Control YR1'!M49</f>
        <v>1</v>
      </c>
      <c r="J21" s="1396">
        <f t="shared" si="2"/>
        <v>0</v>
      </c>
      <c r="K21" s="643">
        <f>(F21+H21)-'2.3 Statewide Base Funding YR1'!E28</f>
        <v>0</v>
      </c>
    </row>
    <row r="22" spans="1:13" x14ac:dyDescent="0.3">
      <c r="B22" s="9" t="str">
        <f>'1.2 Budgeted Enrollment YR1'!E24</f>
        <v>Washoe</v>
      </c>
      <c r="C22" s="35">
        <f>'1.2 Budgeted Enrollment YR1'!B24</f>
        <v>16</v>
      </c>
      <c r="D22" s="641">
        <f>'2.3 Statewide Base Funding YR1'!C29</f>
        <v>9432</v>
      </c>
      <c r="E22" s="1788">
        <f>IF($E$4="No",0,'1.2 Budgeted Enrollment YR1'!L24)</f>
        <v>0</v>
      </c>
      <c r="F22" s="632">
        <f t="shared" si="0"/>
        <v>0</v>
      </c>
      <c r="G22" s="1786">
        <f>'1.2 Budgeted Enrollment YR1'!G24-E22</f>
        <v>58816.718998091914</v>
      </c>
      <c r="H22" s="186">
        <f t="shared" si="1"/>
        <v>554759294</v>
      </c>
      <c r="I22" s="1787">
        <f>'1.1 Assumption Control YR1'!M50</f>
        <v>1</v>
      </c>
      <c r="J22" s="1396">
        <f t="shared" si="2"/>
        <v>0</v>
      </c>
      <c r="K22" s="643">
        <f>(F22+H22)-'2.3 Statewide Base Funding YR1'!E29</f>
        <v>0</v>
      </c>
    </row>
    <row r="23" spans="1:13" x14ac:dyDescent="0.3">
      <c r="A23" s="135"/>
      <c r="B23" s="137" t="str">
        <f>'1.2 Budgeted Enrollment YR1'!E25</f>
        <v>White Pine</v>
      </c>
      <c r="C23" s="304">
        <f>'1.2 Budgeted Enrollment YR1'!B25</f>
        <v>17</v>
      </c>
      <c r="D23" s="183">
        <f>'2.3 Statewide Base Funding YR1'!C30</f>
        <v>9432</v>
      </c>
      <c r="E23" s="1789">
        <f>IF($E$4="No",0,'1.2 Budgeted Enrollment YR1'!L25)</f>
        <v>0</v>
      </c>
      <c r="F23" s="630">
        <f t="shared" si="0"/>
        <v>0</v>
      </c>
      <c r="G23" s="1790">
        <f>'1.2 Budgeted Enrollment YR1'!G25-E23</f>
        <v>1231.0239819599622</v>
      </c>
      <c r="H23" s="468">
        <f t="shared" si="1"/>
        <v>11611018</v>
      </c>
      <c r="I23" s="1791">
        <f>'1.1 Assumption Control YR1'!M51</f>
        <v>1</v>
      </c>
      <c r="J23" s="1397">
        <f t="shared" si="2"/>
        <v>0</v>
      </c>
      <c r="K23" s="643">
        <f>(F23+H23)-'2.3 Statewide Base Funding YR1'!E30</f>
        <v>0</v>
      </c>
    </row>
    <row r="24" spans="1:13" x14ac:dyDescent="0.3">
      <c r="B24" s="9" t="str">
        <f>'1.2 Budgeted Enrollment YR1'!E26</f>
        <v>Charter Schools</v>
      </c>
      <c r="C24" s="35">
        <f>'1.2 Budgeted Enrollment YR1'!B26</f>
        <v>18</v>
      </c>
      <c r="D24" s="641">
        <f>'2.3 Statewide Base Funding YR1'!C31</f>
        <v>9432</v>
      </c>
      <c r="E24" s="1788">
        <f>'1.2 Budgeted Enrollment YR1'!L26</f>
        <v>3425.1842297671528</v>
      </c>
      <c r="F24" s="1792">
        <f>F94</f>
        <v>32306338</v>
      </c>
      <c r="G24" s="1793">
        <f>G94</f>
        <v>68876.422436899535</v>
      </c>
      <c r="H24" s="186">
        <f>H94</f>
        <v>649642418</v>
      </c>
      <c r="I24" s="649"/>
      <c r="J24" s="394">
        <f>J94</f>
        <v>0</v>
      </c>
      <c r="K24" s="643">
        <f>(F24+H24)-'2.3 Statewide Base Funding YR1'!E31</f>
        <v>0</v>
      </c>
    </row>
    <row r="25" spans="1:13" x14ac:dyDescent="0.3">
      <c r="B25" s="9" t="str">
        <f>'1.2 Budgeted Enrollment YR1'!E27</f>
        <v>University Schools</v>
      </c>
      <c r="C25" s="35">
        <f>'1.2 Budgeted Enrollment YR1'!B27</f>
        <v>19</v>
      </c>
      <c r="D25" s="177">
        <f>'2.3 Statewide Base Funding YR1'!C32</f>
        <v>9432</v>
      </c>
      <c r="E25" s="1788">
        <f>'1.2 Budgeted Enrollment YR1'!L27</f>
        <v>0</v>
      </c>
      <c r="F25" s="1794">
        <f>F99</f>
        <v>0</v>
      </c>
      <c r="G25" s="1793">
        <f>G99</f>
        <v>167.88437423074134</v>
      </c>
      <c r="H25" s="186">
        <f>H99</f>
        <v>1583485</v>
      </c>
      <c r="I25" s="649"/>
      <c r="J25" s="394">
        <f>J99</f>
        <v>0</v>
      </c>
      <c r="K25" s="643">
        <f>(F25+H25)-'2.3 Statewide Base Funding YR1'!E32</f>
        <v>0</v>
      </c>
    </row>
    <row r="26" spans="1:13" x14ac:dyDescent="0.3">
      <c r="B26" s="9" t="str">
        <f>'1.2 Budgeted Enrollment YR1'!E28</f>
        <v>City of Henderson</v>
      </c>
      <c r="C26" s="35">
        <f>'1.2 Budgeted Enrollment YR1'!B28</f>
        <v>20</v>
      </c>
      <c r="D26" s="177">
        <f>'2.3 Statewide Base Funding YR1'!C33</f>
        <v>9432</v>
      </c>
      <c r="E26" s="1788">
        <f>'1.2 Budgeted Enrollment YR1'!L28</f>
        <v>0</v>
      </c>
      <c r="F26" s="1794">
        <f>F104</f>
        <v>0</v>
      </c>
      <c r="G26" s="1793">
        <f>G104</f>
        <v>0</v>
      </c>
      <c r="H26" s="186">
        <f>H104</f>
        <v>0</v>
      </c>
      <c r="I26" s="649"/>
      <c r="J26" s="394">
        <f>J104</f>
        <v>0</v>
      </c>
      <c r="K26" s="643"/>
    </row>
    <row r="27" spans="1:13" x14ac:dyDescent="0.3">
      <c r="B27" s="9" t="str">
        <f>'1.2 Budgeted Enrollment YR1'!E29</f>
        <v>City of North Las Vegas</v>
      </c>
      <c r="C27" s="35">
        <f>'1.2 Budgeted Enrollment YR1'!B29</f>
        <v>21</v>
      </c>
      <c r="D27" s="177">
        <f>'2.3 Statewide Base Funding YR1'!C34</f>
        <v>9432</v>
      </c>
      <c r="E27" s="1788">
        <f>'1.2 Budgeted Enrollment YR1'!L29</f>
        <v>0</v>
      </c>
      <c r="F27" s="1794">
        <f>F109</f>
        <v>0</v>
      </c>
      <c r="G27" s="1793">
        <f>G109</f>
        <v>0</v>
      </c>
      <c r="H27" s="186">
        <f>H109</f>
        <v>0</v>
      </c>
      <c r="I27" s="649"/>
      <c r="J27" s="394">
        <f>J109</f>
        <v>0</v>
      </c>
      <c r="K27" s="643"/>
    </row>
    <row r="28" spans="1:13" s="4" customFormat="1" x14ac:dyDescent="0.3">
      <c r="A28" s="289"/>
      <c r="B28" s="291" t="s">
        <v>1456</v>
      </c>
      <c r="C28" s="291"/>
      <c r="D28" s="291"/>
      <c r="E28" s="1795">
        <f>SUM(E7:E27)</f>
        <v>3425.1842297671528</v>
      </c>
      <c r="F28" s="1796">
        <f>SUM(F7:F27)</f>
        <v>32306338</v>
      </c>
      <c r="G28" s="1797">
        <f>SUM(G7:G27)</f>
        <v>460326.77168169525</v>
      </c>
      <c r="H28" s="408">
        <f>SUM(H7:H27)</f>
        <v>4341802114</v>
      </c>
      <c r="I28" s="1798"/>
      <c r="J28" s="377">
        <f>SUM(J7:J27)</f>
        <v>0</v>
      </c>
    </row>
    <row r="29" spans="1:13" x14ac:dyDescent="0.3">
      <c r="G29" s="1786"/>
      <c r="H29" s="15"/>
      <c r="I29" s="82"/>
      <c r="J29" s="15"/>
    </row>
    <row r="30" spans="1:13" s="83" customFormat="1" ht="64.5" customHeight="1" x14ac:dyDescent="0.3">
      <c r="A30" s="464" t="str">
        <f>'2.3 Statewide Base Funding YR1'!A37</f>
        <v>Charter Schools</v>
      </c>
      <c r="B30" s="465"/>
      <c r="C30" s="466"/>
      <c r="D30" s="631" t="str">
        <f>D5</f>
        <v>Statewide Base Per pupil Funding</v>
      </c>
      <c r="E30" s="278" t="str">
        <f t="shared" ref="E30:J30" si="3">E5</f>
        <v>Distant Education Enrollment</v>
      </c>
      <c r="F30" s="631" t="str">
        <f t="shared" si="3"/>
        <v>Statewide Base Total for Distant Education</v>
      </c>
      <c r="G30" s="278" t="str">
        <f t="shared" si="3"/>
        <v>Total Enrollment less Distant Education</v>
      </c>
      <c r="H30" s="608" t="str">
        <f t="shared" si="3"/>
        <v xml:space="preserve">Total Statewide base less Distant Education </v>
      </c>
      <c r="I30" s="278" t="str">
        <f t="shared" si="3"/>
        <v>NCEI, Using CWI All Workers for Wages, and RPP “Goods” for Non-wages</v>
      </c>
      <c r="J30" s="631" t="str">
        <f t="shared" si="3"/>
        <v xml:space="preserve">Nevada Cost of Education Index (NCEI) Adjustment </v>
      </c>
      <c r="K30" s="171"/>
    </row>
    <row r="31" spans="1:13" s="1802" customFormat="1" x14ac:dyDescent="0.3">
      <c r="A31" s="1799"/>
      <c r="B31" s="1800" t="s">
        <v>1346</v>
      </c>
      <c r="C31" s="1700" t="str">
        <f>C6</f>
        <v>Tab 1.2</v>
      </c>
      <c r="D31" s="1996" t="str">
        <f t="shared" ref="D31:J31" si="4">D6</f>
        <v>Tab 2.3</v>
      </c>
      <c r="E31" s="227" t="str">
        <f t="shared" si="4"/>
        <v>N/A</v>
      </c>
      <c r="F31" s="1996" t="str">
        <f t="shared" si="4"/>
        <v>=(D * E)</v>
      </c>
      <c r="G31" s="227" t="str">
        <f t="shared" si="4"/>
        <v>=Tab 1.2 - E</v>
      </c>
      <c r="H31" s="635" t="str">
        <f t="shared" si="4"/>
        <v>Tab 2.2</v>
      </c>
      <c r="I31" s="1700" t="str">
        <f t="shared" si="4"/>
        <v>Tab 1.1</v>
      </c>
      <c r="J31" s="1996" t="str">
        <f t="shared" si="4"/>
        <v>=(E * (G - 1))</v>
      </c>
      <c r="K31" s="1801"/>
    </row>
    <row r="32" spans="1:13" x14ac:dyDescent="0.3">
      <c r="A32" s="156"/>
      <c r="B32" s="9" t="str">
        <f>'1.2 Budgeted Enrollment YR1'!E34</f>
        <v>FuturEdge (Formerly 100 Academy Of Excellence)</v>
      </c>
      <c r="C32" s="399" t="str">
        <f>'1.2 Budgeted Enrollment YR1'!A34</f>
        <v>Clark</v>
      </c>
      <c r="D32" s="1396">
        <f>'2.3 Statewide Base Funding YR1'!C38</f>
        <v>9432</v>
      </c>
      <c r="E32" s="1803">
        <f>'1.2 Budgeted Enrollment YR1'!L34</f>
        <v>0</v>
      </c>
      <c r="F32" s="1396">
        <f>ROUND(D32*E32,0)</f>
        <v>0</v>
      </c>
      <c r="G32" s="1804">
        <f>'1.2 Budgeted Enrollment YR1'!G34-E32</f>
        <v>240.86136805673826</v>
      </c>
      <c r="H32" s="646">
        <f>ROUND(D32*G32,0)</f>
        <v>2271804</v>
      </c>
      <c r="I32" s="1805">
        <f>VLOOKUP($C32,'2.5 NCEI Adj. YR1'!$B$7:$I$23,8)</f>
        <v>1</v>
      </c>
      <c r="J32" s="1396">
        <f>ROUND(SUM(H32)*(I32-1),0)</f>
        <v>0</v>
      </c>
    </row>
    <row r="33" spans="1:11" x14ac:dyDescent="0.3">
      <c r="A33" s="156"/>
      <c r="B33" s="9" t="str">
        <f>'1.2 Budgeted Enrollment YR1'!E35</f>
        <v>Academy For Career Education</v>
      </c>
      <c r="C33" s="399" t="str">
        <f>'1.2 Budgeted Enrollment YR1'!A35</f>
        <v>Washoe</v>
      </c>
      <c r="D33" s="1396">
        <f>'2.3 Statewide Base Funding YR1'!C39</f>
        <v>9432</v>
      </c>
      <c r="E33" s="1803">
        <f>'1.2 Budgeted Enrollment YR1'!L35</f>
        <v>0</v>
      </c>
      <c r="F33" s="1396">
        <f t="shared" ref="F33:F92" si="5">ROUND(D33*E33,0)</f>
        <v>0</v>
      </c>
      <c r="G33" s="1804">
        <f>'1.2 Budgeted Enrollment YR1'!G35-E33</f>
        <v>253.57864951202251</v>
      </c>
      <c r="H33" s="646">
        <f t="shared" ref="H33:H92" si="6">ROUND(D33*G33,0)</f>
        <v>2391754</v>
      </c>
      <c r="I33" s="1805">
        <f>VLOOKUP($C33,'2.5 NCEI Adj. YR1'!$B$7:$I$23,8)</f>
        <v>1</v>
      </c>
      <c r="J33" s="1396">
        <f t="shared" ref="J33:J93" si="7">ROUND(SUM(H33)*(I33-1),0)</f>
        <v>0</v>
      </c>
    </row>
    <row r="34" spans="1:11" x14ac:dyDescent="0.3">
      <c r="A34" s="156"/>
      <c r="B34" s="9" t="str">
        <f>'1.2 Budgeted Enrollment YR1'!E36</f>
        <v xml:space="preserve">Alpine Academy </v>
      </c>
      <c r="C34" s="399" t="str">
        <f>'1.2 Budgeted Enrollment YR1'!A36</f>
        <v>Washoe</v>
      </c>
      <c r="D34" s="1396">
        <f>'2.3 Statewide Base Funding YR1'!C40</f>
        <v>9432</v>
      </c>
      <c r="E34" s="1803">
        <f>'1.2 Budgeted Enrollment YR1'!L36</f>
        <v>0</v>
      </c>
      <c r="F34" s="1396">
        <f t="shared" si="5"/>
        <v>0</v>
      </c>
      <c r="G34" s="1804">
        <f>'1.2 Budgeted Enrollment YR1'!G36-E34</f>
        <v>164.31844740358281</v>
      </c>
      <c r="H34" s="646">
        <f t="shared" si="6"/>
        <v>1549852</v>
      </c>
      <c r="I34" s="1805">
        <f>VLOOKUP($C34,'2.5 NCEI Adj. YR1'!$B$7:$I$23,8)</f>
        <v>1</v>
      </c>
      <c r="J34" s="1396">
        <f t="shared" si="7"/>
        <v>0</v>
      </c>
    </row>
    <row r="35" spans="1:11" x14ac:dyDescent="0.3">
      <c r="A35" s="156"/>
      <c r="B35" s="9" t="str">
        <f>'1.2 Budgeted Enrollment YR1'!E37</f>
        <v xml:space="preserve">Amplus (Formerly American Preparatory Academy) </v>
      </c>
      <c r="C35" s="399" t="str">
        <f>'1.2 Budgeted Enrollment YR1'!A37</f>
        <v>Clark</v>
      </c>
      <c r="D35" s="1396">
        <f>'2.3 Statewide Base Funding YR1'!C41</f>
        <v>9432</v>
      </c>
      <c r="E35" s="1803">
        <f>'1.2 Budgeted Enrollment YR1'!L37</f>
        <v>0</v>
      </c>
      <c r="F35" s="1396">
        <f t="shared" si="5"/>
        <v>0</v>
      </c>
      <c r="G35" s="1804">
        <f>'1.2 Budgeted Enrollment YR1'!G37-E35</f>
        <v>2368.9011816066622</v>
      </c>
      <c r="H35" s="646">
        <f t="shared" si="6"/>
        <v>22343476</v>
      </c>
      <c r="I35" s="1805">
        <f>VLOOKUP($C35,'2.5 NCEI Adj. YR1'!$B$7:$I$23,8)</f>
        <v>1</v>
      </c>
      <c r="J35" s="1396">
        <f t="shared" si="7"/>
        <v>0</v>
      </c>
    </row>
    <row r="36" spans="1:11" x14ac:dyDescent="0.3">
      <c r="A36" s="156"/>
      <c r="B36" s="9" t="str">
        <f>'1.2 Budgeted Enrollment YR1'!E38</f>
        <v>Bailey Charter School</v>
      </c>
      <c r="C36" s="399" t="str">
        <f>'1.2 Budgeted Enrollment YR1'!A38</f>
        <v>Washoe</v>
      </c>
      <c r="D36" s="1396">
        <f>'2.3 Statewide Base Funding YR1'!C42</f>
        <v>9432</v>
      </c>
      <c r="E36" s="1803">
        <f>'1.2 Budgeted Enrollment YR1'!L38</f>
        <v>0</v>
      </c>
      <c r="F36" s="1396">
        <f t="shared" si="5"/>
        <v>0</v>
      </c>
      <c r="G36" s="1804">
        <f>'1.2 Budgeted Enrollment YR1'!G38-E36</f>
        <v>166.53929996193739</v>
      </c>
      <c r="H36" s="646">
        <f t="shared" si="6"/>
        <v>1570799</v>
      </c>
      <c r="I36" s="1805">
        <f>VLOOKUP($C36,'2.5 NCEI Adj. YR1'!$B$7:$I$23,8)</f>
        <v>1</v>
      </c>
      <c r="J36" s="1396">
        <f t="shared" si="7"/>
        <v>0</v>
      </c>
    </row>
    <row r="37" spans="1:11" x14ac:dyDescent="0.3">
      <c r="A37" s="156"/>
      <c r="B37" s="9" t="str">
        <f>'1.2 Budgeted Enrollment YR1'!E39</f>
        <v>Battle Born Academy</v>
      </c>
      <c r="C37" s="399" t="str">
        <f>'1.2 Budgeted Enrollment YR1'!A39</f>
        <v>Clark</v>
      </c>
      <c r="D37" s="1396">
        <f>'2.3 Statewide Base Funding YR1'!C43</f>
        <v>9432</v>
      </c>
      <c r="E37" s="1803">
        <f>'1.2 Budgeted Enrollment YR1'!L39</f>
        <v>0</v>
      </c>
      <c r="F37" s="1396">
        <f t="shared" si="5"/>
        <v>0</v>
      </c>
      <c r="G37" s="1804">
        <f>'1.2 Budgeted Enrollment YR1'!G39-E37</f>
        <v>270.53331354166147</v>
      </c>
      <c r="H37" s="646">
        <f t="shared" si="6"/>
        <v>2551670</v>
      </c>
      <c r="I37" s="1805">
        <f>VLOOKUP($C37,'2.5 NCEI Adj. YR1'!$B$7:$I$23,8)</f>
        <v>1</v>
      </c>
      <c r="J37" s="1396">
        <f t="shared" si="7"/>
        <v>0</v>
      </c>
    </row>
    <row r="38" spans="1:11" x14ac:dyDescent="0.3">
      <c r="A38" s="156"/>
      <c r="B38" s="9" t="str">
        <f>'1.2 Budgeted Enrollment YR1'!E40</f>
        <v>Beacon Academy</v>
      </c>
      <c r="C38" s="399" t="str">
        <f>'1.2 Budgeted Enrollment YR1'!A40</f>
        <v>Clark</v>
      </c>
      <c r="D38" s="1396">
        <f>'2.3 Statewide Base Funding YR1'!C44</f>
        <v>9432</v>
      </c>
      <c r="E38" s="1803">
        <f>'1.2 Budgeted Enrollment YR1'!L40</f>
        <v>0</v>
      </c>
      <c r="F38" s="1396">
        <f t="shared" si="5"/>
        <v>0</v>
      </c>
      <c r="G38" s="1804">
        <f>'1.2 Budgeted Enrollment YR1'!G40-E38</f>
        <v>857.51912183963623</v>
      </c>
      <c r="H38" s="646">
        <f t="shared" si="6"/>
        <v>8088120</v>
      </c>
      <c r="I38" s="1805">
        <f>VLOOKUP($C38,'2.5 NCEI Adj. YR1'!$B$7:$I$23,8)</f>
        <v>1</v>
      </c>
      <c r="J38" s="1396">
        <f t="shared" si="7"/>
        <v>0</v>
      </c>
    </row>
    <row r="39" spans="1:11" x14ac:dyDescent="0.3">
      <c r="A39" s="156"/>
      <c r="B39" s="9" t="str">
        <f>'1.2 Budgeted Enrollment YR1'!E41</f>
        <v>Cactus Park</v>
      </c>
      <c r="C39" s="399" t="str">
        <f>'1.2 Budgeted Enrollment YR1'!A41</f>
        <v>Clark</v>
      </c>
      <c r="D39" s="1396">
        <f>'2.3 Statewide Base Funding YR1'!C45</f>
        <v>9432</v>
      </c>
      <c r="E39" s="1803">
        <f>'1.2 Budgeted Enrollment YR1'!L41</f>
        <v>0</v>
      </c>
      <c r="F39" s="1396">
        <f t="shared" si="5"/>
        <v>0</v>
      </c>
      <c r="G39" s="1804">
        <f>'1.2 Budgeted Enrollment YR1'!G41-E39</f>
        <v>301.59239347241777</v>
      </c>
      <c r="H39" s="646">
        <f t="shared" si="6"/>
        <v>2844619</v>
      </c>
      <c r="I39" s="1805">
        <f>VLOOKUP($C39,'2.5 NCEI Adj. YR1'!$B$7:$I$23,8)</f>
        <v>1</v>
      </c>
      <c r="J39" s="1396">
        <f t="shared" si="7"/>
        <v>0</v>
      </c>
    </row>
    <row r="40" spans="1:11" x14ac:dyDescent="0.3">
      <c r="A40" s="156"/>
      <c r="B40" s="9" t="str">
        <f>'1.2 Budgeted Enrollment YR1'!E42</f>
        <v>Carson Montessori</v>
      </c>
      <c r="C40" s="399" t="str">
        <f>'1.2 Budgeted Enrollment YR1'!A42</f>
        <v>Carson City</v>
      </c>
      <c r="D40" s="1396">
        <f>'2.3 Statewide Base Funding YR1'!C46</f>
        <v>9432</v>
      </c>
      <c r="E40" s="1803">
        <f>'1.2 Budgeted Enrollment YR1'!L42</f>
        <v>0</v>
      </c>
      <c r="F40" s="1396">
        <f t="shared" si="5"/>
        <v>0</v>
      </c>
      <c r="G40" s="1804">
        <f>'1.2 Budgeted Enrollment YR1'!G42-E40</f>
        <v>296.55722891108132</v>
      </c>
      <c r="H40" s="646">
        <f t="shared" si="6"/>
        <v>2797128</v>
      </c>
      <c r="I40" s="1805">
        <f>VLOOKUP($C40,'2.5 NCEI Adj. YR1'!$B$7:$I$23,8)</f>
        <v>1</v>
      </c>
      <c r="J40" s="1396">
        <f t="shared" si="7"/>
        <v>0</v>
      </c>
    </row>
    <row r="41" spans="1:11" x14ac:dyDescent="0.3">
      <c r="A41" s="156"/>
      <c r="B41" s="9" t="str">
        <f>'1.2 Budgeted Enrollment YR1'!E43</f>
        <v>CIVICA Nevada Career &amp; Collegiate Academy</v>
      </c>
      <c r="C41" s="399" t="str">
        <f>'1.2 Budgeted Enrollment YR1'!A43</f>
        <v>Clark</v>
      </c>
      <c r="D41" s="1396">
        <f>'2.3 Statewide Base Funding YR1'!C47</f>
        <v>9432</v>
      </c>
      <c r="E41" s="1803">
        <f>'1.2 Budgeted Enrollment YR1'!L43</f>
        <v>0</v>
      </c>
      <c r="F41" s="1396">
        <f t="shared" si="5"/>
        <v>0</v>
      </c>
      <c r="G41" s="1804">
        <f>'1.2 Budgeted Enrollment YR1'!G43-E41</f>
        <v>916.3393721230467</v>
      </c>
      <c r="H41" s="646">
        <f t="shared" si="6"/>
        <v>8642913</v>
      </c>
      <c r="I41" s="1805">
        <f>VLOOKUP($C41,'2.5 NCEI Adj. YR1'!$B$7:$I$23,8)</f>
        <v>1</v>
      </c>
      <c r="J41" s="1396">
        <f t="shared" si="7"/>
        <v>0</v>
      </c>
    </row>
    <row r="42" spans="1:11" x14ac:dyDescent="0.3">
      <c r="A42" s="156"/>
      <c r="B42" s="9" t="str">
        <f>'1.2 Budgeted Enrollment YR1'!E44</f>
        <v>Coral Academy of Science Las Vegas</v>
      </c>
      <c r="C42" s="399" t="str">
        <f>'1.2 Budgeted Enrollment YR1'!A44</f>
        <v>Clark</v>
      </c>
      <c r="D42" s="1396">
        <f>'2.3 Statewide Base Funding YR1'!C48</f>
        <v>9432</v>
      </c>
      <c r="E42" s="1803">
        <f>'1.2 Budgeted Enrollment YR1'!L44</f>
        <v>0</v>
      </c>
      <c r="F42" s="1396">
        <f t="shared" si="5"/>
        <v>0</v>
      </c>
      <c r="G42" s="1804">
        <f>'1.2 Budgeted Enrollment YR1'!G44-E42</f>
        <v>5480.3063751434274</v>
      </c>
      <c r="H42" s="646">
        <f t="shared" si="6"/>
        <v>51690250</v>
      </c>
      <c r="I42" s="1805">
        <f>VLOOKUP($C42,'2.5 NCEI Adj. YR1'!$B$7:$I$23,8)</f>
        <v>1</v>
      </c>
      <c r="J42" s="1396">
        <f t="shared" si="7"/>
        <v>0</v>
      </c>
    </row>
    <row r="43" spans="1:11" x14ac:dyDescent="0.3">
      <c r="A43" s="156"/>
      <c r="B43" s="9" t="str">
        <f>'1.2 Budgeted Enrollment YR1'!E45</f>
        <v>Coral Academy Washoe</v>
      </c>
      <c r="C43" s="399" t="str">
        <f>'1.2 Budgeted Enrollment YR1'!A45</f>
        <v>Washoe</v>
      </c>
      <c r="D43" s="1396">
        <f>'2.3 Statewide Base Funding YR1'!C49</f>
        <v>9432</v>
      </c>
      <c r="E43" s="1803">
        <f>'1.2 Budgeted Enrollment YR1'!L45</f>
        <v>0</v>
      </c>
      <c r="F43" s="1396">
        <f t="shared" si="5"/>
        <v>0</v>
      </c>
      <c r="G43" s="1804">
        <f>'1.2 Budgeted Enrollment YR1'!G45-E43</f>
        <v>2027.9998005260131</v>
      </c>
      <c r="H43" s="646">
        <f t="shared" si="6"/>
        <v>19128094</v>
      </c>
      <c r="I43" s="1805">
        <f>VLOOKUP($C43,'2.5 NCEI Adj. YR1'!$B$7:$I$23,8)</f>
        <v>1</v>
      </c>
      <c r="J43" s="1396">
        <f t="shared" si="7"/>
        <v>0</v>
      </c>
    </row>
    <row r="44" spans="1:11" x14ac:dyDescent="0.3">
      <c r="A44" s="156"/>
      <c r="B44" s="9" t="str">
        <f>'1.2 Budgeted Enrollment YR1'!E46</f>
        <v>Delta Academy</v>
      </c>
      <c r="C44" s="399" t="str">
        <f>'1.2 Budgeted Enrollment YR1'!A46</f>
        <v>Clark</v>
      </c>
      <c r="D44" s="1396">
        <f>'2.3 Statewide Base Funding YR1'!C50</f>
        <v>9432</v>
      </c>
      <c r="E44" s="1803">
        <f>'1.2 Budgeted Enrollment YR1'!L46</f>
        <v>0</v>
      </c>
      <c r="F44" s="1396">
        <f t="shared" si="5"/>
        <v>0</v>
      </c>
      <c r="G44" s="1804">
        <f>'1.2 Budgeted Enrollment YR1'!G46-E44</f>
        <v>1405.0080479301287</v>
      </c>
      <c r="H44" s="646">
        <f t="shared" si="6"/>
        <v>13252036</v>
      </c>
      <c r="I44" s="1805">
        <f>VLOOKUP($C44,'2.5 NCEI Adj. YR1'!$B$7:$I$23,8)</f>
        <v>1</v>
      </c>
      <c r="J44" s="1396">
        <f t="shared" si="7"/>
        <v>0</v>
      </c>
    </row>
    <row r="45" spans="1:11" x14ac:dyDescent="0.3">
      <c r="A45" s="156"/>
      <c r="B45" s="9" t="str">
        <f>'1.2 Budgeted Enrollment YR1'!E47</f>
        <v>Democracy Prep</v>
      </c>
      <c r="C45" s="399" t="str">
        <f>'1.2 Budgeted Enrollment YR1'!A47</f>
        <v>Clark</v>
      </c>
      <c r="D45" s="1396">
        <f>'2.3 Statewide Base Funding YR1'!C51</f>
        <v>9432</v>
      </c>
      <c r="E45" s="1803">
        <f>'1.2 Budgeted Enrollment YR1'!L47</f>
        <v>0</v>
      </c>
      <c r="F45" s="1396">
        <f t="shared" si="5"/>
        <v>0</v>
      </c>
      <c r="G45" s="1804">
        <f>'1.2 Budgeted Enrollment YR1'!G47-E45</f>
        <v>1279.0046975769933</v>
      </c>
      <c r="H45" s="646">
        <f t="shared" si="6"/>
        <v>12063572</v>
      </c>
      <c r="I45" s="1805">
        <f>VLOOKUP($C45,'2.5 NCEI Adj. YR1'!$B$7:$I$23,8)</f>
        <v>1</v>
      </c>
      <c r="J45" s="1396">
        <f t="shared" si="7"/>
        <v>0</v>
      </c>
    </row>
    <row r="46" spans="1:11" x14ac:dyDescent="0.3">
      <c r="A46" s="156"/>
      <c r="B46" s="9" t="str">
        <f>'1.2 Budgeted Enrollment YR1'!E48</f>
        <v>Discovery Charter</v>
      </c>
      <c r="C46" s="399" t="str">
        <f>'1.2 Budgeted Enrollment YR1'!A48</f>
        <v>Clark</v>
      </c>
      <c r="D46" s="1396">
        <f>'2.3 Statewide Base Funding YR1'!C52</f>
        <v>9432</v>
      </c>
      <c r="E46" s="1803">
        <f>'1.2 Budgeted Enrollment YR1'!L48</f>
        <v>0</v>
      </c>
      <c r="F46" s="1396">
        <f t="shared" si="5"/>
        <v>0</v>
      </c>
      <c r="G46" s="1804">
        <f>'1.2 Budgeted Enrollment YR1'!G48-E46</f>
        <v>499.79963400639872</v>
      </c>
      <c r="H46" s="646">
        <f t="shared" si="6"/>
        <v>4714110</v>
      </c>
      <c r="I46" s="1805">
        <f>VLOOKUP($C46,'2.5 NCEI Adj. YR1'!$B$7:$I$23,8)</f>
        <v>1</v>
      </c>
      <c r="J46" s="1396">
        <f t="shared" si="7"/>
        <v>0</v>
      </c>
    </row>
    <row r="47" spans="1:11" x14ac:dyDescent="0.3">
      <c r="A47" s="156"/>
      <c r="B47" s="9" t="str">
        <f>'1.2 Budgeted Enrollment YR1'!E49</f>
        <v>Do and Be Academy of Excellence</v>
      </c>
      <c r="C47" s="399" t="str">
        <f>'1.2 Budgeted Enrollment YR1'!A49</f>
        <v>Clark</v>
      </c>
      <c r="D47" s="1396">
        <f>'2.3 Statewide Base Funding YR1'!C53</f>
        <v>9432</v>
      </c>
      <c r="E47" s="1803">
        <f>'1.2 Budgeted Enrollment YR1'!L49</f>
        <v>0</v>
      </c>
      <c r="F47" s="1396">
        <f t="shared" si="5"/>
        <v>0</v>
      </c>
      <c r="G47" s="1804">
        <f>'1.2 Budgeted Enrollment YR1'!G49-E47</f>
        <v>55.444307975565003</v>
      </c>
      <c r="H47" s="646">
        <f t="shared" si="6"/>
        <v>522951</v>
      </c>
      <c r="I47" s="1805">
        <f>VLOOKUP($C47,'2.5 NCEI Adj. YR1'!$B$7:$I$23,8)</f>
        <v>1</v>
      </c>
      <c r="J47" s="1396">
        <f t="shared" si="7"/>
        <v>0</v>
      </c>
      <c r="K47" s="78" t="s">
        <v>370</v>
      </c>
    </row>
    <row r="48" spans="1:11" x14ac:dyDescent="0.3">
      <c r="A48" s="156"/>
      <c r="B48" s="9" t="str">
        <f>'1.2 Budgeted Enrollment YR1'!E50</f>
        <v>Doral Academy</v>
      </c>
      <c r="C48" s="399" t="str">
        <f>'1.2 Budgeted Enrollment YR1'!A50</f>
        <v>Clark</v>
      </c>
      <c r="D48" s="1396">
        <f>'2.3 Statewide Base Funding YR1'!C54</f>
        <v>9432</v>
      </c>
      <c r="E48" s="1803">
        <f>'1.2 Budgeted Enrollment YR1'!L50</f>
        <v>0</v>
      </c>
      <c r="F48" s="1396">
        <f t="shared" si="5"/>
        <v>0</v>
      </c>
      <c r="G48" s="1804">
        <f>'1.2 Budgeted Enrollment YR1'!G50-E48</f>
        <v>6463.7282261846876</v>
      </c>
      <c r="H48" s="646">
        <f t="shared" si="6"/>
        <v>60965885</v>
      </c>
      <c r="I48" s="1805">
        <f>VLOOKUP($C48,'2.5 NCEI Adj. YR1'!$B$7:$I$23,8)</f>
        <v>1</v>
      </c>
      <c r="J48" s="1396">
        <f t="shared" si="7"/>
        <v>0</v>
      </c>
    </row>
    <row r="49" spans="1:10" x14ac:dyDescent="0.3">
      <c r="A49" s="156"/>
      <c r="B49" s="9" t="str">
        <f>'1.2 Budgeted Enrollment YR1'!E51</f>
        <v>Doral Academy of Northern Nevada</v>
      </c>
      <c r="C49" s="399" t="str">
        <f>'1.2 Budgeted Enrollment YR1'!A51</f>
        <v>Washoe</v>
      </c>
      <c r="D49" s="1396">
        <f>'2.3 Statewide Base Funding YR1'!C55</f>
        <v>9432</v>
      </c>
      <c r="E49" s="1803">
        <f>'1.2 Budgeted Enrollment YR1'!L51</f>
        <v>0</v>
      </c>
      <c r="F49" s="1396">
        <f t="shared" si="5"/>
        <v>0</v>
      </c>
      <c r="G49" s="1804">
        <f>'1.2 Budgeted Enrollment YR1'!G51-E49</f>
        <v>1018.777864840123</v>
      </c>
      <c r="H49" s="646">
        <f t="shared" si="6"/>
        <v>9609113</v>
      </c>
      <c r="I49" s="1805">
        <f>VLOOKUP($C49,'2.5 NCEI Adj. YR1'!$B$7:$I$23,8)</f>
        <v>1</v>
      </c>
      <c r="J49" s="1396">
        <f t="shared" si="7"/>
        <v>0</v>
      </c>
    </row>
    <row r="50" spans="1:10" x14ac:dyDescent="0.3">
      <c r="A50" s="156"/>
      <c r="B50" s="9" t="str">
        <f>'1.2 Budgeted Enrollment YR1'!E52</f>
        <v>Eagle Charter School (CLOSED)</v>
      </c>
      <c r="C50" s="399" t="str">
        <f>'1.2 Budgeted Enrollment YR1'!A52</f>
        <v>Clark</v>
      </c>
      <c r="D50" s="1396">
        <f>'2.3 Statewide Base Funding YR1'!C56</f>
        <v>9432</v>
      </c>
      <c r="E50" s="1803">
        <f>'1.2 Budgeted Enrollment YR1'!L52</f>
        <v>0</v>
      </c>
      <c r="F50" s="1396">
        <f t="shared" si="5"/>
        <v>0</v>
      </c>
      <c r="G50" s="1804">
        <f>'1.2 Budgeted Enrollment YR1'!G52-E50</f>
        <v>0</v>
      </c>
      <c r="H50" s="646">
        <f t="shared" si="6"/>
        <v>0</v>
      </c>
      <c r="I50" s="1805">
        <f>VLOOKUP($C50,'2.5 NCEI Adj. YR1'!$B$7:$I$23,8)</f>
        <v>1</v>
      </c>
      <c r="J50" s="1396">
        <f t="shared" si="7"/>
        <v>0</v>
      </c>
    </row>
    <row r="51" spans="1:10" x14ac:dyDescent="0.3">
      <c r="A51" s="156"/>
      <c r="B51" s="9" t="str">
        <f>'1.2 Budgeted Enrollment YR1'!E53</f>
        <v>Elko Institute for Academic Achievement</v>
      </c>
      <c r="C51" s="399" t="str">
        <f>'1.2 Budgeted Enrollment YR1'!A53</f>
        <v>Elko</v>
      </c>
      <c r="D51" s="1396">
        <f>'2.3 Statewide Base Funding YR1'!C57</f>
        <v>9432</v>
      </c>
      <c r="E51" s="1803">
        <f>'1.2 Budgeted Enrollment YR1'!L53</f>
        <v>0</v>
      </c>
      <c r="F51" s="1396">
        <f t="shared" si="5"/>
        <v>0</v>
      </c>
      <c r="G51" s="1804">
        <f>'1.2 Budgeted Enrollment YR1'!G53-E51</f>
        <v>315.7286385132989</v>
      </c>
      <c r="H51" s="646">
        <f t="shared" si="6"/>
        <v>2977953</v>
      </c>
      <c r="I51" s="1805">
        <f>VLOOKUP($C51,'2.5 NCEI Adj. YR1'!$B$7:$I$23,8)</f>
        <v>1</v>
      </c>
      <c r="J51" s="1396">
        <f t="shared" si="7"/>
        <v>0</v>
      </c>
    </row>
    <row r="52" spans="1:10" x14ac:dyDescent="0.3">
      <c r="A52" s="156"/>
      <c r="B52" s="9" t="str">
        <f>'1.2 Budgeted Enrollment YR1'!E54</f>
        <v>enCompass Academy</v>
      </c>
      <c r="C52" s="399" t="str">
        <f>'1.2 Budgeted Enrollment YR1'!A54</f>
        <v>Washoe</v>
      </c>
      <c r="D52" s="1396">
        <f>'2.3 Statewide Base Funding YR1'!C58</f>
        <v>9432</v>
      </c>
      <c r="E52" s="1803">
        <f>'1.2 Budgeted Enrollment YR1'!L54</f>
        <v>0</v>
      </c>
      <c r="F52" s="1396">
        <f t="shared" si="5"/>
        <v>0</v>
      </c>
      <c r="G52" s="1804">
        <f>'1.2 Budgeted Enrollment YR1'!G54-E52</f>
        <v>129.86699722187711</v>
      </c>
      <c r="H52" s="646">
        <f t="shared" si="6"/>
        <v>1224906</v>
      </c>
      <c r="I52" s="1805">
        <f>VLOOKUP($C52,'2.5 NCEI Adj. YR1'!$B$7:$I$23,8)</f>
        <v>1</v>
      </c>
      <c r="J52" s="1396">
        <f t="shared" si="7"/>
        <v>0</v>
      </c>
    </row>
    <row r="53" spans="1:10" x14ac:dyDescent="0.3">
      <c r="A53" s="156"/>
      <c r="B53" s="9" t="str">
        <f>'1.2 Budgeted Enrollment YR1'!E55</f>
        <v>Equipo Academy</v>
      </c>
      <c r="C53" s="399" t="str">
        <f>'1.2 Budgeted Enrollment YR1'!A55</f>
        <v>Clark</v>
      </c>
      <c r="D53" s="1396">
        <f>'2.3 Statewide Base Funding YR1'!C59</f>
        <v>9432</v>
      </c>
      <c r="E53" s="1803">
        <f>'1.2 Budgeted Enrollment YR1'!L55</f>
        <v>0</v>
      </c>
      <c r="F53" s="1396">
        <f t="shared" si="5"/>
        <v>0</v>
      </c>
      <c r="G53" s="1804">
        <f>'1.2 Budgeted Enrollment YR1'!G55-E53</f>
        <v>900.7667088070209</v>
      </c>
      <c r="H53" s="646">
        <f t="shared" si="6"/>
        <v>8496032</v>
      </c>
      <c r="I53" s="1805">
        <f>VLOOKUP($C53,'2.5 NCEI Adj. YR1'!$B$7:$I$23,8)</f>
        <v>1</v>
      </c>
      <c r="J53" s="1396">
        <f t="shared" si="7"/>
        <v>0</v>
      </c>
    </row>
    <row r="54" spans="1:10" x14ac:dyDescent="0.3">
      <c r="A54" s="156"/>
      <c r="B54" s="9" t="str">
        <f>'1.2 Budgeted Enrollment YR1'!E56</f>
        <v>Explore Academy</v>
      </c>
      <c r="C54" s="399" t="str">
        <f>'1.2 Budgeted Enrollment YR1'!A56</f>
        <v>Clark</v>
      </c>
      <c r="D54" s="1396">
        <f>'2.3 Statewide Base Funding YR1'!C60</f>
        <v>9432</v>
      </c>
      <c r="E54" s="1803">
        <f>'1.2 Budgeted Enrollment YR1'!L56</f>
        <v>0</v>
      </c>
      <c r="F54" s="1396">
        <f t="shared" si="5"/>
        <v>0</v>
      </c>
      <c r="G54" s="1804">
        <f>'1.2 Budgeted Enrollment YR1'!G56-E54</f>
        <v>285.9150020191048</v>
      </c>
      <c r="H54" s="646">
        <f t="shared" si="6"/>
        <v>2696750</v>
      </c>
      <c r="I54" s="1805">
        <f>VLOOKUP($C54,'2.5 NCEI Adj. YR1'!$B$7:$I$23,8)</f>
        <v>1</v>
      </c>
      <c r="J54" s="1396">
        <f t="shared" si="7"/>
        <v>0</v>
      </c>
    </row>
    <row r="55" spans="1:10" x14ac:dyDescent="0.3">
      <c r="A55" s="156"/>
      <c r="B55" s="9" t="str">
        <f>'1.2 Budgeted Enrollment YR1'!E57</f>
        <v>Explore Knowledge Academy</v>
      </c>
      <c r="C55" s="399" t="str">
        <f>'1.2 Budgeted Enrollment YR1'!A57</f>
        <v>Clark</v>
      </c>
      <c r="D55" s="1396">
        <f>'2.3 Statewide Base Funding YR1'!C61</f>
        <v>9432</v>
      </c>
      <c r="E55" s="1803">
        <f>'1.2 Budgeted Enrollment YR1'!L57</f>
        <v>0</v>
      </c>
      <c r="F55" s="1396">
        <f t="shared" si="5"/>
        <v>0</v>
      </c>
      <c r="G55" s="1804">
        <f>'1.2 Budgeted Enrollment YR1'!G57-E55</f>
        <v>664.59038477421791</v>
      </c>
      <c r="H55" s="646">
        <f t="shared" si="6"/>
        <v>6268417</v>
      </c>
      <c r="I55" s="1805">
        <f>VLOOKUP($C55,'2.5 NCEI Adj. YR1'!$B$7:$I$23,8)</f>
        <v>1</v>
      </c>
      <c r="J55" s="1396">
        <f t="shared" si="7"/>
        <v>0</v>
      </c>
    </row>
    <row r="56" spans="1:10" x14ac:dyDescent="0.3">
      <c r="A56" s="156"/>
      <c r="B56" s="9" t="str">
        <f>'1.2 Budgeted Enrollment YR1'!E58</f>
        <v>Founders Academy of Las Vegas</v>
      </c>
      <c r="C56" s="399" t="str">
        <f>'1.2 Budgeted Enrollment YR1'!A58</f>
        <v>Clark</v>
      </c>
      <c r="D56" s="1396">
        <f>'2.3 Statewide Base Funding YR1'!C62</f>
        <v>9432</v>
      </c>
      <c r="E56" s="1803">
        <f>'1.2 Budgeted Enrollment YR1'!L58</f>
        <v>0</v>
      </c>
      <c r="F56" s="1396">
        <f t="shared" si="5"/>
        <v>0</v>
      </c>
      <c r="G56" s="1804">
        <f>'1.2 Budgeted Enrollment YR1'!G58-E56</f>
        <v>1110.2866416609052</v>
      </c>
      <c r="H56" s="646">
        <f t="shared" si="6"/>
        <v>10472224</v>
      </c>
      <c r="I56" s="1805">
        <f>VLOOKUP($C56,'2.5 NCEI Adj. YR1'!$B$7:$I$23,8)</f>
        <v>1</v>
      </c>
      <c r="J56" s="1396">
        <f t="shared" si="7"/>
        <v>0</v>
      </c>
    </row>
    <row r="57" spans="1:10" x14ac:dyDescent="0.3">
      <c r="A57" s="156"/>
      <c r="B57" s="9" t="str">
        <f>'1.2 Budgeted Enrollment YR1'!E59</f>
        <v>Freedom Classical Academy</v>
      </c>
      <c r="C57" s="399" t="str">
        <f>'1.2 Budgeted Enrollment YR1'!A59</f>
        <v>Clark</v>
      </c>
      <c r="D57" s="1396">
        <f>'2.3 Statewide Base Funding YR1'!C63</f>
        <v>9432</v>
      </c>
      <c r="E57" s="1803">
        <f>'1.2 Budgeted Enrollment YR1'!L59</f>
        <v>0</v>
      </c>
      <c r="F57" s="1396">
        <f t="shared" si="5"/>
        <v>0</v>
      </c>
      <c r="G57" s="1804">
        <f>'1.2 Budgeted Enrollment YR1'!G59-E57</f>
        <v>1074.7232250803561</v>
      </c>
      <c r="H57" s="646">
        <f t="shared" si="6"/>
        <v>10136789</v>
      </c>
      <c r="I57" s="1805">
        <f>VLOOKUP($C57,'2.5 NCEI Adj. YR1'!$B$7:$I$23,8)</f>
        <v>1</v>
      </c>
      <c r="J57" s="1396">
        <f t="shared" si="7"/>
        <v>0</v>
      </c>
    </row>
    <row r="58" spans="1:10" x14ac:dyDescent="0.3">
      <c r="A58" s="156"/>
      <c r="B58" s="9" t="str">
        <f>'1.2 Budgeted Enrollment YR1'!E60</f>
        <v>Futuro Academy Elementary</v>
      </c>
      <c r="C58" s="399" t="str">
        <f>'1.2 Budgeted Enrollment YR1'!A60</f>
        <v>Clark</v>
      </c>
      <c r="D58" s="1396">
        <f>'2.3 Statewide Base Funding YR1'!C64</f>
        <v>9432</v>
      </c>
      <c r="E58" s="1803">
        <f>'1.2 Budgeted Enrollment YR1'!L60</f>
        <v>0</v>
      </c>
      <c r="F58" s="1396">
        <f t="shared" si="5"/>
        <v>0</v>
      </c>
      <c r="G58" s="1804">
        <f>'1.2 Budgeted Enrollment YR1'!G60-E58</f>
        <v>467.88219404846518</v>
      </c>
      <c r="H58" s="646">
        <f t="shared" si="6"/>
        <v>4413065</v>
      </c>
      <c r="I58" s="1805">
        <f>VLOOKUP($C58,'2.5 NCEI Adj. YR1'!$B$7:$I$23,8)</f>
        <v>1</v>
      </c>
      <c r="J58" s="1396">
        <f t="shared" si="7"/>
        <v>0</v>
      </c>
    </row>
    <row r="59" spans="1:10" x14ac:dyDescent="0.3">
      <c r="A59" s="156"/>
      <c r="B59" s="9" t="str">
        <f>'1.2 Budgeted Enrollment YR1'!E61</f>
        <v>High Desert Montessori</v>
      </c>
      <c r="C59" s="399" t="str">
        <f>'1.2 Budgeted Enrollment YR1'!A61</f>
        <v>Washoe</v>
      </c>
      <c r="D59" s="1396">
        <f>'2.3 Statewide Base Funding YR1'!C65</f>
        <v>9432</v>
      </c>
      <c r="E59" s="1803">
        <f>'1.2 Budgeted Enrollment YR1'!L61</f>
        <v>0</v>
      </c>
      <c r="F59" s="1396">
        <f t="shared" si="5"/>
        <v>0</v>
      </c>
      <c r="G59" s="1804">
        <f>'1.2 Budgeted Enrollment YR1'!G61-E59</f>
        <v>411.94504777978403</v>
      </c>
      <c r="H59" s="646">
        <f t="shared" si="6"/>
        <v>3885466</v>
      </c>
      <c r="I59" s="1805">
        <f>VLOOKUP($C59,'2.5 NCEI Adj. YR1'!$B$7:$I$23,8)</f>
        <v>1</v>
      </c>
      <c r="J59" s="1396">
        <f t="shared" si="7"/>
        <v>0</v>
      </c>
    </row>
    <row r="60" spans="1:10" x14ac:dyDescent="0.3">
      <c r="A60" s="156"/>
      <c r="B60" s="9" t="str">
        <f>'1.2 Budgeted Enrollment YR1'!E62</f>
        <v>Honors Academy of Literature</v>
      </c>
      <c r="C60" s="399" t="str">
        <f>'1.2 Budgeted Enrollment YR1'!A62</f>
        <v>Washoe</v>
      </c>
      <c r="D60" s="1396">
        <f>'2.3 Statewide Base Funding YR1'!C66</f>
        <v>9432</v>
      </c>
      <c r="E60" s="1803">
        <f>'1.2 Budgeted Enrollment YR1'!L62</f>
        <v>0</v>
      </c>
      <c r="F60" s="1396">
        <f t="shared" si="5"/>
        <v>0</v>
      </c>
      <c r="G60" s="1804">
        <f>'1.2 Budgeted Enrollment YR1'!G62-E60</f>
        <v>219.20317856717219</v>
      </c>
      <c r="H60" s="646">
        <f t="shared" si="6"/>
        <v>2067524</v>
      </c>
      <c r="I60" s="1805">
        <f>VLOOKUP($C60,'2.5 NCEI Adj. YR1'!$B$7:$I$23,8)</f>
        <v>1</v>
      </c>
      <c r="J60" s="1396">
        <f t="shared" si="7"/>
        <v>0</v>
      </c>
    </row>
    <row r="61" spans="1:10" x14ac:dyDescent="0.3">
      <c r="A61" s="156"/>
      <c r="B61" s="9" t="str">
        <f>'1.2 Budgeted Enrollment YR1'!E63</f>
        <v>Imagine School Mountain View</v>
      </c>
      <c r="C61" s="399" t="str">
        <f>'1.2 Budgeted Enrollment YR1'!A63</f>
        <v>Clark</v>
      </c>
      <c r="D61" s="1396">
        <f>'2.3 Statewide Base Funding YR1'!C67</f>
        <v>9432</v>
      </c>
      <c r="E61" s="1803">
        <f>'1.2 Budgeted Enrollment YR1'!L63</f>
        <v>0</v>
      </c>
      <c r="F61" s="1396">
        <f t="shared" si="5"/>
        <v>0</v>
      </c>
      <c r="G61" s="1804">
        <f>'1.2 Budgeted Enrollment YR1'!G63-E61</f>
        <v>695.95030141306381</v>
      </c>
      <c r="H61" s="646">
        <f t="shared" si="6"/>
        <v>6564203</v>
      </c>
      <c r="I61" s="1805">
        <f>VLOOKUP($C61,'2.5 NCEI Adj. YR1'!$B$7:$I$23,8)</f>
        <v>1</v>
      </c>
      <c r="J61" s="1396">
        <f t="shared" si="7"/>
        <v>0</v>
      </c>
    </row>
    <row r="62" spans="1:10" x14ac:dyDescent="0.3">
      <c r="A62" s="156"/>
      <c r="B62" s="9" t="str">
        <f>'1.2 Budgeted Enrollment YR1'!E64</f>
        <v>Innovations Int'l Charter</v>
      </c>
      <c r="C62" s="399" t="str">
        <f>'1.2 Budgeted Enrollment YR1'!A64</f>
        <v>Clark</v>
      </c>
      <c r="D62" s="1396">
        <f>'2.3 Statewide Base Funding YR1'!C68</f>
        <v>9432</v>
      </c>
      <c r="E62" s="1803">
        <f>'1.2 Budgeted Enrollment YR1'!L64</f>
        <v>0</v>
      </c>
      <c r="F62" s="1396">
        <f t="shared" si="5"/>
        <v>0</v>
      </c>
      <c r="G62" s="1804">
        <f>'1.2 Budgeted Enrollment YR1'!G64-E62</f>
        <v>682.14466872714809</v>
      </c>
      <c r="H62" s="646">
        <f t="shared" si="6"/>
        <v>6433989</v>
      </c>
      <c r="I62" s="1805">
        <f>VLOOKUP($C62,'2.5 NCEI Adj. YR1'!$B$7:$I$23,8)</f>
        <v>1</v>
      </c>
      <c r="J62" s="1396">
        <f t="shared" si="7"/>
        <v>0</v>
      </c>
    </row>
    <row r="63" spans="1:10" x14ac:dyDescent="0.3">
      <c r="A63" s="156"/>
      <c r="B63" s="9" t="str">
        <f>'1.2 Budgeted Enrollment YR1'!E65</f>
        <v>Leadership Academy of Nevada</v>
      </c>
      <c r="C63" s="399" t="str">
        <f>'1.2 Budgeted Enrollment YR1'!A65</f>
        <v>Clark</v>
      </c>
      <c r="D63" s="1396">
        <f>'2.3 Statewide Base Funding YR1'!C69</f>
        <v>9432</v>
      </c>
      <c r="E63" s="1803">
        <f>'1.2 Budgeted Enrollment YR1'!L65</f>
        <v>287.40686460222514</v>
      </c>
      <c r="F63" s="1396">
        <f t="shared" si="5"/>
        <v>2710822</v>
      </c>
      <c r="G63" s="1804">
        <f>'1.2 Budgeted Enrollment YR1'!G65-E63</f>
        <v>0</v>
      </c>
      <c r="H63" s="646">
        <f t="shared" si="6"/>
        <v>0</v>
      </c>
      <c r="I63" s="1805">
        <f>VLOOKUP($C63,'2.5 NCEI Adj. YR1'!$B$7:$I$23,8)</f>
        <v>1</v>
      </c>
      <c r="J63" s="1396">
        <f t="shared" si="7"/>
        <v>0</v>
      </c>
    </row>
    <row r="64" spans="1:10" x14ac:dyDescent="0.3">
      <c r="A64" s="156"/>
      <c r="B64" s="9" t="str">
        <f>'1.2 Budgeted Enrollment YR1'!E66</f>
        <v>Learning Bridge</v>
      </c>
      <c r="C64" s="399" t="str">
        <f>'1.2 Budgeted Enrollment YR1'!A66</f>
        <v>White Pine</v>
      </c>
      <c r="D64" s="1396">
        <f>'2.3 Statewide Base Funding YR1'!C70</f>
        <v>9432</v>
      </c>
      <c r="E64" s="1803">
        <f>'1.2 Budgeted Enrollment YR1'!L66</f>
        <v>0</v>
      </c>
      <c r="F64" s="1396">
        <f t="shared" si="5"/>
        <v>0</v>
      </c>
      <c r="G64" s="1804">
        <f>'1.2 Budgeted Enrollment YR1'!G66-E64</f>
        <v>170.53745061484202</v>
      </c>
      <c r="H64" s="646">
        <f t="shared" si="6"/>
        <v>1608509</v>
      </c>
      <c r="I64" s="1805">
        <f>VLOOKUP($C64,'2.5 NCEI Adj. YR1'!$B$7:$I$23,8)</f>
        <v>1</v>
      </c>
      <c r="J64" s="1396">
        <f t="shared" si="7"/>
        <v>0</v>
      </c>
    </row>
    <row r="65" spans="1:12" x14ac:dyDescent="0.3">
      <c r="A65" s="156"/>
      <c r="B65" s="9" t="str">
        <f>'1.2 Budgeted Enrollment YR1'!E67</f>
        <v>Legacy Traditional Schools</v>
      </c>
      <c r="C65" s="399" t="str">
        <f>'1.2 Budgeted Enrollment YR1'!A67</f>
        <v>Clark</v>
      </c>
      <c r="D65" s="1396">
        <f>'2.3 Statewide Base Funding YR1'!C71</f>
        <v>9432</v>
      </c>
      <c r="E65" s="1803">
        <f>'1.2 Budgeted Enrollment YR1'!L67</f>
        <v>0</v>
      </c>
      <c r="F65" s="1396">
        <f t="shared" si="5"/>
        <v>0</v>
      </c>
      <c r="G65" s="1804">
        <f>'1.2 Budgeted Enrollment YR1'!G67-E65</f>
        <v>4125.1478938155515</v>
      </c>
      <c r="H65" s="646">
        <f t="shared" si="6"/>
        <v>38908395</v>
      </c>
      <c r="I65" s="1805">
        <f>VLOOKUP($C65,'2.5 NCEI Adj. YR1'!$B$7:$I$23,8)</f>
        <v>1</v>
      </c>
      <c r="J65" s="1396">
        <f t="shared" si="7"/>
        <v>0</v>
      </c>
    </row>
    <row r="66" spans="1:12" x14ac:dyDescent="0.3">
      <c r="A66" s="156"/>
      <c r="B66" s="9" t="str">
        <f>'1.2 Budgeted Enrollment YR1'!E68</f>
        <v xml:space="preserve">Mariposa Language and Learning Academy </v>
      </c>
      <c r="C66" s="399" t="str">
        <f>'1.2 Budgeted Enrollment YR1'!A68</f>
        <v>Washoe</v>
      </c>
      <c r="D66" s="1396">
        <f>'2.3 Statewide Base Funding YR1'!C72</f>
        <v>9432</v>
      </c>
      <c r="E66" s="1803">
        <f>'1.2 Budgeted Enrollment YR1'!L68</f>
        <v>0</v>
      </c>
      <c r="F66" s="1396">
        <f t="shared" si="5"/>
        <v>0</v>
      </c>
      <c r="G66" s="1804">
        <f>'1.2 Budgeted Enrollment YR1'!G68-E66</f>
        <v>164.39442664043821</v>
      </c>
      <c r="H66" s="646">
        <f t="shared" si="6"/>
        <v>1550568</v>
      </c>
      <c r="I66" s="1805">
        <f>VLOOKUP($C66,'2.5 NCEI Adj. YR1'!$B$7:$I$23,8)</f>
        <v>1</v>
      </c>
      <c r="J66" s="1396">
        <f t="shared" si="7"/>
        <v>0</v>
      </c>
    </row>
    <row r="67" spans="1:12" x14ac:dyDescent="0.3">
      <c r="A67" s="156"/>
      <c r="B67" s="9" t="str">
        <f>'1.2 Budgeted Enrollment YR1'!E69</f>
        <v>Mater Academy</v>
      </c>
      <c r="C67" s="399" t="str">
        <f>'1.2 Budgeted Enrollment YR1'!A69</f>
        <v>Clark</v>
      </c>
      <c r="D67" s="1396">
        <f>'2.3 Statewide Base Funding YR1'!C73</f>
        <v>9432</v>
      </c>
      <c r="E67" s="1803">
        <f>'1.2 Budgeted Enrollment YR1'!L69</f>
        <v>0</v>
      </c>
      <c r="F67" s="1396">
        <f t="shared" si="5"/>
        <v>0</v>
      </c>
      <c r="G67" s="1804">
        <f>'1.2 Budgeted Enrollment YR1'!G69-E67</f>
        <v>4489.9355041692297</v>
      </c>
      <c r="H67" s="646">
        <f t="shared" si="6"/>
        <v>42349072</v>
      </c>
      <c r="I67" s="1805">
        <f>VLOOKUP($C67,'2.5 NCEI Adj. YR1'!$B$7:$I$23,8)</f>
        <v>1</v>
      </c>
      <c r="J67" s="1396">
        <f t="shared" si="7"/>
        <v>0</v>
      </c>
    </row>
    <row r="68" spans="1:12" x14ac:dyDescent="0.3">
      <c r="A68" s="156"/>
      <c r="B68" s="9" t="str">
        <f>'1.2 Budgeted Enrollment YR1'!E70</f>
        <v>Mater Academy of Northern Nevada</v>
      </c>
      <c r="C68" s="399" t="str">
        <f>'1.2 Budgeted Enrollment YR1'!A70</f>
        <v>Washoe</v>
      </c>
      <c r="D68" s="1396">
        <f>'2.3 Statewide Base Funding YR1'!C74</f>
        <v>9432</v>
      </c>
      <c r="E68" s="1803">
        <f>'1.2 Budgeted Enrollment YR1'!L70</f>
        <v>0</v>
      </c>
      <c r="F68" s="1396">
        <f t="shared" si="5"/>
        <v>0</v>
      </c>
      <c r="G68" s="1804">
        <f>'1.2 Budgeted Enrollment YR1'!G70-E68</f>
        <v>502.85317793083078</v>
      </c>
      <c r="H68" s="646">
        <f t="shared" si="6"/>
        <v>4742911</v>
      </c>
      <c r="I68" s="1805">
        <f>VLOOKUP($C68,'2.5 NCEI Adj. YR1'!$B$7:$I$23,8)</f>
        <v>1</v>
      </c>
      <c r="J68" s="1396">
        <f t="shared" si="7"/>
        <v>0</v>
      </c>
    </row>
    <row r="69" spans="1:12" x14ac:dyDescent="0.3">
      <c r="A69" s="156"/>
      <c r="B69" s="9" t="str">
        <f>'1.2 Budgeted Enrollment YR1'!E71</f>
        <v>Nevada Connections Academy</v>
      </c>
      <c r="C69" s="399" t="str">
        <f>'1.2 Budgeted Enrollment YR1'!A71</f>
        <v>Washoe</v>
      </c>
      <c r="D69" s="1396">
        <f>'2.3 Statewide Base Funding YR1'!C75</f>
        <v>9432</v>
      </c>
      <c r="E69" s="1803">
        <f>'1.2 Budgeted Enrollment YR1'!L71</f>
        <v>1200.806661656123</v>
      </c>
      <c r="F69" s="1396">
        <f t="shared" si="5"/>
        <v>11326008</v>
      </c>
      <c r="G69" s="1804">
        <f>'1.2 Budgeted Enrollment YR1'!G71-E69</f>
        <v>0</v>
      </c>
      <c r="H69" s="646">
        <f t="shared" si="6"/>
        <v>0</v>
      </c>
      <c r="I69" s="1805">
        <f>VLOOKUP($C69,'2.5 NCEI Adj. YR1'!$B$7:$I$23,8)</f>
        <v>1</v>
      </c>
      <c r="J69" s="1396">
        <f t="shared" si="7"/>
        <v>0</v>
      </c>
    </row>
    <row r="70" spans="1:12" x14ac:dyDescent="0.3">
      <c r="A70" s="156"/>
      <c r="B70" s="9" t="str">
        <f>'1.2 Budgeted Enrollment YR1'!E72</f>
        <v>Nevada Prep</v>
      </c>
      <c r="C70" s="399" t="str">
        <f>'1.2 Budgeted Enrollment YR1'!A72</f>
        <v>Clark</v>
      </c>
      <c r="D70" s="1396">
        <f>'2.3 Statewide Base Funding YR1'!C76</f>
        <v>9432</v>
      </c>
      <c r="E70" s="1803">
        <f>'1.2 Budgeted Enrollment YR1'!L72</f>
        <v>0</v>
      </c>
      <c r="F70" s="1396">
        <f t="shared" si="5"/>
        <v>0</v>
      </c>
      <c r="G70" s="1804">
        <f>'1.2 Budgeted Enrollment YR1'!G72-E70</f>
        <v>305.23837009503319</v>
      </c>
      <c r="H70" s="646">
        <f t="shared" si="6"/>
        <v>2879008</v>
      </c>
      <c r="I70" s="1805">
        <f>VLOOKUP($C70,'2.5 NCEI Adj. YR1'!$B$7:$I$23,8)</f>
        <v>1</v>
      </c>
      <c r="J70" s="1396">
        <f t="shared" si="7"/>
        <v>0</v>
      </c>
    </row>
    <row r="71" spans="1:12" x14ac:dyDescent="0.3">
      <c r="A71" s="156"/>
      <c r="B71" s="9" t="str">
        <f>'1.2 Budgeted Enrollment YR1'!E73</f>
        <v xml:space="preserve">Nevada Rise </v>
      </c>
      <c r="C71" s="399" t="str">
        <f>'1.2 Budgeted Enrollment YR1'!A73</f>
        <v>Clark</v>
      </c>
      <c r="D71" s="1396">
        <f>'2.3 Statewide Base Funding YR1'!C77</f>
        <v>9432</v>
      </c>
      <c r="E71" s="1803">
        <f>'1.2 Budgeted Enrollment YR1'!L73</f>
        <v>0</v>
      </c>
      <c r="F71" s="1396">
        <f t="shared" si="5"/>
        <v>0</v>
      </c>
      <c r="G71" s="1804">
        <f>'1.2 Budgeted Enrollment YR1'!G73-E71</f>
        <v>372.57548213135692</v>
      </c>
      <c r="H71" s="646">
        <f t="shared" si="6"/>
        <v>3514132</v>
      </c>
      <c r="I71" s="1805">
        <f>VLOOKUP($C71,'2.5 NCEI Adj. YR1'!$B$7:$I$23,8)</f>
        <v>1</v>
      </c>
      <c r="J71" s="1396">
        <f t="shared" si="7"/>
        <v>0</v>
      </c>
    </row>
    <row r="72" spans="1:12" x14ac:dyDescent="0.3">
      <c r="A72" s="156"/>
      <c r="B72" s="9" t="str">
        <f>'1.2 Budgeted Enrollment YR1'!E74</f>
        <v>Nevada State High School</v>
      </c>
      <c r="C72" s="399" t="str">
        <f>'1.2 Budgeted Enrollment YR1'!A74</f>
        <v>Clark</v>
      </c>
      <c r="D72" s="1396">
        <f>'2.3 Statewide Base Funding YR1'!C78</f>
        <v>9432</v>
      </c>
      <c r="E72" s="1803">
        <f>'1.2 Budgeted Enrollment YR1'!L74</f>
        <v>0</v>
      </c>
      <c r="F72" s="1396">
        <f t="shared" si="5"/>
        <v>0</v>
      </c>
      <c r="G72" s="1804">
        <f>'1.2 Budgeted Enrollment YR1'!G74-E72</f>
        <v>913.27248049484274</v>
      </c>
      <c r="H72" s="646">
        <f t="shared" si="6"/>
        <v>8613986</v>
      </c>
      <c r="I72" s="1805">
        <f>VLOOKUP($C72,'2.5 NCEI Adj. YR1'!$B$7:$I$23,8)</f>
        <v>1</v>
      </c>
      <c r="J72" s="1396">
        <f t="shared" si="7"/>
        <v>0</v>
      </c>
    </row>
    <row r="73" spans="1:12" x14ac:dyDescent="0.3">
      <c r="A73" s="156"/>
      <c r="B73" s="9" t="str">
        <f>'1.2 Budgeted Enrollment YR1'!E75</f>
        <v>Nevada State High School-Meadowwood</v>
      </c>
      <c r="C73" s="399" t="str">
        <f>'1.2 Budgeted Enrollment YR1'!A75</f>
        <v>Washoe</v>
      </c>
      <c r="D73" s="1396">
        <f>'2.3 Statewide Base Funding YR1'!C79</f>
        <v>9432</v>
      </c>
      <c r="E73" s="1803">
        <f>'1.2 Budgeted Enrollment YR1'!L75</f>
        <v>0</v>
      </c>
      <c r="F73" s="1396">
        <f t="shared" si="5"/>
        <v>0</v>
      </c>
      <c r="G73" s="1804">
        <f>'1.2 Budgeted Enrollment YR1'!G75-E73</f>
        <v>30.196612917803087</v>
      </c>
      <c r="H73" s="646">
        <f t="shared" si="6"/>
        <v>284814</v>
      </c>
      <c r="I73" s="1805">
        <f>VLOOKUP($C73,'2.5 NCEI Adj. YR1'!$B$7:$I$23,8)</f>
        <v>1</v>
      </c>
      <c r="J73" s="1396">
        <f t="shared" si="7"/>
        <v>0</v>
      </c>
      <c r="L73" s="78"/>
    </row>
    <row r="74" spans="1:12" x14ac:dyDescent="0.3">
      <c r="A74" s="156"/>
      <c r="B74" s="9" t="str">
        <f>'1.2 Budgeted Enrollment YR1'!E76</f>
        <v>Nevada Virtual Academy</v>
      </c>
      <c r="C74" s="399" t="str">
        <f>'1.2 Budgeted Enrollment YR1'!A76</f>
        <v>Clark</v>
      </c>
      <c r="D74" s="1396">
        <f>'2.3 Statewide Base Funding YR1'!C80</f>
        <v>9432</v>
      </c>
      <c r="E74" s="1803">
        <f>'1.2 Budgeted Enrollment YR1'!L76</f>
        <v>1819.9707035088049</v>
      </c>
      <c r="F74" s="1396">
        <f t="shared" si="5"/>
        <v>17165964</v>
      </c>
      <c r="G74" s="1804">
        <f>'1.2 Budgeted Enrollment YR1'!G76-E74</f>
        <v>0</v>
      </c>
      <c r="H74" s="646">
        <f t="shared" si="6"/>
        <v>0</v>
      </c>
      <c r="I74" s="1805">
        <f>VLOOKUP($C74,'2.5 NCEI Adj. YR1'!$B$7:$I$23,8)</f>
        <v>1</v>
      </c>
      <c r="J74" s="1396">
        <f t="shared" si="7"/>
        <v>0</v>
      </c>
    </row>
    <row r="75" spans="1:12" x14ac:dyDescent="0.3">
      <c r="A75" s="156"/>
      <c r="B75" s="9" t="str">
        <f>'1.2 Budgeted Enrollment YR1'!E77</f>
        <v>Oasis Academy</v>
      </c>
      <c r="C75" s="399" t="str">
        <f>'1.2 Budgeted Enrollment YR1'!A77</f>
        <v>Churchill</v>
      </c>
      <c r="D75" s="1396">
        <f>'2.3 Statewide Base Funding YR1'!C81</f>
        <v>9432</v>
      </c>
      <c r="E75" s="1803">
        <f>'1.2 Budgeted Enrollment YR1'!L77</f>
        <v>0</v>
      </c>
      <c r="F75" s="1396">
        <f t="shared" si="5"/>
        <v>0</v>
      </c>
      <c r="G75" s="1804">
        <f>'1.2 Budgeted Enrollment YR1'!G77-E75</f>
        <v>785.63660329576021</v>
      </c>
      <c r="H75" s="646">
        <f t="shared" si="6"/>
        <v>7410124</v>
      </c>
      <c r="I75" s="1805">
        <f>VLOOKUP($C75,'2.5 NCEI Adj. YR1'!$B$7:$I$23,8)</f>
        <v>1</v>
      </c>
      <c r="J75" s="1396">
        <f t="shared" si="7"/>
        <v>0</v>
      </c>
    </row>
    <row r="76" spans="1:12" x14ac:dyDescent="0.3">
      <c r="A76" s="156"/>
      <c r="B76" s="9" t="str">
        <f>'1.2 Budgeted Enrollment YR1'!E78</f>
        <v>Odyssey Charter Schools</v>
      </c>
      <c r="C76" s="399" t="str">
        <f>'1.2 Budgeted Enrollment YR1'!A78</f>
        <v>Clark</v>
      </c>
      <c r="D76" s="1396">
        <f>'2.3 Statewide Base Funding YR1'!C82</f>
        <v>9432</v>
      </c>
      <c r="E76" s="1803">
        <f>'1.2 Budgeted Enrollment YR1'!L78</f>
        <v>0</v>
      </c>
      <c r="F76" s="1396">
        <f t="shared" si="5"/>
        <v>0</v>
      </c>
      <c r="G76" s="1804">
        <f>'1.2 Budgeted Enrollment YR1'!G78-E76</f>
        <v>2400.7898726641642</v>
      </c>
      <c r="H76" s="646">
        <f t="shared" si="6"/>
        <v>22644250</v>
      </c>
      <c r="I76" s="1805">
        <f>VLOOKUP($C76,'2.5 NCEI Adj. YR1'!$B$7:$I$23,8)</f>
        <v>1</v>
      </c>
      <c r="J76" s="1396">
        <f t="shared" si="7"/>
        <v>0</v>
      </c>
    </row>
    <row r="77" spans="1:12" x14ac:dyDescent="0.3">
      <c r="A77" s="156"/>
      <c r="B77" s="9" t="str">
        <f>'1.2 Budgeted Enrollment YR1'!E79</f>
        <v>Pinecrest Academy of Northern Nevada</v>
      </c>
      <c r="C77" s="399" t="str">
        <f>'1.2 Budgeted Enrollment YR1'!A79</f>
        <v>Washoe</v>
      </c>
      <c r="D77" s="1396">
        <f>'2.3 Statewide Base Funding YR1'!C83</f>
        <v>9432</v>
      </c>
      <c r="E77" s="1803">
        <f>'1.2 Budgeted Enrollment YR1'!L79</f>
        <v>0</v>
      </c>
      <c r="F77" s="1396">
        <f t="shared" si="5"/>
        <v>0</v>
      </c>
      <c r="G77" s="1804">
        <f>'1.2 Budgeted Enrollment YR1'!G79-E77</f>
        <v>1022.3920123229747</v>
      </c>
      <c r="H77" s="646">
        <f t="shared" si="6"/>
        <v>9643201</v>
      </c>
      <c r="I77" s="1805">
        <f>VLOOKUP($C77,'2.5 NCEI Adj. YR1'!$B$7:$I$23,8)</f>
        <v>1</v>
      </c>
      <c r="J77" s="1396">
        <f t="shared" si="7"/>
        <v>0</v>
      </c>
    </row>
    <row r="78" spans="1:12" x14ac:dyDescent="0.3">
      <c r="A78" s="156"/>
      <c r="B78" s="9" t="str">
        <f>'1.2 Budgeted Enrollment YR1'!E80</f>
        <v>Pinecrest Academy of Nevada</v>
      </c>
      <c r="C78" s="399" t="str">
        <f>'1.2 Budgeted Enrollment YR1'!A80</f>
        <v>Clark</v>
      </c>
      <c r="D78" s="1396">
        <f>'2.3 Statewide Base Funding YR1'!C84</f>
        <v>9432</v>
      </c>
      <c r="E78" s="1803">
        <f>'1.2 Budgeted Enrollment YR1'!L80</f>
        <v>117</v>
      </c>
      <c r="F78" s="1396">
        <f t="shared" si="5"/>
        <v>1103544</v>
      </c>
      <c r="G78" s="1804">
        <f>'1.2 Budgeted Enrollment YR1'!G80-E78</f>
        <v>7937.8515217779041</v>
      </c>
      <c r="H78" s="646">
        <f t="shared" si="6"/>
        <v>74869816</v>
      </c>
      <c r="I78" s="1805">
        <f>VLOOKUP($C78,'2.5 NCEI Adj. YR1'!$B$7:$I$23,8)</f>
        <v>1</v>
      </c>
      <c r="J78" s="1396">
        <f t="shared" si="7"/>
        <v>0</v>
      </c>
    </row>
    <row r="79" spans="1:12" x14ac:dyDescent="0.3">
      <c r="A79" s="156"/>
      <c r="B79" s="9" t="str">
        <f>'1.2 Budgeted Enrollment YR1'!E81</f>
        <v>Pioneer Technical Arts Academy</v>
      </c>
      <c r="C79" s="399" t="str">
        <f>'1.2 Budgeted Enrollment YR1'!A81</f>
        <v>Clark</v>
      </c>
      <c r="D79" s="1396">
        <f>'2.3 Statewide Base Funding YR1'!C85</f>
        <v>9432</v>
      </c>
      <c r="E79" s="1803">
        <f>'1.2 Budgeted Enrollment YR1'!L81</f>
        <v>0</v>
      </c>
      <c r="F79" s="1396">
        <f t="shared" si="5"/>
        <v>0</v>
      </c>
      <c r="G79" s="1804">
        <f>'1.2 Budgeted Enrollment YR1'!G81-E79</f>
        <v>263.87383610592974</v>
      </c>
      <c r="H79" s="646">
        <f t="shared" si="6"/>
        <v>2488858</v>
      </c>
      <c r="I79" s="1805">
        <f>VLOOKUP($C79,'2.5 NCEI Adj. YR1'!$B$7:$I$23,8)</f>
        <v>1</v>
      </c>
      <c r="J79" s="1396">
        <f t="shared" si="7"/>
        <v>0</v>
      </c>
      <c r="K79" s="78" t="s">
        <v>370</v>
      </c>
    </row>
    <row r="80" spans="1:12" x14ac:dyDescent="0.3">
      <c r="A80" s="156"/>
      <c r="B80" s="9" t="str">
        <f>'1.2 Budgeted Enrollment YR1'!E82</f>
        <v>Quest Academy</v>
      </c>
      <c r="C80" s="399" t="str">
        <f>'1.2 Budgeted Enrollment YR1'!A82</f>
        <v>Clark</v>
      </c>
      <c r="D80" s="1396">
        <f>'2.3 Statewide Base Funding YR1'!C86</f>
        <v>9432</v>
      </c>
      <c r="E80" s="1803">
        <f>'1.2 Budgeted Enrollment YR1'!L82</f>
        <v>0</v>
      </c>
      <c r="F80" s="1396">
        <f t="shared" si="5"/>
        <v>0</v>
      </c>
      <c r="G80" s="1804">
        <f>'1.2 Budgeted Enrollment YR1'!G82-E80</f>
        <v>455.57355767788971</v>
      </c>
      <c r="H80" s="646">
        <f t="shared" si="6"/>
        <v>4296970</v>
      </c>
      <c r="I80" s="1805">
        <f>VLOOKUP($C80,'2.5 NCEI Adj. YR1'!$B$7:$I$23,8)</f>
        <v>1</v>
      </c>
      <c r="J80" s="1396">
        <f t="shared" si="7"/>
        <v>0</v>
      </c>
    </row>
    <row r="81" spans="1:11" x14ac:dyDescent="0.3">
      <c r="A81" s="156"/>
      <c r="B81" s="9" t="str">
        <f>'1.2 Budgeted Enrollment YR1'!E83</f>
        <v>Rainbow Dreams Academy</v>
      </c>
      <c r="C81" s="399" t="str">
        <f>'1.2 Budgeted Enrollment YR1'!A83</f>
        <v>Clark</v>
      </c>
      <c r="D81" s="1396">
        <f>'2.3 Statewide Base Funding YR1'!C87</f>
        <v>9432</v>
      </c>
      <c r="E81" s="1803">
        <f>'1.2 Budgeted Enrollment YR1'!L83</f>
        <v>0</v>
      </c>
      <c r="F81" s="1396">
        <f t="shared" si="5"/>
        <v>0</v>
      </c>
      <c r="G81" s="1804">
        <f>'1.2 Budgeted Enrollment YR1'!G83-E81</f>
        <v>63.383111480510713</v>
      </c>
      <c r="H81" s="646">
        <f t="shared" si="6"/>
        <v>597830</v>
      </c>
      <c r="I81" s="1805">
        <f>VLOOKUP($C81,'2.5 NCEI Adj. YR1'!$B$7:$I$23,8)</f>
        <v>1</v>
      </c>
      <c r="J81" s="1396">
        <f t="shared" si="7"/>
        <v>0</v>
      </c>
    </row>
    <row r="82" spans="1:11" x14ac:dyDescent="0.3">
      <c r="A82" s="156"/>
      <c r="B82" s="9" t="str">
        <f>'1.2 Budgeted Enrollment YR1'!E84</f>
        <v>Rooted Charter School</v>
      </c>
      <c r="C82" s="399" t="str">
        <f>'1.2 Budgeted Enrollment YR1'!A84</f>
        <v>Clark</v>
      </c>
      <c r="D82" s="1396">
        <f>'2.3 Statewide Base Funding YR1'!C88</f>
        <v>9432</v>
      </c>
      <c r="E82" s="1803">
        <f>'1.2 Budgeted Enrollment YR1'!L84</f>
        <v>0</v>
      </c>
      <c r="F82" s="1396">
        <f t="shared" si="5"/>
        <v>0</v>
      </c>
      <c r="G82" s="1804">
        <f>'1.2 Budgeted Enrollment YR1'!G84-E82</f>
        <v>23.615168211814723</v>
      </c>
      <c r="H82" s="646">
        <f t="shared" si="6"/>
        <v>222738</v>
      </c>
      <c r="I82" s="1805">
        <f>VLOOKUP($C82,'2.5 NCEI Adj. YR1'!$B$7:$I$23,8)</f>
        <v>1</v>
      </c>
      <c r="J82" s="1396">
        <f t="shared" si="7"/>
        <v>0</v>
      </c>
    </row>
    <row r="83" spans="1:11" x14ac:dyDescent="0.3">
      <c r="A83" s="156"/>
      <c r="B83" s="9" t="str">
        <f>'1.2 Budgeted Enrollment YR1'!E85</f>
        <v>Sage Collegiate Academy</v>
      </c>
      <c r="C83" s="399" t="str">
        <f>'1.2 Budgeted Enrollment YR1'!A85</f>
        <v>Clark</v>
      </c>
      <c r="D83" s="1396">
        <f>'2.3 Statewide Base Funding YR1'!C89</f>
        <v>9432</v>
      </c>
      <c r="E83" s="1803">
        <f>'1.2 Budgeted Enrollment YR1'!L85</f>
        <v>0</v>
      </c>
      <c r="F83" s="1396">
        <f t="shared" si="5"/>
        <v>0</v>
      </c>
      <c r="G83" s="1804">
        <f>'1.2 Budgeted Enrollment YR1'!G85-E83</f>
        <v>236.13114718926738</v>
      </c>
      <c r="H83" s="646">
        <f t="shared" si="6"/>
        <v>2227189</v>
      </c>
      <c r="I83" s="1805">
        <f>VLOOKUP($C83,'2.5 NCEI Adj. YR1'!$B$7:$I$23,8)</f>
        <v>1</v>
      </c>
      <c r="J83" s="1396">
        <f t="shared" si="7"/>
        <v>0</v>
      </c>
    </row>
    <row r="84" spans="1:11" x14ac:dyDescent="0.3">
      <c r="A84" s="156"/>
      <c r="B84" s="9" t="str">
        <f>'1.2 Budgeted Enrollment YR1'!E86</f>
        <v>Sierra Nevada Academy Charter</v>
      </c>
      <c r="C84" s="399" t="str">
        <f>'1.2 Budgeted Enrollment YR1'!A86</f>
        <v>Washoe</v>
      </c>
      <c r="D84" s="1396">
        <f>'2.3 Statewide Base Funding YR1'!C90</f>
        <v>9432</v>
      </c>
      <c r="E84" s="1803">
        <f>'1.2 Budgeted Enrollment YR1'!L86</f>
        <v>0</v>
      </c>
      <c r="F84" s="1396">
        <f t="shared" si="5"/>
        <v>0</v>
      </c>
      <c r="G84" s="1804">
        <f>'1.2 Budgeted Enrollment YR1'!G86-E84</f>
        <v>265.07102245962432</v>
      </c>
      <c r="H84" s="646">
        <f t="shared" si="6"/>
        <v>2500150</v>
      </c>
      <c r="I84" s="1805">
        <f>VLOOKUP($C84,'2.5 NCEI Adj. YR1'!$B$7:$I$23,8)</f>
        <v>1</v>
      </c>
      <c r="J84" s="1396">
        <f t="shared" si="7"/>
        <v>0</v>
      </c>
    </row>
    <row r="85" spans="1:11" x14ac:dyDescent="0.3">
      <c r="A85" s="156"/>
      <c r="B85" s="9" t="str">
        <f>'1.2 Budgeted Enrollment YR1'!E87</f>
        <v>Signature Preparatory</v>
      </c>
      <c r="C85" s="399" t="str">
        <f>'1.2 Budgeted Enrollment YR1'!A87</f>
        <v>Clark</v>
      </c>
      <c r="D85" s="1396">
        <f>'2.3 Statewide Base Funding YR1'!C91</f>
        <v>9432</v>
      </c>
      <c r="E85" s="1803">
        <f>'1.2 Budgeted Enrollment YR1'!L87</f>
        <v>0</v>
      </c>
      <c r="F85" s="1396">
        <f t="shared" si="5"/>
        <v>0</v>
      </c>
      <c r="G85" s="1804">
        <f>'1.2 Budgeted Enrollment YR1'!G87-E85</f>
        <v>995.39371457820653</v>
      </c>
      <c r="H85" s="646">
        <f t="shared" si="6"/>
        <v>9388554</v>
      </c>
      <c r="I85" s="1805">
        <f>VLOOKUP($C85,'2.5 NCEI Adj. YR1'!$B$7:$I$23,8)</f>
        <v>1</v>
      </c>
      <c r="J85" s="1396">
        <f t="shared" si="7"/>
        <v>0</v>
      </c>
    </row>
    <row r="86" spans="1:11" x14ac:dyDescent="0.3">
      <c r="A86" s="156"/>
      <c r="B86" s="9" t="str">
        <f>'1.2 Budgeted Enrollment YR1'!E88</f>
        <v>Silver Sands Montessori</v>
      </c>
      <c r="C86" s="399" t="str">
        <f>'1.2 Budgeted Enrollment YR1'!A88</f>
        <v>Clark</v>
      </c>
      <c r="D86" s="1396">
        <f>'2.3 Statewide Base Funding YR1'!C92</f>
        <v>9432</v>
      </c>
      <c r="E86" s="1803">
        <f>'1.2 Budgeted Enrollment YR1'!L88</f>
        <v>0</v>
      </c>
      <c r="F86" s="1396">
        <f t="shared" si="5"/>
        <v>0</v>
      </c>
      <c r="G86" s="1804">
        <f>'1.2 Budgeted Enrollment YR1'!G88-E86</f>
        <v>239.7637761081109</v>
      </c>
      <c r="H86" s="646">
        <f t="shared" si="6"/>
        <v>2261452</v>
      </c>
      <c r="I86" s="1805">
        <f>VLOOKUP($C86,'2.5 NCEI Adj. YR1'!$B$7:$I$23,8)</f>
        <v>1</v>
      </c>
      <c r="J86" s="1396">
        <f t="shared" si="7"/>
        <v>0</v>
      </c>
    </row>
    <row r="87" spans="1:11" x14ac:dyDescent="0.3">
      <c r="A87" s="156"/>
      <c r="B87" s="9" t="str">
        <f>'1.2 Budgeted Enrollment YR1'!E89</f>
        <v>Somerset Academy</v>
      </c>
      <c r="C87" s="399" t="str">
        <f>'1.2 Budgeted Enrollment YR1'!A89</f>
        <v>Clark</v>
      </c>
      <c r="D87" s="1396">
        <f>'2.3 Statewide Base Funding YR1'!C93</f>
        <v>9432</v>
      </c>
      <c r="E87" s="1803">
        <f>'1.2 Budgeted Enrollment YR1'!L89</f>
        <v>0</v>
      </c>
      <c r="F87" s="1396">
        <f t="shared" si="5"/>
        <v>0</v>
      </c>
      <c r="G87" s="1804">
        <f>'1.2 Budgeted Enrollment YR1'!G89-E87</f>
        <v>9613.0429519265235</v>
      </c>
      <c r="H87" s="646">
        <f t="shared" si="6"/>
        <v>90670221</v>
      </c>
      <c r="I87" s="1805">
        <f>VLOOKUP($C87,'2.5 NCEI Adj. YR1'!$B$7:$I$23,8)</f>
        <v>1</v>
      </c>
      <c r="J87" s="1396">
        <f t="shared" si="7"/>
        <v>0</v>
      </c>
    </row>
    <row r="88" spans="1:11" x14ac:dyDescent="0.3">
      <c r="A88" s="156"/>
      <c r="B88" s="9" t="str">
        <f>'1.2 Budgeted Enrollment YR1'!E90</f>
        <v>Southern Nevada Trade High School</v>
      </c>
      <c r="C88" s="399" t="str">
        <f>'1.2 Budgeted Enrollment YR1'!A90</f>
        <v>Clark</v>
      </c>
      <c r="D88" s="1396">
        <f>'2.3 Statewide Base Funding YR1'!C94</f>
        <v>9432</v>
      </c>
      <c r="E88" s="1803">
        <f>'1.2 Budgeted Enrollment YR1'!L90</f>
        <v>0</v>
      </c>
      <c r="F88" s="1396">
        <f t="shared" si="5"/>
        <v>0</v>
      </c>
      <c r="G88" s="1804">
        <f>'1.2 Budgeted Enrollment YR1'!G90-E88</f>
        <v>81.083193428487846</v>
      </c>
      <c r="H88" s="646">
        <f t="shared" si="6"/>
        <v>764777</v>
      </c>
      <c r="I88" s="1805">
        <f>VLOOKUP($C88,'2.5 NCEI Adj. YR1'!$B$7:$I$23,8)</f>
        <v>1</v>
      </c>
      <c r="J88" s="1396">
        <f t="shared" si="7"/>
        <v>0</v>
      </c>
    </row>
    <row r="89" spans="1:11" x14ac:dyDescent="0.3">
      <c r="A89" s="156"/>
      <c r="B89" s="9" t="str">
        <f>'1.2 Budgeted Enrollment YR1'!E91</f>
        <v>Sports Leadership and Management Academy</v>
      </c>
      <c r="C89" s="399" t="str">
        <f>'1.2 Budgeted Enrollment YR1'!A91</f>
        <v>Clark</v>
      </c>
      <c r="D89" s="1396">
        <f>'2.3 Statewide Base Funding YR1'!C95</f>
        <v>9432</v>
      </c>
      <c r="E89" s="1803">
        <f>'1.2 Budgeted Enrollment YR1'!L91</f>
        <v>0</v>
      </c>
      <c r="F89" s="1396">
        <f t="shared" si="5"/>
        <v>0</v>
      </c>
      <c r="G89" s="1804">
        <f>'1.2 Budgeted Enrollment YR1'!G91-E89</f>
        <v>1868.7586142879702</v>
      </c>
      <c r="H89" s="646">
        <f t="shared" si="6"/>
        <v>17626131</v>
      </c>
      <c r="I89" s="1805">
        <f>VLOOKUP($C89,'2.5 NCEI Adj. YR1'!$B$7:$I$23,8)</f>
        <v>1</v>
      </c>
      <c r="J89" s="1396">
        <f t="shared" si="7"/>
        <v>0</v>
      </c>
    </row>
    <row r="90" spans="1:11" x14ac:dyDescent="0.3">
      <c r="A90" s="156"/>
      <c r="B90" s="9" t="str">
        <f>'1.2 Budgeted Enrollment YR1'!E92</f>
        <v>Strong Start Academy</v>
      </c>
      <c r="C90" s="399" t="str">
        <f>'1.2 Budgeted Enrollment YR1'!A92</f>
        <v>Clark</v>
      </c>
      <c r="D90" s="1396">
        <f>'2.3 Statewide Base Funding YR1'!C96</f>
        <v>9432</v>
      </c>
      <c r="E90" s="1803">
        <f>'1.2 Budgeted Enrollment YR1'!L92</f>
        <v>0</v>
      </c>
      <c r="F90" s="1396">
        <f t="shared" si="5"/>
        <v>0</v>
      </c>
      <c r="G90" s="1804">
        <f>'1.2 Budgeted Enrollment YR1'!G92-E90</f>
        <v>147.52292907276259</v>
      </c>
      <c r="H90" s="646">
        <f t="shared" si="6"/>
        <v>1391436</v>
      </c>
      <c r="I90" s="1805">
        <f>VLOOKUP($C90,'2.5 NCEI Adj. YR1'!$B$7:$I$23,8)</f>
        <v>1</v>
      </c>
      <c r="J90" s="1396">
        <f t="shared" si="7"/>
        <v>0</v>
      </c>
    </row>
    <row r="91" spans="1:11" x14ac:dyDescent="0.3">
      <c r="A91" s="156"/>
      <c r="B91" s="9" t="str">
        <f>'1.2 Budgeted Enrollment YR1'!E93</f>
        <v>ThrivePoint</v>
      </c>
      <c r="C91" s="399" t="str">
        <f>'1.2 Budgeted Enrollment YR1'!A93</f>
        <v>Clark</v>
      </c>
      <c r="D91" s="1396">
        <f>'2.3 Statewide Base Funding YR1'!C97</f>
        <v>9432</v>
      </c>
      <c r="E91" s="1803">
        <f>'1.2 Budgeted Enrollment YR1'!L93</f>
        <v>0</v>
      </c>
      <c r="F91" s="1396">
        <f t="shared" si="5"/>
        <v>0</v>
      </c>
      <c r="G91" s="1804">
        <f>'1.2 Budgeted Enrollment YR1'!G93-E91</f>
        <v>152.98522015479972</v>
      </c>
      <c r="H91" s="646">
        <f t="shared" si="6"/>
        <v>1442957</v>
      </c>
      <c r="I91" s="1805">
        <f>VLOOKUP($C91,'2.5 NCEI Adj. YR1'!$B$7:$I$23,8)</f>
        <v>1</v>
      </c>
      <c r="J91" s="1396">
        <f t="shared" si="7"/>
        <v>0</v>
      </c>
      <c r="K91" s="78" t="s">
        <v>370</v>
      </c>
    </row>
    <row r="92" spans="1:11" x14ac:dyDescent="0.3">
      <c r="A92" s="156"/>
      <c r="B92" s="9" t="str">
        <f>'1.2 Budgeted Enrollment YR1'!E94</f>
        <v>Vegas Vista Academy</v>
      </c>
      <c r="C92" s="399" t="str">
        <f>'1.2 Budgeted Enrollment YR1'!A94</f>
        <v>Clark</v>
      </c>
      <c r="D92" s="1396">
        <f>'2.3 Statewide Base Funding YR1'!C98</f>
        <v>9432</v>
      </c>
      <c r="E92" s="1803">
        <f>'1.2 Budgeted Enrollment YR1'!L94</f>
        <v>0</v>
      </c>
      <c r="F92" s="1396">
        <f t="shared" si="5"/>
        <v>0</v>
      </c>
      <c r="G92" s="1804">
        <f>'1.2 Budgeted Enrollment YR1'!G94-E92</f>
        <v>104.72813728717834</v>
      </c>
      <c r="H92" s="646">
        <f t="shared" si="6"/>
        <v>987796</v>
      </c>
      <c r="I92" s="1805">
        <f>VLOOKUP($C92,'2.5 NCEI Adj. YR1'!$B$7:$I$23,8)</f>
        <v>1</v>
      </c>
      <c r="J92" s="1396">
        <f t="shared" si="7"/>
        <v>0</v>
      </c>
      <c r="K92" s="78" t="s">
        <v>370</v>
      </c>
    </row>
    <row r="93" spans="1:11" x14ac:dyDescent="0.3">
      <c r="A93" s="204"/>
      <c r="B93" s="137" t="str">
        <f>'1.2 Budgeted Enrollment YR1'!E95</f>
        <v>Young Women's Leadership Academy</v>
      </c>
      <c r="C93" s="411" t="str">
        <f>'1.2 Budgeted Enrollment YR1'!A95</f>
        <v>Clark</v>
      </c>
      <c r="D93" s="1397">
        <f>'2.3 Statewide Base Funding YR1'!C99</f>
        <v>9432</v>
      </c>
      <c r="E93" s="1806">
        <f>'1.2 Budgeted Enrollment YR1'!L95</f>
        <v>0</v>
      </c>
      <c r="F93" s="1397">
        <f>ROUND(D93*E93,0)</f>
        <v>0</v>
      </c>
      <c r="G93" s="1807">
        <f>'1.2 Budgeted Enrollment YR1'!G95-E93</f>
        <v>118.86232883517145</v>
      </c>
      <c r="H93" s="647">
        <f>ROUND(D93*G93,0)</f>
        <v>1121109</v>
      </c>
      <c r="I93" s="1808">
        <f>VLOOKUP($C93,'2.5 NCEI Adj. YR1'!$B$7:$I$23,8)</f>
        <v>1</v>
      </c>
      <c r="J93" s="1397">
        <f t="shared" si="7"/>
        <v>0</v>
      </c>
    </row>
    <row r="94" spans="1:11" s="4" customFormat="1" x14ac:dyDescent="0.3">
      <c r="A94" s="289"/>
      <c r="B94" s="291" t="str">
        <f>'2.3 Statewide Base Funding YR1'!B100</f>
        <v>Charter Total</v>
      </c>
      <c r="C94" s="291"/>
      <c r="D94" s="839"/>
      <c r="E94" s="1809">
        <f>SUM(E32:E93)</f>
        <v>3425.1842297671528</v>
      </c>
      <c r="F94" s="379">
        <f>SUM(F32:F93)</f>
        <v>32306338</v>
      </c>
      <c r="G94" s="1810">
        <f>SUM(G32:G93)</f>
        <v>68876.422436899535</v>
      </c>
      <c r="H94" s="410">
        <f>SUM(H32:H93)</f>
        <v>649642418</v>
      </c>
      <c r="I94" s="1406"/>
      <c r="J94" s="426">
        <f>SUM(J32:J93)</f>
        <v>0</v>
      </c>
      <c r="K94" s="85"/>
    </row>
    <row r="95" spans="1:11" s="108" customFormat="1" x14ac:dyDescent="0.3"/>
    <row r="96" spans="1:11" x14ac:dyDescent="0.3">
      <c r="A96" s="4" t="str">
        <f>B25</f>
        <v>University Schools</v>
      </c>
      <c r="C96" s="5" t="str">
        <f t="shared" ref="C96:J96" si="8">C6</f>
        <v>Tab 1.2</v>
      </c>
      <c r="D96" s="5" t="str">
        <f t="shared" si="8"/>
        <v>Tab 2.3</v>
      </c>
      <c r="E96" s="5" t="str">
        <f t="shared" si="8"/>
        <v>N/A</v>
      </c>
      <c r="F96" s="5" t="str">
        <f t="shared" si="8"/>
        <v>=(D * E)</v>
      </c>
      <c r="G96" s="5" t="str">
        <f t="shared" si="8"/>
        <v>=Tab 1.2 - E</v>
      </c>
      <c r="H96" s="1811" t="str">
        <f t="shared" si="8"/>
        <v>Tab 2.2</v>
      </c>
      <c r="I96" s="5" t="str">
        <f t="shared" si="8"/>
        <v>Tab 1.1</v>
      </c>
      <c r="J96" s="5" t="str">
        <f t="shared" si="8"/>
        <v>=(E * (G - 1))</v>
      </c>
    </row>
    <row r="97" spans="1:11" x14ac:dyDescent="0.3">
      <c r="A97" s="300"/>
      <c r="B97" s="207" t="str">
        <f>'1.2 Budgeted Enrollment YR1'!E100</f>
        <v>Davidson Academy</v>
      </c>
      <c r="C97" s="207" t="str">
        <f>'1.2 Budgeted Enrollment YR1'!A100</f>
        <v>Washoe</v>
      </c>
      <c r="D97" s="500">
        <f>'2.3 Statewide Base Funding YR1'!C103</f>
        <v>9432</v>
      </c>
      <c r="E97" s="1812">
        <f>'1.2 Budgeted Enrollment YR1'!L100</f>
        <v>0</v>
      </c>
      <c r="F97" s="606">
        <f>ROUND(D97*E97,0)</f>
        <v>0</v>
      </c>
      <c r="G97" s="1813">
        <f>'1.2 Budgeted Enrollment YR1'!G100-E97</f>
        <v>167.88437423074134</v>
      </c>
      <c r="H97" s="1814">
        <f>ROUND(D97*G97,0)</f>
        <v>1583485</v>
      </c>
      <c r="I97" s="1815">
        <f>IF($E97&gt;0,1,VLOOKUP($C97,'2.5 NCEI Adj. YR1'!$B$7:$I$25,8,FALSE))</f>
        <v>1</v>
      </c>
      <c r="J97" s="2011">
        <f>ROUND(SUM(H97)*(I97-1),0)</f>
        <v>0</v>
      </c>
    </row>
    <row r="98" spans="1:11" x14ac:dyDescent="0.3">
      <c r="A98" s="204"/>
      <c r="B98" s="137" t="str">
        <f>'1.2 Budgeted Enrollment YR1'!E101</f>
        <v>TBD</v>
      </c>
      <c r="C98" s="137">
        <f>'1.2 Budgeted Enrollment YR1'!A101</f>
        <v>0</v>
      </c>
      <c r="D98" s="391">
        <f>'2.3 Statewide Base Funding YR1'!C104</f>
        <v>9432</v>
      </c>
      <c r="E98" s="1816">
        <f>'1.2 Budgeted Enrollment YR1'!L101</f>
        <v>0</v>
      </c>
      <c r="F98" s="1414">
        <f>ROUND(D98*E98,0)</f>
        <v>0</v>
      </c>
      <c r="G98" s="1817">
        <f>'1.2 Budgeted Enrollment YR1'!G101-E98</f>
        <v>0</v>
      </c>
      <c r="H98" s="440">
        <f>ROUND(D98*G98,0)</f>
        <v>0</v>
      </c>
      <c r="I98" s="1818">
        <f>IF(C98=0,0,IF($E98&gt;0,1,VLOOKUP($C98,'2.5 NCEI Adj. YR1'!$B$7:$I$25,8,FALSE)))</f>
        <v>0</v>
      </c>
      <c r="J98" s="376">
        <f>ROUND(SUM(H98)*(I98-1),0)</f>
        <v>0</v>
      </c>
    </row>
    <row r="99" spans="1:11" s="4" customFormat="1" x14ac:dyDescent="0.3">
      <c r="D99" s="1819"/>
      <c r="E99" s="1820">
        <f>SUM(E97:E98)</f>
        <v>0</v>
      </c>
      <c r="F99" s="1821">
        <f>SUM(F97:F98)</f>
        <v>0</v>
      </c>
      <c r="G99" s="1822">
        <f>SUM(G97:G98)</f>
        <v>167.88437423074134</v>
      </c>
      <c r="H99" s="1821">
        <f>SUM(H97:H98)</f>
        <v>1583485</v>
      </c>
      <c r="I99" s="1819"/>
      <c r="J99" s="1443">
        <f>SUM(J97:J98)</f>
        <v>0</v>
      </c>
      <c r="K99" s="85"/>
    </row>
    <row r="100" spans="1:11" x14ac:dyDescent="0.3">
      <c r="H100" s="12"/>
    </row>
    <row r="101" spans="1:11" x14ac:dyDescent="0.3">
      <c r="A101" s="4" t="str">
        <f>B26</f>
        <v>City of Henderson</v>
      </c>
      <c r="C101" s="5" t="str">
        <f>C96</f>
        <v>Tab 1.2</v>
      </c>
      <c r="D101" s="5" t="str">
        <f t="shared" ref="D101:J101" si="9">D96</f>
        <v>Tab 2.3</v>
      </c>
      <c r="E101" s="5" t="str">
        <f t="shared" si="9"/>
        <v>N/A</v>
      </c>
      <c r="F101" s="5" t="str">
        <f t="shared" si="9"/>
        <v>=(D * E)</v>
      </c>
      <c r="G101" s="5" t="str">
        <f t="shared" si="9"/>
        <v>=Tab 1.2 - E</v>
      </c>
      <c r="H101" s="5" t="str">
        <f t="shared" si="9"/>
        <v>Tab 2.2</v>
      </c>
      <c r="I101" s="5" t="str">
        <f t="shared" si="9"/>
        <v>Tab 1.1</v>
      </c>
      <c r="J101" s="5" t="str">
        <f t="shared" si="9"/>
        <v>=(E * (G - 1))</v>
      </c>
    </row>
    <row r="102" spans="1:11" x14ac:dyDescent="0.3">
      <c r="A102" s="300"/>
      <c r="B102" s="207" t="str">
        <f>'1.2 Budgeted Enrollment YR1'!E107</f>
        <v>TBD</v>
      </c>
      <c r="C102" s="207" t="str">
        <f>'1.2 Budgeted Enrollment YR1'!A107</f>
        <v>Clark</v>
      </c>
      <c r="D102" s="500">
        <f>'2.3 Statewide Base Funding YR1'!C108</f>
        <v>9432</v>
      </c>
      <c r="E102" s="1812">
        <f>'1.2 Budgeted Enrollment YR1'!L107</f>
        <v>0</v>
      </c>
      <c r="F102" s="797">
        <f>ROUND(D102*E102,0)</f>
        <v>0</v>
      </c>
      <c r="G102" s="1813">
        <f>'1.2 Budgeted Enrollment YR1'!G107-E102</f>
        <v>0</v>
      </c>
      <c r="H102" s="1814">
        <f>ROUND(D102*G102,0)</f>
        <v>0</v>
      </c>
      <c r="I102" s="1815">
        <f>IF($E102&gt;0,1,VLOOKUP($C102,'2.5 NCEI Adj. YR1'!$B$7:$I$25,8,FALSE))</f>
        <v>1</v>
      </c>
      <c r="J102" s="2011">
        <f>ROUND(SUM(H102)*(I102-1),0)</f>
        <v>0</v>
      </c>
    </row>
    <row r="103" spans="1:11" x14ac:dyDescent="0.3">
      <c r="A103" s="204"/>
      <c r="B103" s="137" t="str">
        <f>'1.2 Budgeted Enrollment YR1'!E108</f>
        <v>TBD</v>
      </c>
      <c r="C103" s="137" t="str">
        <f>'1.2 Budgeted Enrollment YR1'!A108</f>
        <v>Clark</v>
      </c>
      <c r="D103" s="391">
        <f>'2.3 Statewide Base Funding YR1'!C109</f>
        <v>9432</v>
      </c>
      <c r="E103" s="1816">
        <f>'1.2 Budgeted Enrollment YR1'!L108</f>
        <v>0</v>
      </c>
      <c r="F103" s="440">
        <f>ROUND(D103*E103,0)</f>
        <v>0</v>
      </c>
      <c r="G103" s="1817">
        <f>'1.2 Budgeted Enrollment YR1'!G108-E103</f>
        <v>0</v>
      </c>
      <c r="H103" s="440">
        <f>ROUND(D103*G103,0)</f>
        <v>0</v>
      </c>
      <c r="I103" s="1818">
        <f>IF($E103&gt;0,1,VLOOKUP($C103,'2.5 NCEI Adj. YR1'!$B$7:$I$25,8,FALSE))</f>
        <v>1</v>
      </c>
      <c r="J103" s="376">
        <f>ROUND(SUM(H103)*(I103-1),0)</f>
        <v>0</v>
      </c>
    </row>
    <row r="104" spans="1:11" s="4" customFormat="1" x14ac:dyDescent="0.3">
      <c r="D104" s="1819"/>
      <c r="E104" s="1820">
        <f>SUM(E102:E103)</f>
        <v>0</v>
      </c>
      <c r="F104" s="1821">
        <f>SUM(F102:F103)</f>
        <v>0</v>
      </c>
      <c r="G104" s="1822">
        <f>SUM(G102:G103)</f>
        <v>0</v>
      </c>
      <c r="H104" s="1821">
        <f>SUM(H102:H103)</f>
        <v>0</v>
      </c>
      <c r="I104" s="1819"/>
      <c r="J104" s="1823">
        <f>SUM(J102:J103)</f>
        <v>0</v>
      </c>
      <c r="K104" s="85"/>
    </row>
    <row r="105" spans="1:11" x14ac:dyDescent="0.3">
      <c r="H105" s="12"/>
    </row>
    <row r="106" spans="1:11" x14ac:dyDescent="0.3">
      <c r="A106" s="4" t="str">
        <f>B27</f>
        <v>City of North Las Vegas</v>
      </c>
      <c r="C106" s="5" t="str">
        <f>C101</f>
        <v>Tab 1.2</v>
      </c>
      <c r="D106" s="5" t="str">
        <f t="shared" ref="D106:J106" si="10">D101</f>
        <v>Tab 2.3</v>
      </c>
      <c r="E106" s="5" t="str">
        <f t="shared" si="10"/>
        <v>N/A</v>
      </c>
      <c r="F106" s="5" t="str">
        <f t="shared" si="10"/>
        <v>=(D * E)</v>
      </c>
      <c r="G106" s="5" t="str">
        <f t="shared" si="10"/>
        <v>=Tab 1.2 - E</v>
      </c>
      <c r="H106" s="5" t="str">
        <f t="shared" si="10"/>
        <v>Tab 2.2</v>
      </c>
      <c r="I106" s="5" t="str">
        <f t="shared" si="10"/>
        <v>Tab 1.1</v>
      </c>
      <c r="J106" s="5" t="str">
        <f t="shared" si="10"/>
        <v>=(E * (G - 1))</v>
      </c>
    </row>
    <row r="107" spans="1:11" x14ac:dyDescent="0.3">
      <c r="A107" s="300"/>
      <c r="B107" s="207" t="str">
        <f>'1.2 Budgeted Enrollment YR1'!E113</f>
        <v>TBD</v>
      </c>
      <c r="C107" s="207" t="str">
        <f>'1.2 Budgeted Enrollment YR1'!A113</f>
        <v>Clark</v>
      </c>
      <c r="D107" s="500">
        <f>'2.3 Statewide Base Funding YR1'!C113</f>
        <v>9432</v>
      </c>
      <c r="E107" s="1812">
        <f>'1.2 Budgeted Enrollment YR1'!L113</f>
        <v>0</v>
      </c>
      <c r="F107" s="797">
        <f>ROUND(D107*E107,0)</f>
        <v>0</v>
      </c>
      <c r="G107" s="1813">
        <f>'1.2 Budgeted Enrollment YR1'!G113-E107</f>
        <v>0</v>
      </c>
      <c r="H107" s="1814">
        <f>ROUND(D107*G107,0)</f>
        <v>0</v>
      </c>
      <c r="I107" s="1815">
        <f>IF($E107&gt;0,1,VLOOKUP($C107,'2.5 NCEI Adj. YR1'!$B$7:$I$25,8,FALSE))</f>
        <v>1</v>
      </c>
      <c r="J107" s="2011">
        <f>ROUND(SUM(H107)*(I107-1),0)</f>
        <v>0</v>
      </c>
    </row>
    <row r="108" spans="1:11" x14ac:dyDescent="0.3">
      <c r="A108" s="204"/>
      <c r="B108" s="137" t="str">
        <f>'1.2 Budgeted Enrollment YR1'!E114</f>
        <v>TBD</v>
      </c>
      <c r="C108" s="137" t="str">
        <f>'1.2 Budgeted Enrollment YR1'!A114</f>
        <v>Clark</v>
      </c>
      <c r="D108" s="391">
        <f>'2.3 Statewide Base Funding YR1'!C114</f>
        <v>9432</v>
      </c>
      <c r="E108" s="1816">
        <f>'1.2 Budgeted Enrollment YR1'!L114</f>
        <v>0</v>
      </c>
      <c r="F108" s="440">
        <f>ROUND(D108*E108,0)</f>
        <v>0</v>
      </c>
      <c r="G108" s="1817">
        <f>'1.2 Budgeted Enrollment YR1'!G114-E108</f>
        <v>0</v>
      </c>
      <c r="H108" s="440">
        <f>ROUND(D108*G108,0)</f>
        <v>0</v>
      </c>
      <c r="I108" s="1818">
        <f>IF($E108&gt;0,1,VLOOKUP($C108,'2.5 NCEI Adj. YR1'!$B$7:$I$25,8,FALSE))</f>
        <v>1</v>
      </c>
      <c r="J108" s="376">
        <f>ROUND(SUM(H108)*(I108-1),0)</f>
        <v>0</v>
      </c>
    </row>
    <row r="109" spans="1:11" s="4" customFormat="1" x14ac:dyDescent="0.3">
      <c r="D109" s="1819"/>
      <c r="E109" s="1820">
        <f>SUM(E107:E108)</f>
        <v>0</v>
      </c>
      <c r="F109" s="1821">
        <f>SUM(F107:F108)</f>
        <v>0</v>
      </c>
      <c r="G109" s="1822">
        <f>SUM(G107:G108)</f>
        <v>0</v>
      </c>
      <c r="H109" s="1821">
        <f>SUM(H107:H108)</f>
        <v>0</v>
      </c>
      <c r="I109" s="1819"/>
      <c r="J109" s="1823">
        <f>SUM(J107:J108)</f>
        <v>0</v>
      </c>
      <c r="K109" s="85"/>
    </row>
    <row r="110" spans="1:11" x14ac:dyDescent="0.3">
      <c r="H110" s="12"/>
    </row>
  </sheetData>
  <customSheetViews>
    <customSheetView guid="{CA1C9262-C0F9-4BBB-95C8-A52990BD1149}" scale="70" showPageBreaks="1" fitToPage="1" printArea="1" hiddenColumns="1">
      <selection activeCell="A26" sqref="A26"/>
      <rowBreaks count="1" manualBreakCount="1">
        <brk id="29" max="16383" man="1"/>
      </rowBreaks>
      <pageMargins left="0" right="0" top="0" bottom="0" header="0" footer="0"/>
      <pageSetup paperSize="3" scale="82"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fitToPage="1" printArea="1" hiddenColumns="1">
      <selection activeCell="A26" sqref="A26"/>
      <rowBreaks count="1" manualBreakCount="1">
        <brk id="29" max="16383" man="1"/>
      </rowBreaks>
      <pageMargins left="0" right="0" top="0" bottom="0" header="0" footer="0"/>
      <pageSetup paperSize="3" scale="82"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fitToPage="1" hiddenColumns="1">
      <selection activeCell="O32" sqref="O32"/>
      <rowBreaks count="1" manualBreakCount="1">
        <brk id="29" max="16383" man="1"/>
      </rowBreaks>
      <pageMargins left="0" right="0" top="0" bottom="0" header="0" footer="0"/>
      <pageSetup paperSize="3" scale="82"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pageMargins left="0.7" right="0.7" top="0.75" bottom="0.75" header="0.3" footer="0.3"/>
  <pageSetup paperSize="3" fitToHeight="0" orientation="landscape" r:id="rId4"/>
  <headerFooter>
    <oddHeader>&amp;R&amp;"Arial Narrow,Regular"&amp;10&amp;A
&amp;P</oddHeader>
  </headerFooter>
  <rowBreaks count="1" manualBreakCount="1">
    <brk id="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DB7F9-9EBF-42E0-9139-AD3B12F86AA6}">
  <sheetPr codeName="Sheet300">
    <tabColor theme="6"/>
    <pageSetUpPr autoPageBreaks="0" fitToPage="1"/>
  </sheetPr>
  <dimension ref="A1:K116"/>
  <sheetViews>
    <sheetView workbookViewId="0">
      <selection activeCell="E6" sqref="E6"/>
    </sheetView>
  </sheetViews>
  <sheetFormatPr defaultColWidth="8.7109375" defaultRowHeight="16.5" x14ac:dyDescent="0.3"/>
  <cols>
    <col min="1" max="1" width="7" style="9" customWidth="1"/>
    <col min="2" max="2" width="38.42578125" style="9" bestFit="1" customWidth="1"/>
    <col min="3" max="3" width="13.140625" style="9" bestFit="1" customWidth="1"/>
    <col min="4" max="4" width="14.5703125" style="9" bestFit="1" customWidth="1"/>
    <col min="5" max="5" width="13.140625" style="9" bestFit="1" customWidth="1"/>
    <col min="6" max="6" width="12.42578125" style="9" bestFit="1" customWidth="1"/>
    <col min="7" max="7" width="14.5703125" style="9" bestFit="1" customWidth="1"/>
    <col min="8" max="8" width="16.140625" style="9" bestFit="1" customWidth="1"/>
    <col min="9" max="9" width="10.5703125" style="9" bestFit="1" customWidth="1"/>
    <col min="10" max="10" width="8.7109375" style="9"/>
    <col min="11" max="11" width="9.7109375" style="9" bestFit="1" customWidth="1"/>
    <col min="12" max="16384" width="8.7109375" style="9"/>
  </cols>
  <sheetData>
    <row r="1" spans="1:10" s="4" customFormat="1" x14ac:dyDescent="0.3">
      <c r="A1" s="4" t="s">
        <v>15</v>
      </c>
    </row>
    <row r="2" spans="1:10" x14ac:dyDescent="0.3">
      <c r="A2" s="9" t="str">
        <f>CONCATENATE("Pupil Center Funding Plan | FY",'1.1 Assumption Control YR1'!D5)</f>
        <v>Pupil Center Funding Plan | FY2026</v>
      </c>
    </row>
    <row r="3" spans="1:10" x14ac:dyDescent="0.3">
      <c r="A3" s="9" t="s">
        <v>60</v>
      </c>
    </row>
    <row r="5" spans="1:10" ht="17.25" thickBot="1" x14ac:dyDescent="0.35">
      <c r="B5" s="17" t="s">
        <v>1336</v>
      </c>
      <c r="C5" s="17" t="s">
        <v>1331</v>
      </c>
      <c r="D5" s="17" t="s">
        <v>1332</v>
      </c>
      <c r="E5" s="18" t="s">
        <v>1333</v>
      </c>
    </row>
    <row r="6" spans="1:10" ht="18" thickTop="1" thickBot="1" x14ac:dyDescent="0.35">
      <c r="C6" s="43">
        <f>'2.3 Statewide Base Funding YR1'!E6</f>
        <v>556557406</v>
      </c>
      <c r="D6" s="44">
        <f>E36+F36</f>
        <v>148266029</v>
      </c>
      <c r="E6" s="45">
        <f>C6-D6</f>
        <v>408291377</v>
      </c>
    </row>
    <row r="7" spans="1:10" ht="17.25" thickTop="1" x14ac:dyDescent="0.3">
      <c r="B7" s="17"/>
      <c r="C7" s="77"/>
    </row>
    <row r="8" spans="1:10" ht="15.75" customHeight="1" x14ac:dyDescent="0.3">
      <c r="B8" s="17"/>
      <c r="C8" s="129"/>
      <c r="D8" s="2364" t="s">
        <v>1457</v>
      </c>
      <c r="E8" s="2365"/>
      <c r="F8" s="2365"/>
      <c r="G8" s="2365"/>
      <c r="H8" s="2366"/>
      <c r="J8" s="4"/>
    </row>
    <row r="9" spans="1:10" x14ac:dyDescent="0.3">
      <c r="B9" s="17"/>
      <c r="C9" s="129"/>
      <c r="D9" s="2367" t="s">
        <v>1458</v>
      </c>
      <c r="E9" s="2368"/>
      <c r="F9" s="2368"/>
      <c r="G9" s="2368"/>
      <c r="H9" s="2369"/>
      <c r="J9" s="4"/>
    </row>
    <row r="10" spans="1:10" x14ac:dyDescent="0.3">
      <c r="C10" s="18" t="s">
        <v>1459</v>
      </c>
      <c r="D10" s="2000" t="s">
        <v>1460</v>
      </c>
      <c r="E10" s="17" t="s">
        <v>1461</v>
      </c>
      <c r="F10" s="2000" t="s">
        <v>1462</v>
      </c>
      <c r="G10" s="17" t="s">
        <v>1463</v>
      </c>
      <c r="H10" s="2000" t="s">
        <v>1464</v>
      </c>
    </row>
    <row r="11" spans="1:10" x14ac:dyDescent="0.3">
      <c r="C11" s="24" t="s">
        <v>1394</v>
      </c>
      <c r="D11" s="118" t="s">
        <v>1465</v>
      </c>
      <c r="E11" s="17" t="s">
        <v>1466</v>
      </c>
      <c r="F11" s="118" t="s">
        <v>1467</v>
      </c>
      <c r="G11" s="17" t="s">
        <v>1468</v>
      </c>
      <c r="H11" s="118" t="s">
        <v>1469</v>
      </c>
    </row>
    <row r="12" spans="1:10" x14ac:dyDescent="0.3">
      <c r="A12" s="4"/>
      <c r="B12" s="13"/>
      <c r="C12" s="315"/>
      <c r="D12" s="317" t="s">
        <v>1470</v>
      </c>
      <c r="E12" s="1243" t="s">
        <v>1470</v>
      </c>
      <c r="F12" s="317" t="s">
        <v>1470</v>
      </c>
      <c r="G12" s="17" t="s">
        <v>1470</v>
      </c>
      <c r="H12" s="118" t="s">
        <v>216</v>
      </c>
    </row>
    <row r="13" spans="1:10" s="35" customFormat="1" x14ac:dyDescent="0.3">
      <c r="A13" s="2095"/>
      <c r="B13" s="319" t="s">
        <v>1346</v>
      </c>
      <c r="C13" s="320" t="s">
        <v>195</v>
      </c>
      <c r="D13" s="322" t="s">
        <v>1453</v>
      </c>
      <c r="E13" s="320" t="s">
        <v>226</v>
      </c>
      <c r="F13" s="322" t="s">
        <v>1471</v>
      </c>
      <c r="G13" s="324" t="s">
        <v>1351</v>
      </c>
      <c r="H13" s="524" t="s">
        <v>1472</v>
      </c>
    </row>
    <row r="14" spans="1:10" x14ac:dyDescent="0.3">
      <c r="A14" s="291" t="s">
        <v>1228</v>
      </c>
      <c r="B14" s="226"/>
      <c r="C14" s="326"/>
      <c r="D14" s="327"/>
      <c r="E14" s="1244"/>
      <c r="F14" s="327"/>
      <c r="G14" s="226"/>
      <c r="H14" s="295"/>
    </row>
    <row r="15" spans="1:10" x14ac:dyDescent="0.3">
      <c r="A15" s="455"/>
      <c r="B15" s="207" t="str">
        <f>'1.2 Budgeted Enrollment YR1'!E9</f>
        <v>Carson City</v>
      </c>
      <c r="C15" s="441">
        <f>'1.2 Budgeted Enrollment YR1'!G9</f>
        <v>6970.4860982512937</v>
      </c>
      <c r="D15" s="2012">
        <f>'2.3 Statewide Base Funding YR1'!E14</f>
        <v>65745625</v>
      </c>
      <c r="E15" s="605">
        <f>'2.4 District Size Adj. YR1'!$F$16</f>
        <v>4911606</v>
      </c>
      <c r="F15" s="2013">
        <f>'2.5 NCEI Adj. YR1'!J7</f>
        <v>0</v>
      </c>
      <c r="G15" s="500">
        <f>D15+E15+F15</f>
        <v>70657231</v>
      </c>
      <c r="H15" s="2014">
        <f>IF(C15=0,0,G15/C15)</f>
        <v>10136.628924305005</v>
      </c>
    </row>
    <row r="16" spans="1:10" x14ac:dyDescent="0.3">
      <c r="A16" s="106"/>
      <c r="B16" s="9" t="str">
        <f>'1.2 Budgeted Enrollment YR1'!E10</f>
        <v>Churchill</v>
      </c>
      <c r="C16" s="62">
        <f>'1.2 Budgeted Enrollment YR1'!G10</f>
        <v>3074.1458778318033</v>
      </c>
      <c r="D16" s="117">
        <f>'2.3 Statewide Base Funding YR1'!E15</f>
        <v>28995344</v>
      </c>
      <c r="E16" s="12">
        <f>'2.4 District Size Adj. YR1'!$F$18</f>
        <v>4156487</v>
      </c>
      <c r="F16" s="104">
        <f>'2.5 NCEI Adj. YR1'!J8</f>
        <v>0</v>
      </c>
      <c r="G16" s="368">
        <f>D16+E16+F16</f>
        <v>33151831</v>
      </c>
      <c r="H16" s="375">
        <f>IF(C16=0,0,G16/C16)</f>
        <v>10784.078673384884</v>
      </c>
    </row>
    <row r="17" spans="1:8" x14ac:dyDescent="0.3">
      <c r="A17" s="106"/>
      <c r="B17" s="9" t="str">
        <f>'1.2 Budgeted Enrollment YR1'!E11</f>
        <v>Clark</v>
      </c>
      <c r="C17" s="62">
        <f>'1.2 Budgeted Enrollment YR1'!G11</f>
        <v>285878.81775061262</v>
      </c>
      <c r="D17" s="117">
        <f>'2.3 Statewide Base Funding YR1'!E16</f>
        <v>2696409009</v>
      </c>
      <c r="E17" s="12">
        <f>'2.4 District Size Adj. YR1'!$F$31</f>
        <v>24257558</v>
      </c>
      <c r="F17" s="104">
        <f>'2.5 NCEI Adj. YR1'!J9</f>
        <v>0</v>
      </c>
      <c r="G17" s="368">
        <f t="shared" ref="G17:G33" si="0">D17+E17+F17</f>
        <v>2720666567</v>
      </c>
      <c r="H17" s="375">
        <f t="shared" ref="H17:H33" si="1">IF(C17=0,0,G17/C17)</f>
        <v>9516.8525895240782</v>
      </c>
    </row>
    <row r="18" spans="1:8" x14ac:dyDescent="0.3">
      <c r="A18" s="106"/>
      <c r="B18" s="9" t="str">
        <f>'1.2 Budgeted Enrollment YR1'!E12</f>
        <v>Douglas</v>
      </c>
      <c r="C18" s="62">
        <f>'1.2 Budgeted Enrollment YR1'!G12</f>
        <v>4790.5859463145525</v>
      </c>
      <c r="D18" s="117">
        <f>'2.3 Statewide Base Funding YR1'!E17</f>
        <v>45184807</v>
      </c>
      <c r="E18" s="12">
        <f>'2.4 District Size Adj. YR1'!$F$36</f>
        <v>5784916</v>
      </c>
      <c r="F18" s="104">
        <f>'2.5 NCEI Adj. YR1'!J10</f>
        <v>0</v>
      </c>
      <c r="G18" s="368">
        <f t="shared" si="0"/>
        <v>50969723</v>
      </c>
      <c r="H18" s="375">
        <f t="shared" si="1"/>
        <v>10639.55924623616</v>
      </c>
    </row>
    <row r="19" spans="1:8" x14ac:dyDescent="0.3">
      <c r="A19" s="106"/>
      <c r="B19" s="9" t="str">
        <f>'1.2 Budgeted Enrollment YR1'!E13</f>
        <v>Elko</v>
      </c>
      <c r="C19" s="62">
        <f>'1.2 Budgeted Enrollment YR1'!G13</f>
        <v>9234.4483500865917</v>
      </c>
      <c r="D19" s="117">
        <f>'2.3 Statewide Base Funding YR1'!E18</f>
        <v>87099317</v>
      </c>
      <c r="E19" s="12">
        <f>'2.4 District Size Adj. YR1'!$F$49</f>
        <v>20738393</v>
      </c>
      <c r="F19" s="104">
        <f>'2.5 NCEI Adj. YR1'!J11</f>
        <v>0</v>
      </c>
      <c r="G19" s="368">
        <f t="shared" si="0"/>
        <v>107837710</v>
      </c>
      <c r="H19" s="375">
        <f t="shared" si="1"/>
        <v>11677.764162164467</v>
      </c>
    </row>
    <row r="20" spans="1:8" x14ac:dyDescent="0.3">
      <c r="A20" s="106"/>
      <c r="B20" s="9" t="str">
        <f>'1.2 Budgeted Enrollment YR1'!E14</f>
        <v>Esmeralda</v>
      </c>
      <c r="C20" s="62">
        <f>'1.2 Budgeted Enrollment YR1'!G14</f>
        <v>80.635895560117746</v>
      </c>
      <c r="D20" s="117">
        <f>'2.3 Statewide Base Funding YR1'!E19</f>
        <v>760558</v>
      </c>
      <c r="E20" s="12">
        <f>'2.4 District Size Adj. YR1'!$F$54</f>
        <v>1232031</v>
      </c>
      <c r="F20" s="104">
        <f>'2.5 NCEI Adj. YR1'!J12</f>
        <v>0</v>
      </c>
      <c r="G20" s="368">
        <f t="shared" si="0"/>
        <v>1992589</v>
      </c>
      <c r="H20" s="375">
        <f t="shared" si="1"/>
        <v>24710.942765116732</v>
      </c>
    </row>
    <row r="21" spans="1:8" x14ac:dyDescent="0.3">
      <c r="A21" s="106"/>
      <c r="B21" s="9" t="str">
        <f>'1.2 Budgeted Enrollment YR1'!E15</f>
        <v>Eureka</v>
      </c>
      <c r="C21" s="62">
        <f>'1.2 Budgeted Enrollment YR1'!G15</f>
        <v>297.58201989503061</v>
      </c>
      <c r="D21" s="117">
        <f>'2.3 Statewide Base Funding YR1'!E20</f>
        <v>2806794</v>
      </c>
      <c r="E21" s="12">
        <f>'2.4 District Size Adj. YR1'!$F$58</f>
        <v>2480328</v>
      </c>
      <c r="F21" s="104">
        <f>'2.5 NCEI Adj. YR1'!J13</f>
        <v>0</v>
      </c>
      <c r="G21" s="368">
        <f t="shared" si="0"/>
        <v>5287122</v>
      </c>
      <c r="H21" s="375">
        <f t="shared" si="1"/>
        <v>17766.940361064102</v>
      </c>
    </row>
    <row r="22" spans="1:8" x14ac:dyDescent="0.3">
      <c r="A22" s="106"/>
      <c r="B22" s="9" t="str">
        <f>'1.2 Budgeted Enrollment YR1'!E16</f>
        <v>Humboldt</v>
      </c>
      <c r="C22" s="62">
        <f>'1.2 Budgeted Enrollment YR1'!G16</f>
        <v>3135.8857800940204</v>
      </c>
      <c r="D22" s="117">
        <f>'2.3 Statewide Base Funding YR1'!E21</f>
        <v>29577675</v>
      </c>
      <c r="E22" s="12">
        <f>'2.4 District Size Adj. YR1'!$F$66</f>
        <v>6847441</v>
      </c>
      <c r="F22" s="104">
        <f>'2.5 NCEI Adj. YR1'!J14</f>
        <v>0</v>
      </c>
      <c r="G22" s="368">
        <f t="shared" si="0"/>
        <v>36425116</v>
      </c>
      <c r="H22" s="375">
        <f t="shared" si="1"/>
        <v>11615.574850085228</v>
      </c>
    </row>
    <row r="23" spans="1:8" x14ac:dyDescent="0.3">
      <c r="A23" s="106"/>
      <c r="B23" s="9" t="str">
        <f>'1.2 Budgeted Enrollment YR1'!E17</f>
        <v>Lander</v>
      </c>
      <c r="C23" s="62">
        <f>'1.2 Budgeted Enrollment YR1'!G17</f>
        <v>970.28169719049401</v>
      </c>
      <c r="D23" s="117">
        <f>'2.3 Statewide Base Funding YR1'!E22</f>
        <v>9151697</v>
      </c>
      <c r="E23" s="12">
        <f>'2.4 District Size Adj. YR1'!$F$70</f>
        <v>4552686</v>
      </c>
      <c r="F23" s="104">
        <f>'2.5 NCEI Adj. YR1'!J15</f>
        <v>0</v>
      </c>
      <c r="G23" s="368">
        <f t="shared" si="0"/>
        <v>13704383</v>
      </c>
      <c r="H23" s="375">
        <f t="shared" si="1"/>
        <v>14124.128116279862</v>
      </c>
    </row>
    <row r="24" spans="1:8" x14ac:dyDescent="0.3">
      <c r="A24" s="106"/>
      <c r="B24" s="9" t="str">
        <f>'1.2 Budgeted Enrollment YR1'!E18</f>
        <v>Lincoln</v>
      </c>
      <c r="C24" s="62">
        <f>'1.2 Budgeted Enrollment YR1'!G18</f>
        <v>870.02699048734246</v>
      </c>
      <c r="D24" s="117">
        <f>'2.3 Statewide Base Funding YR1'!E23</f>
        <v>8206095</v>
      </c>
      <c r="E24" s="12">
        <f>'2.4 District Size Adj. YR1'!$F$76</f>
        <v>6754237</v>
      </c>
      <c r="F24" s="104">
        <f>'2.5 NCEI Adj. YR1'!J16</f>
        <v>0</v>
      </c>
      <c r="G24" s="368">
        <f t="shared" si="0"/>
        <v>14960332</v>
      </c>
      <c r="H24" s="375">
        <f t="shared" si="1"/>
        <v>17195.250450356747</v>
      </c>
    </row>
    <row r="25" spans="1:8" x14ac:dyDescent="0.3">
      <c r="A25" s="106"/>
      <c r="B25" s="9" t="str">
        <f>'1.2 Budgeted Enrollment YR1'!E19</f>
        <v>Lyon</v>
      </c>
      <c r="C25" s="62">
        <f>'1.2 Budgeted Enrollment YR1'!G19</f>
        <v>8933.9764767711295</v>
      </c>
      <c r="D25" s="117">
        <f>'2.3 Statewide Base Funding YR1'!E24</f>
        <v>84265266</v>
      </c>
      <c r="E25" s="12">
        <f>'2.4 District Size Adj. YR1'!$F$83</f>
        <v>18569789</v>
      </c>
      <c r="F25" s="104">
        <f>'2.5 NCEI Adj. YR1'!J17</f>
        <v>0</v>
      </c>
      <c r="G25" s="368">
        <f t="shared" si="0"/>
        <v>102835055</v>
      </c>
      <c r="H25" s="375">
        <f t="shared" si="1"/>
        <v>11510.558066430694</v>
      </c>
    </row>
    <row r="26" spans="1:8" x14ac:dyDescent="0.3">
      <c r="A26" s="106"/>
      <c r="B26" s="9" t="str">
        <f>'1.2 Budgeted Enrollment YR1'!E20</f>
        <v>Mineral</v>
      </c>
      <c r="C26" s="62">
        <f>'1.2 Budgeted Enrollment YR1'!G20</f>
        <v>509.60323278309136</v>
      </c>
      <c r="D26" s="117">
        <f>'2.3 Statewide Base Funding YR1'!E25</f>
        <v>4806578</v>
      </c>
      <c r="E26" s="12">
        <f>'2.4 District Size Adj. YR1'!$F$87</f>
        <v>3606426</v>
      </c>
      <c r="F26" s="104">
        <f>'2.5 NCEI Adj. YR1'!J18</f>
        <v>0</v>
      </c>
      <c r="G26" s="368">
        <f t="shared" si="0"/>
        <v>8413004</v>
      </c>
      <c r="H26" s="375">
        <f t="shared" si="1"/>
        <v>16508.929808106084</v>
      </c>
    </row>
    <row r="27" spans="1:8" x14ac:dyDescent="0.3">
      <c r="A27" s="106"/>
      <c r="B27" s="9" t="str">
        <f>'1.2 Budgeted Enrollment YR1'!E21</f>
        <v>Nye</v>
      </c>
      <c r="C27" s="62">
        <f>'1.2 Budgeted Enrollment YR1'!G21</f>
        <v>5457.0457625112185</v>
      </c>
      <c r="D27" s="117">
        <f>'2.3 Statewide Base Funding YR1'!E26</f>
        <v>51470856</v>
      </c>
      <c r="E27" s="12">
        <f>'2.4 District Size Adj. YR1'!$F$95</f>
        <v>10974091</v>
      </c>
      <c r="F27" s="104">
        <f>'2.5 NCEI Adj. YR1'!J19</f>
        <v>0</v>
      </c>
      <c r="G27" s="368">
        <f t="shared" si="0"/>
        <v>62444947</v>
      </c>
      <c r="H27" s="375">
        <f t="shared" si="1"/>
        <v>11442.994931247222</v>
      </c>
    </row>
    <row r="28" spans="1:8" x14ac:dyDescent="0.3">
      <c r="A28" s="106"/>
      <c r="B28" s="9" t="str">
        <f>'1.2 Budgeted Enrollment YR1'!E22</f>
        <v>Pershing</v>
      </c>
      <c r="C28" s="62">
        <f>'1.2 Budgeted Enrollment YR1'!G22</f>
        <v>635.8592256998902</v>
      </c>
      <c r="D28" s="117">
        <f>'2.3 Statewide Base Funding YR1'!E27</f>
        <v>5997424</v>
      </c>
      <c r="E28" s="12">
        <f>'2.4 District Size Adj. YR1'!$F$99</f>
        <v>3743423</v>
      </c>
      <c r="F28" s="104">
        <f>'2.5 NCEI Adj. YR1'!J20</f>
        <v>0</v>
      </c>
      <c r="G28" s="368">
        <f t="shared" si="0"/>
        <v>9740847</v>
      </c>
      <c r="H28" s="375">
        <f t="shared" si="1"/>
        <v>15319.187968497667</v>
      </c>
    </row>
    <row r="29" spans="1:8" x14ac:dyDescent="0.3">
      <c r="A29" s="106"/>
      <c r="B29" s="9" t="str">
        <f>'1.2 Budgeted Enrollment YR1'!E23</f>
        <v>Storey</v>
      </c>
      <c r="C29" s="62">
        <f>'1.2 Budgeted Enrollment YR1'!G23</f>
        <v>395.34078642383383</v>
      </c>
      <c r="D29" s="117">
        <f>'2.3 Statewide Base Funding YR1'!E28</f>
        <v>3728854</v>
      </c>
      <c r="E29" s="12">
        <f>'2.4 District Size Adj. YR1'!$F$103</f>
        <v>3043255</v>
      </c>
      <c r="F29" s="104">
        <f>'2.5 NCEI Adj. YR1'!J21</f>
        <v>0</v>
      </c>
      <c r="G29" s="368">
        <f t="shared" si="0"/>
        <v>6772109</v>
      </c>
      <c r="H29" s="375">
        <f t="shared" si="1"/>
        <v>17129.801003481109</v>
      </c>
    </row>
    <row r="30" spans="1:8" x14ac:dyDescent="0.3">
      <c r="A30" s="106"/>
      <c r="B30" s="9" t="str">
        <f>'1.2 Budgeted Enrollment YR1'!E24</f>
        <v>Washoe</v>
      </c>
      <c r="C30" s="62">
        <f>'1.2 Budgeted Enrollment YR1'!G24</f>
        <v>58816.718998091914</v>
      </c>
      <c r="D30" s="117">
        <f>'2.3 Statewide Base Funding YR1'!E29</f>
        <v>554759294</v>
      </c>
      <c r="E30" s="12">
        <f>'2.4 District Size Adj. YR1'!$F$113</f>
        <v>17211891</v>
      </c>
      <c r="F30" s="104">
        <f>'2.5 NCEI Adj. YR1'!J22</f>
        <v>0</v>
      </c>
      <c r="G30" s="368">
        <f t="shared" si="0"/>
        <v>571971185</v>
      </c>
      <c r="H30" s="375">
        <f t="shared" si="1"/>
        <v>9724.6360345016092</v>
      </c>
    </row>
    <row r="31" spans="1:8" x14ac:dyDescent="0.3">
      <c r="A31" s="142"/>
      <c r="B31" s="137" t="str">
        <f>'1.2 Budgeted Enrollment YR1'!E25</f>
        <v>White Pine</v>
      </c>
      <c r="C31" s="359">
        <f>'1.2 Budgeted Enrollment YR1'!G25</f>
        <v>1231.0239819599622</v>
      </c>
      <c r="D31" s="164">
        <f>'2.3 Statewide Base Funding YR1'!E30</f>
        <v>11611018</v>
      </c>
      <c r="E31" s="440">
        <f>'2.4 District Size Adj. YR1'!$F$119</f>
        <v>6953043</v>
      </c>
      <c r="F31" s="163">
        <f>'2.5 NCEI Adj. YR1'!J23</f>
        <v>0</v>
      </c>
      <c r="G31" s="391">
        <f t="shared" si="0"/>
        <v>18564061</v>
      </c>
      <c r="H31" s="376">
        <f t="shared" si="1"/>
        <v>15080.178186653538</v>
      </c>
    </row>
    <row r="32" spans="1:8" x14ac:dyDescent="0.3">
      <c r="A32" s="106"/>
      <c r="B32" s="9" t="str">
        <f>'1.2 Budgeted Enrollment YR1'!E26</f>
        <v>Charter Schools</v>
      </c>
      <c r="C32" s="62">
        <f>C101</f>
        <v>72301.606666666703</v>
      </c>
      <c r="D32" s="2015">
        <f>D101</f>
        <v>681948756</v>
      </c>
      <c r="E32" s="2015">
        <f>E101</f>
        <v>2448428</v>
      </c>
      <c r="F32" s="2015">
        <f>F101</f>
        <v>0</v>
      </c>
      <c r="G32" s="2011">
        <f>D32+E32+F32</f>
        <v>684397184</v>
      </c>
      <c r="H32" s="2011">
        <f t="shared" si="1"/>
        <v>9465.8641149606501</v>
      </c>
    </row>
    <row r="33" spans="1:11" x14ac:dyDescent="0.3">
      <c r="A33" s="106"/>
      <c r="B33" s="9" t="str">
        <f>'1.2 Budgeted Enrollment YR1'!E27</f>
        <v>University Schools</v>
      </c>
      <c r="C33" s="62">
        <f>C106</f>
        <v>167.88437423074134</v>
      </c>
      <c r="D33" s="354">
        <f>D106</f>
        <v>1583485</v>
      </c>
      <c r="E33" s="354">
        <f>E106</f>
        <v>0</v>
      </c>
      <c r="F33" s="354">
        <f>F106</f>
        <v>0</v>
      </c>
      <c r="G33" s="375">
        <f t="shared" si="0"/>
        <v>1583485</v>
      </c>
      <c r="H33" s="375">
        <f t="shared" si="1"/>
        <v>9431.9975117139147</v>
      </c>
    </row>
    <row r="34" spans="1:11" x14ac:dyDescent="0.3">
      <c r="A34" s="106"/>
      <c r="B34" s="9" t="str">
        <f>'1.2 Budgeted Enrollment YR1'!E28</f>
        <v>City of Henderson</v>
      </c>
      <c r="C34" s="62">
        <f>C111</f>
        <v>0</v>
      </c>
      <c r="D34" s="354">
        <f t="shared" ref="D34:H34" si="2">D111</f>
        <v>0</v>
      </c>
      <c r="E34" s="354">
        <f t="shared" si="2"/>
        <v>0</v>
      </c>
      <c r="F34" s="354">
        <f t="shared" si="2"/>
        <v>0</v>
      </c>
      <c r="G34" s="375">
        <f t="shared" si="2"/>
        <v>0</v>
      </c>
      <c r="H34" s="375">
        <f t="shared" si="2"/>
        <v>0</v>
      </c>
    </row>
    <row r="35" spans="1:11" x14ac:dyDescent="0.3">
      <c r="A35" s="106"/>
      <c r="B35" s="9" t="str">
        <f>'1.2 Budgeted Enrollment YR1'!E29</f>
        <v>City of North Las Vegas</v>
      </c>
      <c r="C35" s="62">
        <f>C116</f>
        <v>0</v>
      </c>
      <c r="D35" s="354">
        <f>D116</f>
        <v>0</v>
      </c>
      <c r="E35" s="354">
        <f t="shared" ref="E35:H35" si="3">E116</f>
        <v>0</v>
      </c>
      <c r="F35" s="354">
        <f>F116</f>
        <v>0</v>
      </c>
      <c r="G35" s="375">
        <f t="shared" si="3"/>
        <v>0</v>
      </c>
      <c r="H35" s="375">
        <f t="shared" si="3"/>
        <v>0</v>
      </c>
    </row>
    <row r="36" spans="1:11" s="4" customFormat="1" x14ac:dyDescent="0.3">
      <c r="A36" s="289"/>
      <c r="B36" s="291" t="s">
        <v>1354</v>
      </c>
      <c r="C36" s="409">
        <f>SUM(C15:C35)</f>
        <v>463751.95591146237</v>
      </c>
      <c r="D36" s="377">
        <f>SUM(D15:D35)</f>
        <v>4374108452</v>
      </c>
      <c r="E36" s="1824">
        <f>SUM(E15:E35)</f>
        <v>148266029</v>
      </c>
      <c r="F36" s="1824">
        <f>SUM(F15:F35)</f>
        <v>0</v>
      </c>
      <c r="G36" s="377">
        <f>SUM(G15:G35)</f>
        <v>4522374481</v>
      </c>
      <c r="H36" s="379">
        <f>G36/C36</f>
        <v>9751.7097736260403</v>
      </c>
      <c r="K36" s="8"/>
    </row>
    <row r="37" spans="1:11" x14ac:dyDescent="0.3">
      <c r="D37" s="12"/>
      <c r="E37" s="12"/>
      <c r="F37" s="12"/>
      <c r="G37" s="12"/>
    </row>
    <row r="38" spans="1:11" x14ac:dyDescent="0.3">
      <c r="A38" s="4" t="s">
        <v>305</v>
      </c>
      <c r="D38" s="12"/>
      <c r="E38" s="12"/>
      <c r="F38" s="12"/>
      <c r="G38" s="12"/>
    </row>
    <row r="39" spans="1:11" x14ac:dyDescent="0.3">
      <c r="A39" s="455"/>
      <c r="B39" s="207" t="str">
        <f>'1.2 Budgeted Enrollment YR1'!E34</f>
        <v>FuturEdge (Formerly 100 Academy Of Excellence)</v>
      </c>
      <c r="C39" s="441">
        <f>'1.2 Budgeted Enrollment YR1'!G34</f>
        <v>240.86136805673826</v>
      </c>
      <c r="D39" s="1392">
        <f>'2.3 Statewide Base Funding YR1'!E38</f>
        <v>2271804</v>
      </c>
      <c r="E39" s="2012">
        <f>'2.4 District Size Adj. YR1'!G127</f>
        <v>0</v>
      </c>
      <c r="F39" s="442">
        <f>'2.5 NCEI Adj. YR1'!J32</f>
        <v>0</v>
      </c>
      <c r="G39" s="1389">
        <f>D39+E39+F39</f>
        <v>2271804</v>
      </c>
      <c r="H39" s="476">
        <f>IF(C39=0,0,G39/C39)</f>
        <v>9431.9982416808525</v>
      </c>
    </row>
    <row r="40" spans="1:11" x14ac:dyDescent="0.3">
      <c r="A40" s="106"/>
      <c r="B40" s="9" t="str">
        <f>'1.2 Budgeted Enrollment YR1'!E35</f>
        <v>Academy For Career Education</v>
      </c>
      <c r="C40" s="62">
        <f>'1.2 Budgeted Enrollment YR1'!G35</f>
        <v>253.57864951202251</v>
      </c>
      <c r="D40" s="1393">
        <f>'2.3 Statewide Base Funding YR1'!E39</f>
        <v>2391754</v>
      </c>
      <c r="E40" s="117">
        <f>'2.4 District Size Adj. YR1'!G128</f>
        <v>0</v>
      </c>
      <c r="F40" s="116">
        <f>'2.5 NCEI Adj. YR1'!J33</f>
        <v>0</v>
      </c>
      <c r="G40" s="370">
        <f>D40+E40+F40</f>
        <v>2391754</v>
      </c>
      <c r="H40" s="402">
        <f>IF(C40=0,0,G40/C40)</f>
        <v>9432.0007011733996</v>
      </c>
    </row>
    <row r="41" spans="1:11" x14ac:dyDescent="0.3">
      <c r="A41" s="106"/>
      <c r="B41" s="9" t="str">
        <f>'1.2 Budgeted Enrollment YR1'!E36</f>
        <v xml:space="preserve">Alpine Academy </v>
      </c>
      <c r="C41" s="62">
        <f>'1.2 Budgeted Enrollment YR1'!G36</f>
        <v>164.31844740358281</v>
      </c>
      <c r="D41" s="1393">
        <f>'2.3 Statewide Base Funding YR1'!E40</f>
        <v>1549852</v>
      </c>
      <c r="E41" s="117">
        <f>'2.4 District Size Adj. YR1'!G129</f>
        <v>0</v>
      </c>
      <c r="F41" s="116">
        <f>'2.5 NCEI Adj. YR1'!J34</f>
        <v>0</v>
      </c>
      <c r="G41" s="370">
        <f t="shared" ref="G41:G48" si="4">D41+E41+F41</f>
        <v>1549852</v>
      </c>
      <c r="H41" s="402">
        <f t="shared" ref="H41:H48" si="5">IF(C41=0,0,G41/C41)</f>
        <v>9432.0024591846704</v>
      </c>
    </row>
    <row r="42" spans="1:11" x14ac:dyDescent="0.3">
      <c r="A42" s="106"/>
      <c r="B42" s="9" t="str">
        <f>'1.2 Budgeted Enrollment YR1'!E37</f>
        <v xml:space="preserve">Amplus (Formerly American Preparatory Academy) </v>
      </c>
      <c r="C42" s="62">
        <f>'1.2 Budgeted Enrollment YR1'!G37</f>
        <v>2368.9011816066622</v>
      </c>
      <c r="D42" s="1393">
        <f>'2.3 Statewide Base Funding YR1'!E41</f>
        <v>22343476</v>
      </c>
      <c r="E42" s="117">
        <f>'2.4 District Size Adj. YR1'!G130</f>
        <v>0</v>
      </c>
      <c r="F42" s="116">
        <f>'2.5 NCEI Adj. YR1'!J35</f>
        <v>0</v>
      </c>
      <c r="G42" s="370">
        <f t="shared" si="4"/>
        <v>22343476</v>
      </c>
      <c r="H42" s="402">
        <f t="shared" si="5"/>
        <v>9432.0000232538023</v>
      </c>
    </row>
    <row r="43" spans="1:11" x14ac:dyDescent="0.3">
      <c r="A43" s="106"/>
      <c r="B43" s="9" t="str">
        <f>'1.2 Budgeted Enrollment YR1'!E38</f>
        <v>Bailey Charter School</v>
      </c>
      <c r="C43" s="62">
        <f>'1.2 Budgeted Enrollment YR1'!G38</f>
        <v>166.53929996193739</v>
      </c>
      <c r="D43" s="1393">
        <f>'2.3 Statewide Base Funding YR1'!E42</f>
        <v>1570799</v>
      </c>
      <c r="E43" s="117">
        <f>'2.4 District Size Adj. YR1'!G131</f>
        <v>0</v>
      </c>
      <c r="F43" s="116">
        <f>'2.5 NCEI Adj. YR1'!J36</f>
        <v>0</v>
      </c>
      <c r="G43" s="370">
        <f t="shared" si="4"/>
        <v>1570799</v>
      </c>
      <c r="H43" s="402">
        <f t="shared" si="5"/>
        <v>9432.0019380350859</v>
      </c>
    </row>
    <row r="44" spans="1:11" x14ac:dyDescent="0.3">
      <c r="A44" s="106"/>
      <c r="B44" s="9" t="str">
        <f>'1.2 Budgeted Enrollment YR1'!E39</f>
        <v>Battle Born Academy</v>
      </c>
      <c r="C44" s="62">
        <f>'1.2 Budgeted Enrollment YR1'!G39</f>
        <v>270.53331354166147</v>
      </c>
      <c r="D44" s="1393">
        <f>'2.3 Statewide Base Funding YR1'!E43</f>
        <v>2551670</v>
      </c>
      <c r="E44" s="117">
        <f>'2.4 District Size Adj. YR1'!G132</f>
        <v>0</v>
      </c>
      <c r="F44" s="116">
        <f>'2.5 NCEI Adj. YR1'!J37</f>
        <v>0</v>
      </c>
      <c r="G44" s="370">
        <f t="shared" si="4"/>
        <v>2551670</v>
      </c>
      <c r="H44" s="402">
        <f t="shared" si="5"/>
        <v>9431.9992114651304</v>
      </c>
    </row>
    <row r="45" spans="1:11" x14ac:dyDescent="0.3">
      <c r="A45" s="106"/>
      <c r="B45" s="9" t="str">
        <f>'1.2 Budgeted Enrollment YR1'!E40</f>
        <v>Beacon Academy</v>
      </c>
      <c r="C45" s="62">
        <f>'1.2 Budgeted Enrollment YR1'!G40</f>
        <v>857.51912183963623</v>
      </c>
      <c r="D45" s="1393">
        <f>'2.3 Statewide Base Funding YR1'!E44</f>
        <v>8088120</v>
      </c>
      <c r="E45" s="117">
        <f>'2.4 District Size Adj. YR1'!G133</f>
        <v>0</v>
      </c>
      <c r="F45" s="116">
        <f>'2.5 NCEI Adj. YR1'!J38</f>
        <v>0</v>
      </c>
      <c r="G45" s="370">
        <f t="shared" si="4"/>
        <v>8088120</v>
      </c>
      <c r="H45" s="402">
        <f t="shared" si="5"/>
        <v>9431.9995834594938</v>
      </c>
    </row>
    <row r="46" spans="1:11" x14ac:dyDescent="0.3">
      <c r="A46" s="106"/>
      <c r="B46" s="9" t="str">
        <f>'1.2 Budgeted Enrollment YR1'!E41</f>
        <v>Cactus Park</v>
      </c>
      <c r="C46" s="62">
        <f>'1.2 Budgeted Enrollment YR1'!G41</f>
        <v>301.59239347241777</v>
      </c>
      <c r="D46" s="1393">
        <f>'2.3 Statewide Base Funding YR1'!E45</f>
        <v>2844619</v>
      </c>
      <c r="E46" s="117">
        <f>'2.4 District Size Adj. YR1'!G134</f>
        <v>0</v>
      </c>
      <c r="F46" s="116">
        <f>'2.5 NCEI Adj. YR1'!J39</f>
        <v>0</v>
      </c>
      <c r="G46" s="370">
        <f t="shared" si="4"/>
        <v>2844619</v>
      </c>
      <c r="H46" s="402">
        <f t="shared" si="5"/>
        <v>9431.9984905725269</v>
      </c>
    </row>
    <row r="47" spans="1:11" x14ac:dyDescent="0.3">
      <c r="A47" s="106"/>
      <c r="B47" s="9" t="str">
        <f>'1.2 Budgeted Enrollment YR1'!E42</f>
        <v>Carson Montessori</v>
      </c>
      <c r="C47" s="62">
        <f>'1.2 Budgeted Enrollment YR1'!G42</f>
        <v>296.55722891108132</v>
      </c>
      <c r="D47" s="1393">
        <f>'2.3 Statewide Base Funding YR1'!E46</f>
        <v>2797128</v>
      </c>
      <c r="E47" s="117">
        <f>'2.4 District Size Adj. YR1'!G135</f>
        <v>208963</v>
      </c>
      <c r="F47" s="116">
        <f>'2.5 NCEI Adj. YR1'!J40</f>
        <v>0</v>
      </c>
      <c r="G47" s="370">
        <f t="shared" si="4"/>
        <v>3006091</v>
      </c>
      <c r="H47" s="402">
        <f t="shared" si="5"/>
        <v>10136.63032608568</v>
      </c>
    </row>
    <row r="48" spans="1:11" x14ac:dyDescent="0.3">
      <c r="A48" s="106"/>
      <c r="B48" s="9" t="str">
        <f>'1.2 Budgeted Enrollment YR1'!E43</f>
        <v>CIVICA Nevada Career &amp; Collegiate Academy</v>
      </c>
      <c r="C48" s="62">
        <f>'1.2 Budgeted Enrollment YR1'!G43</f>
        <v>916.3393721230467</v>
      </c>
      <c r="D48" s="1393">
        <f>'2.3 Statewide Base Funding YR1'!E47</f>
        <v>8642913</v>
      </c>
      <c r="E48" s="117">
        <f>'2.4 District Size Adj. YR1'!G136</f>
        <v>0</v>
      </c>
      <c r="F48" s="116">
        <f>'2.5 NCEI Adj. YR1'!J41</f>
        <v>0</v>
      </c>
      <c r="G48" s="370">
        <f t="shared" si="4"/>
        <v>8642913</v>
      </c>
      <c r="H48" s="402">
        <f t="shared" si="5"/>
        <v>9432.000045982335</v>
      </c>
    </row>
    <row r="49" spans="1:9" x14ac:dyDescent="0.3">
      <c r="A49" s="106"/>
      <c r="B49" s="9" t="str">
        <f>'1.2 Budgeted Enrollment YR1'!E44</f>
        <v>Coral Academy of Science Las Vegas</v>
      </c>
      <c r="C49" s="62">
        <f>'1.2 Budgeted Enrollment YR1'!G44</f>
        <v>5480.3063751434274</v>
      </c>
      <c r="D49" s="1393">
        <f>'2.3 Statewide Base Funding YR1'!E48</f>
        <v>51690250</v>
      </c>
      <c r="E49" s="117">
        <f>'2.4 District Size Adj. YR1'!G137</f>
        <v>0</v>
      </c>
      <c r="F49" s="116">
        <f>'2.5 NCEI Adj. YR1'!J42</f>
        <v>0</v>
      </c>
      <c r="G49" s="370">
        <f t="shared" ref="G49:G97" si="6">D49+E49+F49</f>
        <v>51690250</v>
      </c>
      <c r="H49" s="402">
        <f t="shared" ref="H49:H97" si="7">IF(C49=0,0,G49/C49)</f>
        <v>9432.0000492029412</v>
      </c>
    </row>
    <row r="50" spans="1:9" x14ac:dyDescent="0.3">
      <c r="A50" s="106"/>
      <c r="B50" s="9" t="str">
        <f>'1.2 Budgeted Enrollment YR1'!E45</f>
        <v>Coral Academy Washoe</v>
      </c>
      <c r="C50" s="62">
        <f>'1.2 Budgeted Enrollment YR1'!G45</f>
        <v>2027.9998005260131</v>
      </c>
      <c r="D50" s="1393">
        <f>'2.3 Statewide Base Funding YR1'!E49</f>
        <v>19128094</v>
      </c>
      <c r="E50" s="117">
        <f>'2.4 District Size Adj. YR1'!G138</f>
        <v>0</v>
      </c>
      <c r="F50" s="116">
        <f>'2.5 NCEI Adj. YR1'!J43</f>
        <v>0</v>
      </c>
      <c r="G50" s="370">
        <f t="shared" si="6"/>
        <v>19128094</v>
      </c>
      <c r="H50" s="402">
        <f t="shared" si="7"/>
        <v>9431.9999415377879</v>
      </c>
    </row>
    <row r="51" spans="1:9" x14ac:dyDescent="0.3">
      <c r="A51" s="106"/>
      <c r="B51" s="9" t="str">
        <f>'1.2 Budgeted Enrollment YR1'!E46</f>
        <v>Delta Academy</v>
      </c>
      <c r="C51" s="62">
        <f>'1.2 Budgeted Enrollment YR1'!G46</f>
        <v>1405.0080479301287</v>
      </c>
      <c r="D51" s="1393">
        <f>'2.3 Statewide Base Funding YR1'!E50</f>
        <v>13252036</v>
      </c>
      <c r="E51" s="117">
        <f>'2.4 District Size Adj. YR1'!G139</f>
        <v>0</v>
      </c>
      <c r="F51" s="116">
        <f>'2.5 NCEI Adj. YR1'!J44</f>
        <v>0</v>
      </c>
      <c r="G51" s="370">
        <f t="shared" si="6"/>
        <v>13252036</v>
      </c>
      <c r="H51" s="402">
        <f t="shared" si="7"/>
        <v>9432.0000654252672</v>
      </c>
    </row>
    <row r="52" spans="1:9" x14ac:dyDescent="0.3">
      <c r="A52" s="106"/>
      <c r="B52" s="9" t="str">
        <f>'1.2 Budgeted Enrollment YR1'!E47</f>
        <v>Democracy Prep</v>
      </c>
      <c r="C52" s="62">
        <f>'1.2 Budgeted Enrollment YR1'!G47</f>
        <v>1279.0046975769933</v>
      </c>
      <c r="D52" s="1393">
        <f>'2.3 Statewide Base Funding YR1'!E51</f>
        <v>12063572</v>
      </c>
      <c r="E52" s="117">
        <f>'2.4 District Size Adj. YR1'!G140</f>
        <v>0</v>
      </c>
      <c r="F52" s="116">
        <f>'2.5 NCEI Adj. YR1'!J45</f>
        <v>0</v>
      </c>
      <c r="G52" s="370">
        <f t="shared" si="6"/>
        <v>12063572</v>
      </c>
      <c r="H52" s="402">
        <f t="shared" si="7"/>
        <v>9431.9997595425557</v>
      </c>
    </row>
    <row r="53" spans="1:9" x14ac:dyDescent="0.3">
      <c r="A53" s="106"/>
      <c r="B53" s="9" t="str">
        <f>'1.2 Budgeted Enrollment YR1'!E48</f>
        <v>Discovery Charter</v>
      </c>
      <c r="C53" s="62">
        <f>'1.2 Budgeted Enrollment YR1'!G48</f>
        <v>499.79963400639872</v>
      </c>
      <c r="D53" s="1393">
        <f>'2.3 Statewide Base Funding YR1'!E52</f>
        <v>4714110</v>
      </c>
      <c r="E53" s="117">
        <f>'2.4 District Size Adj. YR1'!G141</f>
        <v>0</v>
      </c>
      <c r="F53" s="116">
        <f>'2.5 NCEI Adj. YR1'!J46</f>
        <v>0</v>
      </c>
      <c r="G53" s="370">
        <f t="shared" si="6"/>
        <v>4714110</v>
      </c>
      <c r="H53" s="402">
        <f t="shared" si="7"/>
        <v>9431.9997039846712</v>
      </c>
    </row>
    <row r="54" spans="1:9" x14ac:dyDescent="0.3">
      <c r="A54" s="106"/>
      <c r="B54" s="9" t="str">
        <f>'1.2 Budgeted Enrollment YR1'!E49</f>
        <v>Do and Be Academy of Excellence</v>
      </c>
      <c r="C54" s="62">
        <f>'1.2 Budgeted Enrollment YR1'!G49</f>
        <v>55.444307975565003</v>
      </c>
      <c r="D54" s="1393">
        <f>'2.3 Statewide Base Funding YR1'!E53</f>
        <v>522951</v>
      </c>
      <c r="E54" s="117">
        <f>'2.4 District Size Adj. YR1'!G141</f>
        <v>0</v>
      </c>
      <c r="F54" s="116">
        <f>'2.5 NCEI Adj. YR1'!J47</f>
        <v>0</v>
      </c>
      <c r="G54" s="370">
        <f>D54+E54+F54</f>
        <v>522951</v>
      </c>
      <c r="H54" s="402">
        <f t="shared" ref="H54" si="8">IF(C54=0,0,G54/C54)</f>
        <v>9432.0051795122235</v>
      </c>
      <c r="I54" s="9" t="s">
        <v>370</v>
      </c>
    </row>
    <row r="55" spans="1:9" x14ac:dyDescent="0.3">
      <c r="A55" s="106"/>
      <c r="B55" s="9" t="str">
        <f>'1.2 Budgeted Enrollment YR1'!E50</f>
        <v>Doral Academy</v>
      </c>
      <c r="C55" s="62">
        <f>'1.2 Budgeted Enrollment YR1'!G50</f>
        <v>6463.7282261846876</v>
      </c>
      <c r="D55" s="1393">
        <f>'2.3 Statewide Base Funding YR1'!E54</f>
        <v>60965885</v>
      </c>
      <c r="E55" s="117">
        <f>'2.4 District Size Adj. YR1'!G143</f>
        <v>0</v>
      </c>
      <c r="F55" s="116">
        <f>'2.5 NCEI Adj. YR1'!J48</f>
        <v>0</v>
      </c>
      <c r="G55" s="370">
        <f t="shared" si="6"/>
        <v>60965885</v>
      </c>
      <c r="H55" s="402">
        <f t="shared" si="7"/>
        <v>9432.0000573393572</v>
      </c>
    </row>
    <row r="56" spans="1:9" x14ac:dyDescent="0.3">
      <c r="A56" s="106"/>
      <c r="B56" s="9" t="str">
        <f>'1.2 Budgeted Enrollment YR1'!E51</f>
        <v>Doral Academy of Northern Nevada</v>
      </c>
      <c r="C56" s="62">
        <f>'1.2 Budgeted Enrollment YR1'!G51</f>
        <v>1018.777864840123</v>
      </c>
      <c r="D56" s="1393">
        <f>'2.3 Statewide Base Funding YR1'!E55</f>
        <v>9609113</v>
      </c>
      <c r="E56" s="117">
        <f>'2.4 District Size Adj. YR1'!G144</f>
        <v>0</v>
      </c>
      <c r="F56" s="116">
        <f>'2.5 NCEI Adj. YR1'!J49</f>
        <v>0</v>
      </c>
      <c r="G56" s="370">
        <f t="shared" si="6"/>
        <v>9609113</v>
      </c>
      <c r="H56" s="402">
        <f t="shared" si="7"/>
        <v>9432.0001755318463</v>
      </c>
    </row>
    <row r="57" spans="1:9" x14ac:dyDescent="0.3">
      <c r="A57" s="106"/>
      <c r="B57" s="9" t="str">
        <f>'1.2 Budgeted Enrollment YR1'!E52</f>
        <v>Eagle Charter School (CLOSED)</v>
      </c>
      <c r="C57" s="62">
        <f>'1.2 Budgeted Enrollment YR1'!G52</f>
        <v>0</v>
      </c>
      <c r="D57" s="1393">
        <f>'2.3 Statewide Base Funding YR1'!E56</f>
        <v>0</v>
      </c>
      <c r="E57" s="117">
        <f>'2.4 District Size Adj. YR1'!G145</f>
        <v>0</v>
      </c>
      <c r="F57" s="116">
        <f>'2.5 NCEI Adj. YR1'!J50</f>
        <v>0</v>
      </c>
      <c r="G57" s="370">
        <f t="shared" si="6"/>
        <v>0</v>
      </c>
      <c r="H57" s="402">
        <f t="shared" si="7"/>
        <v>0</v>
      </c>
    </row>
    <row r="58" spans="1:9" x14ac:dyDescent="0.3">
      <c r="A58" s="106"/>
      <c r="B58" s="9" t="str">
        <f>'1.2 Budgeted Enrollment YR1'!E53</f>
        <v>Elko Institute for Academic Achievement</v>
      </c>
      <c r="C58" s="62">
        <f>'1.2 Budgeted Enrollment YR1'!G53</f>
        <v>315.7286385132989</v>
      </c>
      <c r="D58" s="1393">
        <f>'2.3 Statewide Base Funding YR1'!E57</f>
        <v>2977953</v>
      </c>
      <c r="E58" s="117">
        <f>'2.4 District Size Adj. YR1'!G146</f>
        <v>235852</v>
      </c>
      <c r="F58" s="116">
        <f>'2.5 NCEI Adj. YR1'!J51</f>
        <v>0</v>
      </c>
      <c r="G58" s="370">
        <f t="shared" si="6"/>
        <v>3213805</v>
      </c>
      <c r="H58" s="402">
        <f t="shared" si="7"/>
        <v>10179.010099093783</v>
      </c>
    </row>
    <row r="59" spans="1:9" x14ac:dyDescent="0.3">
      <c r="A59" s="106"/>
      <c r="B59" s="9" t="str">
        <f>'1.2 Budgeted Enrollment YR1'!E54</f>
        <v>enCompass Academy</v>
      </c>
      <c r="C59" s="62">
        <f>'1.2 Budgeted Enrollment YR1'!G54</f>
        <v>129.86699722187711</v>
      </c>
      <c r="D59" s="1393">
        <f>'2.3 Statewide Base Funding YR1'!E58</f>
        <v>1224906</v>
      </c>
      <c r="E59" s="117">
        <f>'2.4 District Size Adj. YR1'!G147</f>
        <v>0</v>
      </c>
      <c r="F59" s="116">
        <f>'2.5 NCEI Adj. YR1'!J52</f>
        <v>0</v>
      </c>
      <c r="G59" s="370">
        <f t="shared" si="6"/>
        <v>1224906</v>
      </c>
      <c r="H59" s="402">
        <f t="shared" si="7"/>
        <v>9432.003713054628</v>
      </c>
    </row>
    <row r="60" spans="1:9" x14ac:dyDescent="0.3">
      <c r="A60" s="106"/>
      <c r="B60" s="9" t="str">
        <f>'1.2 Budgeted Enrollment YR1'!E55</f>
        <v>Equipo Academy</v>
      </c>
      <c r="C60" s="62">
        <f>'1.2 Budgeted Enrollment YR1'!G55</f>
        <v>900.7667088070209</v>
      </c>
      <c r="D60" s="1393">
        <f>'2.3 Statewide Base Funding YR1'!E59</f>
        <v>8496032</v>
      </c>
      <c r="E60" s="117">
        <f>'2.4 District Size Adj. YR1'!G148</f>
        <v>0</v>
      </c>
      <c r="F60" s="116">
        <f>'2.5 NCEI Adj. YR1'!J53</f>
        <v>0</v>
      </c>
      <c r="G60" s="370">
        <f t="shared" si="6"/>
        <v>8496032</v>
      </c>
      <c r="H60" s="402">
        <f t="shared" si="7"/>
        <v>9432.0004468772822</v>
      </c>
    </row>
    <row r="61" spans="1:9" x14ac:dyDescent="0.3">
      <c r="A61" s="106"/>
      <c r="B61" s="9" t="str">
        <f>'1.2 Budgeted Enrollment YR1'!E56</f>
        <v>Explore Academy</v>
      </c>
      <c r="C61" s="62">
        <f>'1.2 Budgeted Enrollment YR1'!G56</f>
        <v>285.9150020191048</v>
      </c>
      <c r="D61" s="1393">
        <f>'2.3 Statewide Base Funding YR1'!E60</f>
        <v>2696750</v>
      </c>
      <c r="E61" s="117">
        <f>'2.4 District Size Adj. YR1'!G149</f>
        <v>0</v>
      </c>
      <c r="F61" s="116">
        <f>'2.5 NCEI Adj. YR1'!J54</f>
        <v>0</v>
      </c>
      <c r="G61" s="370">
        <f t="shared" si="6"/>
        <v>2696750</v>
      </c>
      <c r="H61" s="402">
        <f t="shared" si="7"/>
        <v>9431.998954080078</v>
      </c>
    </row>
    <row r="62" spans="1:9" x14ac:dyDescent="0.3">
      <c r="A62" s="106"/>
      <c r="B62" s="9" t="str">
        <f>'1.2 Budgeted Enrollment YR1'!E57</f>
        <v>Explore Knowledge Academy</v>
      </c>
      <c r="C62" s="62">
        <f>'1.2 Budgeted Enrollment YR1'!G57</f>
        <v>664.59038477421791</v>
      </c>
      <c r="D62" s="1393">
        <f>'2.3 Statewide Base Funding YR1'!E61</f>
        <v>6268417</v>
      </c>
      <c r="E62" s="117">
        <f>'2.4 District Size Adj. YR1'!G150</f>
        <v>0</v>
      </c>
      <c r="F62" s="116">
        <f>'2.5 NCEI Adj. YR1'!J55</f>
        <v>0</v>
      </c>
      <c r="G62" s="370">
        <f t="shared" si="6"/>
        <v>6268417</v>
      </c>
      <c r="H62" s="402">
        <f t="shared" si="7"/>
        <v>9432.0007385144108</v>
      </c>
    </row>
    <row r="63" spans="1:9" s="19" customFormat="1" x14ac:dyDescent="0.3">
      <c r="A63" s="106"/>
      <c r="B63" s="9" t="str">
        <f>'1.2 Budgeted Enrollment YR1'!E58</f>
        <v>Founders Academy of Las Vegas</v>
      </c>
      <c r="C63" s="62">
        <f>'1.2 Budgeted Enrollment YR1'!G58</f>
        <v>1110.2866416609052</v>
      </c>
      <c r="D63" s="1393">
        <f>'2.3 Statewide Base Funding YR1'!E62</f>
        <v>10472224</v>
      </c>
      <c r="E63" s="117">
        <f>'2.4 District Size Adj. YR1'!G151</f>
        <v>0</v>
      </c>
      <c r="F63" s="116">
        <f>'2.5 NCEI Adj. YR1'!J56</f>
        <v>0</v>
      </c>
      <c r="G63" s="370">
        <f t="shared" si="6"/>
        <v>10472224</v>
      </c>
      <c r="H63" s="402">
        <f t="shared" si="7"/>
        <v>9432.0003565334646</v>
      </c>
    </row>
    <row r="64" spans="1:9" x14ac:dyDescent="0.3">
      <c r="A64" s="106"/>
      <c r="B64" s="9" t="str">
        <f>'1.2 Budgeted Enrollment YR1'!E59</f>
        <v>Freedom Classical Academy</v>
      </c>
      <c r="C64" s="62">
        <f>'1.2 Budgeted Enrollment YR1'!G59</f>
        <v>1074.7232250803561</v>
      </c>
      <c r="D64" s="1393">
        <f>'2.3 Statewide Base Funding YR1'!E63</f>
        <v>10136789</v>
      </c>
      <c r="E64" s="117">
        <f>'2.4 District Size Adj. YR1'!G152</f>
        <v>0</v>
      </c>
      <c r="F64" s="116">
        <f>'2.5 NCEI Adj. YR1'!J57</f>
        <v>0</v>
      </c>
      <c r="G64" s="370">
        <f t="shared" si="6"/>
        <v>10136789</v>
      </c>
      <c r="H64" s="402">
        <f t="shared" si="7"/>
        <v>9431.9995729524508</v>
      </c>
    </row>
    <row r="65" spans="1:8" x14ac:dyDescent="0.3">
      <c r="A65" s="106"/>
      <c r="B65" s="9" t="str">
        <f>'1.2 Budgeted Enrollment YR1'!E60</f>
        <v>Futuro Academy Elementary</v>
      </c>
      <c r="C65" s="62">
        <f>'1.2 Budgeted Enrollment YR1'!G60</f>
        <v>467.88219404846518</v>
      </c>
      <c r="D65" s="1393">
        <f>'2.3 Statewide Base Funding YR1'!E64</f>
        <v>4413065</v>
      </c>
      <c r="E65" s="117">
        <f>'2.4 District Size Adj. YR1'!G153</f>
        <v>0</v>
      </c>
      <c r="F65" s="116">
        <f>'2.5 NCEI Adj. YR1'!J58</f>
        <v>0</v>
      </c>
      <c r="G65" s="370">
        <f t="shared" si="6"/>
        <v>4413065</v>
      </c>
      <c r="H65" s="402">
        <f t="shared" si="7"/>
        <v>9432.0003114777137</v>
      </c>
    </row>
    <row r="66" spans="1:8" x14ac:dyDescent="0.3">
      <c r="A66" s="106"/>
      <c r="B66" s="9" t="str">
        <f>'1.2 Budgeted Enrollment YR1'!E61</f>
        <v>High Desert Montessori</v>
      </c>
      <c r="C66" s="62">
        <f>'1.2 Budgeted Enrollment YR1'!G61</f>
        <v>411.94504777978403</v>
      </c>
      <c r="D66" s="1393">
        <f>'2.3 Statewide Base Funding YR1'!E65</f>
        <v>3885466</v>
      </c>
      <c r="E66" s="117">
        <f>'2.4 District Size Adj. YR1'!G154</f>
        <v>0</v>
      </c>
      <c r="F66" s="116">
        <f>'2.5 NCEI Adj. YR1'!J59</f>
        <v>0</v>
      </c>
      <c r="G66" s="370">
        <f t="shared" si="6"/>
        <v>3885466</v>
      </c>
      <c r="H66" s="402">
        <f t="shared" si="7"/>
        <v>9432.0007509280149</v>
      </c>
    </row>
    <row r="67" spans="1:8" x14ac:dyDescent="0.3">
      <c r="A67" s="106"/>
      <c r="B67" s="9" t="str">
        <f>'1.2 Budgeted Enrollment YR1'!E62</f>
        <v>Honors Academy of Literature</v>
      </c>
      <c r="C67" s="62">
        <f>'1.2 Budgeted Enrollment YR1'!G62</f>
        <v>219.20317856717219</v>
      </c>
      <c r="D67" s="1393">
        <f>'2.3 Statewide Base Funding YR1'!E66</f>
        <v>2067524</v>
      </c>
      <c r="E67" s="117">
        <f>'2.4 District Size Adj. YR1'!G155</f>
        <v>0</v>
      </c>
      <c r="F67" s="116">
        <f>'2.5 NCEI Adj. YR1'!J60</f>
        <v>0</v>
      </c>
      <c r="G67" s="370">
        <f t="shared" si="6"/>
        <v>2067524</v>
      </c>
      <c r="H67" s="402">
        <f t="shared" si="7"/>
        <v>9431.9982653282186</v>
      </c>
    </row>
    <row r="68" spans="1:8" x14ac:dyDescent="0.3">
      <c r="A68" s="106"/>
      <c r="B68" s="9" t="str">
        <f>'1.2 Budgeted Enrollment YR1'!E63</f>
        <v>Imagine School Mountain View</v>
      </c>
      <c r="C68" s="62">
        <f>'1.2 Budgeted Enrollment YR1'!G63</f>
        <v>695.95030141306381</v>
      </c>
      <c r="D68" s="1393">
        <f>'2.3 Statewide Base Funding YR1'!E67</f>
        <v>6564203</v>
      </c>
      <c r="E68" s="117">
        <f>'2.4 District Size Adj. YR1'!G156</f>
        <v>0</v>
      </c>
      <c r="F68" s="116">
        <f>'2.5 NCEI Adj. YR1'!J61</f>
        <v>0</v>
      </c>
      <c r="G68" s="370">
        <f t="shared" si="6"/>
        <v>6564203</v>
      </c>
      <c r="H68" s="402">
        <f t="shared" si="7"/>
        <v>9431.9996509405664</v>
      </c>
    </row>
    <row r="69" spans="1:8" x14ac:dyDescent="0.3">
      <c r="A69" s="106"/>
      <c r="B69" s="9" t="str">
        <f>'1.2 Budgeted Enrollment YR1'!E64</f>
        <v>Innovations Int'l Charter</v>
      </c>
      <c r="C69" s="62">
        <f>'1.2 Budgeted Enrollment YR1'!G64</f>
        <v>682.14466872714809</v>
      </c>
      <c r="D69" s="1393">
        <f>'2.3 Statewide Base Funding YR1'!E68</f>
        <v>6433989</v>
      </c>
      <c r="E69" s="117">
        <f>'2.4 District Size Adj. YR1'!G157</f>
        <v>0</v>
      </c>
      <c r="F69" s="116">
        <f>'2.5 NCEI Adj. YR1'!J62</f>
        <v>0</v>
      </c>
      <c r="G69" s="370">
        <f t="shared" si="6"/>
        <v>6433989</v>
      </c>
      <c r="H69" s="402">
        <f t="shared" si="7"/>
        <v>9432.0007103559728</v>
      </c>
    </row>
    <row r="70" spans="1:8" x14ac:dyDescent="0.3">
      <c r="A70" s="106"/>
      <c r="B70" s="9" t="str">
        <f>'1.2 Budgeted Enrollment YR1'!E65</f>
        <v>Leadership Academy of Nevada</v>
      </c>
      <c r="C70" s="62">
        <f>'1.2 Budgeted Enrollment YR1'!G65</f>
        <v>287.40686460222514</v>
      </c>
      <c r="D70" s="1393">
        <f>'2.3 Statewide Base Funding YR1'!E69</f>
        <v>2710822</v>
      </c>
      <c r="E70" s="117">
        <f>'2.4 District Size Adj. YR1'!G158</f>
        <v>0</v>
      </c>
      <c r="F70" s="116">
        <f>'2.5 NCEI Adj. YR1'!J63</f>
        <v>0</v>
      </c>
      <c r="G70" s="370">
        <f t="shared" si="6"/>
        <v>2710822</v>
      </c>
      <c r="H70" s="402">
        <f t="shared" si="7"/>
        <v>9432.0015764126347</v>
      </c>
    </row>
    <row r="71" spans="1:8" x14ac:dyDescent="0.3">
      <c r="A71" s="106"/>
      <c r="B71" s="9" t="str">
        <f>'1.2 Budgeted Enrollment YR1'!E66</f>
        <v>Learning Bridge</v>
      </c>
      <c r="C71" s="62">
        <f>'1.2 Budgeted Enrollment YR1'!G66</f>
        <v>170.53745061484202</v>
      </c>
      <c r="D71" s="1393">
        <f>'2.3 Statewide Base Funding YR1'!E70</f>
        <v>1608509</v>
      </c>
      <c r="E71" s="117">
        <f>'2.4 District Size Adj. YR1'!G159</f>
        <v>743231</v>
      </c>
      <c r="F71" s="116">
        <f>'2.5 NCEI Adj. YR1'!J64</f>
        <v>0</v>
      </c>
      <c r="G71" s="370">
        <f t="shared" si="6"/>
        <v>2351740</v>
      </c>
      <c r="H71" s="402">
        <f t="shared" si="7"/>
        <v>13790.167447215996</v>
      </c>
    </row>
    <row r="72" spans="1:8" x14ac:dyDescent="0.3">
      <c r="A72" s="106"/>
      <c r="B72" s="9" t="str">
        <f>'1.2 Budgeted Enrollment YR1'!E67</f>
        <v>Legacy Traditional Schools</v>
      </c>
      <c r="C72" s="62">
        <f>'1.2 Budgeted Enrollment YR1'!G67</f>
        <v>4125.1478938155515</v>
      </c>
      <c r="D72" s="1393">
        <f>'2.3 Statewide Base Funding YR1'!E71</f>
        <v>38908395</v>
      </c>
      <c r="E72" s="117">
        <f>'2.4 District Size Adj. YR1'!G160</f>
        <v>0</v>
      </c>
      <c r="F72" s="116">
        <f>'2.5 NCEI Adj. YR1'!J65</f>
        <v>0</v>
      </c>
      <c r="G72" s="370">
        <f t="shared" si="6"/>
        <v>38908395</v>
      </c>
      <c r="H72" s="402">
        <f t="shared" si="7"/>
        <v>9432.0000158859075</v>
      </c>
    </row>
    <row r="73" spans="1:8" x14ac:dyDescent="0.3">
      <c r="A73" s="106"/>
      <c r="B73" s="9" t="str">
        <f>'1.2 Budgeted Enrollment YR1'!E68</f>
        <v xml:space="preserve">Mariposa Language and Learning Academy </v>
      </c>
      <c r="C73" s="62">
        <f>'1.2 Budgeted Enrollment YR1'!G68</f>
        <v>164.39442664043821</v>
      </c>
      <c r="D73" s="1393">
        <f>'2.3 Statewide Base Funding YR1'!E72</f>
        <v>1550568</v>
      </c>
      <c r="E73" s="117">
        <f>'2.4 District Size Adj. YR1'!G161</f>
        <v>0</v>
      </c>
      <c r="F73" s="116">
        <f>'2.5 NCEI Adj. YR1'!J66</f>
        <v>0</v>
      </c>
      <c r="G73" s="370">
        <f t="shared" si="6"/>
        <v>1550568</v>
      </c>
      <c r="H73" s="402">
        <f t="shared" si="7"/>
        <v>9431.9985883182417</v>
      </c>
    </row>
    <row r="74" spans="1:8" x14ac:dyDescent="0.3">
      <c r="A74" s="106"/>
      <c r="B74" s="9" t="str">
        <f>'1.2 Budgeted Enrollment YR1'!E69</f>
        <v>Mater Academy</v>
      </c>
      <c r="C74" s="62">
        <f>'1.2 Budgeted Enrollment YR1'!G69</f>
        <v>4489.9355041692297</v>
      </c>
      <c r="D74" s="1393">
        <f>'2.3 Statewide Base Funding YR1'!E73</f>
        <v>42349072</v>
      </c>
      <c r="E74" s="117">
        <f>'2.4 District Size Adj. YR1'!G162</f>
        <v>0</v>
      </c>
      <c r="F74" s="116">
        <f>'2.5 NCEI Adj. YR1'!J67</f>
        <v>0</v>
      </c>
      <c r="G74" s="370">
        <f t="shared" si="6"/>
        <v>42349072</v>
      </c>
      <c r="H74" s="402">
        <f t="shared" si="7"/>
        <v>9432.0000723119138</v>
      </c>
    </row>
    <row r="75" spans="1:8" x14ac:dyDescent="0.3">
      <c r="A75" s="106"/>
      <c r="B75" s="9" t="str">
        <f>'1.2 Budgeted Enrollment YR1'!E70</f>
        <v>Mater Academy of Northern Nevada</v>
      </c>
      <c r="C75" s="62">
        <f>'1.2 Budgeted Enrollment YR1'!G70</f>
        <v>502.85317793083078</v>
      </c>
      <c r="D75" s="1393">
        <f>'2.3 Statewide Base Funding YR1'!E74</f>
        <v>4742911</v>
      </c>
      <c r="E75" s="117">
        <f>'2.4 District Size Adj. YR1'!G163</f>
        <v>0</v>
      </c>
      <c r="F75" s="116">
        <f>'2.5 NCEI Adj. YR1'!J68</f>
        <v>0</v>
      </c>
      <c r="G75" s="370">
        <f t="shared" si="6"/>
        <v>4742911</v>
      </c>
      <c r="H75" s="402">
        <f t="shared" si="7"/>
        <v>9431.9996534901165</v>
      </c>
    </row>
    <row r="76" spans="1:8" x14ac:dyDescent="0.3">
      <c r="A76" s="106"/>
      <c r="B76" s="9" t="str">
        <f>'1.2 Budgeted Enrollment YR1'!E71</f>
        <v>Nevada Connections Academy</v>
      </c>
      <c r="C76" s="62">
        <f>'1.2 Budgeted Enrollment YR1'!G71</f>
        <v>1200.806661656123</v>
      </c>
      <c r="D76" s="1393">
        <f>'2.3 Statewide Base Funding YR1'!E75</f>
        <v>11326008</v>
      </c>
      <c r="E76" s="117">
        <f>'2.4 District Size Adj. YR1'!G164</f>
        <v>0</v>
      </c>
      <c r="F76" s="116">
        <f>'2.5 NCEI Adj. YR1'!J69</f>
        <v>0</v>
      </c>
      <c r="G76" s="370">
        <f t="shared" si="6"/>
        <v>11326008</v>
      </c>
      <c r="H76" s="402">
        <f t="shared" si="7"/>
        <v>9431.9996396251245</v>
      </c>
    </row>
    <row r="77" spans="1:8" x14ac:dyDescent="0.3">
      <c r="A77" s="106"/>
      <c r="B77" s="9" t="str">
        <f>'1.2 Budgeted Enrollment YR1'!E72</f>
        <v>Nevada Prep</v>
      </c>
      <c r="C77" s="62">
        <f>'1.2 Budgeted Enrollment YR1'!G72</f>
        <v>305.23837009503319</v>
      </c>
      <c r="D77" s="1393">
        <f>'2.3 Statewide Base Funding YR1'!E76</f>
        <v>2879008</v>
      </c>
      <c r="E77" s="117">
        <f>'2.4 District Size Adj. YR1'!G165</f>
        <v>0</v>
      </c>
      <c r="F77" s="116">
        <f>'2.5 NCEI Adj. YR1'!J70</f>
        <v>0</v>
      </c>
      <c r="G77" s="370">
        <f t="shared" si="6"/>
        <v>2879008</v>
      </c>
      <c r="H77" s="402">
        <f t="shared" si="7"/>
        <v>9431.9989950924155</v>
      </c>
    </row>
    <row r="78" spans="1:8" x14ac:dyDescent="0.3">
      <c r="A78" s="106"/>
      <c r="B78" s="9" t="str">
        <f>'1.2 Budgeted Enrollment YR1'!E73</f>
        <v xml:space="preserve">Nevada Rise </v>
      </c>
      <c r="C78" s="62">
        <f>'1.2 Budgeted Enrollment YR1'!G73</f>
        <v>372.57548213135692</v>
      </c>
      <c r="D78" s="1393">
        <f>'2.3 Statewide Base Funding YR1'!E77</f>
        <v>3514132</v>
      </c>
      <c r="E78" s="117">
        <f>'2.4 District Size Adj. YR1'!G166</f>
        <v>0</v>
      </c>
      <c r="F78" s="116">
        <f>'2.5 NCEI Adj. YR1'!J71</f>
        <v>0</v>
      </c>
      <c r="G78" s="370">
        <f t="shared" si="6"/>
        <v>3514132</v>
      </c>
      <c r="H78" s="402">
        <f t="shared" si="7"/>
        <v>9432.0001410104633</v>
      </c>
    </row>
    <row r="79" spans="1:8" x14ac:dyDescent="0.3">
      <c r="A79" s="106"/>
      <c r="B79" s="9" t="str">
        <f>'1.2 Budgeted Enrollment YR1'!E74</f>
        <v>Nevada State High School</v>
      </c>
      <c r="C79" s="62">
        <f>'1.2 Budgeted Enrollment YR1'!G74</f>
        <v>913.27248049484274</v>
      </c>
      <c r="D79" s="1393">
        <f>'2.3 Statewide Base Funding YR1'!E78</f>
        <v>8613986</v>
      </c>
      <c r="E79" s="117">
        <f>'2.4 District Size Adj. YR1'!G167</f>
        <v>0</v>
      </c>
      <c r="F79" s="116">
        <f>'2.5 NCEI Adj. YR1'!J72</f>
        <v>0</v>
      </c>
      <c r="G79" s="370">
        <f t="shared" si="6"/>
        <v>8613986</v>
      </c>
      <c r="H79" s="402">
        <f t="shared" si="7"/>
        <v>9431.9999605513603</v>
      </c>
    </row>
    <row r="80" spans="1:8" x14ac:dyDescent="0.3">
      <c r="A80" s="106"/>
      <c r="B80" s="9" t="str">
        <f>'1.2 Budgeted Enrollment YR1'!E75</f>
        <v>Nevada State High School-Meadowwood</v>
      </c>
      <c r="C80" s="62">
        <f>'1.2 Budgeted Enrollment YR1'!G75</f>
        <v>30.196612917803087</v>
      </c>
      <c r="D80" s="1393">
        <f>'2.3 Statewide Base Funding YR1'!E79</f>
        <v>284814</v>
      </c>
      <c r="E80" s="117">
        <f>'2.4 District Size Adj. YR1'!G168</f>
        <v>0</v>
      </c>
      <c r="F80" s="116">
        <f>'2.5 NCEI Adj. YR1'!J73</f>
        <v>0</v>
      </c>
      <c r="G80" s="370">
        <f t="shared" si="6"/>
        <v>284814</v>
      </c>
      <c r="H80" s="402">
        <f t="shared" si="7"/>
        <v>9431.9849969690331</v>
      </c>
    </row>
    <row r="81" spans="1:9" x14ac:dyDescent="0.3">
      <c r="A81" s="106"/>
      <c r="B81" s="9" t="str">
        <f>'1.2 Budgeted Enrollment YR1'!E76</f>
        <v>Nevada Virtual Academy</v>
      </c>
      <c r="C81" s="62">
        <f>'1.2 Budgeted Enrollment YR1'!G76</f>
        <v>1819.9707035088049</v>
      </c>
      <c r="D81" s="1393">
        <f>'2.3 Statewide Base Funding YR1'!E80</f>
        <v>17165964</v>
      </c>
      <c r="E81" s="117">
        <f>'2.4 District Size Adj. YR1'!G169</f>
        <v>0</v>
      </c>
      <c r="F81" s="116">
        <f>'2.5 NCEI Adj. YR1'!J74</f>
        <v>0</v>
      </c>
      <c r="G81" s="370">
        <f t="shared" si="6"/>
        <v>17165964</v>
      </c>
      <c r="H81" s="402">
        <f t="shared" si="7"/>
        <v>9432.0001783022944</v>
      </c>
    </row>
    <row r="82" spans="1:9" x14ac:dyDescent="0.3">
      <c r="A82" s="106"/>
      <c r="B82" s="9" t="str">
        <f>'1.2 Budgeted Enrollment YR1'!E77</f>
        <v>Oasis Academy</v>
      </c>
      <c r="C82" s="62">
        <f>'1.2 Budgeted Enrollment YR1'!G77</f>
        <v>785.63660329576021</v>
      </c>
      <c r="D82" s="1393">
        <f>'2.3 Statewide Base Funding YR1'!E81</f>
        <v>7410124</v>
      </c>
      <c r="E82" s="117">
        <f>'2.4 District Size Adj. YR1'!G170</f>
        <v>1062242</v>
      </c>
      <c r="F82" s="116">
        <f>'2.5 NCEI Adj. YR1'!J75</f>
        <v>0</v>
      </c>
      <c r="G82" s="370">
        <f t="shared" si="6"/>
        <v>8472366</v>
      </c>
      <c r="H82" s="402">
        <f t="shared" si="7"/>
        <v>10784.077478643772</v>
      </c>
    </row>
    <row r="83" spans="1:9" x14ac:dyDescent="0.3">
      <c r="A83" s="106"/>
      <c r="B83" s="9" t="str">
        <f>'1.2 Budgeted Enrollment YR1'!E78</f>
        <v>Odyssey Charter Schools</v>
      </c>
      <c r="C83" s="62">
        <f>'1.2 Budgeted Enrollment YR1'!G78</f>
        <v>2400.7898726641642</v>
      </c>
      <c r="D83" s="1393">
        <f>'2.3 Statewide Base Funding YR1'!E82</f>
        <v>22644250</v>
      </c>
      <c r="E83" s="117">
        <f>'2.4 District Size Adj. YR1'!G171</f>
        <v>0</v>
      </c>
      <c r="F83" s="116">
        <f>'2.5 NCEI Adj. YR1'!J76</f>
        <v>0</v>
      </c>
      <c r="G83" s="370">
        <f t="shared" si="6"/>
        <v>22644250</v>
      </c>
      <c r="H83" s="402">
        <f t="shared" si="7"/>
        <v>9431.9999671073274</v>
      </c>
    </row>
    <row r="84" spans="1:9" x14ac:dyDescent="0.3">
      <c r="A84" s="106"/>
      <c r="B84" s="9" t="str">
        <f>'1.2 Budgeted Enrollment YR1'!E79</f>
        <v>Pinecrest Academy of Northern Nevada</v>
      </c>
      <c r="C84" s="62">
        <f>'1.2 Budgeted Enrollment YR1'!G79</f>
        <v>1022.3920123229747</v>
      </c>
      <c r="D84" s="1393">
        <f>'2.3 Statewide Base Funding YR1'!E83</f>
        <v>9643201</v>
      </c>
      <c r="E84" s="117">
        <f>'2.4 District Size Adj. YR1'!G172</f>
        <v>0</v>
      </c>
      <c r="F84" s="116">
        <f>'2.5 NCEI Adj. YR1'!J77</f>
        <v>0</v>
      </c>
      <c r="G84" s="370">
        <f t="shared" si="6"/>
        <v>9643201</v>
      </c>
      <c r="H84" s="402">
        <f t="shared" si="7"/>
        <v>9431.9995498494791</v>
      </c>
    </row>
    <row r="85" spans="1:9" x14ac:dyDescent="0.3">
      <c r="A85" s="106"/>
      <c r="B85" s="9" t="str">
        <f>'1.2 Budgeted Enrollment YR1'!E80</f>
        <v>Pinecrest Academy of Nevada</v>
      </c>
      <c r="C85" s="62">
        <f>'1.2 Budgeted Enrollment YR1'!G80</f>
        <v>8054.8515217779041</v>
      </c>
      <c r="D85" s="1393">
        <f>'2.3 Statewide Base Funding YR1'!E84</f>
        <v>75973360</v>
      </c>
      <c r="E85" s="117">
        <f>'2.4 District Size Adj. YR1'!G173</f>
        <v>0</v>
      </c>
      <c r="F85" s="116">
        <f>'2.5 NCEI Adj. YR1'!J78</f>
        <v>0</v>
      </c>
      <c r="G85" s="370">
        <f t="shared" si="6"/>
        <v>75973360</v>
      </c>
      <c r="H85" s="402">
        <f t="shared" si="7"/>
        <v>9432.0000554437047</v>
      </c>
    </row>
    <row r="86" spans="1:9" x14ac:dyDescent="0.3">
      <c r="A86" s="106"/>
      <c r="B86" s="9" t="str">
        <f>'1.2 Budgeted Enrollment YR1'!E81</f>
        <v>Pioneer Technical Arts Academy</v>
      </c>
      <c r="C86" s="62">
        <f>'1.2 Budgeted Enrollment YR1'!G81</f>
        <v>263.87383610592974</v>
      </c>
      <c r="D86" s="1393">
        <f>'2.3 Statewide Base Funding YR1'!E85</f>
        <v>2488858</v>
      </c>
      <c r="E86" s="117">
        <f>'2.4 District Size Adj. YR1'!G174</f>
        <v>0</v>
      </c>
      <c r="F86" s="116">
        <f>'2.5 NCEI Adj. YR1'!J79</f>
        <v>0</v>
      </c>
      <c r="G86" s="370">
        <f t="shared" ref="G86" si="9">D86+E86+F86</f>
        <v>2488858</v>
      </c>
      <c r="H86" s="402">
        <f t="shared" ref="H86" si="10">IF(C86=0,0,G86/C86)</f>
        <v>9431.9999160540901</v>
      </c>
      <c r="I86" s="9" t="s">
        <v>370</v>
      </c>
    </row>
    <row r="87" spans="1:9" x14ac:dyDescent="0.3">
      <c r="A87" s="106"/>
      <c r="B87" s="9" t="str">
        <f>'1.2 Budgeted Enrollment YR1'!E82</f>
        <v>Quest Academy</v>
      </c>
      <c r="C87" s="62">
        <f>'1.2 Budgeted Enrollment YR1'!G82</f>
        <v>455.57355767788971</v>
      </c>
      <c r="D87" s="1393">
        <f>'2.3 Statewide Base Funding YR1'!E86</f>
        <v>4296970</v>
      </c>
      <c r="E87" s="117">
        <f>'2.4 District Size Adj. YR1'!G175</f>
        <v>0</v>
      </c>
      <c r="F87" s="116">
        <f>'2.5 NCEI Adj. YR1'!J80</f>
        <v>0</v>
      </c>
      <c r="G87" s="370">
        <f t="shared" si="6"/>
        <v>4296970</v>
      </c>
      <c r="H87" s="402">
        <f t="shared" si="7"/>
        <v>9432.0004477479888</v>
      </c>
    </row>
    <row r="88" spans="1:9" x14ac:dyDescent="0.3">
      <c r="A88" s="106"/>
      <c r="B88" s="9" t="str">
        <f>'1.2 Budgeted Enrollment YR1'!E83</f>
        <v>Rainbow Dreams Academy</v>
      </c>
      <c r="C88" s="62">
        <f>'1.2 Budgeted Enrollment YR1'!G83</f>
        <v>63.383111480510713</v>
      </c>
      <c r="D88" s="1393">
        <f>'2.3 Statewide Base Funding YR1'!E87</f>
        <v>597830</v>
      </c>
      <c r="E88" s="117">
        <f>'2.4 District Size Adj. YR1'!G176</f>
        <v>0</v>
      </c>
      <c r="F88" s="116">
        <f>'2.5 NCEI Adj. YR1'!J81</f>
        <v>0</v>
      </c>
      <c r="G88" s="370">
        <f t="shared" si="6"/>
        <v>597830</v>
      </c>
      <c r="H88" s="402">
        <f t="shared" si="7"/>
        <v>9432.0077704582727</v>
      </c>
    </row>
    <row r="89" spans="1:9" x14ac:dyDescent="0.3">
      <c r="A89" s="106"/>
      <c r="B89" s="9" t="str">
        <f>'1.2 Budgeted Enrollment YR1'!E84</f>
        <v>Rooted Charter School</v>
      </c>
      <c r="C89" s="62">
        <f>'1.2 Budgeted Enrollment YR1'!G84</f>
        <v>23.615168211814723</v>
      </c>
      <c r="D89" s="1393">
        <f>'2.3 Statewide Base Funding YR1'!E88</f>
        <v>222738</v>
      </c>
      <c r="E89" s="117">
        <f>'2.4 District Size Adj. YR1'!G177</f>
        <v>0</v>
      </c>
      <c r="F89" s="116">
        <f>'2.5 NCEI Adj. YR1'!J82</f>
        <v>0</v>
      </c>
      <c r="G89" s="370">
        <f>D89+E89+F89</f>
        <v>222738</v>
      </c>
      <c r="H89" s="402">
        <f t="shared" ref="H89" si="11">IF(C89=0,0,G89/C89)</f>
        <v>9431.9887117536455</v>
      </c>
    </row>
    <row r="90" spans="1:9" x14ac:dyDescent="0.3">
      <c r="A90" s="106"/>
      <c r="B90" s="9" t="str">
        <f>'1.2 Budgeted Enrollment YR1'!E85</f>
        <v>Sage Collegiate Academy</v>
      </c>
      <c r="C90" s="62">
        <f>'1.2 Budgeted Enrollment YR1'!G85</f>
        <v>236.13114718926738</v>
      </c>
      <c r="D90" s="1393">
        <f>'2.3 Statewide Base Funding YR1'!E89</f>
        <v>2227189</v>
      </c>
      <c r="E90" s="117">
        <f>'2.4 District Size Adj. YR1'!G178</f>
        <v>0</v>
      </c>
      <c r="F90" s="116">
        <f>'2.5 NCEI Adj. YR1'!J83</f>
        <v>0</v>
      </c>
      <c r="G90" s="370">
        <f t="shared" si="6"/>
        <v>2227189</v>
      </c>
      <c r="H90" s="402">
        <f t="shared" si="7"/>
        <v>9432.0000834740786</v>
      </c>
    </row>
    <row r="91" spans="1:9" x14ac:dyDescent="0.3">
      <c r="A91" s="106"/>
      <c r="B91" s="9" t="str">
        <f>'1.2 Budgeted Enrollment YR1'!E86</f>
        <v>Sierra Nevada Academy Charter</v>
      </c>
      <c r="C91" s="62">
        <f>'1.2 Budgeted Enrollment YR1'!G86</f>
        <v>265.07102245962432</v>
      </c>
      <c r="D91" s="1393">
        <f>'2.3 Statewide Base Funding YR1'!E90</f>
        <v>2500150</v>
      </c>
      <c r="E91" s="117">
        <f>'2.4 District Size Adj. YR1'!G179</f>
        <v>198140</v>
      </c>
      <c r="F91" s="116">
        <f>'2.5 NCEI Adj. YR1'!J84</f>
        <v>0</v>
      </c>
      <c r="G91" s="370">
        <f t="shared" si="6"/>
        <v>2698290</v>
      </c>
      <c r="H91" s="402">
        <f t="shared" si="7"/>
        <v>10179.498215090653</v>
      </c>
    </row>
    <row r="92" spans="1:9" x14ac:dyDescent="0.3">
      <c r="A92" s="106"/>
      <c r="B92" s="9" t="str">
        <f>'1.2 Budgeted Enrollment YR1'!E87</f>
        <v>Signature Preparatory</v>
      </c>
      <c r="C92" s="62">
        <f>'1.2 Budgeted Enrollment YR1'!G87</f>
        <v>995.39371457820653</v>
      </c>
      <c r="D92" s="1393">
        <f>'2.3 Statewide Base Funding YR1'!E91</f>
        <v>9388554</v>
      </c>
      <c r="E92" s="117">
        <f>'2.4 District Size Adj. YR1'!G180</f>
        <v>0</v>
      </c>
      <c r="F92" s="116">
        <f>'2.5 NCEI Adj. YR1'!J85</f>
        <v>0</v>
      </c>
      <c r="G92" s="370">
        <f t="shared" si="6"/>
        <v>9388554</v>
      </c>
      <c r="H92" s="402">
        <f t="shared" si="7"/>
        <v>9432.0004863385711</v>
      </c>
    </row>
    <row r="93" spans="1:9" x14ac:dyDescent="0.3">
      <c r="A93" s="106"/>
      <c r="B93" s="9" t="str">
        <f>'1.2 Budgeted Enrollment YR1'!E88</f>
        <v>Silver Sands Montessori</v>
      </c>
      <c r="C93" s="62">
        <f>'1.2 Budgeted Enrollment YR1'!G88</f>
        <v>239.7637761081109</v>
      </c>
      <c r="D93" s="1393">
        <f>'2.3 Statewide Base Funding YR1'!E92</f>
        <v>2261452</v>
      </c>
      <c r="E93" s="117">
        <f>'2.4 District Size Adj. YR1'!G181</f>
        <v>0</v>
      </c>
      <c r="F93" s="116">
        <f>'2.5 NCEI Adj. YR1'!J86</f>
        <v>0</v>
      </c>
      <c r="G93" s="370">
        <f t="shared" si="6"/>
        <v>2261452</v>
      </c>
      <c r="H93" s="402">
        <f t="shared" si="7"/>
        <v>9432.0002658796038</v>
      </c>
    </row>
    <row r="94" spans="1:9" x14ac:dyDescent="0.3">
      <c r="A94" s="106"/>
      <c r="B94" s="9" t="str">
        <f>'1.2 Budgeted Enrollment YR1'!E89</f>
        <v>Somerset Academy</v>
      </c>
      <c r="C94" s="62">
        <f>'1.2 Budgeted Enrollment YR1'!G89</f>
        <v>9613.0429519265235</v>
      </c>
      <c r="D94" s="1393">
        <f>'2.3 Statewide Base Funding YR1'!E93</f>
        <v>90670221</v>
      </c>
      <c r="E94" s="117">
        <f>'2.4 District Size Adj. YR1'!G182</f>
        <v>0</v>
      </c>
      <c r="F94" s="116">
        <f>'2.5 NCEI Adj. YR1'!J87</f>
        <v>0</v>
      </c>
      <c r="G94" s="370">
        <f t="shared" si="6"/>
        <v>90670221</v>
      </c>
      <c r="H94" s="402">
        <f t="shared" si="7"/>
        <v>9431.9999872495137</v>
      </c>
    </row>
    <row r="95" spans="1:9" x14ac:dyDescent="0.3">
      <c r="A95" s="106"/>
      <c r="B95" s="9" t="str">
        <f>'1.2 Budgeted Enrollment YR1'!E90</f>
        <v>Southern Nevada Trade High School</v>
      </c>
      <c r="C95" s="62">
        <f>'1.2 Budgeted Enrollment YR1'!G90</f>
        <v>81.083193428487846</v>
      </c>
      <c r="D95" s="1393">
        <f>'2.3 Statewide Base Funding YR1'!E94</f>
        <v>764777</v>
      </c>
      <c r="E95" s="117">
        <f>'2.4 District Size Adj. YR1'!G183</f>
        <v>0</v>
      </c>
      <c r="F95" s="116">
        <f>'2.5 NCEI Adj. YR1'!J88</f>
        <v>0</v>
      </c>
      <c r="G95" s="370">
        <f t="shared" ref="G95" si="12">D95+E95+F95</f>
        <v>764777</v>
      </c>
      <c r="H95" s="402">
        <f t="shared" ref="H95" si="13">IF(C95=0,0,G95/C95)</f>
        <v>9432.0039414148505</v>
      </c>
    </row>
    <row r="96" spans="1:9" x14ac:dyDescent="0.3">
      <c r="A96" s="106"/>
      <c r="B96" s="9" t="str">
        <f>'1.2 Budgeted Enrollment YR1'!E91</f>
        <v>Sports Leadership and Management Academy</v>
      </c>
      <c r="C96" s="62">
        <f>'1.2 Budgeted Enrollment YR1'!G91</f>
        <v>1868.7586142879702</v>
      </c>
      <c r="D96" s="1393">
        <f>'2.3 Statewide Base Funding YR1'!E95</f>
        <v>17626131</v>
      </c>
      <c r="E96" s="117">
        <f>'2.4 District Size Adj. YR1'!G184</f>
        <v>0</v>
      </c>
      <c r="F96" s="116">
        <f>'2.5 NCEI Adj. YR1'!J89</f>
        <v>0</v>
      </c>
      <c r="G96" s="370">
        <f t="shared" si="6"/>
        <v>17626131</v>
      </c>
      <c r="H96" s="402">
        <f t="shared" si="7"/>
        <v>9431.9998662405451</v>
      </c>
    </row>
    <row r="97" spans="1:11" x14ac:dyDescent="0.3">
      <c r="A97" s="106"/>
      <c r="B97" s="9" t="str">
        <f>'1.2 Budgeted Enrollment YR1'!E92</f>
        <v>Strong Start Academy</v>
      </c>
      <c r="C97" s="62">
        <f>'1.2 Budgeted Enrollment YR1'!G92</f>
        <v>147.52292907276259</v>
      </c>
      <c r="D97" s="1393">
        <f>'2.3 Statewide Base Funding YR1'!E96</f>
        <v>1391436</v>
      </c>
      <c r="E97" s="117">
        <f>'2.4 District Size Adj. YR1'!G185</f>
        <v>0</v>
      </c>
      <c r="F97" s="116">
        <f>'2.5 NCEI Adj. YR1'!J90</f>
        <v>0</v>
      </c>
      <c r="G97" s="370">
        <f t="shared" si="6"/>
        <v>1391436</v>
      </c>
      <c r="H97" s="402">
        <f t="shared" si="7"/>
        <v>9431.9981900149451</v>
      </c>
    </row>
    <row r="98" spans="1:11" x14ac:dyDescent="0.3">
      <c r="A98" s="106"/>
      <c r="B98" s="9" t="str">
        <f>'1.2 Budgeted Enrollment YR1'!E93</f>
        <v>ThrivePoint</v>
      </c>
      <c r="C98" s="62">
        <f>'1.2 Budgeted Enrollment YR1'!G93</f>
        <v>152.98522015479972</v>
      </c>
      <c r="D98" s="1393">
        <f>'2.3 Statewide Base Funding YR1'!E97</f>
        <v>1442957</v>
      </c>
      <c r="E98" s="117">
        <f>'2.4 District Size Adj. YR1'!G186</f>
        <v>0</v>
      </c>
      <c r="F98" s="116">
        <f>'2.5 NCEI Adj. YR1'!J91</f>
        <v>0</v>
      </c>
      <c r="G98" s="370">
        <f>D98+E98+F98</f>
        <v>1442957</v>
      </c>
      <c r="H98" s="402">
        <f>IF(C98=0,0,G98/C98)</f>
        <v>9432.002637509222</v>
      </c>
      <c r="I98" s="9" t="s">
        <v>370</v>
      </c>
    </row>
    <row r="99" spans="1:11" x14ac:dyDescent="0.3">
      <c r="A99" s="106"/>
      <c r="B99" s="9" t="str">
        <f>'1.2 Budgeted Enrollment YR1'!E94</f>
        <v>Vegas Vista Academy</v>
      </c>
      <c r="C99" s="62">
        <f>'1.2 Budgeted Enrollment YR1'!G94</f>
        <v>104.72813728717834</v>
      </c>
      <c r="D99" s="1393">
        <f>'2.3 Statewide Base Funding YR1'!E98</f>
        <v>987796</v>
      </c>
      <c r="E99" s="117">
        <f>'2.4 District Size Adj. YR1'!G187</f>
        <v>0</v>
      </c>
      <c r="F99" s="116">
        <f>'2.5 NCEI Adj. YR1'!J92</f>
        <v>0</v>
      </c>
      <c r="G99" s="370">
        <f>D99+E99+F99</f>
        <v>987796</v>
      </c>
      <c r="H99" s="402">
        <f>IF(C99=0,0,G99/C99)</f>
        <v>9432.0019966681284</v>
      </c>
      <c r="I99" s="9" t="s">
        <v>370</v>
      </c>
    </row>
    <row r="100" spans="1:11" x14ac:dyDescent="0.3">
      <c r="A100" s="106"/>
      <c r="B100" s="9" t="str">
        <f>'1.2 Budgeted Enrollment YR1'!E95</f>
        <v>Young Women's Leadership Academy</v>
      </c>
      <c r="C100" s="62">
        <f>'1.2 Budgeted Enrollment YR1'!G95</f>
        <v>118.86232883517145</v>
      </c>
      <c r="D100" s="1393">
        <f>'2.3 Statewide Base Funding YR1'!E99</f>
        <v>1121109</v>
      </c>
      <c r="E100" s="117">
        <f>'2.4 District Size Adj. YR1'!G188</f>
        <v>0</v>
      </c>
      <c r="F100" s="116">
        <f>'2.5 NCEI Adj. YR1'!J93</f>
        <v>0</v>
      </c>
      <c r="G100" s="370">
        <f>D100+E100+F100</f>
        <v>1121109</v>
      </c>
      <c r="H100" s="402">
        <f>IF(C100=0,0,G100/C100)</f>
        <v>9431.9959148256476</v>
      </c>
    </row>
    <row r="101" spans="1:11" s="4" customFormat="1" x14ac:dyDescent="0.3">
      <c r="A101" s="289"/>
      <c r="B101" s="291" t="s">
        <v>1398</v>
      </c>
      <c r="C101" s="409">
        <f>SUM(C39:C100)</f>
        <v>72301.606666666703</v>
      </c>
      <c r="D101" s="1798">
        <f>SUM(D39:D100)</f>
        <v>681948756</v>
      </c>
      <c r="E101" s="377">
        <f>SUM(E39:E100)</f>
        <v>2448428</v>
      </c>
      <c r="F101" s="410">
        <f>SUM(F39:F100)</f>
        <v>0</v>
      </c>
      <c r="G101" s="408">
        <f>SUM(G39:G100)</f>
        <v>684397184</v>
      </c>
      <c r="H101" s="410">
        <f>G101/C101</f>
        <v>9465.8641149606501</v>
      </c>
    </row>
    <row r="102" spans="1:11" x14ac:dyDescent="0.3">
      <c r="D102" s="12"/>
      <c r="E102" s="12"/>
      <c r="F102" s="12"/>
      <c r="G102" s="12"/>
      <c r="H102" s="12"/>
    </row>
    <row r="103" spans="1:11" x14ac:dyDescent="0.3">
      <c r="A103" s="4" t="s">
        <v>306</v>
      </c>
      <c r="D103" s="12"/>
      <c r="E103" s="12"/>
      <c r="F103" s="12"/>
      <c r="G103" s="12"/>
    </row>
    <row r="104" spans="1:11" x14ac:dyDescent="0.3">
      <c r="A104" s="455"/>
      <c r="B104" s="207" t="str">
        <f>'1.2 Budgeted Enrollment YR1'!E100</f>
        <v>Davidson Academy</v>
      </c>
      <c r="C104" s="463">
        <f>'1.2 Budgeted Enrollment YR1'!G100</f>
        <v>167.88437423074134</v>
      </c>
      <c r="D104" s="2013">
        <f>'2.3 Statewide Base Funding YR1'!E103</f>
        <v>1583485</v>
      </c>
      <c r="E104" s="813">
        <f>'2.4 District Size Adj. YR1'!G193</f>
        <v>0</v>
      </c>
      <c r="F104" s="606">
        <f>'2.5 NCEI Adj. YR1'!J97</f>
        <v>0</v>
      </c>
      <c r="G104" s="481">
        <f>D104+E104+F104</f>
        <v>1583485</v>
      </c>
      <c r="H104" s="1250">
        <f>IF(C104=0,0,G104/C104)</f>
        <v>9431.9975117139147</v>
      </c>
      <c r="J104" s="57"/>
      <c r="K104" s="71"/>
    </row>
    <row r="105" spans="1:11" x14ac:dyDescent="0.3">
      <c r="A105" s="142"/>
      <c r="B105" s="137" t="str">
        <f>'1.2 Budgeted Enrollment YR1'!E101</f>
        <v>TBD</v>
      </c>
      <c r="C105" s="461">
        <f>'1.2 Budgeted Enrollment YR1'!G101</f>
        <v>0</v>
      </c>
      <c r="D105" s="163">
        <f>'2.3 Statewide Base Funding YR1'!E104</f>
        <v>0</v>
      </c>
      <c r="E105" s="1825">
        <f>'2.4 District Size Adj. YR1'!G194</f>
        <v>0</v>
      </c>
      <c r="F105" s="157">
        <f>'2.5 NCEI Adj. YR1'!J98</f>
        <v>0</v>
      </c>
      <c r="G105" s="381">
        <f>D105+E105+F105</f>
        <v>0</v>
      </c>
      <c r="H105" s="1252">
        <f>IF(C105=0,0,G105/C105)</f>
        <v>0</v>
      </c>
    </row>
    <row r="106" spans="1:11" s="4" customFormat="1" x14ac:dyDescent="0.3">
      <c r="A106" s="204"/>
      <c r="B106" s="135"/>
      <c r="C106" s="1245">
        <f>SUM(C104:C105)</f>
        <v>167.88437423074134</v>
      </c>
      <c r="D106" s="388">
        <f t="shared" ref="D106:H106" si="14">SUM(D104:D105)</f>
        <v>1583485</v>
      </c>
      <c r="E106" s="400">
        <f t="shared" si="14"/>
        <v>0</v>
      </c>
      <c r="F106" s="1745">
        <f t="shared" si="14"/>
        <v>0</v>
      </c>
      <c r="G106" s="400">
        <f t="shared" si="14"/>
        <v>1583485</v>
      </c>
      <c r="H106" s="1253">
        <f t="shared" si="14"/>
        <v>9431.9975117139147</v>
      </c>
    </row>
    <row r="107" spans="1:11" x14ac:dyDescent="0.3">
      <c r="D107" s="10"/>
      <c r="E107" s="10"/>
      <c r="F107" s="10"/>
      <c r="G107" s="10"/>
      <c r="H107" s="162"/>
    </row>
    <row r="108" spans="1:11" x14ac:dyDescent="0.3">
      <c r="A108" s="4" t="str">
        <f>'2.3 Statewide Base Funding YR1'!A107</f>
        <v>City of Henderson</v>
      </c>
      <c r="D108" s="10"/>
      <c r="E108" s="10"/>
      <c r="F108" s="10"/>
      <c r="G108" s="10"/>
      <c r="H108" s="162"/>
    </row>
    <row r="109" spans="1:11" x14ac:dyDescent="0.3">
      <c r="A109" s="455"/>
      <c r="B109" s="207" t="str">
        <f>'1.2 Budgeted Enrollment YR1'!E107</f>
        <v>TBD</v>
      </c>
      <c r="C109" s="463">
        <f>'1.2 Budgeted Enrollment YR1'!G107</f>
        <v>0</v>
      </c>
      <c r="D109" s="2013">
        <f>'2.3 Statewide Base Funding YR1'!E108</f>
        <v>0</v>
      </c>
      <c r="E109" s="813">
        <f>'2.4 District Size Adj. YR1'!G198</f>
        <v>0</v>
      </c>
      <c r="F109" s="606">
        <f>'2.5 NCEI Adj. YR1'!J102</f>
        <v>0</v>
      </c>
      <c r="G109" s="481">
        <f>D109+E109+F109</f>
        <v>0</v>
      </c>
      <c r="H109" s="1250">
        <f>IF(C109=0,0,G109/C109)</f>
        <v>0</v>
      </c>
    </row>
    <row r="110" spans="1:11" x14ac:dyDescent="0.3">
      <c r="A110" s="142"/>
      <c r="B110" s="137" t="str">
        <f>'1.2 Budgeted Enrollment YR1'!E108</f>
        <v>TBD</v>
      </c>
      <c r="C110" s="461">
        <f>'1.2 Budgeted Enrollment YR1'!G108</f>
        <v>0</v>
      </c>
      <c r="D110" s="163">
        <f>'2.3 Statewide Base Funding YR1'!E109</f>
        <v>0</v>
      </c>
      <c r="E110" s="1825">
        <f>'2.4 District Size Adj. YR1'!G199</f>
        <v>0</v>
      </c>
      <c r="F110" s="157">
        <f>'2.5 NCEI Adj. YR1'!J103</f>
        <v>0</v>
      </c>
      <c r="G110" s="381">
        <f>D110+E110+F110</f>
        <v>0</v>
      </c>
      <c r="H110" s="1252">
        <f>IF(C110=0,0,G110/C110)</f>
        <v>0</v>
      </c>
    </row>
    <row r="111" spans="1:11" s="4" customFormat="1" x14ac:dyDescent="0.3">
      <c r="A111" s="204"/>
      <c r="B111" s="135"/>
      <c r="C111" s="1245">
        <f>SUM(C109:C110)</f>
        <v>0</v>
      </c>
      <c r="D111" s="388">
        <f t="shared" ref="D111:H111" si="15">SUM(D109:D110)</f>
        <v>0</v>
      </c>
      <c r="E111" s="400">
        <f t="shared" si="15"/>
        <v>0</v>
      </c>
      <c r="F111" s="1745">
        <f t="shared" si="15"/>
        <v>0</v>
      </c>
      <c r="G111" s="400">
        <f t="shared" si="15"/>
        <v>0</v>
      </c>
      <c r="H111" s="1253">
        <f t="shared" si="15"/>
        <v>0</v>
      </c>
    </row>
    <row r="112" spans="1:11" x14ac:dyDescent="0.3">
      <c r="D112" s="10"/>
      <c r="E112" s="10"/>
      <c r="F112" s="10"/>
      <c r="G112" s="10"/>
      <c r="H112" s="162"/>
    </row>
    <row r="113" spans="1:8" x14ac:dyDescent="0.3">
      <c r="A113" s="4"/>
      <c r="D113" s="10"/>
      <c r="E113" s="10"/>
      <c r="F113" s="10"/>
      <c r="G113" s="10"/>
      <c r="H113" s="162"/>
    </row>
    <row r="114" spans="1:8" x14ac:dyDescent="0.3">
      <c r="A114" s="455"/>
      <c r="B114" s="207" t="str">
        <f>'1.2 Budgeted Enrollment YR1'!E113</f>
        <v>TBD</v>
      </c>
      <c r="C114" s="463">
        <f>'1.2 Budgeted Enrollment YR1'!G113</f>
        <v>0</v>
      </c>
      <c r="D114" s="2013">
        <f>'2.3 Statewide Base Funding YR1'!E113</f>
        <v>0</v>
      </c>
      <c r="E114" s="813">
        <f>'2.4 District Size Adj. YR1'!G203</f>
        <v>0</v>
      </c>
      <c r="F114" s="606">
        <f>'2.5 NCEI Adj. YR1'!J107</f>
        <v>0</v>
      </c>
      <c r="G114" s="481">
        <f>D114+E114+F114</f>
        <v>0</v>
      </c>
      <c r="H114" s="1250">
        <f>IF(C114=0,0,G114/C114)</f>
        <v>0</v>
      </c>
    </row>
    <row r="115" spans="1:8" x14ac:dyDescent="0.3">
      <c r="A115" s="142"/>
      <c r="B115" s="137" t="str">
        <f>'1.2 Budgeted Enrollment YR1'!E114</f>
        <v>TBD</v>
      </c>
      <c r="C115" s="461">
        <f>'1.2 Budgeted Enrollment YR1'!G114</f>
        <v>0</v>
      </c>
      <c r="D115" s="163">
        <f>'2.3 Statewide Base Funding YR1'!E114</f>
        <v>0</v>
      </c>
      <c r="E115" s="1825">
        <f>'2.4 District Size Adj. YR1'!G204</f>
        <v>0</v>
      </c>
      <c r="F115" s="157">
        <f>'2.5 NCEI Adj. YR1'!J108</f>
        <v>0</v>
      </c>
      <c r="G115" s="381">
        <f>D115+E115+F115</f>
        <v>0</v>
      </c>
      <c r="H115" s="1252">
        <f>IF(C115=0,0,G115/C115)</f>
        <v>0</v>
      </c>
    </row>
    <row r="116" spans="1:8" s="4" customFormat="1" x14ac:dyDescent="0.3">
      <c r="A116" s="204"/>
      <c r="B116" s="135"/>
      <c r="C116" s="1245">
        <f>SUM(C114:C115)</f>
        <v>0</v>
      </c>
      <c r="D116" s="388">
        <f t="shared" ref="D116:H116" si="16">SUM(D114:D115)</f>
        <v>0</v>
      </c>
      <c r="E116" s="400">
        <f>SUM(E114:E115)</f>
        <v>0</v>
      </c>
      <c r="F116" s="1745">
        <f t="shared" si="16"/>
        <v>0</v>
      </c>
      <c r="G116" s="400">
        <f t="shared" si="16"/>
        <v>0</v>
      </c>
      <c r="H116" s="1253">
        <f t="shared" si="16"/>
        <v>0</v>
      </c>
    </row>
  </sheetData>
  <customSheetViews>
    <customSheetView guid="{CA1C9262-C0F9-4BBB-95C8-A52990BD1149}" scale="70" showPageBreaks="1" fitToPage="1">
      <pane xSplit="2" ySplit="12" topLeftCell="G13" activePane="bottomRight" state="frozen"/>
      <selection pane="bottomRight" activeCell="A4" sqref="A4"/>
      <rowBreaks count="1" manualBreakCount="1">
        <brk id="32" max="16383" man="1"/>
      </rowBreaks>
      <pageMargins left="0" right="0" top="0" bottom="0" header="0" footer="0"/>
      <pageSetup paperSize="3" scale="67"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fitToPage="1">
      <pane xSplit="2" ySplit="12" topLeftCell="G13" activePane="bottomRight" state="frozen"/>
      <selection pane="bottomRight" activeCell="A4" sqref="A4"/>
      <rowBreaks count="1" manualBreakCount="1">
        <brk id="32" max="16383" man="1"/>
      </rowBreaks>
      <pageMargins left="0" right="0" top="0" bottom="0" header="0" footer="0"/>
      <pageSetup paperSize="3" scale="67"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fitToPage="1">
      <pane xSplit="2" ySplit="12" topLeftCell="C13" activePane="bottomRight" state="frozen"/>
      <selection pane="bottomRight" activeCell="L43" sqref="L43"/>
      <rowBreaks count="1" manualBreakCount="1">
        <brk id="32" max="16383" man="1"/>
      </rowBreaks>
      <pageMargins left="0" right="0" top="0" bottom="0" header="0" footer="0"/>
      <pageSetup paperSize="3" scale="67"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mergeCells count="2">
    <mergeCell ref="D8:H8"/>
    <mergeCell ref="D9:H9"/>
  </mergeCells>
  <pageMargins left="0.7" right="0.7" top="0.75" bottom="0.75" header="0.3" footer="0.3"/>
  <pageSetup paperSize="3" fitToHeight="0" orientation="landscape" r:id="rId4"/>
  <headerFooter>
    <oddHeader>&amp;R&amp;"Arial Narrow,Regular"&amp;10&amp;A
&amp;P</oddHeader>
  </headerFooter>
  <rowBreaks count="2" manualBreakCount="2">
    <brk id="37" max="16383" man="1"/>
    <brk id="80"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200A-F21C-4B9D-A14F-AEE718D0FDC7}">
  <sheetPr>
    <tabColor theme="7" tint="0.39997558519241921"/>
  </sheetPr>
  <dimension ref="A1:F42"/>
  <sheetViews>
    <sheetView workbookViewId="0"/>
  </sheetViews>
  <sheetFormatPr defaultColWidth="8.7109375" defaultRowHeight="16.5" x14ac:dyDescent="0.25"/>
  <cols>
    <col min="1" max="1" width="8.7109375" style="11"/>
    <col min="2" max="2" width="10.7109375" style="11" customWidth="1"/>
    <col min="3" max="3" width="20" style="11" bestFit="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1473</v>
      </c>
    </row>
    <row r="5" spans="1:6" x14ac:dyDescent="0.25">
      <c r="A5" s="59" t="s">
        <v>1233</v>
      </c>
      <c r="B5" s="59"/>
      <c r="C5" s="59"/>
      <c r="D5" s="59"/>
      <c r="F5" s="59" t="s">
        <v>73</v>
      </c>
    </row>
    <row r="6" spans="1:6" x14ac:dyDescent="0.25">
      <c r="A6" s="58" t="s">
        <v>1294</v>
      </c>
      <c r="B6" s="58"/>
    </row>
    <row r="7" spans="1:6" ht="82.5" x14ac:dyDescent="0.25">
      <c r="A7" s="11" t="s">
        <v>1295</v>
      </c>
      <c r="B7" s="11" t="s">
        <v>1238</v>
      </c>
      <c r="D7" s="2094" t="s">
        <v>1474</v>
      </c>
    </row>
    <row r="8" spans="1:6" ht="49.5" x14ac:dyDescent="0.25">
      <c r="A8" s="58"/>
      <c r="B8" s="58"/>
      <c r="C8" s="11" t="s">
        <v>1475</v>
      </c>
      <c r="D8" s="2094" t="s">
        <v>1476</v>
      </c>
      <c r="F8" s="2094" t="s">
        <v>1477</v>
      </c>
    </row>
    <row r="9" spans="1:6" ht="49.5" x14ac:dyDescent="0.25">
      <c r="A9" s="58"/>
      <c r="B9" s="58"/>
      <c r="C9" s="11" t="s">
        <v>1478</v>
      </c>
      <c r="D9" s="2094" t="s">
        <v>1479</v>
      </c>
      <c r="F9" s="2094" t="s">
        <v>1480</v>
      </c>
    </row>
    <row r="10" spans="1:6" ht="66" x14ac:dyDescent="0.25">
      <c r="A10" s="58"/>
      <c r="B10" s="58"/>
      <c r="C10" s="11" t="s">
        <v>1481</v>
      </c>
      <c r="D10" s="2094" t="s">
        <v>1482</v>
      </c>
      <c r="F10" s="2094" t="s">
        <v>1483</v>
      </c>
    </row>
    <row r="11" spans="1:6" ht="49.5" x14ac:dyDescent="0.25">
      <c r="A11" s="58"/>
      <c r="B11" s="58"/>
      <c r="C11" s="11" t="s">
        <v>1484</v>
      </c>
      <c r="D11" s="2094" t="s">
        <v>1485</v>
      </c>
      <c r="F11" s="2094" t="s">
        <v>1486</v>
      </c>
    </row>
    <row r="12" spans="1:6" ht="71.650000000000006" customHeight="1" x14ac:dyDescent="0.25">
      <c r="A12" s="58"/>
      <c r="B12" s="11" t="s">
        <v>1292</v>
      </c>
      <c r="D12" s="2094" t="s">
        <v>1487</v>
      </c>
      <c r="F12" s="2094" t="s">
        <v>1488</v>
      </c>
    </row>
    <row r="13" spans="1:6" ht="66" x14ac:dyDescent="0.25">
      <c r="A13" s="58"/>
      <c r="B13" s="11" t="s">
        <v>1489</v>
      </c>
      <c r="D13" s="2094" t="s">
        <v>1490</v>
      </c>
      <c r="F13" s="2094" t="s">
        <v>1491</v>
      </c>
    </row>
    <row r="14" spans="1:6" ht="148.5" x14ac:dyDescent="0.25">
      <c r="A14" s="11" t="s">
        <v>1492</v>
      </c>
      <c r="B14" s="11" t="s">
        <v>1236</v>
      </c>
      <c r="D14" s="2094" t="s">
        <v>1493</v>
      </c>
      <c r="F14" s="2094" t="s">
        <v>1494</v>
      </c>
    </row>
    <row r="15" spans="1:6" ht="132" x14ac:dyDescent="0.25">
      <c r="A15" s="58"/>
      <c r="B15" s="11" t="s">
        <v>1238</v>
      </c>
      <c r="D15" s="2094" t="s">
        <v>1495</v>
      </c>
      <c r="F15" s="2094" t="s">
        <v>1496</v>
      </c>
    </row>
    <row r="16" spans="1:6" ht="66" x14ac:dyDescent="0.25">
      <c r="A16" s="11" t="s">
        <v>1497</v>
      </c>
      <c r="B16" s="11" t="s">
        <v>1236</v>
      </c>
      <c r="D16" s="2094" t="s">
        <v>1498</v>
      </c>
      <c r="F16" s="2094" t="s">
        <v>1499</v>
      </c>
    </row>
    <row r="17" spans="1:6" ht="132" x14ac:dyDescent="0.25">
      <c r="A17" s="58"/>
      <c r="B17" s="11" t="s">
        <v>1238</v>
      </c>
      <c r="D17" s="2094" t="s">
        <v>1500</v>
      </c>
      <c r="F17" s="2094" t="s">
        <v>1501</v>
      </c>
    </row>
    <row r="18" spans="1:6" ht="49.5" x14ac:dyDescent="0.25">
      <c r="A18" s="11" t="s">
        <v>1497</v>
      </c>
      <c r="B18" s="11" t="s">
        <v>1236</v>
      </c>
      <c r="D18" s="2094" t="s">
        <v>1502</v>
      </c>
      <c r="F18" s="2094" t="s">
        <v>1503</v>
      </c>
    </row>
    <row r="19" spans="1:6" ht="132" x14ac:dyDescent="0.25">
      <c r="A19" s="58"/>
      <c r="B19" s="11" t="s">
        <v>1238</v>
      </c>
      <c r="D19" s="2094" t="s">
        <v>1504</v>
      </c>
      <c r="F19" s="2094" t="s">
        <v>1505</v>
      </c>
    </row>
    <row r="20" spans="1:6" x14ac:dyDescent="0.25">
      <c r="A20" s="58"/>
      <c r="B20" s="58"/>
      <c r="D20" s="2094"/>
      <c r="F20" s="2094"/>
    </row>
    <row r="22" spans="1:6" x14ac:dyDescent="0.25">
      <c r="A22" s="59" t="s">
        <v>1298</v>
      </c>
      <c r="B22" s="59"/>
      <c r="C22" s="59"/>
      <c r="D22" s="59"/>
      <c r="F22" s="59" t="s">
        <v>73</v>
      </c>
    </row>
    <row r="24" spans="1:6" x14ac:dyDescent="0.25">
      <c r="A24" s="7" t="s">
        <v>1299</v>
      </c>
      <c r="D24" s="60" t="s">
        <v>1300</v>
      </c>
      <c r="E24" s="60"/>
    </row>
    <row r="25" spans="1:6" x14ac:dyDescent="0.25">
      <c r="A25" s="2353"/>
      <c r="B25" s="2354"/>
      <c r="C25" s="2354"/>
      <c r="F25" s="2094"/>
    </row>
    <row r="26" spans="1:6" x14ac:dyDescent="0.25">
      <c r="A26" s="2353"/>
      <c r="B26" s="2354"/>
      <c r="C26" s="2354"/>
      <c r="F26" s="2094"/>
    </row>
    <row r="28" spans="1:6" x14ac:dyDescent="0.25">
      <c r="A28" s="59" t="s">
        <v>1306</v>
      </c>
      <c r="B28" s="59"/>
      <c r="C28" s="59"/>
      <c r="D28" s="59"/>
      <c r="F28" s="59" t="s">
        <v>73</v>
      </c>
    </row>
    <row r="30" spans="1:6" x14ac:dyDescent="0.25">
      <c r="A30" s="11" t="s">
        <v>1307</v>
      </c>
      <c r="B30" s="2353" t="s">
        <v>1380</v>
      </c>
      <c r="C30" s="2353"/>
      <c r="D30" s="2353"/>
    </row>
    <row r="31" spans="1:6" x14ac:dyDescent="0.25">
      <c r="A31" s="11" t="s">
        <v>1309</v>
      </c>
      <c r="B31" s="2353" t="s">
        <v>1506</v>
      </c>
      <c r="C31" s="2353"/>
      <c r="D31" s="2353"/>
    </row>
    <row r="32" spans="1:6" x14ac:dyDescent="0.25">
      <c r="A32" s="11" t="s">
        <v>1311</v>
      </c>
      <c r="B32" s="2353" t="s">
        <v>1507</v>
      </c>
      <c r="C32" s="2353"/>
      <c r="D32" s="2353"/>
    </row>
    <row r="33" spans="1:6" x14ac:dyDescent="0.25">
      <c r="A33" s="11" t="s">
        <v>1313</v>
      </c>
    </row>
    <row r="39" spans="1:6" x14ac:dyDescent="0.25">
      <c r="A39" s="59" t="s">
        <v>1315</v>
      </c>
      <c r="B39" s="59"/>
      <c r="C39" s="59"/>
      <c r="D39" s="59"/>
      <c r="F39" s="59" t="s">
        <v>73</v>
      </c>
    </row>
    <row r="41" spans="1:6" x14ac:dyDescent="0.25">
      <c r="A41" s="7" t="s">
        <v>1316</v>
      </c>
      <c r="C41" s="7" t="s">
        <v>1317</v>
      </c>
    </row>
    <row r="42" spans="1:6" ht="33" x14ac:dyDescent="0.25">
      <c r="A42" s="2353" t="s">
        <v>1318</v>
      </c>
      <c r="B42" s="2354"/>
      <c r="C42" s="2355" t="s">
        <v>1319</v>
      </c>
      <c r="D42" s="2356"/>
      <c r="F42" s="2094" t="s">
        <v>1320</v>
      </c>
    </row>
  </sheetData>
  <customSheetViews>
    <customSheetView guid="{CA1C9262-C0F9-4BBB-95C8-A52990BD1149}" scale="90" state="hidden" topLeftCell="A2">
      <selection activeCell="A4" sqref="A4"/>
      <pageMargins left="0" right="0" top="0" bottom="0" header="0" footer="0"/>
    </customSheetView>
    <customSheetView guid="{9F71BA88-74DF-4B45-811C-93ABE8314534}" scale="90" topLeftCell="A2">
      <selection activeCell="A4" sqref="A4"/>
      <pageMargins left="0" right="0" top="0" bottom="0" header="0" footer="0"/>
    </customSheetView>
  </customSheetViews>
  <mergeCells count="7">
    <mergeCell ref="A25:C25"/>
    <mergeCell ref="A26:C26"/>
    <mergeCell ref="B30:D30"/>
    <mergeCell ref="B31:D31"/>
    <mergeCell ref="A42:B42"/>
    <mergeCell ref="C42:D42"/>
    <mergeCell ref="B32:D3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3322B-6BC3-41E0-8357-C122B65C86B6}">
  <sheetPr codeName="Sheet302">
    <tabColor theme="6"/>
    <pageSetUpPr autoPageBreaks="0"/>
  </sheetPr>
  <dimension ref="A1:AJ119"/>
  <sheetViews>
    <sheetView topLeftCell="A57" workbookViewId="0">
      <selection activeCell="G27" sqref="G27"/>
    </sheetView>
  </sheetViews>
  <sheetFormatPr defaultColWidth="9" defaultRowHeight="16.5" x14ac:dyDescent="0.3"/>
  <cols>
    <col min="1" max="1" width="7" style="9" customWidth="1"/>
    <col min="2" max="2" width="38.42578125" style="9" bestFit="1" customWidth="1"/>
    <col min="3" max="3" width="29.7109375" style="22" customWidth="1"/>
    <col min="4" max="5" width="17" style="9" bestFit="1" customWidth="1"/>
    <col min="6" max="6" width="3.140625" style="9" bestFit="1" customWidth="1"/>
    <col min="7" max="7" width="37" style="22" customWidth="1"/>
    <col min="8" max="9" width="16.7109375" style="9" bestFit="1" customWidth="1"/>
    <col min="10" max="10" width="2.7109375" style="9" customWidth="1"/>
    <col min="11" max="11" width="31.5703125" style="27" customWidth="1"/>
    <col min="12" max="12" width="16.7109375" style="10" bestFit="1" customWidth="1"/>
    <col min="13" max="13" width="16.7109375" style="9" bestFit="1" customWidth="1"/>
    <col min="14" max="14" width="10.5703125" style="9" bestFit="1" customWidth="1"/>
    <col min="15" max="36" width="9" style="9" customWidth="1"/>
    <col min="37" max="16384" width="9" style="9"/>
  </cols>
  <sheetData>
    <row r="1" spans="1:36" s="4" customFormat="1" x14ac:dyDescent="0.3">
      <c r="A1" s="4" t="s">
        <v>15</v>
      </c>
      <c r="C1" s="17"/>
    </row>
    <row r="2" spans="1:36" x14ac:dyDescent="0.3">
      <c r="A2" s="9" t="str">
        <f>CONCATENATE("Pupil Center Funding Plan | FY",'1.1 Assumption Control YR1'!D5)</f>
        <v>Pupil Center Funding Plan | FY2026</v>
      </c>
      <c r="C2" s="17"/>
      <c r="D2" s="4"/>
      <c r="E2" s="4"/>
      <c r="F2" s="4" t="s">
        <v>76</v>
      </c>
      <c r="G2" s="300" t="s">
        <v>1508</v>
      </c>
      <c r="H2" s="297"/>
      <c r="I2" s="301"/>
      <c r="J2" s="4"/>
      <c r="K2" s="4" t="s">
        <v>1509</v>
      </c>
      <c r="L2" s="4"/>
      <c r="M2" s="4"/>
    </row>
    <row r="3" spans="1:36" x14ac:dyDescent="0.3">
      <c r="A3" s="9" t="s">
        <v>1510</v>
      </c>
      <c r="C3" s="17"/>
      <c r="D3" s="4"/>
      <c r="E3" s="4"/>
      <c r="F3" s="4"/>
      <c r="G3" s="444"/>
      <c r="H3" s="4" t="s">
        <v>1511</v>
      </c>
      <c r="I3" s="288" t="s">
        <v>1512</v>
      </c>
      <c r="J3" s="4"/>
      <c r="K3" s="4"/>
      <c r="L3" s="4"/>
      <c r="M3" s="4"/>
    </row>
    <row r="4" spans="1:36" x14ac:dyDescent="0.3">
      <c r="C4" s="17"/>
      <c r="D4" s="4"/>
      <c r="E4" s="4"/>
      <c r="F4" s="4"/>
      <c r="G4" s="439" t="s">
        <v>1513</v>
      </c>
      <c r="H4" s="443">
        <v>0.5</v>
      </c>
      <c r="I4" s="438">
        <f>D11-H4</f>
        <v>-4.9999999999999989E-2</v>
      </c>
      <c r="J4" s="4"/>
      <c r="K4" s="4"/>
      <c r="L4" s="4"/>
      <c r="M4" s="4"/>
    </row>
    <row r="5" spans="1:36" s="4" customFormat="1" ht="17.25" thickBot="1" x14ac:dyDescent="0.35">
      <c r="B5" s="1562"/>
      <c r="C5" s="17" t="s">
        <v>1331</v>
      </c>
      <c r="D5" s="17" t="s">
        <v>1332</v>
      </c>
      <c r="E5" s="18" t="s">
        <v>1333</v>
      </c>
      <c r="F5" s="9"/>
      <c r="G5" s="439" t="s">
        <v>1514</v>
      </c>
      <c r="H5" s="443">
        <v>0.3</v>
      </c>
      <c r="I5" s="438">
        <f>H11-H5</f>
        <v>4.9999999999999989E-2</v>
      </c>
      <c r="J5" s="9"/>
      <c r="K5" s="9"/>
      <c r="L5" s="9"/>
      <c r="M5" s="9"/>
      <c r="N5" s="17"/>
      <c r="O5" s="17"/>
      <c r="P5" s="17"/>
      <c r="Q5" s="17"/>
      <c r="R5" s="17"/>
      <c r="S5" s="17"/>
      <c r="T5" s="17"/>
      <c r="U5" s="17"/>
      <c r="V5" s="17"/>
      <c r="W5" s="17"/>
      <c r="X5" s="17"/>
      <c r="Y5" s="17"/>
      <c r="Z5" s="17"/>
      <c r="AA5" s="17"/>
      <c r="AB5" s="17"/>
      <c r="AC5" s="17"/>
      <c r="AD5" s="17"/>
      <c r="AE5" s="17"/>
      <c r="AF5" s="17"/>
      <c r="AG5" s="17"/>
      <c r="AH5" s="17"/>
      <c r="AI5" s="17"/>
      <c r="AJ5" s="17"/>
    </row>
    <row r="6" spans="1:36" ht="18" thickTop="1" thickBot="1" x14ac:dyDescent="0.35">
      <c r="B6" s="17" t="s">
        <v>1515</v>
      </c>
      <c r="C6" s="43">
        <f>'2.6 Adj. Base Summary YR1'!E6</f>
        <v>408291377</v>
      </c>
      <c r="D6" s="44">
        <f>E39+I39+M39</f>
        <v>408291377</v>
      </c>
      <c r="E6" s="1826">
        <f>C6-D6</f>
        <v>0</v>
      </c>
      <c r="F6" s="9" t="s">
        <v>79</v>
      </c>
      <c r="G6" s="439" t="s">
        <v>1516</v>
      </c>
      <c r="H6" s="640">
        <v>0.14000000000000001</v>
      </c>
      <c r="I6" s="438">
        <f>L11-H6</f>
        <v>-2.0000000000000018E-2</v>
      </c>
      <c r="K6" s="4" t="s">
        <v>1517</v>
      </c>
      <c r="L6" s="9"/>
    </row>
    <row r="7" spans="1:36" ht="17.25" thickTop="1" x14ac:dyDescent="0.3">
      <c r="C7" s="23"/>
      <c r="D7" s="17"/>
      <c r="E7" s="17"/>
      <c r="F7" s="17"/>
      <c r="G7" s="23"/>
      <c r="H7" s="17"/>
      <c r="I7" s="17"/>
      <c r="J7" s="17"/>
      <c r="K7" s="26"/>
      <c r="L7" s="18"/>
      <c r="M7" s="17"/>
    </row>
    <row r="8" spans="1:36" x14ac:dyDescent="0.3">
      <c r="C8" s="305" t="s">
        <v>1518</v>
      </c>
      <c r="D8" s="306"/>
      <c r="E8" s="307"/>
      <c r="G8" s="305" t="s">
        <v>1519</v>
      </c>
      <c r="H8" s="306"/>
      <c r="I8" s="307"/>
      <c r="K8" s="305" t="s">
        <v>1520</v>
      </c>
      <c r="L8" s="306"/>
      <c r="M8" s="307"/>
    </row>
    <row r="9" spans="1:36" x14ac:dyDescent="0.3">
      <c r="C9" s="114" t="s">
        <v>1521</v>
      </c>
      <c r="D9" s="57">
        <f>'1.2 Budgeted Enrollment YR1'!I30</f>
        <v>54923</v>
      </c>
      <c r="E9" s="112" t="s">
        <v>195</v>
      </c>
      <c r="G9" s="114" t="s">
        <v>1522</v>
      </c>
      <c r="H9" s="57">
        <f>'1.2 Budgeted Enrollment YR1'!J30</f>
        <v>50074</v>
      </c>
      <c r="I9" s="112" t="s">
        <v>195</v>
      </c>
      <c r="K9" s="110" t="s">
        <v>1523</v>
      </c>
      <c r="L9" s="362">
        <f>'1.2 Budgeted Enrollment YR1'!K30</f>
        <v>8722</v>
      </c>
      <c r="M9" s="112" t="s">
        <v>195</v>
      </c>
    </row>
    <row r="10" spans="1:36" x14ac:dyDescent="0.3">
      <c r="B10" s="17"/>
      <c r="C10" s="140" t="s">
        <v>1524</v>
      </c>
      <c r="D10" s="154">
        <f>'1.1 Assumption Control YR1'!E39</f>
        <v>4244.4000000000005</v>
      </c>
      <c r="E10" s="112" t="s">
        <v>167</v>
      </c>
      <c r="G10" s="140" t="s">
        <v>1525</v>
      </c>
      <c r="H10" s="154">
        <f>'1.1 Assumption Control YR1'!E40</f>
        <v>3301.2</v>
      </c>
      <c r="I10" s="112" t="s">
        <v>167</v>
      </c>
      <c r="K10" s="140" t="s">
        <v>1526</v>
      </c>
      <c r="L10" s="154">
        <f>'1.1 Assumption Control YR1'!E41</f>
        <v>1131.8399999999999</v>
      </c>
      <c r="M10" s="112" t="s">
        <v>167</v>
      </c>
    </row>
    <row r="11" spans="1:36" x14ac:dyDescent="0.3">
      <c r="B11" s="17"/>
      <c r="C11" s="126" t="s">
        <v>1527</v>
      </c>
      <c r="D11" s="361">
        <f>'1.1 Assumption Control YR1'!D39</f>
        <v>0.45</v>
      </c>
      <c r="E11" s="128" t="s">
        <v>167</v>
      </c>
      <c r="G11" s="126" t="s">
        <v>1527</v>
      </c>
      <c r="H11" s="361">
        <f>'1.1 Assumption Control YR1'!D40</f>
        <v>0.35</v>
      </c>
      <c r="I11" s="128" t="s">
        <v>167</v>
      </c>
      <c r="K11" s="126" t="s">
        <v>1527</v>
      </c>
      <c r="L11" s="361">
        <f>'1.1 Assumption Control YR1'!D41</f>
        <v>0.12</v>
      </c>
      <c r="M11" s="128" t="s">
        <v>167</v>
      </c>
    </row>
    <row r="12" spans="1:36" x14ac:dyDescent="0.3">
      <c r="B12" s="17"/>
      <c r="C12" s="140"/>
      <c r="D12" s="134"/>
      <c r="E12" s="112"/>
      <c r="G12" s="140"/>
      <c r="H12" s="134"/>
      <c r="I12" s="112"/>
      <c r="K12" s="97" t="s">
        <v>1528</v>
      </c>
      <c r="L12" s="134"/>
      <c r="M12" s="112"/>
    </row>
    <row r="13" spans="1:36" x14ac:dyDescent="0.3">
      <c r="C13" s="105" t="s">
        <v>1529</v>
      </c>
      <c r="D13" s="91" t="s">
        <v>1530</v>
      </c>
      <c r="E13" s="98"/>
      <c r="G13" s="105" t="s">
        <v>1531</v>
      </c>
      <c r="H13" s="91" t="s">
        <v>1532</v>
      </c>
      <c r="I13" s="98"/>
      <c r="K13" s="105" t="s">
        <v>1533</v>
      </c>
      <c r="L13" s="91" t="s">
        <v>1534</v>
      </c>
      <c r="M13" s="98"/>
    </row>
    <row r="14" spans="1:36" s="107" customFormat="1" x14ac:dyDescent="0.3">
      <c r="A14" s="9"/>
      <c r="B14" s="9"/>
      <c r="C14" s="105" t="s">
        <v>1533</v>
      </c>
      <c r="D14" s="93" t="s">
        <v>1535</v>
      </c>
      <c r="E14" s="94" t="s">
        <v>1530</v>
      </c>
      <c r="F14" s="9"/>
      <c r="G14" s="105" t="s">
        <v>1533</v>
      </c>
      <c r="H14" s="93" t="s">
        <v>1536</v>
      </c>
      <c r="I14" s="94" t="s">
        <v>1532</v>
      </c>
      <c r="J14" s="9"/>
      <c r="K14" s="105" t="s">
        <v>1537</v>
      </c>
      <c r="L14" s="93" t="s">
        <v>1536</v>
      </c>
      <c r="M14" s="94" t="s">
        <v>1534</v>
      </c>
    </row>
    <row r="15" spans="1:36" x14ac:dyDescent="0.3">
      <c r="A15" s="4"/>
      <c r="C15" s="113"/>
      <c r="D15" s="93" t="s">
        <v>1538</v>
      </c>
      <c r="E15" s="94" t="s">
        <v>1535</v>
      </c>
      <c r="G15" s="105" t="s">
        <v>1537</v>
      </c>
      <c r="H15" s="93" t="s">
        <v>1538</v>
      </c>
      <c r="I15" s="94" t="s">
        <v>1536</v>
      </c>
      <c r="K15" s="105" t="s">
        <v>1539</v>
      </c>
      <c r="L15" s="93" t="s">
        <v>1344</v>
      </c>
      <c r="M15" s="94" t="s">
        <v>1536</v>
      </c>
    </row>
    <row r="16" spans="1:36" x14ac:dyDescent="0.3">
      <c r="A16" s="330"/>
      <c r="B16" s="331" t="s">
        <v>1346</v>
      </c>
      <c r="C16" s="658" t="s">
        <v>195</v>
      </c>
      <c r="D16" s="333" t="s">
        <v>1540</v>
      </c>
      <c r="E16" s="334" t="s">
        <v>1397</v>
      </c>
      <c r="F16" s="107"/>
      <c r="G16" s="658" t="s">
        <v>195</v>
      </c>
      <c r="H16" s="333" t="s">
        <v>1541</v>
      </c>
      <c r="I16" s="334" t="s">
        <v>1542</v>
      </c>
      <c r="J16" s="107"/>
      <c r="K16" s="658" t="s">
        <v>195</v>
      </c>
      <c r="L16" s="333" t="s">
        <v>1543</v>
      </c>
      <c r="M16" s="334" t="s">
        <v>1544</v>
      </c>
    </row>
    <row r="17" spans="1:13" x14ac:dyDescent="0.3">
      <c r="A17" s="291" t="s">
        <v>1228</v>
      </c>
      <c r="B17" s="226"/>
      <c r="C17" s="335"/>
      <c r="D17" s="292"/>
      <c r="E17" s="329"/>
      <c r="G17" s="335"/>
      <c r="H17" s="292"/>
      <c r="I17" s="329"/>
      <c r="K17" s="335"/>
      <c r="L17" s="292"/>
      <c r="M17" s="329"/>
    </row>
    <row r="18" spans="1:13" x14ac:dyDescent="0.3">
      <c r="B18" s="112" t="str">
        <f>'1.2 Budgeted Enrollment YR1'!E9</f>
        <v>Carson City</v>
      </c>
      <c r="C18" s="472">
        <f>'1.2 Budgeted Enrollment YR1'!I9</f>
        <v>780</v>
      </c>
      <c r="D18" s="475">
        <f>$D$10</f>
        <v>4244.4000000000005</v>
      </c>
      <c r="E18" s="476">
        <f>ROUND(C18*D18,0)</f>
        <v>3310632</v>
      </c>
      <c r="G18" s="363">
        <f>'1.2 Budgeted Enrollment YR1'!J9</f>
        <v>221</v>
      </c>
      <c r="H18" s="154">
        <f t="shared" ref="H18:H34" si="0">$H$10</f>
        <v>3301.2</v>
      </c>
      <c r="I18" s="402">
        <f>ROUND(G18*H18,0)</f>
        <v>729565</v>
      </c>
      <c r="K18" s="363">
        <f>'1.2 Budgeted Enrollment YR1'!K9</f>
        <v>285</v>
      </c>
      <c r="L18" s="154">
        <f t="shared" ref="L18:L34" si="1">$L$10</f>
        <v>1131.8399999999999</v>
      </c>
      <c r="M18" s="402">
        <f>ROUND(L18*K18,0)</f>
        <v>322574</v>
      </c>
    </row>
    <row r="19" spans="1:13" x14ac:dyDescent="0.3">
      <c r="B19" s="112" t="str">
        <f>'1.2 Budgeted Enrollment YR1'!E10</f>
        <v>Churchill</v>
      </c>
      <c r="C19" s="363">
        <f>'1.2 Budgeted Enrollment YR1'!I10</f>
        <v>114</v>
      </c>
      <c r="D19" s="154">
        <f>$D$10</f>
        <v>4244.4000000000005</v>
      </c>
      <c r="E19" s="402">
        <f t="shared" ref="E19:E34" si="2">ROUND(C19*D19,0)</f>
        <v>483862</v>
      </c>
      <c r="G19" s="363">
        <f>'1.2 Budgeted Enrollment YR1'!J10</f>
        <v>87</v>
      </c>
      <c r="H19" s="154">
        <f>$H$10</f>
        <v>3301.2</v>
      </c>
      <c r="I19" s="402">
        <f t="shared" ref="I19:I34" si="3">ROUND(G19*H19,0)</f>
        <v>287204</v>
      </c>
      <c r="K19" s="363">
        <f>'1.2 Budgeted Enrollment YR1'!K10</f>
        <v>0</v>
      </c>
      <c r="L19" s="154">
        <f>$L$10</f>
        <v>1131.8399999999999</v>
      </c>
      <c r="M19" s="402">
        <f t="shared" ref="M19:M34" si="4">ROUND(L19*K19,0)</f>
        <v>0</v>
      </c>
    </row>
    <row r="20" spans="1:13" x14ac:dyDescent="0.3">
      <c r="B20" s="112" t="str">
        <f>'1.2 Budgeted Enrollment YR1'!E11</f>
        <v>Clark</v>
      </c>
      <c r="C20" s="363">
        <f>'1.2 Budgeted Enrollment YR1'!I11</f>
        <v>38828</v>
      </c>
      <c r="D20" s="154">
        <f t="shared" ref="D20:D34" si="5">$D$10</f>
        <v>4244.4000000000005</v>
      </c>
      <c r="E20" s="402">
        <f t="shared" si="2"/>
        <v>164801563</v>
      </c>
      <c r="G20" s="363">
        <f>'1.2 Budgeted Enrollment YR1'!J11</f>
        <v>41674</v>
      </c>
      <c r="H20" s="154">
        <f t="shared" si="0"/>
        <v>3301.2</v>
      </c>
      <c r="I20" s="402">
        <f t="shared" si="3"/>
        <v>137574209</v>
      </c>
      <c r="K20" s="363">
        <f>'1.2 Budgeted Enrollment YR1'!K11</f>
        <v>5436</v>
      </c>
      <c r="L20" s="154">
        <f t="shared" si="1"/>
        <v>1131.8399999999999</v>
      </c>
      <c r="M20" s="402">
        <f t="shared" si="4"/>
        <v>6152682</v>
      </c>
    </row>
    <row r="21" spans="1:13" x14ac:dyDescent="0.3">
      <c r="B21" s="112" t="str">
        <f>'1.2 Budgeted Enrollment YR1'!E12</f>
        <v>Douglas</v>
      </c>
      <c r="C21" s="363">
        <f>'1.2 Budgeted Enrollment YR1'!I12</f>
        <v>161</v>
      </c>
      <c r="D21" s="154">
        <f t="shared" si="5"/>
        <v>4244.4000000000005</v>
      </c>
      <c r="E21" s="402">
        <f t="shared" si="2"/>
        <v>683348</v>
      </c>
      <c r="G21" s="363">
        <f>'1.2 Budgeted Enrollment YR1'!J12</f>
        <v>144</v>
      </c>
      <c r="H21" s="154">
        <f t="shared" si="0"/>
        <v>3301.2</v>
      </c>
      <c r="I21" s="402">
        <f t="shared" si="3"/>
        <v>475373</v>
      </c>
      <c r="K21" s="363">
        <f>'1.2 Budgeted Enrollment YR1'!K12</f>
        <v>118</v>
      </c>
      <c r="L21" s="154">
        <f t="shared" si="1"/>
        <v>1131.8399999999999</v>
      </c>
      <c r="M21" s="402">
        <f t="shared" si="4"/>
        <v>133557</v>
      </c>
    </row>
    <row r="22" spans="1:13" x14ac:dyDescent="0.3">
      <c r="B22" s="112" t="str">
        <f>'1.2 Budgeted Enrollment YR1'!E13</f>
        <v>Elko</v>
      </c>
      <c r="C22" s="363">
        <f>'1.2 Budgeted Enrollment YR1'!I13</f>
        <v>669</v>
      </c>
      <c r="D22" s="154">
        <f t="shared" si="5"/>
        <v>4244.4000000000005</v>
      </c>
      <c r="E22" s="402">
        <f t="shared" si="2"/>
        <v>2839504</v>
      </c>
      <c r="G22" s="363">
        <f>'1.2 Budgeted Enrollment YR1'!J13</f>
        <v>452</v>
      </c>
      <c r="H22" s="154">
        <f t="shared" si="0"/>
        <v>3301.2</v>
      </c>
      <c r="I22" s="402">
        <f t="shared" si="3"/>
        <v>1492142</v>
      </c>
      <c r="K22" s="363">
        <f>'1.2 Budgeted Enrollment YR1'!K13</f>
        <v>38</v>
      </c>
      <c r="L22" s="154">
        <f t="shared" si="1"/>
        <v>1131.8399999999999</v>
      </c>
      <c r="M22" s="402">
        <f t="shared" si="4"/>
        <v>43010</v>
      </c>
    </row>
    <row r="23" spans="1:13" x14ac:dyDescent="0.3">
      <c r="B23" s="112" t="str">
        <f>'1.2 Budgeted Enrollment YR1'!E14</f>
        <v>Esmeralda</v>
      </c>
      <c r="C23" s="363">
        <f>'1.2 Budgeted Enrollment YR1'!I14</f>
        <v>11</v>
      </c>
      <c r="D23" s="154">
        <f t="shared" si="5"/>
        <v>4244.4000000000005</v>
      </c>
      <c r="E23" s="402">
        <f t="shared" si="2"/>
        <v>46688</v>
      </c>
      <c r="G23" s="363">
        <f>'1.2 Budgeted Enrollment YR1'!J14</f>
        <v>1</v>
      </c>
      <c r="H23" s="154">
        <f t="shared" si="0"/>
        <v>3301.2</v>
      </c>
      <c r="I23" s="402">
        <f t="shared" si="3"/>
        <v>3301</v>
      </c>
      <c r="K23" s="363">
        <f>'1.2 Budgeted Enrollment YR1'!K14</f>
        <v>0</v>
      </c>
      <c r="L23" s="154">
        <f t="shared" si="1"/>
        <v>1131.8399999999999</v>
      </c>
      <c r="M23" s="402">
        <f t="shared" si="4"/>
        <v>0</v>
      </c>
    </row>
    <row r="24" spans="1:13" x14ac:dyDescent="0.3">
      <c r="B24" s="112" t="str">
        <f>'1.2 Budgeted Enrollment YR1'!E15</f>
        <v>Eureka</v>
      </c>
      <c r="C24" s="363">
        <f>'1.2 Budgeted Enrollment YR1'!I15</f>
        <v>4</v>
      </c>
      <c r="D24" s="154">
        <f t="shared" si="5"/>
        <v>4244.4000000000005</v>
      </c>
      <c r="E24" s="402">
        <f t="shared" si="2"/>
        <v>16978</v>
      </c>
      <c r="G24" s="363">
        <f>'1.2 Budgeted Enrollment YR1'!J15</f>
        <v>1</v>
      </c>
      <c r="H24" s="154">
        <f t="shared" si="0"/>
        <v>3301.2</v>
      </c>
      <c r="I24" s="402">
        <f t="shared" si="3"/>
        <v>3301</v>
      </c>
      <c r="K24" s="363">
        <f>'1.2 Budgeted Enrollment YR1'!K15</f>
        <v>0</v>
      </c>
      <c r="L24" s="154">
        <f t="shared" si="1"/>
        <v>1131.8399999999999</v>
      </c>
      <c r="M24" s="402">
        <f t="shared" si="4"/>
        <v>0</v>
      </c>
    </row>
    <row r="25" spans="1:13" x14ac:dyDescent="0.3">
      <c r="B25" s="112" t="str">
        <f>'1.2 Budgeted Enrollment YR1'!E16</f>
        <v>Humboldt</v>
      </c>
      <c r="C25" s="363">
        <f>'1.2 Budgeted Enrollment YR1'!I16</f>
        <v>197</v>
      </c>
      <c r="D25" s="154">
        <f t="shared" si="5"/>
        <v>4244.4000000000005</v>
      </c>
      <c r="E25" s="402">
        <f t="shared" si="2"/>
        <v>836147</v>
      </c>
      <c r="G25" s="363">
        <f>'1.2 Budgeted Enrollment YR1'!J16</f>
        <v>106</v>
      </c>
      <c r="H25" s="154">
        <f t="shared" si="0"/>
        <v>3301.2</v>
      </c>
      <c r="I25" s="402">
        <f t="shared" si="3"/>
        <v>349927</v>
      </c>
      <c r="K25" s="363">
        <f>'1.2 Budgeted Enrollment YR1'!K16</f>
        <v>0</v>
      </c>
      <c r="L25" s="154">
        <f t="shared" si="1"/>
        <v>1131.8399999999999</v>
      </c>
      <c r="M25" s="402">
        <f t="shared" si="4"/>
        <v>0</v>
      </c>
    </row>
    <row r="26" spans="1:13" x14ac:dyDescent="0.3">
      <c r="B26" s="112" t="str">
        <f>'1.2 Budgeted Enrollment YR1'!E17</f>
        <v>Lander</v>
      </c>
      <c r="C26" s="363">
        <f>'1.2 Budgeted Enrollment YR1'!I17</f>
        <v>39</v>
      </c>
      <c r="D26" s="154">
        <f t="shared" si="5"/>
        <v>4244.4000000000005</v>
      </c>
      <c r="E26" s="402">
        <f t="shared" si="2"/>
        <v>165532</v>
      </c>
      <c r="G26" s="363">
        <f>'1.2 Budgeted Enrollment YR1'!J17</f>
        <v>79</v>
      </c>
      <c r="H26" s="154">
        <f t="shared" si="0"/>
        <v>3301.2</v>
      </c>
      <c r="I26" s="402">
        <f t="shared" si="3"/>
        <v>260795</v>
      </c>
      <c r="K26" s="363">
        <f>'1.2 Budgeted Enrollment YR1'!K17</f>
        <v>0</v>
      </c>
      <c r="L26" s="154">
        <f t="shared" si="1"/>
        <v>1131.8399999999999</v>
      </c>
      <c r="M26" s="402">
        <f t="shared" si="4"/>
        <v>0</v>
      </c>
    </row>
    <row r="27" spans="1:13" x14ac:dyDescent="0.3">
      <c r="B27" s="112" t="str">
        <f>'1.2 Budgeted Enrollment YR1'!E18</f>
        <v>Lincoln</v>
      </c>
      <c r="C27" s="363">
        <f>'1.2 Budgeted Enrollment YR1'!I18</f>
        <v>8</v>
      </c>
      <c r="D27" s="154">
        <f t="shared" si="5"/>
        <v>4244.4000000000005</v>
      </c>
      <c r="E27" s="402">
        <f t="shared" si="2"/>
        <v>33955</v>
      </c>
      <c r="G27" s="363">
        <f>'1.2 Budgeted Enrollment YR1'!J18</f>
        <v>41</v>
      </c>
      <c r="H27" s="154">
        <f t="shared" si="0"/>
        <v>3301.2</v>
      </c>
      <c r="I27" s="402">
        <f t="shared" si="3"/>
        <v>135349</v>
      </c>
      <c r="K27" s="363">
        <f>'1.2 Budgeted Enrollment YR1'!K18</f>
        <v>0</v>
      </c>
      <c r="L27" s="154">
        <f t="shared" si="1"/>
        <v>1131.8399999999999</v>
      </c>
      <c r="M27" s="402">
        <f t="shared" si="4"/>
        <v>0</v>
      </c>
    </row>
    <row r="28" spans="1:13" x14ac:dyDescent="0.3">
      <c r="B28" s="112" t="str">
        <f>'1.2 Budgeted Enrollment YR1'!E19</f>
        <v>Lyon</v>
      </c>
      <c r="C28" s="363">
        <f>'1.2 Budgeted Enrollment YR1'!I19</f>
        <v>536</v>
      </c>
      <c r="D28" s="154">
        <f t="shared" si="5"/>
        <v>4244.4000000000005</v>
      </c>
      <c r="E28" s="402">
        <f t="shared" si="2"/>
        <v>2274998</v>
      </c>
      <c r="G28" s="363">
        <f>'1.2 Budgeted Enrollment YR1'!J19</f>
        <v>389</v>
      </c>
      <c r="H28" s="154">
        <f t="shared" si="0"/>
        <v>3301.2</v>
      </c>
      <c r="I28" s="402">
        <f t="shared" si="3"/>
        <v>1284167</v>
      </c>
      <c r="K28" s="363">
        <f>'1.2 Budgeted Enrollment YR1'!K19</f>
        <v>60</v>
      </c>
      <c r="L28" s="154">
        <f t="shared" si="1"/>
        <v>1131.8399999999999</v>
      </c>
      <c r="M28" s="402">
        <f t="shared" si="4"/>
        <v>67910</v>
      </c>
    </row>
    <row r="29" spans="1:13" x14ac:dyDescent="0.3">
      <c r="B29" s="112" t="str">
        <f>'1.2 Budgeted Enrollment YR1'!E20</f>
        <v>Mineral</v>
      </c>
      <c r="C29" s="363">
        <f>'1.2 Budgeted Enrollment YR1'!I20</f>
        <v>34</v>
      </c>
      <c r="D29" s="154">
        <f t="shared" si="5"/>
        <v>4244.4000000000005</v>
      </c>
      <c r="E29" s="402">
        <f t="shared" si="2"/>
        <v>144310</v>
      </c>
      <c r="G29" s="363">
        <f>'1.2 Budgeted Enrollment YR1'!J20</f>
        <v>43</v>
      </c>
      <c r="H29" s="154">
        <f t="shared" si="0"/>
        <v>3301.2</v>
      </c>
      <c r="I29" s="402">
        <f t="shared" si="3"/>
        <v>141952</v>
      </c>
      <c r="K29" s="363">
        <f>'1.2 Budgeted Enrollment YR1'!K20</f>
        <v>0</v>
      </c>
      <c r="L29" s="154">
        <f t="shared" si="1"/>
        <v>1131.8399999999999</v>
      </c>
      <c r="M29" s="402">
        <f t="shared" si="4"/>
        <v>0</v>
      </c>
    </row>
    <row r="30" spans="1:13" x14ac:dyDescent="0.3">
      <c r="B30" s="112" t="str">
        <f>'1.2 Budgeted Enrollment YR1'!E21</f>
        <v>Nye</v>
      </c>
      <c r="C30" s="363">
        <f>'1.2 Budgeted Enrollment YR1'!I21</f>
        <v>377</v>
      </c>
      <c r="D30" s="154">
        <f t="shared" si="5"/>
        <v>4244.4000000000005</v>
      </c>
      <c r="E30" s="402">
        <f t="shared" si="2"/>
        <v>1600139</v>
      </c>
      <c r="G30" s="363">
        <f>'1.2 Budgeted Enrollment YR1'!J21</f>
        <v>271</v>
      </c>
      <c r="H30" s="154">
        <f t="shared" si="0"/>
        <v>3301.2</v>
      </c>
      <c r="I30" s="402">
        <f t="shared" si="3"/>
        <v>894625</v>
      </c>
      <c r="K30" s="363">
        <f>'1.2 Budgeted Enrollment YR1'!K21</f>
        <v>0</v>
      </c>
      <c r="L30" s="154">
        <f t="shared" si="1"/>
        <v>1131.8399999999999</v>
      </c>
      <c r="M30" s="402">
        <f t="shared" si="4"/>
        <v>0</v>
      </c>
    </row>
    <row r="31" spans="1:13" x14ac:dyDescent="0.3">
      <c r="B31" s="112" t="str">
        <f>'1.2 Budgeted Enrollment YR1'!E22</f>
        <v>Pershing</v>
      </c>
      <c r="C31" s="363">
        <f>'1.2 Budgeted Enrollment YR1'!I22</f>
        <v>29</v>
      </c>
      <c r="D31" s="154">
        <f t="shared" si="5"/>
        <v>4244.4000000000005</v>
      </c>
      <c r="E31" s="402">
        <f t="shared" si="2"/>
        <v>123088</v>
      </c>
      <c r="G31" s="363">
        <f>'1.2 Budgeted Enrollment YR1'!J22</f>
        <v>28</v>
      </c>
      <c r="H31" s="154">
        <f t="shared" si="0"/>
        <v>3301.2</v>
      </c>
      <c r="I31" s="402">
        <f t="shared" si="3"/>
        <v>92434</v>
      </c>
      <c r="K31" s="363">
        <f>'1.2 Budgeted Enrollment YR1'!K22</f>
        <v>0</v>
      </c>
      <c r="L31" s="154">
        <f t="shared" si="1"/>
        <v>1131.8399999999999</v>
      </c>
      <c r="M31" s="402">
        <f t="shared" si="4"/>
        <v>0</v>
      </c>
    </row>
    <row r="32" spans="1:13" x14ac:dyDescent="0.3">
      <c r="B32" s="112" t="str">
        <f>'1.2 Budgeted Enrollment YR1'!E23</f>
        <v>Storey</v>
      </c>
      <c r="C32" s="363">
        <f>'1.2 Budgeted Enrollment YR1'!I23</f>
        <v>1</v>
      </c>
      <c r="D32" s="154">
        <f t="shared" si="5"/>
        <v>4244.4000000000005</v>
      </c>
      <c r="E32" s="402">
        <f t="shared" si="2"/>
        <v>4244</v>
      </c>
      <c r="G32" s="363">
        <f>'1.2 Budgeted Enrollment YR1'!J23</f>
        <v>9</v>
      </c>
      <c r="H32" s="154">
        <f t="shared" si="0"/>
        <v>3301.2</v>
      </c>
      <c r="I32" s="402">
        <f t="shared" si="3"/>
        <v>29711</v>
      </c>
      <c r="K32" s="363">
        <f>'1.2 Budgeted Enrollment YR1'!K23</f>
        <v>0</v>
      </c>
      <c r="L32" s="154">
        <f t="shared" si="1"/>
        <v>1131.8399999999999</v>
      </c>
      <c r="M32" s="402">
        <f t="shared" si="4"/>
        <v>0</v>
      </c>
    </row>
    <row r="33" spans="1:13" x14ac:dyDescent="0.3">
      <c r="B33" s="112" t="str">
        <f>'1.2 Budgeted Enrollment YR1'!E24</f>
        <v>Washoe</v>
      </c>
      <c r="C33" s="363">
        <f>'1.2 Budgeted Enrollment YR1'!I24</f>
        <v>6736</v>
      </c>
      <c r="D33" s="154">
        <f t="shared" si="5"/>
        <v>4244.4000000000005</v>
      </c>
      <c r="E33" s="402">
        <f t="shared" si="2"/>
        <v>28590278</v>
      </c>
      <c r="G33" s="363">
        <f>'1.2 Budgeted Enrollment YR1'!J24</f>
        <v>4401</v>
      </c>
      <c r="H33" s="154">
        <f t="shared" si="0"/>
        <v>3301.2</v>
      </c>
      <c r="I33" s="402">
        <f t="shared" si="3"/>
        <v>14528581</v>
      </c>
      <c r="K33" s="363">
        <f>'1.2 Budgeted Enrollment YR1'!K24</f>
        <v>1294</v>
      </c>
      <c r="L33" s="154">
        <f t="shared" si="1"/>
        <v>1131.8399999999999</v>
      </c>
      <c r="M33" s="402">
        <f t="shared" si="4"/>
        <v>1464601</v>
      </c>
    </row>
    <row r="34" spans="1:13" s="4" customFormat="1" x14ac:dyDescent="0.3">
      <c r="A34" s="9"/>
      <c r="B34" s="128" t="str">
        <f>'1.2 Budgeted Enrollment YR1'!E25</f>
        <v>White Pine</v>
      </c>
      <c r="C34" s="364">
        <f>'1.2 Budgeted Enrollment YR1'!I25</f>
        <v>15</v>
      </c>
      <c r="D34" s="148">
        <f t="shared" si="5"/>
        <v>4244.4000000000005</v>
      </c>
      <c r="E34" s="403">
        <f t="shared" si="2"/>
        <v>63666</v>
      </c>
      <c r="F34" s="9"/>
      <c r="G34" s="364">
        <f>'1.2 Budgeted Enrollment YR1'!J25</f>
        <v>120</v>
      </c>
      <c r="H34" s="148">
        <f t="shared" si="0"/>
        <v>3301.2</v>
      </c>
      <c r="I34" s="403">
        <f t="shared" si="3"/>
        <v>396144</v>
      </c>
      <c r="J34" s="9"/>
      <c r="K34" s="364">
        <f>'1.2 Budgeted Enrollment YR1'!K25</f>
        <v>0</v>
      </c>
      <c r="L34" s="148">
        <f t="shared" si="1"/>
        <v>1131.8399999999999</v>
      </c>
      <c r="M34" s="403">
        <f t="shared" si="4"/>
        <v>0</v>
      </c>
    </row>
    <row r="35" spans="1:13" x14ac:dyDescent="0.3">
      <c r="B35" s="112" t="str">
        <f>'1.2 Budgeted Enrollment YR1'!E26</f>
        <v>Charter Schools</v>
      </c>
      <c r="C35" s="363">
        <f>C104</f>
        <v>6384</v>
      </c>
      <c r="D35" s="62">
        <f>D104</f>
        <v>4244.4000000000005</v>
      </c>
      <c r="E35" s="610">
        <f t="shared" ref="E35" si="6">E104</f>
        <v>27096252</v>
      </c>
      <c r="G35" s="363">
        <f t="shared" ref="G35:I35" si="7">G104</f>
        <v>2007</v>
      </c>
      <c r="H35" s="154">
        <f t="shared" si="7"/>
        <v>3301.2</v>
      </c>
      <c r="I35" s="402">
        <f t="shared" si="7"/>
        <v>6625505</v>
      </c>
      <c r="K35" s="363">
        <f t="shared" ref="K35:M35" si="8">K104</f>
        <v>1491</v>
      </c>
      <c r="L35" s="154">
        <f t="shared" si="8"/>
        <v>1131.8399999999999</v>
      </c>
      <c r="M35" s="402">
        <f t="shared" si="8"/>
        <v>1687574</v>
      </c>
    </row>
    <row r="36" spans="1:13" x14ac:dyDescent="0.3">
      <c r="B36" s="112" t="str">
        <f>'1.2 Budgeted Enrollment YR1'!E27</f>
        <v>University Schools</v>
      </c>
      <c r="C36" s="363">
        <f>C109</f>
        <v>0</v>
      </c>
      <c r="D36" s="62">
        <f t="shared" ref="D36:E36" si="9">D109</f>
        <v>4244.4000000000005</v>
      </c>
      <c r="E36" s="610">
        <f t="shared" si="9"/>
        <v>0</v>
      </c>
      <c r="G36" s="363">
        <f t="shared" ref="G36:I36" si="10">G109</f>
        <v>0</v>
      </c>
      <c r="H36" s="154">
        <f t="shared" si="10"/>
        <v>3301.2</v>
      </c>
      <c r="I36" s="402">
        <f t="shared" si="10"/>
        <v>0</v>
      </c>
      <c r="K36" s="363">
        <f t="shared" ref="K36:M36" si="11">K109</f>
        <v>0</v>
      </c>
      <c r="L36" s="154">
        <f t="shared" si="11"/>
        <v>1131.8399999999999</v>
      </c>
      <c r="M36" s="402">
        <f t="shared" si="11"/>
        <v>0</v>
      </c>
    </row>
    <row r="37" spans="1:13" x14ac:dyDescent="0.3">
      <c r="B37" s="112" t="str">
        <f>'1.2 Budgeted Enrollment YR1'!E28</f>
        <v>City of Henderson</v>
      </c>
      <c r="C37" s="363">
        <f>C114</f>
        <v>0</v>
      </c>
      <c r="D37" s="62">
        <f t="shared" ref="D37:E37" si="12">D114</f>
        <v>4244.4000000000005</v>
      </c>
      <c r="E37" s="610">
        <f t="shared" si="12"/>
        <v>0</v>
      </c>
      <c r="G37" s="363">
        <f t="shared" ref="G37:I37" si="13">G114</f>
        <v>0</v>
      </c>
      <c r="H37" s="154">
        <f t="shared" si="13"/>
        <v>3301.2</v>
      </c>
      <c r="I37" s="402">
        <f t="shared" si="13"/>
        <v>0</v>
      </c>
      <c r="K37" s="363">
        <f t="shared" ref="K37:M37" si="14">K114</f>
        <v>0</v>
      </c>
      <c r="L37" s="154">
        <f t="shared" si="14"/>
        <v>1131.8399999999999</v>
      </c>
      <c r="M37" s="402">
        <f t="shared" si="14"/>
        <v>0</v>
      </c>
    </row>
    <row r="38" spans="1:13" x14ac:dyDescent="0.3">
      <c r="B38" s="112" t="str">
        <f>'1.2 Budgeted Enrollment YR1'!E29</f>
        <v>City of North Las Vegas</v>
      </c>
      <c r="C38" s="363">
        <f>C119</f>
        <v>0</v>
      </c>
      <c r="D38" s="62">
        <f t="shared" ref="D38:E38" si="15">D119</f>
        <v>4244.4000000000005</v>
      </c>
      <c r="E38" s="610">
        <f t="shared" si="15"/>
        <v>0</v>
      </c>
      <c r="G38" s="363">
        <f t="shared" ref="G38:I38" si="16">G119</f>
        <v>0</v>
      </c>
      <c r="H38" s="154">
        <f t="shared" si="16"/>
        <v>3301.2</v>
      </c>
      <c r="I38" s="402">
        <f t="shared" si="16"/>
        <v>0</v>
      </c>
      <c r="K38" s="363">
        <f t="shared" ref="K38:M38" si="17">K119</f>
        <v>0</v>
      </c>
      <c r="L38" s="154">
        <f t="shared" si="17"/>
        <v>1131.8399999999999</v>
      </c>
      <c r="M38" s="402">
        <f t="shared" si="17"/>
        <v>0</v>
      </c>
    </row>
    <row r="39" spans="1:13" x14ac:dyDescent="0.3">
      <c r="A39" s="4"/>
      <c r="B39" s="291" t="s">
        <v>1354</v>
      </c>
      <c r="C39" s="404">
        <f>SUM(C18:C38)</f>
        <v>54923</v>
      </c>
      <c r="D39" s="292">
        <f>D38</f>
        <v>4244.4000000000005</v>
      </c>
      <c r="E39" s="1827">
        <f>SUM(E18:E38)</f>
        <v>233115184</v>
      </c>
      <c r="F39" s="4"/>
      <c r="G39" s="404">
        <f>SUM(G18:G38)</f>
        <v>50074</v>
      </c>
      <c r="H39" s="292">
        <f>H38</f>
        <v>3301.2</v>
      </c>
      <c r="I39" s="1827">
        <f>SUM(I18:I38)</f>
        <v>165304285</v>
      </c>
      <c r="J39" s="4"/>
      <c r="K39" s="404">
        <f>SUM(K18:K38)</f>
        <v>8722</v>
      </c>
      <c r="L39" s="292">
        <f>L38</f>
        <v>1131.8399999999999</v>
      </c>
      <c r="M39" s="1827">
        <f>SUM(M18:M38)</f>
        <v>9871908</v>
      </c>
    </row>
    <row r="40" spans="1:13" x14ac:dyDescent="0.3">
      <c r="C40" s="673">
        <f>C39-'1.2 Budgeted Enrollment YR1'!I30</f>
        <v>0</v>
      </c>
      <c r="D40" s="108"/>
      <c r="E40" s="100"/>
      <c r="G40" s="673">
        <f>G39-'1.2 Budgeted Enrollment YR1'!J30</f>
        <v>0</v>
      </c>
      <c r="H40" s="108"/>
      <c r="I40" s="100"/>
      <c r="K40" s="673">
        <f>K39-'1.2 Budgeted Enrollment YR1'!K30</f>
        <v>0</v>
      </c>
      <c r="L40" s="108"/>
      <c r="M40" s="100"/>
    </row>
    <row r="41" spans="1:13" x14ac:dyDescent="0.3">
      <c r="A41" s="135" t="s">
        <v>305</v>
      </c>
      <c r="B41" s="137"/>
      <c r="C41" s="142"/>
      <c r="D41" s="137"/>
      <c r="E41" s="100"/>
      <c r="G41" s="142"/>
      <c r="H41" s="137"/>
      <c r="I41" s="100"/>
      <c r="K41" s="142"/>
      <c r="L41" s="137"/>
      <c r="M41" s="100"/>
    </row>
    <row r="42" spans="1:13" x14ac:dyDescent="0.3">
      <c r="B42" s="9" t="str">
        <f>'1.2 Budgeted Enrollment YR1'!E34</f>
        <v>FuturEdge (Formerly 100 Academy Of Excellence)</v>
      </c>
      <c r="C42" s="472">
        <f>'1.2 Budgeted Enrollment YR1'!I34</f>
        <v>27</v>
      </c>
      <c r="D42" s="475">
        <f t="shared" ref="D42:D103" si="18">$D$10</f>
        <v>4244.4000000000005</v>
      </c>
      <c r="E42" s="2011">
        <f>ROUND(C42*D42,0)</f>
        <v>114599</v>
      </c>
      <c r="G42" s="472">
        <f>'1.2 Budgeted Enrollment YR1'!J34</f>
        <v>79</v>
      </c>
      <c r="H42" s="475">
        <f t="shared" ref="H42:H103" si="19">$H$10</f>
        <v>3301.2</v>
      </c>
      <c r="I42" s="2011">
        <f>ROUND(G42*H42,0)</f>
        <v>260795</v>
      </c>
      <c r="K42" s="472">
        <f>'1.2 Budgeted Enrollment YR1'!K34</f>
        <v>0</v>
      </c>
      <c r="L42" s="475">
        <f t="shared" ref="L42:L103" si="20">$L$10</f>
        <v>1131.8399999999999</v>
      </c>
      <c r="M42" s="2011">
        <f>ROUND(K42*L42,0)</f>
        <v>0</v>
      </c>
    </row>
    <row r="43" spans="1:13" x14ac:dyDescent="0.3">
      <c r="B43" s="9" t="str">
        <f>'1.2 Budgeted Enrollment YR1'!E35</f>
        <v>Academy For Career Education</v>
      </c>
      <c r="C43" s="363">
        <f>'1.2 Budgeted Enrollment YR1'!I35</f>
        <v>27</v>
      </c>
      <c r="D43" s="154">
        <f t="shared" si="18"/>
        <v>4244.4000000000005</v>
      </c>
      <c r="E43" s="375">
        <f t="shared" ref="E43:E103" si="21">ROUND(C43*D43,0)</f>
        <v>114599</v>
      </c>
      <c r="G43" s="363">
        <f>'1.2 Budgeted Enrollment YR1'!J35</f>
        <v>4</v>
      </c>
      <c r="H43" s="154">
        <f t="shared" si="19"/>
        <v>3301.2</v>
      </c>
      <c r="I43" s="375">
        <f t="shared" ref="I43:I103" si="22">ROUND(G43*H43,0)</f>
        <v>13205</v>
      </c>
      <c r="K43" s="363">
        <f>'1.2 Budgeted Enrollment YR1'!K35</f>
        <v>0</v>
      </c>
      <c r="L43" s="154">
        <f t="shared" si="20"/>
        <v>1131.8399999999999</v>
      </c>
      <c r="M43" s="375">
        <f t="shared" ref="M43:M103" si="23">ROUND(K43*L43,0)</f>
        <v>0</v>
      </c>
    </row>
    <row r="44" spans="1:13" x14ac:dyDescent="0.3">
      <c r="B44" s="9" t="str">
        <f>'1.2 Budgeted Enrollment YR1'!E36</f>
        <v xml:space="preserve">Alpine Academy </v>
      </c>
      <c r="C44" s="363">
        <f>'1.2 Budgeted Enrollment YR1'!I36</f>
        <v>5</v>
      </c>
      <c r="D44" s="154">
        <f t="shared" si="18"/>
        <v>4244.4000000000005</v>
      </c>
      <c r="E44" s="375">
        <f t="shared" si="21"/>
        <v>21222</v>
      </c>
      <c r="G44" s="363">
        <f>'1.2 Budgeted Enrollment YR1'!J36</f>
        <v>8</v>
      </c>
      <c r="H44" s="154">
        <f t="shared" si="19"/>
        <v>3301.2</v>
      </c>
      <c r="I44" s="375">
        <f t="shared" si="22"/>
        <v>26410</v>
      </c>
      <c r="K44" s="363">
        <f>'1.2 Budgeted Enrollment YR1'!K36</f>
        <v>0</v>
      </c>
      <c r="L44" s="154">
        <f t="shared" si="20"/>
        <v>1131.8399999999999</v>
      </c>
      <c r="M44" s="375">
        <f t="shared" si="23"/>
        <v>0</v>
      </c>
    </row>
    <row r="45" spans="1:13" x14ac:dyDescent="0.3">
      <c r="B45" s="9" t="str">
        <f>'1.2 Budgeted Enrollment YR1'!E37</f>
        <v xml:space="preserve">Amplus (Formerly American Preparatory Academy) </v>
      </c>
      <c r="C45" s="363">
        <f>'1.2 Budgeted Enrollment YR1'!I37</f>
        <v>149</v>
      </c>
      <c r="D45" s="154">
        <f t="shared" si="18"/>
        <v>4244.4000000000005</v>
      </c>
      <c r="E45" s="375">
        <f t="shared" si="21"/>
        <v>632416</v>
      </c>
      <c r="G45" s="363">
        <f>'1.2 Budgeted Enrollment YR1'!J37</f>
        <v>9</v>
      </c>
      <c r="H45" s="154">
        <f t="shared" si="19"/>
        <v>3301.2</v>
      </c>
      <c r="I45" s="375">
        <f t="shared" si="22"/>
        <v>29711</v>
      </c>
      <c r="K45" s="363">
        <f>'1.2 Budgeted Enrollment YR1'!K37</f>
        <v>59</v>
      </c>
      <c r="L45" s="154">
        <f t="shared" si="20"/>
        <v>1131.8399999999999</v>
      </c>
      <c r="M45" s="375">
        <f t="shared" si="23"/>
        <v>66779</v>
      </c>
    </row>
    <row r="46" spans="1:13" x14ac:dyDescent="0.3">
      <c r="B46" s="9" t="str">
        <f>'1.2 Budgeted Enrollment YR1'!E38</f>
        <v>Bailey Charter School</v>
      </c>
      <c r="C46" s="363">
        <f>'1.2 Budgeted Enrollment YR1'!I38</f>
        <v>65</v>
      </c>
      <c r="D46" s="154">
        <f t="shared" si="18"/>
        <v>4244.4000000000005</v>
      </c>
      <c r="E46" s="375">
        <f t="shared" si="21"/>
        <v>275886</v>
      </c>
      <c r="G46" s="363">
        <f>'1.2 Budgeted Enrollment YR1'!J38</f>
        <v>31</v>
      </c>
      <c r="H46" s="154">
        <f t="shared" si="19"/>
        <v>3301.2</v>
      </c>
      <c r="I46" s="375">
        <f t="shared" si="22"/>
        <v>102337</v>
      </c>
      <c r="K46" s="363">
        <f>'1.2 Budgeted Enrollment YR1'!K38</f>
        <v>0</v>
      </c>
      <c r="L46" s="154">
        <f t="shared" si="20"/>
        <v>1131.8399999999999</v>
      </c>
      <c r="M46" s="375">
        <f t="shared" si="23"/>
        <v>0</v>
      </c>
    </row>
    <row r="47" spans="1:13" x14ac:dyDescent="0.3">
      <c r="B47" s="9" t="str">
        <f>'1.2 Budgeted Enrollment YR1'!E39</f>
        <v>Battle Born Academy</v>
      </c>
      <c r="C47" s="363">
        <f>'1.2 Budgeted Enrollment YR1'!I39</f>
        <v>141</v>
      </c>
      <c r="D47" s="154">
        <f t="shared" si="18"/>
        <v>4244.4000000000005</v>
      </c>
      <c r="E47" s="375">
        <f t="shared" si="21"/>
        <v>598460</v>
      </c>
      <c r="G47" s="363">
        <f>'1.2 Budgeted Enrollment YR1'!J39</f>
        <v>0</v>
      </c>
      <c r="H47" s="154">
        <f t="shared" si="19"/>
        <v>3301.2</v>
      </c>
      <c r="I47" s="375">
        <f t="shared" si="22"/>
        <v>0</v>
      </c>
      <c r="K47" s="363">
        <f>'1.2 Budgeted Enrollment YR1'!K39</f>
        <v>0</v>
      </c>
      <c r="L47" s="154">
        <f t="shared" si="20"/>
        <v>1131.8399999999999</v>
      </c>
      <c r="M47" s="375">
        <f t="shared" si="23"/>
        <v>0</v>
      </c>
    </row>
    <row r="48" spans="1:13" x14ac:dyDescent="0.3">
      <c r="B48" s="9" t="str">
        <f>'1.2 Budgeted Enrollment YR1'!E40</f>
        <v>Beacon Academy</v>
      </c>
      <c r="C48" s="363">
        <f>'1.2 Budgeted Enrollment YR1'!I40</f>
        <v>123</v>
      </c>
      <c r="D48" s="154">
        <f t="shared" si="18"/>
        <v>4244.4000000000005</v>
      </c>
      <c r="E48" s="375">
        <f t="shared" si="21"/>
        <v>522061</v>
      </c>
      <c r="G48" s="363">
        <f>'1.2 Budgeted Enrollment YR1'!J40</f>
        <v>261</v>
      </c>
      <c r="H48" s="154">
        <f t="shared" si="19"/>
        <v>3301.2</v>
      </c>
      <c r="I48" s="375">
        <f t="shared" si="22"/>
        <v>861613</v>
      </c>
      <c r="K48" s="363">
        <f>'1.2 Budgeted Enrollment YR1'!K40</f>
        <v>0</v>
      </c>
      <c r="L48" s="154">
        <f t="shared" si="20"/>
        <v>1131.8399999999999</v>
      </c>
      <c r="M48" s="375">
        <f t="shared" si="23"/>
        <v>0</v>
      </c>
    </row>
    <row r="49" spans="1:14" x14ac:dyDescent="0.3">
      <c r="B49" s="9" t="str">
        <f>'1.2 Budgeted Enrollment YR1'!E41</f>
        <v>Cactus Park</v>
      </c>
      <c r="C49" s="363">
        <f>'1.2 Budgeted Enrollment YR1'!I41</f>
        <v>64</v>
      </c>
      <c r="D49" s="154">
        <f t="shared" si="18"/>
        <v>4244.4000000000005</v>
      </c>
      <c r="E49" s="375">
        <f t="shared" si="21"/>
        <v>271642</v>
      </c>
      <c r="G49" s="363">
        <f>'1.2 Budgeted Enrollment YR1'!J41</f>
        <v>0</v>
      </c>
      <c r="H49" s="154">
        <f t="shared" si="19"/>
        <v>3301.2</v>
      </c>
      <c r="I49" s="375">
        <f t="shared" si="22"/>
        <v>0</v>
      </c>
      <c r="K49" s="363">
        <f>'1.2 Budgeted Enrollment YR1'!K41</f>
        <v>0</v>
      </c>
      <c r="L49" s="154">
        <f t="shared" si="20"/>
        <v>1131.8399999999999</v>
      </c>
      <c r="M49" s="375">
        <f t="shared" si="23"/>
        <v>0</v>
      </c>
    </row>
    <row r="50" spans="1:14" x14ac:dyDescent="0.3">
      <c r="B50" s="9" t="str">
        <f>'1.2 Budgeted Enrollment YR1'!E42</f>
        <v>Carson Montessori</v>
      </c>
      <c r="C50" s="363">
        <f>'1.2 Budgeted Enrollment YR1'!I42</f>
        <v>5</v>
      </c>
      <c r="D50" s="154">
        <f t="shared" si="18"/>
        <v>4244.4000000000005</v>
      </c>
      <c r="E50" s="375">
        <f t="shared" si="21"/>
        <v>21222</v>
      </c>
      <c r="G50" s="363">
        <f>'1.2 Budgeted Enrollment YR1'!J42</f>
        <v>1</v>
      </c>
      <c r="H50" s="154">
        <f t="shared" si="19"/>
        <v>3301.2</v>
      </c>
      <c r="I50" s="375">
        <f t="shared" si="22"/>
        <v>3301</v>
      </c>
      <c r="K50" s="363">
        <f>'1.2 Budgeted Enrollment YR1'!K42</f>
        <v>1</v>
      </c>
      <c r="L50" s="154">
        <f t="shared" si="20"/>
        <v>1131.8399999999999</v>
      </c>
      <c r="M50" s="375">
        <f t="shared" si="23"/>
        <v>1132</v>
      </c>
    </row>
    <row r="51" spans="1:14" x14ac:dyDescent="0.3">
      <c r="B51" s="9" t="str">
        <f>'1.2 Budgeted Enrollment YR1'!E43</f>
        <v>CIVICA Nevada Career &amp; Collegiate Academy</v>
      </c>
      <c r="C51" s="363">
        <f>'1.2 Budgeted Enrollment YR1'!I43</f>
        <v>338</v>
      </c>
      <c r="D51" s="154">
        <f t="shared" si="18"/>
        <v>4244.4000000000005</v>
      </c>
      <c r="E51" s="375">
        <f t="shared" si="21"/>
        <v>1434607</v>
      </c>
      <c r="G51" s="363">
        <f>'1.2 Budgeted Enrollment YR1'!J43</f>
        <v>5</v>
      </c>
      <c r="H51" s="154">
        <f t="shared" si="19"/>
        <v>3301.2</v>
      </c>
      <c r="I51" s="375">
        <f t="shared" si="22"/>
        <v>16506</v>
      </c>
      <c r="K51" s="363">
        <f>'1.2 Budgeted Enrollment YR1'!K43</f>
        <v>0</v>
      </c>
      <c r="L51" s="154">
        <f t="shared" si="20"/>
        <v>1131.8399999999999</v>
      </c>
      <c r="M51" s="375">
        <f t="shared" si="23"/>
        <v>0</v>
      </c>
    </row>
    <row r="52" spans="1:14" x14ac:dyDescent="0.3">
      <c r="B52" s="9" t="str">
        <f>'1.2 Budgeted Enrollment YR1'!E44</f>
        <v>Coral Academy of Science Las Vegas</v>
      </c>
      <c r="C52" s="363">
        <f>'1.2 Budgeted Enrollment YR1'!I44</f>
        <v>264</v>
      </c>
      <c r="D52" s="154">
        <f t="shared" si="18"/>
        <v>4244.4000000000005</v>
      </c>
      <c r="E52" s="375">
        <f t="shared" si="21"/>
        <v>1120522</v>
      </c>
      <c r="G52" s="363">
        <f>'1.2 Budgeted Enrollment YR1'!J44</f>
        <v>17</v>
      </c>
      <c r="H52" s="154">
        <f t="shared" si="19"/>
        <v>3301.2</v>
      </c>
      <c r="I52" s="375">
        <f t="shared" si="22"/>
        <v>56120</v>
      </c>
      <c r="K52" s="363">
        <f>'1.2 Budgeted Enrollment YR1'!K44</f>
        <v>61</v>
      </c>
      <c r="L52" s="154">
        <f t="shared" si="20"/>
        <v>1131.8399999999999</v>
      </c>
      <c r="M52" s="375">
        <f t="shared" si="23"/>
        <v>69042</v>
      </c>
    </row>
    <row r="53" spans="1:14" x14ac:dyDescent="0.3">
      <c r="B53" s="9" t="str">
        <f>'1.2 Budgeted Enrollment YR1'!E45</f>
        <v>Coral Academy Washoe</v>
      </c>
      <c r="C53" s="363">
        <f>'1.2 Budgeted Enrollment YR1'!I45</f>
        <v>162</v>
      </c>
      <c r="D53" s="154">
        <f t="shared" si="18"/>
        <v>4244.4000000000005</v>
      </c>
      <c r="E53" s="375">
        <f t="shared" si="21"/>
        <v>687593</v>
      </c>
      <c r="G53" s="363">
        <f>'1.2 Budgeted Enrollment YR1'!J45</f>
        <v>42</v>
      </c>
      <c r="H53" s="154">
        <f t="shared" si="19"/>
        <v>3301.2</v>
      </c>
      <c r="I53" s="375">
        <f t="shared" si="22"/>
        <v>138650</v>
      </c>
      <c r="K53" s="363">
        <f>'1.2 Budgeted Enrollment YR1'!K45</f>
        <v>1</v>
      </c>
      <c r="L53" s="154">
        <f t="shared" si="20"/>
        <v>1131.8399999999999</v>
      </c>
      <c r="M53" s="375">
        <f t="shared" si="23"/>
        <v>1132</v>
      </c>
    </row>
    <row r="54" spans="1:14" x14ac:dyDescent="0.3">
      <c r="B54" s="9" t="str">
        <f>'1.2 Budgeted Enrollment YR1'!E46</f>
        <v>Delta Academy</v>
      </c>
      <c r="C54" s="363">
        <f>'1.2 Budgeted Enrollment YR1'!I46</f>
        <v>104</v>
      </c>
      <c r="D54" s="154">
        <f t="shared" si="18"/>
        <v>4244.4000000000005</v>
      </c>
      <c r="E54" s="375">
        <f t="shared" si="21"/>
        <v>441418</v>
      </c>
      <c r="G54" s="363">
        <f>'1.2 Budgeted Enrollment YR1'!J46</f>
        <v>315</v>
      </c>
      <c r="H54" s="154">
        <f t="shared" si="19"/>
        <v>3301.2</v>
      </c>
      <c r="I54" s="375">
        <f t="shared" si="22"/>
        <v>1039878</v>
      </c>
      <c r="K54" s="363">
        <f>'1.2 Budgeted Enrollment YR1'!K46</f>
        <v>0</v>
      </c>
      <c r="L54" s="154">
        <f t="shared" si="20"/>
        <v>1131.8399999999999</v>
      </c>
      <c r="M54" s="375">
        <f t="shared" si="23"/>
        <v>0</v>
      </c>
    </row>
    <row r="55" spans="1:14" s="19" customFormat="1" x14ac:dyDescent="0.3">
      <c r="A55" s="9"/>
      <c r="B55" s="9" t="str">
        <f>'1.2 Budgeted Enrollment YR1'!E47</f>
        <v>Democracy Prep</v>
      </c>
      <c r="C55" s="363">
        <f>'1.2 Budgeted Enrollment YR1'!I47</f>
        <v>104</v>
      </c>
      <c r="D55" s="154">
        <f t="shared" si="18"/>
        <v>4244.4000000000005</v>
      </c>
      <c r="E55" s="375">
        <f t="shared" si="21"/>
        <v>441418</v>
      </c>
      <c r="F55" s="9"/>
      <c r="G55" s="363">
        <f>'1.2 Budgeted Enrollment YR1'!J47</f>
        <v>177</v>
      </c>
      <c r="H55" s="154">
        <f t="shared" si="19"/>
        <v>3301.2</v>
      </c>
      <c r="I55" s="375">
        <f t="shared" si="22"/>
        <v>584312</v>
      </c>
      <c r="J55" s="9"/>
      <c r="K55" s="363">
        <f>'1.2 Budgeted Enrollment YR1'!K47</f>
        <v>0</v>
      </c>
      <c r="L55" s="154">
        <f t="shared" si="20"/>
        <v>1131.8399999999999</v>
      </c>
      <c r="M55" s="375">
        <f t="shared" si="23"/>
        <v>0</v>
      </c>
    </row>
    <row r="56" spans="1:14" x14ac:dyDescent="0.3">
      <c r="B56" s="9" t="str">
        <f>'1.2 Budgeted Enrollment YR1'!E48</f>
        <v>Discovery Charter</v>
      </c>
      <c r="C56" s="363">
        <f>'1.2 Budgeted Enrollment YR1'!I48</f>
        <v>55</v>
      </c>
      <c r="D56" s="154">
        <f t="shared" si="18"/>
        <v>4244.4000000000005</v>
      </c>
      <c r="E56" s="375">
        <f t="shared" si="21"/>
        <v>233442</v>
      </c>
      <c r="G56" s="363">
        <f>'1.2 Budgeted Enrollment YR1'!J48</f>
        <v>3</v>
      </c>
      <c r="H56" s="154">
        <f t="shared" si="19"/>
        <v>3301.2</v>
      </c>
      <c r="I56" s="375">
        <f t="shared" si="22"/>
        <v>9904</v>
      </c>
      <c r="K56" s="363">
        <f>'1.2 Budgeted Enrollment YR1'!K48</f>
        <v>0</v>
      </c>
      <c r="L56" s="154">
        <f t="shared" si="20"/>
        <v>1131.8399999999999</v>
      </c>
      <c r="M56" s="375">
        <f t="shared" si="23"/>
        <v>0</v>
      </c>
    </row>
    <row r="57" spans="1:14" x14ac:dyDescent="0.3">
      <c r="A57" s="19"/>
      <c r="B57" s="9" t="str">
        <f>'1.2 Budgeted Enrollment YR1'!E49</f>
        <v>Do and Be Academy of Excellence</v>
      </c>
      <c r="C57" s="363">
        <f>'1.2 Budgeted Enrollment YR1'!I49</f>
        <v>0</v>
      </c>
      <c r="D57" s="154">
        <f t="shared" si="18"/>
        <v>4244.4000000000005</v>
      </c>
      <c r="E57" s="375">
        <f t="shared" si="21"/>
        <v>0</v>
      </c>
      <c r="G57" s="363">
        <f>'1.2 Budgeted Enrollment YR1'!J49</f>
        <v>0</v>
      </c>
      <c r="H57" s="154">
        <f t="shared" si="19"/>
        <v>3301.2</v>
      </c>
      <c r="I57" s="375">
        <f t="shared" si="22"/>
        <v>0</v>
      </c>
      <c r="K57" s="363">
        <f>'1.2 Budgeted Enrollment YR1'!K49</f>
        <v>0</v>
      </c>
      <c r="L57" s="154">
        <f t="shared" si="20"/>
        <v>1131.8399999999999</v>
      </c>
      <c r="M57" s="375">
        <f t="shared" si="23"/>
        <v>0</v>
      </c>
      <c r="N57" s="9" t="s">
        <v>370</v>
      </c>
    </row>
    <row r="58" spans="1:14" x14ac:dyDescent="0.3">
      <c r="A58" s="19"/>
      <c r="B58" s="9" t="str">
        <f>'1.2 Budgeted Enrollment YR1'!E50</f>
        <v>Doral Academy</v>
      </c>
      <c r="C58" s="363">
        <f>'1.2 Budgeted Enrollment YR1'!I50</f>
        <v>232</v>
      </c>
      <c r="D58" s="154">
        <f t="shared" si="18"/>
        <v>4244.4000000000005</v>
      </c>
      <c r="E58" s="375">
        <f t="shared" si="21"/>
        <v>984701</v>
      </c>
      <c r="G58" s="363">
        <f>'1.2 Budgeted Enrollment YR1'!J50</f>
        <v>7</v>
      </c>
      <c r="H58" s="154">
        <f t="shared" si="19"/>
        <v>3301.2</v>
      </c>
      <c r="I58" s="375">
        <f t="shared" si="22"/>
        <v>23108</v>
      </c>
      <c r="K58" s="363">
        <f>'1.2 Budgeted Enrollment YR1'!K50</f>
        <v>330</v>
      </c>
      <c r="L58" s="154">
        <f t="shared" si="20"/>
        <v>1131.8399999999999</v>
      </c>
      <c r="M58" s="375">
        <f t="shared" si="23"/>
        <v>373507</v>
      </c>
    </row>
    <row r="59" spans="1:14" x14ac:dyDescent="0.3">
      <c r="B59" s="9" t="str">
        <f>'1.2 Budgeted Enrollment YR1'!E51</f>
        <v>Doral Academy of Northern Nevada</v>
      </c>
      <c r="C59" s="363">
        <f>'1.2 Budgeted Enrollment YR1'!I51</f>
        <v>10</v>
      </c>
      <c r="D59" s="154">
        <f t="shared" si="18"/>
        <v>4244.4000000000005</v>
      </c>
      <c r="E59" s="375">
        <f t="shared" si="21"/>
        <v>42444</v>
      </c>
      <c r="G59" s="363">
        <f>'1.2 Budgeted Enrollment YR1'!J51</f>
        <v>0</v>
      </c>
      <c r="H59" s="154">
        <f t="shared" si="19"/>
        <v>3301.2</v>
      </c>
      <c r="I59" s="375">
        <f t="shared" si="22"/>
        <v>0</v>
      </c>
      <c r="K59" s="363">
        <f>'1.2 Budgeted Enrollment YR1'!K51</f>
        <v>79</v>
      </c>
      <c r="L59" s="154">
        <f t="shared" si="20"/>
        <v>1131.8399999999999</v>
      </c>
      <c r="M59" s="375">
        <f t="shared" si="23"/>
        <v>89415</v>
      </c>
    </row>
    <row r="60" spans="1:14" x14ac:dyDescent="0.3">
      <c r="B60" s="9" t="str">
        <f>'1.2 Budgeted Enrollment YR1'!E52</f>
        <v>Eagle Charter School (CLOSED)</v>
      </c>
      <c r="C60" s="363">
        <f>'1.2 Budgeted Enrollment YR1'!I52</f>
        <v>0</v>
      </c>
      <c r="D60" s="154">
        <f t="shared" si="18"/>
        <v>4244.4000000000005</v>
      </c>
      <c r="E60" s="375">
        <f t="shared" si="21"/>
        <v>0</v>
      </c>
      <c r="G60" s="363">
        <f>'1.2 Budgeted Enrollment YR1'!J52</f>
        <v>0</v>
      </c>
      <c r="H60" s="154">
        <f t="shared" si="19"/>
        <v>3301.2</v>
      </c>
      <c r="I60" s="375">
        <f t="shared" si="22"/>
        <v>0</v>
      </c>
      <c r="K60" s="363">
        <f>'1.2 Budgeted Enrollment YR1'!K52</f>
        <v>0</v>
      </c>
      <c r="L60" s="154">
        <f t="shared" si="20"/>
        <v>1131.8399999999999</v>
      </c>
      <c r="M60" s="375">
        <f t="shared" si="23"/>
        <v>0</v>
      </c>
    </row>
    <row r="61" spans="1:14" x14ac:dyDescent="0.3">
      <c r="B61" s="9" t="str">
        <f>'1.2 Budgeted Enrollment YR1'!E53</f>
        <v>Elko Institute for Academic Achievement</v>
      </c>
      <c r="C61" s="363">
        <f>'1.2 Budgeted Enrollment YR1'!I53</f>
        <v>8</v>
      </c>
      <c r="D61" s="154">
        <f t="shared" si="18"/>
        <v>4244.4000000000005</v>
      </c>
      <c r="E61" s="375">
        <f t="shared" si="21"/>
        <v>33955</v>
      </c>
      <c r="G61" s="363">
        <f>'1.2 Budgeted Enrollment YR1'!J53</f>
        <v>8</v>
      </c>
      <c r="H61" s="154">
        <f t="shared" si="19"/>
        <v>3301.2</v>
      </c>
      <c r="I61" s="375">
        <f t="shared" si="22"/>
        <v>26410</v>
      </c>
      <c r="K61" s="363">
        <f>'1.2 Budgeted Enrollment YR1'!K53</f>
        <v>0</v>
      </c>
      <c r="L61" s="154">
        <f t="shared" si="20"/>
        <v>1131.8399999999999</v>
      </c>
      <c r="M61" s="375">
        <f t="shared" si="23"/>
        <v>0</v>
      </c>
    </row>
    <row r="62" spans="1:14" x14ac:dyDescent="0.3">
      <c r="B62" s="9" t="str">
        <f>'1.2 Budgeted Enrollment YR1'!E54</f>
        <v>enCompass Academy</v>
      </c>
      <c r="C62" s="363">
        <f>'1.2 Budgeted Enrollment YR1'!I54</f>
        <v>15</v>
      </c>
      <c r="D62" s="154">
        <f t="shared" si="18"/>
        <v>4244.4000000000005</v>
      </c>
      <c r="E62" s="375">
        <f t="shared" si="21"/>
        <v>63666</v>
      </c>
      <c r="G62" s="363">
        <f>'1.2 Budgeted Enrollment YR1'!J54</f>
        <v>10</v>
      </c>
      <c r="H62" s="154">
        <f t="shared" si="19"/>
        <v>3301.2</v>
      </c>
      <c r="I62" s="375">
        <f t="shared" si="22"/>
        <v>33012</v>
      </c>
      <c r="K62" s="363">
        <f>'1.2 Budgeted Enrollment YR1'!K54</f>
        <v>0</v>
      </c>
      <c r="L62" s="154">
        <f t="shared" si="20"/>
        <v>1131.8399999999999</v>
      </c>
      <c r="M62" s="375">
        <f t="shared" si="23"/>
        <v>0</v>
      </c>
    </row>
    <row r="63" spans="1:14" x14ac:dyDescent="0.3">
      <c r="B63" s="9" t="str">
        <f>'1.2 Budgeted Enrollment YR1'!E55</f>
        <v>Equipo Academy</v>
      </c>
      <c r="C63" s="363">
        <f>'1.2 Budgeted Enrollment YR1'!I55</f>
        <v>249</v>
      </c>
      <c r="D63" s="154">
        <f t="shared" si="18"/>
        <v>4244.4000000000005</v>
      </c>
      <c r="E63" s="375">
        <f t="shared" si="21"/>
        <v>1056856</v>
      </c>
      <c r="G63" s="363">
        <f>'1.2 Budgeted Enrollment YR1'!J55</f>
        <v>22</v>
      </c>
      <c r="H63" s="154">
        <f t="shared" si="19"/>
        <v>3301.2</v>
      </c>
      <c r="I63" s="375">
        <f t="shared" si="22"/>
        <v>72626</v>
      </c>
      <c r="K63" s="363">
        <f>'1.2 Budgeted Enrollment YR1'!K55</f>
        <v>0</v>
      </c>
      <c r="L63" s="154">
        <f t="shared" si="20"/>
        <v>1131.8399999999999</v>
      </c>
      <c r="M63" s="375">
        <f t="shared" si="23"/>
        <v>0</v>
      </c>
    </row>
    <row r="64" spans="1:14" x14ac:dyDescent="0.3">
      <c r="B64" s="9" t="str">
        <f>'1.2 Budgeted Enrollment YR1'!E56</f>
        <v>Explore Academy</v>
      </c>
      <c r="C64" s="363">
        <f>'1.2 Budgeted Enrollment YR1'!I56</f>
        <v>41</v>
      </c>
      <c r="D64" s="154">
        <f t="shared" si="18"/>
        <v>4244.4000000000005</v>
      </c>
      <c r="E64" s="375">
        <f t="shared" si="21"/>
        <v>174020</v>
      </c>
      <c r="G64" s="363">
        <f>'1.2 Budgeted Enrollment YR1'!J56</f>
        <v>3</v>
      </c>
      <c r="H64" s="154">
        <f t="shared" si="19"/>
        <v>3301.2</v>
      </c>
      <c r="I64" s="375">
        <f t="shared" si="22"/>
        <v>9904</v>
      </c>
      <c r="K64" s="363">
        <f>'1.2 Budgeted Enrollment YR1'!K56</f>
        <v>0</v>
      </c>
      <c r="L64" s="154">
        <f t="shared" si="20"/>
        <v>1131.8399999999999</v>
      </c>
      <c r="M64" s="375">
        <f t="shared" si="23"/>
        <v>0</v>
      </c>
    </row>
    <row r="65" spans="2:13" x14ac:dyDescent="0.3">
      <c r="B65" s="9" t="str">
        <f>'1.2 Budgeted Enrollment YR1'!E57</f>
        <v>Explore Knowledge Academy</v>
      </c>
      <c r="C65" s="363">
        <f>'1.2 Budgeted Enrollment YR1'!I57</f>
        <v>47</v>
      </c>
      <c r="D65" s="154">
        <f t="shared" si="18"/>
        <v>4244.4000000000005</v>
      </c>
      <c r="E65" s="375">
        <f t="shared" si="21"/>
        <v>199487</v>
      </c>
      <c r="G65" s="363">
        <f>'1.2 Budgeted Enrollment YR1'!J57</f>
        <v>21</v>
      </c>
      <c r="H65" s="154">
        <f t="shared" si="19"/>
        <v>3301.2</v>
      </c>
      <c r="I65" s="375">
        <f t="shared" si="22"/>
        <v>69325</v>
      </c>
      <c r="K65" s="363">
        <f>'1.2 Budgeted Enrollment YR1'!K57</f>
        <v>0</v>
      </c>
      <c r="L65" s="154">
        <f t="shared" si="20"/>
        <v>1131.8399999999999</v>
      </c>
      <c r="M65" s="375">
        <f t="shared" si="23"/>
        <v>0</v>
      </c>
    </row>
    <row r="66" spans="2:13" x14ac:dyDescent="0.3">
      <c r="B66" s="9" t="str">
        <f>'1.2 Budgeted Enrollment YR1'!E58</f>
        <v>Founders Academy of Las Vegas</v>
      </c>
      <c r="C66" s="363">
        <f>'1.2 Budgeted Enrollment YR1'!I58</f>
        <v>86</v>
      </c>
      <c r="D66" s="154">
        <f t="shared" si="18"/>
        <v>4244.4000000000005</v>
      </c>
      <c r="E66" s="375">
        <f t="shared" si="21"/>
        <v>365018</v>
      </c>
      <c r="G66" s="363">
        <f>'1.2 Budgeted Enrollment YR1'!J58</f>
        <v>8</v>
      </c>
      <c r="H66" s="154">
        <f t="shared" si="19"/>
        <v>3301.2</v>
      </c>
      <c r="I66" s="375">
        <f t="shared" si="22"/>
        <v>26410</v>
      </c>
      <c r="K66" s="363">
        <f>'1.2 Budgeted Enrollment YR1'!K58</f>
        <v>0</v>
      </c>
      <c r="L66" s="154">
        <f t="shared" si="20"/>
        <v>1131.8399999999999</v>
      </c>
      <c r="M66" s="375">
        <f t="shared" si="23"/>
        <v>0</v>
      </c>
    </row>
    <row r="67" spans="2:13" x14ac:dyDescent="0.3">
      <c r="B67" s="9" t="str">
        <f>'1.2 Budgeted Enrollment YR1'!E59</f>
        <v>Freedom Classical Academy</v>
      </c>
      <c r="C67" s="363">
        <f>'1.2 Budgeted Enrollment YR1'!I59</f>
        <v>137</v>
      </c>
      <c r="D67" s="154">
        <f t="shared" si="18"/>
        <v>4244.4000000000005</v>
      </c>
      <c r="E67" s="375">
        <f t="shared" si="21"/>
        <v>581483</v>
      </c>
      <c r="G67" s="363">
        <f>'1.2 Budgeted Enrollment YR1'!J59</f>
        <v>21</v>
      </c>
      <c r="H67" s="154">
        <f t="shared" si="19"/>
        <v>3301.2</v>
      </c>
      <c r="I67" s="375">
        <f t="shared" si="22"/>
        <v>69325</v>
      </c>
      <c r="K67" s="363">
        <f>'1.2 Budgeted Enrollment YR1'!K59</f>
        <v>48</v>
      </c>
      <c r="L67" s="154">
        <f t="shared" si="20"/>
        <v>1131.8399999999999</v>
      </c>
      <c r="M67" s="375">
        <f t="shared" si="23"/>
        <v>54328</v>
      </c>
    </row>
    <row r="68" spans="2:13" x14ac:dyDescent="0.3">
      <c r="B68" s="9" t="str">
        <f>'1.2 Budgeted Enrollment YR1'!E60</f>
        <v>Futuro Academy Elementary</v>
      </c>
      <c r="C68" s="363">
        <f>'1.2 Budgeted Enrollment YR1'!I60</f>
        <v>173</v>
      </c>
      <c r="D68" s="154">
        <f t="shared" si="18"/>
        <v>4244.4000000000005</v>
      </c>
      <c r="E68" s="375">
        <f t="shared" si="21"/>
        <v>734281</v>
      </c>
      <c r="G68" s="363">
        <f>'1.2 Budgeted Enrollment YR1'!J60</f>
        <v>0</v>
      </c>
      <c r="H68" s="154">
        <f t="shared" si="19"/>
        <v>3301.2</v>
      </c>
      <c r="I68" s="375">
        <f t="shared" si="22"/>
        <v>0</v>
      </c>
      <c r="K68" s="363">
        <f>'1.2 Budgeted Enrollment YR1'!K60</f>
        <v>0</v>
      </c>
      <c r="L68" s="154">
        <f t="shared" si="20"/>
        <v>1131.8399999999999</v>
      </c>
      <c r="M68" s="375">
        <f t="shared" si="23"/>
        <v>0</v>
      </c>
    </row>
    <row r="69" spans="2:13" x14ac:dyDescent="0.3">
      <c r="B69" s="9" t="str">
        <f>'1.2 Budgeted Enrollment YR1'!E61</f>
        <v>High Desert Montessori</v>
      </c>
      <c r="C69" s="363">
        <f>'1.2 Budgeted Enrollment YR1'!I61</f>
        <v>18</v>
      </c>
      <c r="D69" s="154">
        <f t="shared" si="18"/>
        <v>4244.4000000000005</v>
      </c>
      <c r="E69" s="375">
        <f t="shared" si="21"/>
        <v>76399</v>
      </c>
      <c r="G69" s="363">
        <f>'1.2 Budgeted Enrollment YR1'!J61</f>
        <v>16</v>
      </c>
      <c r="H69" s="154">
        <f t="shared" si="19"/>
        <v>3301.2</v>
      </c>
      <c r="I69" s="375">
        <f t="shared" si="22"/>
        <v>52819</v>
      </c>
      <c r="K69" s="363">
        <f>'1.2 Budgeted Enrollment YR1'!K61</f>
        <v>0</v>
      </c>
      <c r="L69" s="154">
        <f t="shared" si="20"/>
        <v>1131.8399999999999</v>
      </c>
      <c r="M69" s="375">
        <f t="shared" si="23"/>
        <v>0</v>
      </c>
    </row>
    <row r="70" spans="2:13" x14ac:dyDescent="0.3">
      <c r="B70" s="9" t="str">
        <f>'1.2 Budgeted Enrollment YR1'!E62</f>
        <v>Honors Academy of Literature</v>
      </c>
      <c r="C70" s="363">
        <f>'1.2 Budgeted Enrollment YR1'!I62</f>
        <v>2</v>
      </c>
      <c r="D70" s="154">
        <f t="shared" si="18"/>
        <v>4244.4000000000005</v>
      </c>
      <c r="E70" s="375">
        <f t="shared" si="21"/>
        <v>8489</v>
      </c>
      <c r="G70" s="363">
        <f>'1.2 Budgeted Enrollment YR1'!J62</f>
        <v>0</v>
      </c>
      <c r="H70" s="154">
        <f t="shared" si="19"/>
        <v>3301.2</v>
      </c>
      <c r="I70" s="375">
        <f t="shared" si="22"/>
        <v>0</v>
      </c>
      <c r="K70" s="363">
        <f>'1.2 Budgeted Enrollment YR1'!K62</f>
        <v>2</v>
      </c>
      <c r="L70" s="154">
        <f t="shared" si="20"/>
        <v>1131.8399999999999</v>
      </c>
      <c r="M70" s="375">
        <f t="shared" si="23"/>
        <v>2264</v>
      </c>
    </row>
    <row r="71" spans="2:13" x14ac:dyDescent="0.3">
      <c r="B71" s="9" t="str">
        <f>'1.2 Budgeted Enrollment YR1'!E63</f>
        <v>Imagine School Mountain View</v>
      </c>
      <c r="C71" s="363">
        <f>'1.2 Budgeted Enrollment YR1'!I63</f>
        <v>82</v>
      </c>
      <c r="D71" s="154">
        <f t="shared" si="18"/>
        <v>4244.4000000000005</v>
      </c>
      <c r="E71" s="375">
        <f t="shared" si="21"/>
        <v>348041</v>
      </c>
      <c r="G71" s="363">
        <f>'1.2 Budgeted Enrollment YR1'!J63</f>
        <v>0</v>
      </c>
      <c r="H71" s="154">
        <f t="shared" si="19"/>
        <v>3301.2</v>
      </c>
      <c r="I71" s="375">
        <f t="shared" si="22"/>
        <v>0</v>
      </c>
      <c r="K71" s="363">
        <f>'1.2 Budgeted Enrollment YR1'!K63</f>
        <v>0</v>
      </c>
      <c r="L71" s="154">
        <f t="shared" si="20"/>
        <v>1131.8399999999999</v>
      </c>
      <c r="M71" s="375">
        <f t="shared" si="23"/>
        <v>0</v>
      </c>
    </row>
    <row r="72" spans="2:13" x14ac:dyDescent="0.3">
      <c r="B72" s="9" t="str">
        <f>'1.2 Budgeted Enrollment YR1'!E64</f>
        <v>Innovations Int'l Charter</v>
      </c>
      <c r="C72" s="363">
        <f>'1.2 Budgeted Enrollment YR1'!I64</f>
        <v>180</v>
      </c>
      <c r="D72" s="154">
        <f t="shared" si="18"/>
        <v>4244.4000000000005</v>
      </c>
      <c r="E72" s="375">
        <f t="shared" si="21"/>
        <v>763992</v>
      </c>
      <c r="G72" s="363">
        <f>'1.2 Budgeted Enrollment YR1'!J64</f>
        <v>61</v>
      </c>
      <c r="H72" s="154">
        <f t="shared" si="19"/>
        <v>3301.2</v>
      </c>
      <c r="I72" s="375">
        <f t="shared" si="22"/>
        <v>201373</v>
      </c>
      <c r="K72" s="363">
        <f>'1.2 Budgeted Enrollment YR1'!K64</f>
        <v>0</v>
      </c>
      <c r="L72" s="154">
        <f t="shared" si="20"/>
        <v>1131.8399999999999</v>
      </c>
      <c r="M72" s="375">
        <f t="shared" si="23"/>
        <v>0</v>
      </c>
    </row>
    <row r="73" spans="2:13" x14ac:dyDescent="0.3">
      <c r="B73" s="9" t="str">
        <f>'1.2 Budgeted Enrollment YR1'!E65</f>
        <v>Leadership Academy of Nevada</v>
      </c>
      <c r="C73" s="363">
        <f>'1.2 Budgeted Enrollment YR1'!I65</f>
        <v>5</v>
      </c>
      <c r="D73" s="154">
        <f t="shared" si="18"/>
        <v>4244.4000000000005</v>
      </c>
      <c r="E73" s="375">
        <f t="shared" si="21"/>
        <v>21222</v>
      </c>
      <c r="G73" s="363">
        <f>'1.2 Budgeted Enrollment YR1'!J65</f>
        <v>7</v>
      </c>
      <c r="H73" s="154">
        <f t="shared" si="19"/>
        <v>3301.2</v>
      </c>
      <c r="I73" s="375">
        <f t="shared" si="22"/>
        <v>23108</v>
      </c>
      <c r="K73" s="363">
        <f>'1.2 Budgeted Enrollment YR1'!K65</f>
        <v>0</v>
      </c>
      <c r="L73" s="154">
        <f t="shared" si="20"/>
        <v>1131.8399999999999</v>
      </c>
      <c r="M73" s="375">
        <f t="shared" si="23"/>
        <v>0</v>
      </c>
    </row>
    <row r="74" spans="2:13" x14ac:dyDescent="0.3">
      <c r="B74" s="9" t="str">
        <f>'1.2 Budgeted Enrollment YR1'!E66</f>
        <v>Learning Bridge</v>
      </c>
      <c r="C74" s="363">
        <f>'1.2 Budgeted Enrollment YR1'!I66</f>
        <v>0</v>
      </c>
      <c r="D74" s="154">
        <f t="shared" si="18"/>
        <v>4244.4000000000005</v>
      </c>
      <c r="E74" s="375">
        <f t="shared" si="21"/>
        <v>0</v>
      </c>
      <c r="G74" s="363">
        <f>'1.2 Budgeted Enrollment YR1'!J66</f>
        <v>0</v>
      </c>
      <c r="H74" s="154">
        <f t="shared" si="19"/>
        <v>3301.2</v>
      </c>
      <c r="I74" s="375">
        <f t="shared" si="22"/>
        <v>0</v>
      </c>
      <c r="K74" s="363">
        <f>'1.2 Budgeted Enrollment YR1'!K66</f>
        <v>0</v>
      </c>
      <c r="L74" s="154">
        <f t="shared" si="20"/>
        <v>1131.8399999999999</v>
      </c>
      <c r="M74" s="375">
        <f t="shared" si="23"/>
        <v>0</v>
      </c>
    </row>
    <row r="75" spans="2:13" x14ac:dyDescent="0.3">
      <c r="B75" s="9" t="str">
        <f>'1.2 Budgeted Enrollment YR1'!E67</f>
        <v>Legacy Traditional Schools</v>
      </c>
      <c r="C75" s="363">
        <f>'1.2 Budgeted Enrollment YR1'!I67</f>
        <v>280</v>
      </c>
      <c r="D75" s="154">
        <f t="shared" si="18"/>
        <v>4244.4000000000005</v>
      </c>
      <c r="E75" s="375">
        <f t="shared" si="21"/>
        <v>1188432</v>
      </c>
      <c r="G75" s="363">
        <f>'1.2 Budgeted Enrollment YR1'!J67</f>
        <v>36</v>
      </c>
      <c r="H75" s="154">
        <f t="shared" si="19"/>
        <v>3301.2</v>
      </c>
      <c r="I75" s="375">
        <f t="shared" si="22"/>
        <v>118843</v>
      </c>
      <c r="K75" s="363">
        <f>'1.2 Budgeted Enrollment YR1'!K67</f>
        <v>209</v>
      </c>
      <c r="L75" s="154">
        <f t="shared" si="20"/>
        <v>1131.8399999999999</v>
      </c>
      <c r="M75" s="375">
        <f t="shared" si="23"/>
        <v>236555</v>
      </c>
    </row>
    <row r="76" spans="2:13" x14ac:dyDescent="0.3">
      <c r="B76" s="9" t="str">
        <f>'1.2 Budgeted Enrollment YR1'!E68</f>
        <v xml:space="preserve">Mariposa Language and Learning Academy </v>
      </c>
      <c r="C76" s="363">
        <f>'1.2 Budgeted Enrollment YR1'!I68</f>
        <v>46</v>
      </c>
      <c r="D76" s="154">
        <f t="shared" si="18"/>
        <v>4244.4000000000005</v>
      </c>
      <c r="E76" s="375">
        <f t="shared" si="21"/>
        <v>195242</v>
      </c>
      <c r="G76" s="363">
        <f>'1.2 Budgeted Enrollment YR1'!J68</f>
        <v>0</v>
      </c>
      <c r="H76" s="154">
        <f t="shared" si="19"/>
        <v>3301.2</v>
      </c>
      <c r="I76" s="375">
        <f t="shared" si="22"/>
        <v>0</v>
      </c>
      <c r="K76" s="363">
        <f>'1.2 Budgeted Enrollment YR1'!K68</f>
        <v>0</v>
      </c>
      <c r="L76" s="154">
        <f t="shared" si="20"/>
        <v>1131.8399999999999</v>
      </c>
      <c r="M76" s="375">
        <f t="shared" si="23"/>
        <v>0</v>
      </c>
    </row>
    <row r="77" spans="2:13" x14ac:dyDescent="0.3">
      <c r="B77" s="9" t="str">
        <f>'1.2 Budgeted Enrollment YR1'!E69</f>
        <v>Mater Academy</v>
      </c>
      <c r="C77" s="363">
        <f>'1.2 Budgeted Enrollment YR1'!I69</f>
        <v>1459</v>
      </c>
      <c r="D77" s="154">
        <f t="shared" si="18"/>
        <v>4244.4000000000005</v>
      </c>
      <c r="E77" s="375">
        <f t="shared" si="21"/>
        <v>6192580</v>
      </c>
      <c r="G77" s="363">
        <f>'1.2 Budgeted Enrollment YR1'!J69</f>
        <v>5</v>
      </c>
      <c r="H77" s="154">
        <f t="shared" si="19"/>
        <v>3301.2</v>
      </c>
      <c r="I77" s="375">
        <f t="shared" si="22"/>
        <v>16506</v>
      </c>
      <c r="K77" s="363">
        <f>'1.2 Budgeted Enrollment YR1'!K69</f>
        <v>0</v>
      </c>
      <c r="L77" s="154">
        <f t="shared" si="20"/>
        <v>1131.8399999999999</v>
      </c>
      <c r="M77" s="375">
        <f t="shared" si="23"/>
        <v>0</v>
      </c>
    </row>
    <row r="78" spans="2:13" x14ac:dyDescent="0.3">
      <c r="B78" s="9" t="str">
        <f>'1.2 Budgeted Enrollment YR1'!E70</f>
        <v>Mater Academy of Northern Nevada</v>
      </c>
      <c r="C78" s="363">
        <f>'1.2 Budgeted Enrollment YR1'!I70</f>
        <v>133</v>
      </c>
      <c r="D78" s="154">
        <f t="shared" si="18"/>
        <v>4244.4000000000005</v>
      </c>
      <c r="E78" s="375">
        <f t="shared" si="21"/>
        <v>564505</v>
      </c>
      <c r="G78" s="363">
        <f>'1.2 Budgeted Enrollment YR1'!J70</f>
        <v>2</v>
      </c>
      <c r="H78" s="154">
        <f t="shared" si="19"/>
        <v>3301.2</v>
      </c>
      <c r="I78" s="375">
        <f t="shared" si="22"/>
        <v>6602</v>
      </c>
      <c r="K78" s="363">
        <f>'1.2 Budgeted Enrollment YR1'!K70</f>
        <v>0</v>
      </c>
      <c r="L78" s="154">
        <f t="shared" si="20"/>
        <v>1131.8399999999999</v>
      </c>
      <c r="M78" s="375">
        <f t="shared" si="23"/>
        <v>0</v>
      </c>
    </row>
    <row r="79" spans="2:13" x14ac:dyDescent="0.3">
      <c r="B79" s="9" t="str">
        <f>'1.2 Budgeted Enrollment YR1'!E71</f>
        <v>Nevada Connections Academy</v>
      </c>
      <c r="C79" s="363">
        <f>'1.2 Budgeted Enrollment YR1'!I71</f>
        <v>38</v>
      </c>
      <c r="D79" s="154">
        <f t="shared" si="18"/>
        <v>4244.4000000000005</v>
      </c>
      <c r="E79" s="375">
        <f t="shared" si="21"/>
        <v>161287</v>
      </c>
      <c r="G79" s="363">
        <f>'1.2 Budgeted Enrollment YR1'!J71</f>
        <v>30</v>
      </c>
      <c r="H79" s="154">
        <f t="shared" si="19"/>
        <v>3301.2</v>
      </c>
      <c r="I79" s="375">
        <f t="shared" si="22"/>
        <v>99036</v>
      </c>
      <c r="K79" s="363">
        <f>'1.2 Budgeted Enrollment YR1'!K71</f>
        <v>0</v>
      </c>
      <c r="L79" s="154">
        <f t="shared" si="20"/>
        <v>1131.8399999999999</v>
      </c>
      <c r="M79" s="375">
        <f t="shared" si="23"/>
        <v>0</v>
      </c>
    </row>
    <row r="80" spans="2:13" x14ac:dyDescent="0.3">
      <c r="B80" s="9" t="str">
        <f>'1.2 Budgeted Enrollment YR1'!E72</f>
        <v>Nevada Prep</v>
      </c>
      <c r="C80" s="363">
        <f>'1.2 Budgeted Enrollment YR1'!I72</f>
        <v>74</v>
      </c>
      <c r="D80" s="154">
        <f t="shared" si="18"/>
        <v>4244.4000000000005</v>
      </c>
      <c r="E80" s="375">
        <f t="shared" si="21"/>
        <v>314086</v>
      </c>
      <c r="G80" s="363">
        <f>'1.2 Budgeted Enrollment YR1'!J72</f>
        <v>28</v>
      </c>
      <c r="H80" s="154">
        <f t="shared" si="19"/>
        <v>3301.2</v>
      </c>
      <c r="I80" s="375">
        <f t="shared" si="22"/>
        <v>92434</v>
      </c>
      <c r="K80" s="363">
        <f>'1.2 Budgeted Enrollment YR1'!K72</f>
        <v>0</v>
      </c>
      <c r="L80" s="154">
        <f t="shared" si="20"/>
        <v>1131.8399999999999</v>
      </c>
      <c r="M80" s="375">
        <f t="shared" si="23"/>
        <v>0</v>
      </c>
    </row>
    <row r="81" spans="2:14" x14ac:dyDescent="0.3">
      <c r="B81" s="9" t="str">
        <f>'1.2 Budgeted Enrollment YR1'!E73</f>
        <v xml:space="preserve">Nevada Rise </v>
      </c>
      <c r="C81" s="363">
        <f>'1.2 Budgeted Enrollment YR1'!I73</f>
        <v>35</v>
      </c>
      <c r="D81" s="154">
        <f t="shared" si="18"/>
        <v>4244.4000000000005</v>
      </c>
      <c r="E81" s="375">
        <f t="shared" si="21"/>
        <v>148554</v>
      </c>
      <c r="G81" s="363">
        <f>'1.2 Budgeted Enrollment YR1'!J73</f>
        <v>1</v>
      </c>
      <c r="H81" s="154">
        <f t="shared" si="19"/>
        <v>3301.2</v>
      </c>
      <c r="I81" s="375">
        <f t="shared" si="22"/>
        <v>3301</v>
      </c>
      <c r="K81" s="363">
        <f>'1.2 Budgeted Enrollment YR1'!K73</f>
        <v>0</v>
      </c>
      <c r="L81" s="154">
        <f t="shared" si="20"/>
        <v>1131.8399999999999</v>
      </c>
      <c r="M81" s="375">
        <f t="shared" si="23"/>
        <v>0</v>
      </c>
    </row>
    <row r="82" spans="2:14" x14ac:dyDescent="0.3">
      <c r="B82" s="9" t="str">
        <f>'1.2 Budgeted Enrollment YR1'!E74</f>
        <v>Nevada State High School</v>
      </c>
      <c r="C82" s="363">
        <f>'1.2 Budgeted Enrollment YR1'!I74</f>
        <v>24</v>
      </c>
      <c r="D82" s="154">
        <f t="shared" si="18"/>
        <v>4244.4000000000005</v>
      </c>
      <c r="E82" s="375">
        <f t="shared" si="21"/>
        <v>101866</v>
      </c>
      <c r="G82" s="363">
        <f>'1.2 Budgeted Enrollment YR1'!J74</f>
        <v>1</v>
      </c>
      <c r="H82" s="154">
        <f t="shared" si="19"/>
        <v>3301.2</v>
      </c>
      <c r="I82" s="375">
        <f t="shared" si="22"/>
        <v>3301</v>
      </c>
      <c r="K82" s="363">
        <f>'1.2 Budgeted Enrollment YR1'!K74</f>
        <v>0</v>
      </c>
      <c r="L82" s="154">
        <f t="shared" si="20"/>
        <v>1131.8399999999999</v>
      </c>
      <c r="M82" s="375">
        <f t="shared" si="23"/>
        <v>0</v>
      </c>
    </row>
    <row r="83" spans="2:14" x14ac:dyDescent="0.3">
      <c r="B83" s="9" t="str">
        <f>'1.2 Budgeted Enrollment YR1'!E75</f>
        <v>Nevada State High School-Meadowwood</v>
      </c>
      <c r="C83" s="363">
        <f>'1.2 Budgeted Enrollment YR1'!I75</f>
        <v>0</v>
      </c>
      <c r="D83" s="154">
        <f t="shared" si="18"/>
        <v>4244.4000000000005</v>
      </c>
      <c r="E83" s="375">
        <f t="shared" si="21"/>
        <v>0</v>
      </c>
      <c r="G83" s="363">
        <f>'1.2 Budgeted Enrollment YR1'!J75</f>
        <v>0</v>
      </c>
      <c r="H83" s="154">
        <f t="shared" si="19"/>
        <v>3301.2</v>
      </c>
      <c r="I83" s="375">
        <f t="shared" si="22"/>
        <v>0</v>
      </c>
      <c r="K83" s="363">
        <f>'1.2 Budgeted Enrollment YR1'!K75</f>
        <v>0</v>
      </c>
      <c r="L83" s="154">
        <f t="shared" si="20"/>
        <v>1131.8399999999999</v>
      </c>
      <c r="M83" s="375">
        <f t="shared" si="23"/>
        <v>0</v>
      </c>
    </row>
    <row r="84" spans="2:14" x14ac:dyDescent="0.3">
      <c r="B84" s="9" t="str">
        <f>'1.2 Budgeted Enrollment YR1'!E76</f>
        <v>Nevada Virtual Academy</v>
      </c>
      <c r="C84" s="363">
        <f>'1.2 Budgeted Enrollment YR1'!I76</f>
        <v>79</v>
      </c>
      <c r="D84" s="154">
        <f t="shared" si="18"/>
        <v>4244.4000000000005</v>
      </c>
      <c r="E84" s="375">
        <f t="shared" si="21"/>
        <v>335308</v>
      </c>
      <c r="G84" s="363">
        <f>'1.2 Budgeted Enrollment YR1'!J76</f>
        <v>78</v>
      </c>
      <c r="H84" s="154">
        <f t="shared" si="19"/>
        <v>3301.2</v>
      </c>
      <c r="I84" s="375">
        <f t="shared" si="22"/>
        <v>257494</v>
      </c>
      <c r="K84" s="363">
        <f>'1.2 Budgeted Enrollment YR1'!K76</f>
        <v>0</v>
      </c>
      <c r="L84" s="154">
        <f t="shared" si="20"/>
        <v>1131.8399999999999</v>
      </c>
      <c r="M84" s="375">
        <f t="shared" si="23"/>
        <v>0</v>
      </c>
    </row>
    <row r="85" spans="2:14" x14ac:dyDescent="0.3">
      <c r="B85" s="9" t="str">
        <f>'1.2 Budgeted Enrollment YR1'!E77</f>
        <v>Oasis Academy</v>
      </c>
      <c r="C85" s="363">
        <f>'1.2 Budgeted Enrollment YR1'!I77</f>
        <v>20</v>
      </c>
      <c r="D85" s="154">
        <f t="shared" si="18"/>
        <v>4244.4000000000005</v>
      </c>
      <c r="E85" s="375">
        <f t="shared" si="21"/>
        <v>84888</v>
      </c>
      <c r="G85" s="363">
        <f>'1.2 Budgeted Enrollment YR1'!J77</f>
        <v>0</v>
      </c>
      <c r="H85" s="154">
        <f t="shared" si="19"/>
        <v>3301.2</v>
      </c>
      <c r="I85" s="375">
        <f t="shared" si="22"/>
        <v>0</v>
      </c>
      <c r="K85" s="363">
        <f>'1.2 Budgeted Enrollment YR1'!K77</f>
        <v>0</v>
      </c>
      <c r="L85" s="154">
        <f t="shared" si="20"/>
        <v>1131.8399999999999</v>
      </c>
      <c r="M85" s="375">
        <f t="shared" si="23"/>
        <v>0</v>
      </c>
    </row>
    <row r="86" spans="2:14" x14ac:dyDescent="0.3">
      <c r="B86" s="9" t="str">
        <f>'1.2 Budgeted Enrollment YR1'!E78</f>
        <v>Odyssey Charter Schools</v>
      </c>
      <c r="C86" s="363">
        <f>'1.2 Budgeted Enrollment YR1'!I78</f>
        <v>111</v>
      </c>
      <c r="D86" s="154">
        <f t="shared" si="18"/>
        <v>4244.4000000000005</v>
      </c>
      <c r="E86" s="375">
        <f t="shared" si="21"/>
        <v>471128</v>
      </c>
      <c r="G86" s="363">
        <f>'1.2 Budgeted Enrollment YR1'!J78</f>
        <v>281</v>
      </c>
      <c r="H86" s="154">
        <f t="shared" si="19"/>
        <v>3301.2</v>
      </c>
      <c r="I86" s="375">
        <f t="shared" si="22"/>
        <v>927637</v>
      </c>
      <c r="K86" s="363">
        <f>'1.2 Budgeted Enrollment YR1'!K78</f>
        <v>0</v>
      </c>
      <c r="L86" s="154">
        <f t="shared" si="20"/>
        <v>1131.8399999999999</v>
      </c>
      <c r="M86" s="375">
        <f t="shared" si="23"/>
        <v>0</v>
      </c>
    </row>
    <row r="87" spans="2:14" x14ac:dyDescent="0.3">
      <c r="B87" s="9" t="str">
        <f>'1.2 Budgeted Enrollment YR1'!E79</f>
        <v>Pinecrest Academy of Northern Nevada</v>
      </c>
      <c r="C87" s="363">
        <f>'1.2 Budgeted Enrollment YR1'!I79</f>
        <v>18</v>
      </c>
      <c r="D87" s="154">
        <f t="shared" si="18"/>
        <v>4244.4000000000005</v>
      </c>
      <c r="E87" s="375">
        <f t="shared" si="21"/>
        <v>76399</v>
      </c>
      <c r="G87" s="363">
        <f>'1.2 Budgeted Enrollment YR1'!J79</f>
        <v>0</v>
      </c>
      <c r="H87" s="154">
        <f t="shared" si="19"/>
        <v>3301.2</v>
      </c>
      <c r="I87" s="375">
        <f t="shared" si="22"/>
        <v>0</v>
      </c>
      <c r="K87" s="363">
        <f>'1.2 Budgeted Enrollment YR1'!K79</f>
        <v>62</v>
      </c>
      <c r="L87" s="154">
        <f t="shared" si="20"/>
        <v>1131.8399999999999</v>
      </c>
      <c r="M87" s="375">
        <f t="shared" si="23"/>
        <v>70174</v>
      </c>
    </row>
    <row r="88" spans="2:14" x14ac:dyDescent="0.3">
      <c r="B88" s="9" t="str">
        <f>'1.2 Budgeted Enrollment YR1'!E80</f>
        <v>Pinecrest Academy of Nevada</v>
      </c>
      <c r="C88" s="363">
        <f>'1.2 Budgeted Enrollment YR1'!I80</f>
        <v>195</v>
      </c>
      <c r="D88" s="154">
        <f t="shared" si="18"/>
        <v>4244.4000000000005</v>
      </c>
      <c r="E88" s="375">
        <f t="shared" si="21"/>
        <v>827658</v>
      </c>
      <c r="G88" s="363">
        <f>'1.2 Budgeted Enrollment YR1'!J80</f>
        <v>127</v>
      </c>
      <c r="H88" s="154">
        <f t="shared" si="19"/>
        <v>3301.2</v>
      </c>
      <c r="I88" s="375">
        <f t="shared" si="22"/>
        <v>419252</v>
      </c>
      <c r="K88" s="363">
        <f>'1.2 Budgeted Enrollment YR1'!K80</f>
        <v>396</v>
      </c>
      <c r="L88" s="154">
        <f t="shared" si="20"/>
        <v>1131.8399999999999</v>
      </c>
      <c r="M88" s="375">
        <f t="shared" si="23"/>
        <v>448209</v>
      </c>
    </row>
    <row r="89" spans="2:14" x14ac:dyDescent="0.3">
      <c r="B89" s="9" t="str">
        <f>'1.2 Budgeted Enrollment YR1'!E81</f>
        <v>Pioneer Technical Arts Academy</v>
      </c>
      <c r="C89" s="363">
        <f>'1.2 Budgeted Enrollment YR1'!I81</f>
        <v>0</v>
      </c>
      <c r="D89" s="154">
        <f t="shared" si="18"/>
        <v>4244.4000000000005</v>
      </c>
      <c r="E89" s="375">
        <f t="shared" si="21"/>
        <v>0</v>
      </c>
      <c r="G89" s="363">
        <f>'1.2 Budgeted Enrollment YR1'!J81</f>
        <v>0</v>
      </c>
      <c r="H89" s="154">
        <f t="shared" si="19"/>
        <v>3301.2</v>
      </c>
      <c r="I89" s="375">
        <f t="shared" si="22"/>
        <v>0</v>
      </c>
      <c r="K89" s="363">
        <f>'1.2 Budgeted Enrollment YR1'!K81</f>
        <v>0</v>
      </c>
      <c r="L89" s="154">
        <f t="shared" si="20"/>
        <v>1131.8399999999999</v>
      </c>
      <c r="M89" s="375">
        <f t="shared" si="23"/>
        <v>0</v>
      </c>
      <c r="N89" s="9" t="s">
        <v>370</v>
      </c>
    </row>
    <row r="90" spans="2:14" x14ac:dyDescent="0.3">
      <c r="B90" s="9" t="str">
        <f>'1.2 Budgeted Enrollment YR1'!E82</f>
        <v>Quest Academy</v>
      </c>
      <c r="C90" s="363">
        <f>'1.2 Budgeted Enrollment YR1'!I82</f>
        <v>48</v>
      </c>
      <c r="D90" s="154">
        <f t="shared" si="18"/>
        <v>4244.4000000000005</v>
      </c>
      <c r="E90" s="375">
        <f t="shared" si="21"/>
        <v>203731</v>
      </c>
      <c r="G90" s="363">
        <f>'1.2 Budgeted Enrollment YR1'!J82</f>
        <v>16</v>
      </c>
      <c r="H90" s="154">
        <f t="shared" si="19"/>
        <v>3301.2</v>
      </c>
      <c r="I90" s="375">
        <f t="shared" si="22"/>
        <v>52819</v>
      </c>
      <c r="K90" s="363">
        <f>'1.2 Budgeted Enrollment YR1'!K82</f>
        <v>0</v>
      </c>
      <c r="L90" s="154">
        <f t="shared" si="20"/>
        <v>1131.8399999999999</v>
      </c>
      <c r="M90" s="375">
        <f t="shared" si="23"/>
        <v>0</v>
      </c>
    </row>
    <row r="91" spans="2:14" x14ac:dyDescent="0.3">
      <c r="B91" s="9" t="str">
        <f>'1.2 Budgeted Enrollment YR1'!E83</f>
        <v>Rainbow Dreams Academy</v>
      </c>
      <c r="C91" s="363">
        <f>'1.2 Budgeted Enrollment YR1'!I83</f>
        <v>6</v>
      </c>
      <c r="D91" s="154">
        <f t="shared" si="18"/>
        <v>4244.4000000000005</v>
      </c>
      <c r="E91" s="375">
        <f t="shared" si="21"/>
        <v>25466</v>
      </c>
      <c r="G91" s="363">
        <f>'1.2 Budgeted Enrollment YR1'!J83</f>
        <v>5</v>
      </c>
      <c r="H91" s="154">
        <f t="shared" si="19"/>
        <v>3301.2</v>
      </c>
      <c r="I91" s="375">
        <f t="shared" si="22"/>
        <v>16506</v>
      </c>
      <c r="K91" s="363">
        <f>'1.2 Budgeted Enrollment YR1'!K83</f>
        <v>0</v>
      </c>
      <c r="L91" s="154">
        <f t="shared" si="20"/>
        <v>1131.8399999999999</v>
      </c>
      <c r="M91" s="375">
        <f t="shared" si="23"/>
        <v>0</v>
      </c>
    </row>
    <row r="92" spans="2:14" x14ac:dyDescent="0.3">
      <c r="B92" s="9" t="str">
        <f>'1.2 Budgeted Enrollment YR1'!E84</f>
        <v>Rooted Charter School</v>
      </c>
      <c r="C92" s="363">
        <f>'1.2 Budgeted Enrollment YR1'!I84</f>
        <v>0</v>
      </c>
      <c r="D92" s="154">
        <f t="shared" si="18"/>
        <v>4244.4000000000005</v>
      </c>
      <c r="E92" s="375">
        <f t="shared" si="21"/>
        <v>0</v>
      </c>
      <c r="G92" s="363">
        <f>'1.2 Budgeted Enrollment YR1'!J84</f>
        <v>0</v>
      </c>
      <c r="H92" s="154">
        <f t="shared" si="19"/>
        <v>3301.2</v>
      </c>
      <c r="I92" s="375">
        <f t="shared" si="22"/>
        <v>0</v>
      </c>
      <c r="K92" s="363">
        <f>'1.2 Budgeted Enrollment YR1'!K84</f>
        <v>0</v>
      </c>
      <c r="L92" s="154">
        <f t="shared" si="20"/>
        <v>1131.8399999999999</v>
      </c>
      <c r="M92" s="375">
        <f t="shared" si="23"/>
        <v>0</v>
      </c>
    </row>
    <row r="93" spans="2:14" x14ac:dyDescent="0.3">
      <c r="B93" s="9" t="str">
        <f>'1.2 Budgeted Enrollment YR1'!E85</f>
        <v>Sage Collegiate Academy</v>
      </c>
      <c r="C93" s="363">
        <f>'1.2 Budgeted Enrollment YR1'!I85</f>
        <v>69</v>
      </c>
      <c r="D93" s="154">
        <f t="shared" si="18"/>
        <v>4244.4000000000005</v>
      </c>
      <c r="E93" s="375">
        <f t="shared" si="21"/>
        <v>292864</v>
      </c>
      <c r="G93" s="363">
        <f>'1.2 Budgeted Enrollment YR1'!J85</f>
        <v>0</v>
      </c>
      <c r="H93" s="154">
        <f t="shared" si="19"/>
        <v>3301.2</v>
      </c>
      <c r="I93" s="375">
        <f t="shared" si="22"/>
        <v>0</v>
      </c>
      <c r="K93" s="363">
        <f>'1.2 Budgeted Enrollment YR1'!K85</f>
        <v>0</v>
      </c>
      <c r="L93" s="154">
        <f t="shared" si="20"/>
        <v>1131.8399999999999</v>
      </c>
      <c r="M93" s="375">
        <f t="shared" si="23"/>
        <v>0</v>
      </c>
    </row>
    <row r="94" spans="2:14" x14ac:dyDescent="0.3">
      <c r="B94" s="9" t="str">
        <f>'1.2 Budgeted Enrollment YR1'!E86</f>
        <v>Sierra Nevada Academy Charter</v>
      </c>
      <c r="C94" s="363">
        <f>'1.2 Budgeted Enrollment YR1'!I86</f>
        <v>22</v>
      </c>
      <c r="D94" s="154">
        <f t="shared" si="18"/>
        <v>4244.4000000000005</v>
      </c>
      <c r="E94" s="375">
        <f t="shared" si="21"/>
        <v>93377</v>
      </c>
      <c r="G94" s="363">
        <f>'1.2 Budgeted Enrollment YR1'!J86</f>
        <v>30</v>
      </c>
      <c r="H94" s="154">
        <f t="shared" si="19"/>
        <v>3301.2</v>
      </c>
      <c r="I94" s="375">
        <f t="shared" si="22"/>
        <v>99036</v>
      </c>
      <c r="K94" s="363">
        <f>'1.2 Budgeted Enrollment YR1'!K86</f>
        <v>0</v>
      </c>
      <c r="L94" s="154">
        <f t="shared" si="20"/>
        <v>1131.8399999999999</v>
      </c>
      <c r="M94" s="375">
        <f t="shared" si="23"/>
        <v>0</v>
      </c>
    </row>
    <row r="95" spans="2:14" x14ac:dyDescent="0.3">
      <c r="B95" s="9" t="str">
        <f>'1.2 Budgeted Enrollment YR1'!E87</f>
        <v>Signature Preparatory</v>
      </c>
      <c r="C95" s="363">
        <f>'1.2 Budgeted Enrollment YR1'!I87</f>
        <v>67</v>
      </c>
      <c r="D95" s="154">
        <f t="shared" si="18"/>
        <v>4244.4000000000005</v>
      </c>
      <c r="E95" s="375">
        <f t="shared" si="21"/>
        <v>284375</v>
      </c>
      <c r="G95" s="363">
        <f>'1.2 Budgeted Enrollment YR1'!J87</f>
        <v>17</v>
      </c>
      <c r="H95" s="154">
        <f t="shared" si="19"/>
        <v>3301.2</v>
      </c>
      <c r="I95" s="375">
        <f t="shared" si="22"/>
        <v>56120</v>
      </c>
      <c r="K95" s="363">
        <f>'1.2 Budgeted Enrollment YR1'!K87</f>
        <v>0</v>
      </c>
      <c r="L95" s="154">
        <f t="shared" si="20"/>
        <v>1131.8399999999999</v>
      </c>
      <c r="M95" s="375">
        <f t="shared" si="23"/>
        <v>0</v>
      </c>
    </row>
    <row r="96" spans="2:14" x14ac:dyDescent="0.3">
      <c r="B96" s="9" t="str">
        <f>'1.2 Budgeted Enrollment YR1'!E88</f>
        <v>Silver Sands Montessori</v>
      </c>
      <c r="C96" s="363">
        <f>'1.2 Budgeted Enrollment YR1'!I88</f>
        <v>24</v>
      </c>
      <c r="D96" s="154">
        <f t="shared" si="18"/>
        <v>4244.4000000000005</v>
      </c>
      <c r="E96" s="375">
        <f t="shared" si="21"/>
        <v>101866</v>
      </c>
      <c r="G96" s="363">
        <f>'1.2 Budgeted Enrollment YR1'!J88</f>
        <v>0</v>
      </c>
      <c r="H96" s="154">
        <f t="shared" si="19"/>
        <v>3301.2</v>
      </c>
      <c r="I96" s="375">
        <f t="shared" si="22"/>
        <v>0</v>
      </c>
      <c r="K96" s="363">
        <f>'1.2 Budgeted Enrollment YR1'!K88</f>
        <v>0</v>
      </c>
      <c r="L96" s="154">
        <f t="shared" si="20"/>
        <v>1131.8399999999999</v>
      </c>
      <c r="M96" s="375">
        <f t="shared" si="23"/>
        <v>0</v>
      </c>
    </row>
    <row r="97" spans="1:14" x14ac:dyDescent="0.3">
      <c r="B97" s="9" t="str">
        <f>'1.2 Budgeted Enrollment YR1'!E89</f>
        <v>Somerset Academy</v>
      </c>
      <c r="C97" s="363">
        <f>'1.2 Budgeted Enrollment YR1'!I89</f>
        <v>346</v>
      </c>
      <c r="D97" s="154">
        <f t="shared" si="18"/>
        <v>4244.4000000000005</v>
      </c>
      <c r="E97" s="375">
        <f t="shared" si="21"/>
        <v>1468562</v>
      </c>
      <c r="G97" s="363">
        <f>'1.2 Budgeted Enrollment YR1'!J89</f>
        <v>109</v>
      </c>
      <c r="H97" s="154">
        <f t="shared" si="19"/>
        <v>3301.2</v>
      </c>
      <c r="I97" s="375">
        <f t="shared" si="22"/>
        <v>359831</v>
      </c>
      <c r="K97" s="363">
        <f>'1.2 Budgeted Enrollment YR1'!K89</f>
        <v>243</v>
      </c>
      <c r="L97" s="154">
        <f t="shared" si="20"/>
        <v>1131.8399999999999</v>
      </c>
      <c r="M97" s="375">
        <f t="shared" si="23"/>
        <v>275037</v>
      </c>
    </row>
    <row r="98" spans="1:14" x14ac:dyDescent="0.3">
      <c r="B98" s="9" t="str">
        <f>'1.2 Budgeted Enrollment YR1'!E90</f>
        <v>Southern Nevada Trade High School</v>
      </c>
      <c r="C98" s="363">
        <f>'1.2 Budgeted Enrollment YR1'!I90</f>
        <v>25</v>
      </c>
      <c r="D98" s="154">
        <f t="shared" si="18"/>
        <v>4244.4000000000005</v>
      </c>
      <c r="E98" s="375">
        <f t="shared" si="21"/>
        <v>106110</v>
      </c>
      <c r="G98" s="363">
        <f>'1.2 Budgeted Enrollment YR1'!J90</f>
        <v>32</v>
      </c>
      <c r="H98" s="154">
        <f t="shared" si="19"/>
        <v>3301.2</v>
      </c>
      <c r="I98" s="375">
        <f t="shared" si="22"/>
        <v>105638</v>
      </c>
      <c r="K98" s="363">
        <f>'1.2 Budgeted Enrollment YR1'!K90</f>
        <v>0</v>
      </c>
      <c r="L98" s="154">
        <f t="shared" si="20"/>
        <v>1131.8399999999999</v>
      </c>
      <c r="M98" s="375">
        <f t="shared" si="23"/>
        <v>0</v>
      </c>
    </row>
    <row r="99" spans="1:14" x14ac:dyDescent="0.3">
      <c r="B99" s="9" t="str">
        <f>'1.2 Budgeted Enrollment YR1'!E91</f>
        <v>Sports Leadership and Management Academy</v>
      </c>
      <c r="C99" s="363">
        <f>'1.2 Budgeted Enrollment YR1'!I91</f>
        <v>194</v>
      </c>
      <c r="D99" s="154">
        <f t="shared" si="18"/>
        <v>4244.4000000000005</v>
      </c>
      <c r="E99" s="375">
        <f t="shared" si="21"/>
        <v>823414</v>
      </c>
      <c r="G99" s="363">
        <f>'1.2 Budgeted Enrollment YR1'!J91</f>
        <v>22</v>
      </c>
      <c r="H99" s="154">
        <f t="shared" si="19"/>
        <v>3301.2</v>
      </c>
      <c r="I99" s="375">
        <f t="shared" si="22"/>
        <v>72626</v>
      </c>
      <c r="K99" s="363">
        <f>'1.2 Budgeted Enrollment YR1'!K91</f>
        <v>0</v>
      </c>
      <c r="L99" s="154">
        <f t="shared" si="20"/>
        <v>1131.8399999999999</v>
      </c>
      <c r="M99" s="375">
        <f t="shared" si="23"/>
        <v>0</v>
      </c>
    </row>
    <row r="100" spans="1:14" x14ac:dyDescent="0.3">
      <c r="B100" s="9" t="str">
        <f>'1.2 Budgeted Enrollment YR1'!E92</f>
        <v>Strong Start Academy</v>
      </c>
      <c r="C100" s="363">
        <f>'1.2 Budgeted Enrollment YR1'!I92</f>
        <v>56</v>
      </c>
      <c r="D100" s="154">
        <f t="shared" si="18"/>
        <v>4244.4000000000005</v>
      </c>
      <c r="E100" s="375">
        <f t="shared" si="21"/>
        <v>237686</v>
      </c>
      <c r="G100" s="363">
        <f>'1.2 Budgeted Enrollment YR1'!J92</f>
        <v>0</v>
      </c>
      <c r="H100" s="154">
        <f t="shared" si="19"/>
        <v>3301.2</v>
      </c>
      <c r="I100" s="375">
        <f t="shared" si="22"/>
        <v>0</v>
      </c>
      <c r="K100" s="363">
        <f>'1.2 Budgeted Enrollment YR1'!K92</f>
        <v>0</v>
      </c>
      <c r="L100" s="154">
        <f t="shared" si="20"/>
        <v>1131.8399999999999</v>
      </c>
      <c r="M100" s="375">
        <f t="shared" si="23"/>
        <v>0</v>
      </c>
    </row>
    <row r="101" spans="1:14" s="4" customFormat="1" x14ac:dyDescent="0.3">
      <c r="A101" s="9"/>
      <c r="B101" s="9" t="str">
        <f>'1.2 Budgeted Enrollment YR1'!E93</f>
        <v>ThrivePoint</v>
      </c>
      <c r="C101" s="363">
        <f>'1.2 Budgeted Enrollment YR1'!I93</f>
        <v>42</v>
      </c>
      <c r="D101" s="154">
        <f t="shared" si="18"/>
        <v>4244.4000000000005</v>
      </c>
      <c r="E101" s="375">
        <f t="shared" si="21"/>
        <v>178265</v>
      </c>
      <c r="F101" s="9"/>
      <c r="G101" s="363">
        <f>'1.2 Budgeted Enrollment YR1'!J93</f>
        <v>49</v>
      </c>
      <c r="H101" s="154">
        <f t="shared" si="19"/>
        <v>3301.2</v>
      </c>
      <c r="I101" s="375">
        <f t="shared" si="22"/>
        <v>161759</v>
      </c>
      <c r="J101" s="9"/>
      <c r="K101" s="363">
        <f>'1.2 Budgeted Enrollment YR1'!K93</f>
        <v>0</v>
      </c>
      <c r="L101" s="154">
        <f t="shared" si="20"/>
        <v>1131.8399999999999</v>
      </c>
      <c r="M101" s="375">
        <f t="shared" si="23"/>
        <v>0</v>
      </c>
      <c r="N101" s="4" t="s">
        <v>370</v>
      </c>
    </row>
    <row r="102" spans="1:14" s="4" customFormat="1" x14ac:dyDescent="0.3">
      <c r="A102" s="9"/>
      <c r="B102" s="9" t="str">
        <f>'1.2 Budgeted Enrollment YR1'!E94</f>
        <v>Vegas Vista Academy</v>
      </c>
      <c r="C102" s="363">
        <f>'1.2 Budgeted Enrollment YR1'!I94</f>
        <v>36</v>
      </c>
      <c r="D102" s="154">
        <f t="shared" si="18"/>
        <v>4244.4000000000005</v>
      </c>
      <c r="E102" s="375">
        <f t="shared" si="21"/>
        <v>152798</v>
      </c>
      <c r="F102" s="9"/>
      <c r="G102" s="363">
        <f>'1.2 Budgeted Enrollment YR1'!J94</f>
        <v>0</v>
      </c>
      <c r="H102" s="154">
        <f t="shared" si="19"/>
        <v>3301.2</v>
      </c>
      <c r="I102" s="375">
        <f t="shared" si="22"/>
        <v>0</v>
      </c>
      <c r="J102" s="9"/>
      <c r="K102" s="363">
        <f>'1.2 Budgeted Enrollment YR1'!K94</f>
        <v>0</v>
      </c>
      <c r="L102" s="154">
        <f t="shared" si="20"/>
        <v>1131.8399999999999</v>
      </c>
      <c r="M102" s="375">
        <f t="shared" si="23"/>
        <v>0</v>
      </c>
      <c r="N102" s="4" t="s">
        <v>370</v>
      </c>
    </row>
    <row r="103" spans="1:14" s="4" customFormat="1" x14ac:dyDescent="0.3">
      <c r="A103" s="9"/>
      <c r="B103" s="9" t="str">
        <f>'1.2 Budgeted Enrollment YR1'!E95</f>
        <v>Young Women's Leadership Academy</v>
      </c>
      <c r="C103" s="364">
        <f>'1.2 Budgeted Enrollment YR1'!I95</f>
        <v>19</v>
      </c>
      <c r="D103" s="148">
        <f t="shared" si="18"/>
        <v>4244.4000000000005</v>
      </c>
      <c r="E103" s="376">
        <f t="shared" si="21"/>
        <v>80644</v>
      </c>
      <c r="F103" s="9"/>
      <c r="G103" s="364">
        <f>'1.2 Budgeted Enrollment YR1'!J95</f>
        <v>2</v>
      </c>
      <c r="H103" s="148">
        <f t="shared" si="19"/>
        <v>3301.2</v>
      </c>
      <c r="I103" s="376">
        <f t="shared" si="22"/>
        <v>6602</v>
      </c>
      <c r="J103" s="9"/>
      <c r="K103" s="364">
        <f>'1.2 Budgeted Enrollment YR1'!K95</f>
        <v>0</v>
      </c>
      <c r="L103" s="148">
        <f t="shared" si="20"/>
        <v>1131.8399999999999</v>
      </c>
      <c r="M103" s="376">
        <f t="shared" si="23"/>
        <v>0</v>
      </c>
    </row>
    <row r="104" spans="1:14" x14ac:dyDescent="0.3">
      <c r="A104" s="4"/>
      <c r="B104" s="135" t="s">
        <v>1398</v>
      </c>
      <c r="C104" s="405">
        <f>SUM(C42:C103)</f>
        <v>6384</v>
      </c>
      <c r="D104" s="308">
        <f>D103</f>
        <v>4244.4000000000005</v>
      </c>
      <c r="E104" s="1828">
        <f>SUM(E42:E103)</f>
        <v>27096252</v>
      </c>
      <c r="F104" s="4"/>
      <c r="G104" s="405">
        <f>SUM(G42:G103)</f>
        <v>2007</v>
      </c>
      <c r="H104" s="308">
        <f>H103</f>
        <v>3301.2</v>
      </c>
      <c r="I104" s="1828">
        <f>SUM(I42:I103)</f>
        <v>6625505</v>
      </c>
      <c r="J104" s="4"/>
      <c r="K104" s="405">
        <f>SUM(K42:K103)</f>
        <v>1491</v>
      </c>
      <c r="L104" s="96">
        <f>L103</f>
        <v>1131.8399999999999</v>
      </c>
      <c r="M104" s="379">
        <f>SUM(M42:M103)</f>
        <v>1687574</v>
      </c>
    </row>
    <row r="105" spans="1:14" x14ac:dyDescent="0.3">
      <c r="E105" s="12"/>
      <c r="I105" s="12"/>
      <c r="M105" s="12"/>
    </row>
    <row r="106" spans="1:14" s="4" customFormat="1" x14ac:dyDescent="0.3">
      <c r="A106" s="4" t="s">
        <v>306</v>
      </c>
      <c r="C106" s="25"/>
      <c r="E106" s="8"/>
      <c r="G106" s="25"/>
      <c r="I106" s="8"/>
      <c r="K106" s="474"/>
      <c r="L106" s="6"/>
      <c r="M106" s="8"/>
    </row>
    <row r="107" spans="1:14" x14ac:dyDescent="0.3">
      <c r="B107" s="207" t="str">
        <f>'1.2 Budgeted Enrollment YR1'!E100</f>
        <v>Davidson Academy</v>
      </c>
      <c r="C107" s="472">
        <f>'1.2 Budgeted Enrollment YR1'!I100</f>
        <v>0</v>
      </c>
      <c r="D107" s="475">
        <f>$D$10</f>
        <v>4244.4000000000005</v>
      </c>
      <c r="E107" s="2011">
        <f>ROUND(C107*D107,0)</f>
        <v>0</v>
      </c>
      <c r="F107" s="207"/>
      <c r="G107" s="472">
        <f>'1.2 Budgeted Enrollment YR1'!J100</f>
        <v>0</v>
      </c>
      <c r="H107" s="475">
        <f>$H$10</f>
        <v>3301.2</v>
      </c>
      <c r="I107" s="2011">
        <f>ROUND(G107*H107,0)</f>
        <v>0</v>
      </c>
      <c r="J107" s="207"/>
      <c r="K107" s="472">
        <f>'1.2 Budgeted Enrollment YR1'!K100</f>
        <v>0</v>
      </c>
      <c r="L107" s="475">
        <f>$L$10</f>
        <v>1131.8399999999999</v>
      </c>
      <c r="M107" s="2011">
        <f>ROUND(K107*L107,0)</f>
        <v>0</v>
      </c>
    </row>
    <row r="108" spans="1:14" s="4" customFormat="1" x14ac:dyDescent="0.3">
      <c r="A108" s="9"/>
      <c r="B108" s="137" t="str">
        <f>'1.2 Budgeted Enrollment YR1'!E101</f>
        <v>TBD</v>
      </c>
      <c r="C108" s="364">
        <f>'1.2 Budgeted Enrollment YR1'!I101</f>
        <v>0</v>
      </c>
      <c r="D108" s="148">
        <f>$D$10</f>
        <v>4244.4000000000005</v>
      </c>
      <c r="E108" s="376">
        <f>ROUND(C108*D108,0)</f>
        <v>0</v>
      </c>
      <c r="F108" s="9"/>
      <c r="G108" s="364">
        <f>'1.2 Budgeted Enrollment YR1'!J101</f>
        <v>0</v>
      </c>
      <c r="H108" s="148">
        <f>$H$10</f>
        <v>3301.2</v>
      </c>
      <c r="I108" s="376">
        <f>ROUND(G108*H108,0)</f>
        <v>0</v>
      </c>
      <c r="J108" s="9"/>
      <c r="K108" s="364">
        <f>'1.2 Budgeted Enrollment YR1'!K101</f>
        <v>0</v>
      </c>
      <c r="L108" s="148">
        <f>$L$10</f>
        <v>1131.8399999999999</v>
      </c>
      <c r="M108" s="376">
        <f>ROUND(K108*L108,0)</f>
        <v>0</v>
      </c>
    </row>
    <row r="109" spans="1:14" x14ac:dyDescent="0.3">
      <c r="A109" s="4"/>
      <c r="B109" s="135" t="s">
        <v>1398</v>
      </c>
      <c r="C109" s="405">
        <f>SUM(C107:C108)</f>
        <v>0</v>
      </c>
      <c r="D109" s="473">
        <f>D108</f>
        <v>4244.4000000000005</v>
      </c>
      <c r="E109" s="1829">
        <f>SUM(E107:E108)</f>
        <v>0</v>
      </c>
      <c r="F109" s="135"/>
      <c r="G109" s="405">
        <f>SUM(G107:G108)</f>
        <v>0</v>
      </c>
      <c r="H109" s="473">
        <f>H108</f>
        <v>3301.2</v>
      </c>
      <c r="I109" s="1829">
        <f>SUM(I107:I108)</f>
        <v>0</v>
      </c>
      <c r="J109" s="135"/>
      <c r="K109" s="405">
        <f>SUM(K107:K108)</f>
        <v>0</v>
      </c>
      <c r="L109" s="96">
        <f>L108</f>
        <v>1131.8399999999999</v>
      </c>
      <c r="M109" s="388">
        <f>SUM(M107:M108)</f>
        <v>0</v>
      </c>
    </row>
    <row r="110" spans="1:14" x14ac:dyDescent="0.3">
      <c r="E110" s="12"/>
      <c r="I110" s="12"/>
      <c r="M110" s="12"/>
    </row>
    <row r="111" spans="1:14" s="4" customFormat="1" x14ac:dyDescent="0.3">
      <c r="A111" s="4" t="str">
        <f>'2.3 Statewide Base Funding YR1'!A107</f>
        <v>City of Henderson</v>
      </c>
      <c r="C111" s="25"/>
      <c r="E111" s="8"/>
      <c r="G111" s="25"/>
      <c r="I111" s="8"/>
      <c r="K111" s="474"/>
      <c r="L111" s="6"/>
      <c r="M111" s="8"/>
    </row>
    <row r="112" spans="1:14" x14ac:dyDescent="0.3">
      <c r="B112" s="455" t="str">
        <f>'1.2 Budgeted Enrollment YR1'!E107</f>
        <v>TBD</v>
      </c>
      <c r="C112" s="472">
        <f>'1.2 Budgeted Enrollment YR1'!I107</f>
        <v>0</v>
      </c>
      <c r="D112" s="1949">
        <f>$D$10</f>
        <v>4244.4000000000005</v>
      </c>
      <c r="E112" s="2011">
        <f>ROUND(C112*D112,0)</f>
        <v>0</v>
      </c>
      <c r="F112" s="207"/>
      <c r="G112" s="472">
        <f>'1.2 Budgeted Enrollment YR1'!J107</f>
        <v>0</v>
      </c>
      <c r="H112" s="475">
        <f>$H$10</f>
        <v>3301.2</v>
      </c>
      <c r="I112" s="2011">
        <f>ROUND(G112*H112,0)</f>
        <v>0</v>
      </c>
      <c r="J112" s="207"/>
      <c r="K112" s="472">
        <f>'1.2 Budgeted Enrollment YR1'!K107</f>
        <v>0</v>
      </c>
      <c r="L112" s="475">
        <f>$L$10</f>
        <v>1131.8399999999999</v>
      </c>
      <c r="M112" s="2011">
        <f>ROUND(K112*L112,0)</f>
        <v>0</v>
      </c>
    </row>
    <row r="113" spans="1:13" s="4" customFormat="1" x14ac:dyDescent="0.3">
      <c r="A113" s="9"/>
      <c r="B113" s="294" t="str">
        <f>'1.2 Budgeted Enrollment YR1'!E108</f>
        <v>TBD</v>
      </c>
      <c r="C113" s="364">
        <f>'1.2 Budgeted Enrollment YR1'!I108</f>
        <v>0</v>
      </c>
      <c r="D113" s="1950">
        <f>$D$10</f>
        <v>4244.4000000000005</v>
      </c>
      <c r="E113" s="376">
        <f>ROUND(C113*D113,0)</f>
        <v>0</v>
      </c>
      <c r="F113" s="9"/>
      <c r="G113" s="364">
        <f>'1.2 Budgeted Enrollment YR1'!J108</f>
        <v>0</v>
      </c>
      <c r="H113" s="148">
        <f>$H$10</f>
        <v>3301.2</v>
      </c>
      <c r="I113" s="376">
        <f>ROUND(G113*H113,0)</f>
        <v>0</v>
      </c>
      <c r="J113" s="9"/>
      <c r="K113" s="364">
        <f>'1.2 Budgeted Enrollment YR1'!K108</f>
        <v>0</v>
      </c>
      <c r="L113" s="148">
        <f>$L$10</f>
        <v>1131.8399999999999</v>
      </c>
      <c r="M113" s="376">
        <f>ROUND(K113*L113,0)</f>
        <v>0</v>
      </c>
    </row>
    <row r="114" spans="1:13" x14ac:dyDescent="0.3">
      <c r="A114" s="4"/>
      <c r="B114" s="135" t="s">
        <v>1398</v>
      </c>
      <c r="C114" s="405">
        <f>SUM(C112:C113)</f>
        <v>0</v>
      </c>
      <c r="D114" s="473">
        <f>D113</f>
        <v>4244.4000000000005</v>
      </c>
      <c r="E114" s="1829">
        <f>SUM(E112:E113)</f>
        <v>0</v>
      </c>
      <c r="F114" s="135"/>
      <c r="G114" s="405">
        <f>SUM(G112:G113)</f>
        <v>0</v>
      </c>
      <c r="H114" s="473">
        <f>H113</f>
        <v>3301.2</v>
      </c>
      <c r="I114" s="1829">
        <f>SUM(I112:I113)</f>
        <v>0</v>
      </c>
      <c r="J114" s="135"/>
      <c r="K114" s="405">
        <f>SUM(K112:K113)</f>
        <v>0</v>
      </c>
      <c r="L114" s="96">
        <f>L113</f>
        <v>1131.8399999999999</v>
      </c>
      <c r="M114" s="388">
        <f>SUM(M112:M113)</f>
        <v>0</v>
      </c>
    </row>
    <row r="115" spans="1:13" x14ac:dyDescent="0.3">
      <c r="E115" s="12"/>
      <c r="I115" s="12"/>
      <c r="M115" s="12"/>
    </row>
    <row r="116" spans="1:13" s="4" customFormat="1" x14ac:dyDescent="0.3">
      <c r="A116" s="4" t="str">
        <f>'2.3 Statewide Base Funding YR1'!A112</f>
        <v>City of North Las Vegas</v>
      </c>
      <c r="C116" s="25"/>
      <c r="E116" s="8"/>
      <c r="G116" s="25"/>
      <c r="I116" s="8"/>
      <c r="K116" s="474"/>
      <c r="L116" s="6"/>
      <c r="M116" s="8"/>
    </row>
    <row r="117" spans="1:13" x14ac:dyDescent="0.3">
      <c r="B117" s="455" t="str">
        <f>'1.2 Budgeted Enrollment YR1'!E113</f>
        <v>TBD</v>
      </c>
      <c r="C117" s="441">
        <f>'1.2 Budgeted Enrollment YR1'!I113</f>
        <v>0</v>
      </c>
      <c r="D117" s="1949">
        <f>$D$10</f>
        <v>4244.4000000000005</v>
      </c>
      <c r="E117" s="476">
        <f>ROUND(C117*D117,0)</f>
        <v>0</v>
      </c>
      <c r="F117" s="207"/>
      <c r="G117" s="472">
        <f>'1.2 Budgeted Enrollment YR1'!J113</f>
        <v>0</v>
      </c>
      <c r="H117" s="475">
        <f>$H$10</f>
        <v>3301.2</v>
      </c>
      <c r="I117" s="2011">
        <f>ROUND(G117*H117,0)</f>
        <v>0</v>
      </c>
      <c r="J117" s="207"/>
      <c r="K117" s="472">
        <f>'1.2 Budgeted Enrollment YR1'!K113</f>
        <v>0</v>
      </c>
      <c r="L117" s="475">
        <f>$L$10</f>
        <v>1131.8399999999999</v>
      </c>
      <c r="M117" s="2011">
        <f>ROUND(K117*L117,0)</f>
        <v>0</v>
      </c>
    </row>
    <row r="118" spans="1:13" s="4" customFormat="1" x14ac:dyDescent="0.3">
      <c r="A118" s="9"/>
      <c r="B118" s="142" t="str">
        <f>'1.2 Budgeted Enrollment YR1'!E114</f>
        <v>TBD</v>
      </c>
      <c r="C118" s="359">
        <f>'1.2 Budgeted Enrollment YR1'!I114</f>
        <v>0</v>
      </c>
      <c r="D118" s="1950">
        <f>$D$10</f>
        <v>4244.4000000000005</v>
      </c>
      <c r="E118" s="403">
        <f>ROUND(C118*D118,0)</f>
        <v>0</v>
      </c>
      <c r="F118" s="9"/>
      <c r="G118" s="364">
        <f>'1.2 Budgeted Enrollment YR1'!J111</f>
        <v>0</v>
      </c>
      <c r="H118" s="148">
        <f>$H$10</f>
        <v>3301.2</v>
      </c>
      <c r="I118" s="376">
        <f>ROUND(G118*H118,0)</f>
        <v>0</v>
      </c>
      <c r="J118" s="9"/>
      <c r="K118" s="364">
        <f>'1.2 Budgeted Enrollment YR1'!K114</f>
        <v>0</v>
      </c>
      <c r="L118" s="148">
        <f>$L$10</f>
        <v>1131.8399999999999</v>
      </c>
      <c r="M118" s="376">
        <f>ROUND(K118*L118,0)</f>
        <v>0</v>
      </c>
    </row>
    <row r="119" spans="1:13" x14ac:dyDescent="0.3">
      <c r="A119" s="4"/>
      <c r="B119" s="135" t="s">
        <v>1398</v>
      </c>
      <c r="C119" s="405">
        <f>SUM(C117:C118)</f>
        <v>0</v>
      </c>
      <c r="D119" s="473">
        <f>D118</f>
        <v>4244.4000000000005</v>
      </c>
      <c r="E119" s="1829">
        <f>SUM(E117:E118)</f>
        <v>0</v>
      </c>
      <c r="F119" s="135"/>
      <c r="G119" s="405">
        <f>SUM(G117:G118)</f>
        <v>0</v>
      </c>
      <c r="H119" s="473">
        <f>H118</f>
        <v>3301.2</v>
      </c>
      <c r="I119" s="1829">
        <f>SUM(I117:I118)</f>
        <v>0</v>
      </c>
      <c r="J119" s="135"/>
      <c r="K119" s="405">
        <f>SUM(K117:K118)</f>
        <v>0</v>
      </c>
      <c r="L119" s="96">
        <f>L118</f>
        <v>1131.8399999999999</v>
      </c>
      <c r="M119" s="388">
        <f>SUM(M117:M118)</f>
        <v>0</v>
      </c>
    </row>
  </sheetData>
  <customSheetViews>
    <customSheetView guid="{CA1C9262-C0F9-4BBB-95C8-A52990BD1149}" scale="70" showPageBreaks="1" printArea="1">
      <pane xSplit="2" ySplit="14" topLeftCell="C15" activePane="bottomRight" state="frozen"/>
      <selection pane="bottomRight" activeCell="A4" sqref="A4"/>
      <rowBreaks count="2" manualBreakCount="2">
        <brk id="35" max="26" man="1"/>
        <brk id="67" max="26" man="1"/>
      </rowBreaks>
      <colBreaks count="4" manualBreakCount="4">
        <brk id="9" max="1048575" man="1"/>
        <brk id="14" max="1048575" man="1"/>
        <brk id="19" max="1048575" man="1"/>
        <brk id="24" max="1048575" man="1"/>
      </colBreaks>
      <pageMargins left="0" right="0" top="0" bottom="0" header="0" footer="0"/>
      <pageSetup paperSize="3" scale="75" fitToWidth="0" fitToHeight="2" pageOrder="overThenDown"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printArea="1">
      <pane xSplit="2" ySplit="14" topLeftCell="C15" activePane="bottomRight" state="frozen"/>
      <selection pane="bottomRight" activeCell="A4" sqref="A4"/>
      <rowBreaks count="2" manualBreakCount="2">
        <brk id="35" max="26" man="1"/>
        <brk id="67" max="26" man="1"/>
      </rowBreaks>
      <colBreaks count="4" manualBreakCount="4">
        <brk id="9" max="1048575" man="1"/>
        <brk id="14" max="1048575" man="1"/>
        <brk id="19" max="1048575" man="1"/>
        <brk id="24" max="1048575" man="1"/>
      </colBreaks>
      <pageMargins left="0" right="0" top="0" bottom="0" header="0" footer="0"/>
      <pageSetup paperSize="3" scale="75" fitToWidth="0" fitToHeight="2" pageOrder="overThenDown"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pane xSplit="2" ySplit="14" topLeftCell="C15" activePane="bottomRight" state="frozen"/>
      <selection pane="bottomRight" activeCell="B48" sqref="B48"/>
      <rowBreaks count="2" manualBreakCount="2">
        <brk id="35" max="26" man="1"/>
        <brk id="67" max="26" man="1"/>
      </rowBreaks>
      <colBreaks count="4" manualBreakCount="4">
        <brk id="9" max="1048575" man="1"/>
        <brk id="14" max="1048575" man="1"/>
        <brk id="19" max="1048575" man="1"/>
        <brk id="24" max="1048575" man="1"/>
      </colBreaks>
      <pageMargins left="0" right="0" top="0" bottom="0" header="0" footer="0"/>
      <pageSetup paperSize="3" scale="75" fitToWidth="0" fitToHeight="2" pageOrder="overThenDown" orientation="landscape"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pageMargins left="0.45" right="0" top="0.75" bottom="0.75" header="0.3" footer="0.3"/>
  <pageSetup paperSize="3" scale="44" fitToWidth="0" fitToHeight="2" orientation="portrait" r:id="rId4"/>
  <headerFooter>
    <oddHeader>&amp;R&amp;"Arial Narrow,Regular"&amp;10&amp;A
&amp;P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2A46-85C5-4C6F-83C3-E565156B3B04}">
  <sheetPr>
    <tabColor theme="7" tint="0.39997558519241921"/>
  </sheetPr>
  <dimension ref="A1:F33"/>
  <sheetViews>
    <sheetView workbookViewId="0"/>
  </sheetViews>
  <sheetFormatPr defaultColWidth="8.7109375" defaultRowHeight="16.5" x14ac:dyDescent="0.25"/>
  <cols>
    <col min="1" max="1" width="8.7109375" style="11"/>
    <col min="2" max="2" width="10.7109375" style="11" customWidth="1"/>
    <col min="3" max="3" width="14.5703125" style="1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1473</v>
      </c>
    </row>
    <row r="5" spans="1:6" x14ac:dyDescent="0.25">
      <c r="A5" s="59" t="s">
        <v>1233</v>
      </c>
      <c r="B5" s="59"/>
      <c r="C5" s="59"/>
      <c r="D5" s="59"/>
      <c r="F5" s="59" t="s">
        <v>73</v>
      </c>
    </row>
    <row r="6" spans="1:6" x14ac:dyDescent="0.25">
      <c r="A6" s="58" t="s">
        <v>1294</v>
      </c>
      <c r="B6" s="58"/>
    </row>
    <row r="7" spans="1:6" ht="82.5" x14ac:dyDescent="0.25">
      <c r="A7" s="11" t="s">
        <v>1295</v>
      </c>
      <c r="B7" s="11" t="s">
        <v>1238</v>
      </c>
      <c r="D7" s="2094" t="s">
        <v>1474</v>
      </c>
    </row>
    <row r="8" spans="1:6" ht="132" x14ac:dyDescent="0.25">
      <c r="A8" s="58"/>
      <c r="B8" s="58"/>
      <c r="C8" s="11" t="s">
        <v>1251</v>
      </c>
      <c r="D8" s="2094" t="s">
        <v>1545</v>
      </c>
    </row>
    <row r="9" spans="1:6" ht="99" x14ac:dyDescent="0.25">
      <c r="A9" s="58"/>
      <c r="B9" s="11" t="s">
        <v>1546</v>
      </c>
      <c r="D9" s="2094" t="s">
        <v>1547</v>
      </c>
      <c r="F9" s="2094" t="s">
        <v>1548</v>
      </c>
    </row>
    <row r="10" spans="1:6" ht="66" x14ac:dyDescent="0.25">
      <c r="A10" s="58"/>
      <c r="B10" s="58"/>
      <c r="C10" s="11" t="s">
        <v>1240</v>
      </c>
      <c r="D10" s="2094" t="s">
        <v>1549</v>
      </c>
      <c r="F10" s="2094" t="s">
        <v>1550</v>
      </c>
    </row>
    <row r="11" spans="1:6" ht="99" x14ac:dyDescent="0.25">
      <c r="A11" s="58"/>
      <c r="B11" s="58"/>
      <c r="C11" s="11" t="s">
        <v>1551</v>
      </c>
      <c r="D11" s="2094" t="s">
        <v>1552</v>
      </c>
      <c r="F11" s="2094" t="s">
        <v>1553</v>
      </c>
    </row>
    <row r="12" spans="1:6" ht="87.4" customHeight="1" x14ac:dyDescent="0.25">
      <c r="A12" s="58"/>
      <c r="B12" s="58"/>
      <c r="C12" s="11" t="s">
        <v>1554</v>
      </c>
      <c r="D12" s="2094" t="s">
        <v>1555</v>
      </c>
      <c r="F12" s="2094" t="s">
        <v>1556</v>
      </c>
    </row>
    <row r="13" spans="1:6" x14ac:dyDescent="0.25">
      <c r="A13" s="58"/>
      <c r="B13" s="58"/>
    </row>
    <row r="14" spans="1:6" x14ac:dyDescent="0.25">
      <c r="A14" s="58"/>
      <c r="B14" s="58"/>
    </row>
    <row r="15" spans="1:6" x14ac:dyDescent="0.25">
      <c r="A15" s="58"/>
      <c r="B15" s="58"/>
    </row>
    <row r="17" spans="1:6" x14ac:dyDescent="0.25">
      <c r="A17" s="59" t="s">
        <v>1298</v>
      </c>
      <c r="B17" s="59"/>
      <c r="C17" s="59"/>
      <c r="D17" s="59"/>
      <c r="F17" s="59" t="s">
        <v>73</v>
      </c>
    </row>
    <row r="19" spans="1:6" x14ac:dyDescent="0.25">
      <c r="A19" s="7" t="s">
        <v>1299</v>
      </c>
      <c r="D19" s="60" t="s">
        <v>1300</v>
      </c>
      <c r="E19" s="60"/>
    </row>
    <row r="20" spans="1:6" x14ac:dyDescent="0.25">
      <c r="A20" s="2353"/>
      <c r="B20" s="2354"/>
      <c r="C20" s="2354"/>
      <c r="F20" s="2094"/>
    </row>
    <row r="21" spans="1:6" x14ac:dyDescent="0.25">
      <c r="A21" s="2353"/>
      <c r="B21" s="2354"/>
      <c r="C21" s="2354"/>
      <c r="F21" s="2094"/>
    </row>
    <row r="23" spans="1:6" x14ac:dyDescent="0.25">
      <c r="A23" s="59" t="s">
        <v>1306</v>
      </c>
      <c r="B23" s="59"/>
      <c r="C23" s="59"/>
      <c r="D23" s="59"/>
      <c r="F23" s="59" t="s">
        <v>73</v>
      </c>
    </row>
    <row r="25" spans="1:6" x14ac:dyDescent="0.25">
      <c r="A25" s="11" t="s">
        <v>1307</v>
      </c>
      <c r="B25" s="2353"/>
      <c r="C25" s="2354"/>
      <c r="D25" s="2354"/>
    </row>
    <row r="26" spans="1:6" x14ac:dyDescent="0.25">
      <c r="A26" s="11" t="s">
        <v>1309</v>
      </c>
      <c r="B26" s="2353"/>
      <c r="C26" s="2354"/>
      <c r="D26" s="2354"/>
    </row>
    <row r="27" spans="1:6" x14ac:dyDescent="0.25">
      <c r="A27" s="11" t="s">
        <v>1311</v>
      </c>
    </row>
    <row r="28" spans="1:6" x14ac:dyDescent="0.25">
      <c r="A28" s="11" t="s">
        <v>1313</v>
      </c>
    </row>
    <row r="30" spans="1:6" x14ac:dyDescent="0.25">
      <c r="A30" s="59" t="s">
        <v>1315</v>
      </c>
      <c r="B30" s="59"/>
      <c r="C30" s="59"/>
      <c r="D30" s="59"/>
      <c r="F30" s="59" t="s">
        <v>73</v>
      </c>
    </row>
    <row r="32" spans="1:6" x14ac:dyDescent="0.25">
      <c r="A32" s="7" t="s">
        <v>1316</v>
      </c>
      <c r="C32" s="7" t="s">
        <v>1317</v>
      </c>
    </row>
    <row r="33" spans="1:6" ht="30" customHeight="1" x14ac:dyDescent="0.25">
      <c r="A33" s="2353" t="s">
        <v>1318</v>
      </c>
      <c r="B33" s="2354"/>
      <c r="C33" s="2355" t="s">
        <v>1319</v>
      </c>
      <c r="D33" s="2356"/>
      <c r="F33" s="2094" t="s">
        <v>1320</v>
      </c>
    </row>
  </sheetData>
  <customSheetViews>
    <customSheetView guid="{CA1C9262-C0F9-4BBB-95C8-A52990BD1149}" scale="90" state="hidden" topLeftCell="A2">
      <selection activeCell="A4" sqref="A4"/>
      <pageMargins left="0" right="0" top="0" bottom="0" header="0" footer="0"/>
    </customSheetView>
    <customSheetView guid="{9F71BA88-74DF-4B45-811C-93ABE8314534}" scale="90" topLeftCell="A2">
      <selection activeCell="A4" sqref="A4"/>
      <pageMargins left="0" right="0" top="0" bottom="0" header="0" footer="0"/>
    </customSheetView>
  </customSheetViews>
  <mergeCells count="6">
    <mergeCell ref="A20:C20"/>
    <mergeCell ref="A21:C21"/>
    <mergeCell ref="B25:D25"/>
    <mergeCell ref="B26:D26"/>
    <mergeCell ref="A33:B33"/>
    <mergeCell ref="C33:D3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66C3C-7C3E-498B-A40A-B6BEA4CE17C3}">
  <sheetPr>
    <tabColor theme="7" tint="0.39997558519241921"/>
  </sheetPr>
  <dimension ref="A1:F36"/>
  <sheetViews>
    <sheetView workbookViewId="0"/>
  </sheetViews>
  <sheetFormatPr defaultColWidth="8.7109375" defaultRowHeight="16.5" x14ac:dyDescent="0.25"/>
  <cols>
    <col min="1" max="1" width="8.7109375" style="11"/>
    <col min="2" max="2" width="10.7109375" style="11" customWidth="1"/>
    <col min="3" max="3" width="12" style="11" bestFit="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1557</v>
      </c>
    </row>
    <row r="5" spans="1:6" x14ac:dyDescent="0.25">
      <c r="A5" s="59" t="s">
        <v>1233</v>
      </c>
      <c r="B5" s="59"/>
      <c r="C5" s="59"/>
      <c r="D5" s="59"/>
      <c r="F5" s="59" t="s">
        <v>73</v>
      </c>
    </row>
    <row r="6" spans="1:6" x14ac:dyDescent="0.25">
      <c r="A6" s="58" t="s">
        <v>1294</v>
      </c>
      <c r="B6" s="58"/>
    </row>
    <row r="7" spans="1:6" ht="82.5" x14ac:dyDescent="0.25">
      <c r="A7" s="11" t="s">
        <v>1295</v>
      </c>
      <c r="B7" s="11" t="s">
        <v>1238</v>
      </c>
      <c r="D7" s="2094" t="s">
        <v>1474</v>
      </c>
    </row>
    <row r="8" spans="1:6" ht="132" x14ac:dyDescent="0.25">
      <c r="A8" s="58"/>
      <c r="B8" s="58"/>
      <c r="C8" s="11" t="s">
        <v>1251</v>
      </c>
      <c r="D8" s="2094" t="s">
        <v>1545</v>
      </c>
    </row>
    <row r="9" spans="1:6" ht="99" x14ac:dyDescent="0.25">
      <c r="A9" s="58"/>
      <c r="B9" s="11" t="s">
        <v>1546</v>
      </c>
      <c r="D9" s="2094" t="s">
        <v>1547</v>
      </c>
      <c r="F9" s="2094" t="s">
        <v>1548</v>
      </c>
    </row>
    <row r="10" spans="1:6" ht="66" x14ac:dyDescent="0.25">
      <c r="A10" s="58"/>
      <c r="B10" s="58"/>
      <c r="C10" s="11" t="s">
        <v>1240</v>
      </c>
      <c r="D10" s="2094" t="s">
        <v>1558</v>
      </c>
      <c r="F10" s="2094" t="s">
        <v>1550</v>
      </c>
    </row>
    <row r="11" spans="1:6" ht="99" x14ac:dyDescent="0.25">
      <c r="A11" s="58"/>
      <c r="B11" s="58"/>
      <c r="C11" s="11" t="s">
        <v>1551</v>
      </c>
      <c r="D11" s="2094" t="s">
        <v>1552</v>
      </c>
      <c r="F11" s="2094" t="s">
        <v>1559</v>
      </c>
    </row>
    <row r="12" spans="1:6" ht="115.5" x14ac:dyDescent="0.25">
      <c r="A12" s="58"/>
      <c r="B12" s="58"/>
      <c r="C12" s="11" t="s">
        <v>1554</v>
      </c>
      <c r="D12" s="2094" t="s">
        <v>1555</v>
      </c>
      <c r="F12" s="2094" t="s">
        <v>1556</v>
      </c>
    </row>
    <row r="13" spans="1:6" ht="66" x14ac:dyDescent="0.25">
      <c r="A13" s="58"/>
      <c r="B13" s="11" t="s">
        <v>1546</v>
      </c>
      <c r="C13" s="11" t="s">
        <v>1243</v>
      </c>
      <c r="D13" s="2094" t="s">
        <v>1560</v>
      </c>
      <c r="F13" s="2094" t="s">
        <v>1561</v>
      </c>
    </row>
    <row r="14" spans="1:6" x14ac:dyDescent="0.25">
      <c r="A14" s="58"/>
      <c r="B14" s="58"/>
    </row>
    <row r="15" spans="1:6" x14ac:dyDescent="0.25">
      <c r="A15" s="58"/>
      <c r="B15" s="58"/>
    </row>
    <row r="16" spans="1:6" x14ac:dyDescent="0.25">
      <c r="A16" s="58"/>
      <c r="B16" s="58"/>
    </row>
    <row r="17" spans="1:6" x14ac:dyDescent="0.25">
      <c r="A17" s="58"/>
      <c r="B17" s="58"/>
    </row>
    <row r="18" spans="1:6" x14ac:dyDescent="0.25">
      <c r="A18" s="58"/>
      <c r="B18" s="58"/>
    </row>
    <row r="20" spans="1:6" x14ac:dyDescent="0.25">
      <c r="A20" s="59" t="s">
        <v>1298</v>
      </c>
      <c r="B20" s="59"/>
      <c r="C20" s="59"/>
      <c r="D20" s="59"/>
      <c r="F20" s="59" t="s">
        <v>73</v>
      </c>
    </row>
    <row r="22" spans="1:6" x14ac:dyDescent="0.25">
      <c r="A22" s="7" t="s">
        <v>1299</v>
      </c>
      <c r="D22" s="60" t="s">
        <v>1300</v>
      </c>
      <c r="E22" s="60"/>
    </row>
    <row r="23" spans="1:6" x14ac:dyDescent="0.25">
      <c r="A23" s="2353"/>
      <c r="B23" s="2354"/>
      <c r="C23" s="2354"/>
      <c r="F23" s="2094"/>
    </row>
    <row r="24" spans="1:6" x14ac:dyDescent="0.25">
      <c r="A24" s="2353"/>
      <c r="B24" s="2354"/>
      <c r="C24" s="2354"/>
      <c r="F24" s="2094"/>
    </row>
    <row r="26" spans="1:6" x14ac:dyDescent="0.25">
      <c r="A26" s="59" t="s">
        <v>1306</v>
      </c>
      <c r="B26" s="59"/>
      <c r="C26" s="59"/>
      <c r="D26" s="59"/>
      <c r="F26" s="59" t="s">
        <v>73</v>
      </c>
    </row>
    <row r="28" spans="1:6" x14ac:dyDescent="0.25">
      <c r="A28" s="11" t="s">
        <v>1307</v>
      </c>
      <c r="B28" s="2353"/>
      <c r="C28" s="2354"/>
      <c r="D28" s="2354"/>
    </row>
    <row r="29" spans="1:6" x14ac:dyDescent="0.25">
      <c r="A29" s="11" t="s">
        <v>1309</v>
      </c>
      <c r="B29" s="2353"/>
      <c r="C29" s="2354"/>
      <c r="D29" s="2354"/>
    </row>
    <row r="30" spans="1:6" x14ac:dyDescent="0.25">
      <c r="A30" s="11" t="s">
        <v>1311</v>
      </c>
    </row>
    <row r="31" spans="1:6" x14ac:dyDescent="0.25">
      <c r="A31" s="11" t="s">
        <v>1313</v>
      </c>
    </row>
    <row r="33" spans="1:6" x14ac:dyDescent="0.25">
      <c r="A33" s="59" t="s">
        <v>1315</v>
      </c>
      <c r="B33" s="59"/>
      <c r="C33" s="59"/>
      <c r="D33" s="59"/>
      <c r="F33" s="59" t="s">
        <v>73</v>
      </c>
    </row>
    <row r="35" spans="1:6" x14ac:dyDescent="0.25">
      <c r="A35" s="7" t="s">
        <v>1316</v>
      </c>
      <c r="C35" s="7" t="s">
        <v>1317</v>
      </c>
    </row>
    <row r="36" spans="1:6" ht="33" x14ac:dyDescent="0.25">
      <c r="A36" s="2353" t="s">
        <v>1318</v>
      </c>
      <c r="B36" s="2354"/>
      <c r="C36" s="2355" t="s">
        <v>1319</v>
      </c>
      <c r="D36" s="2356"/>
      <c r="F36" s="2094" t="s">
        <v>1320</v>
      </c>
    </row>
  </sheetData>
  <customSheetViews>
    <customSheetView guid="{CA1C9262-C0F9-4BBB-95C8-A52990BD1149}" scale="90" state="hidden" topLeftCell="A2">
      <selection activeCell="A4" sqref="A4"/>
      <pageMargins left="0" right="0" top="0" bottom="0" header="0" footer="0"/>
    </customSheetView>
    <customSheetView guid="{9F71BA88-74DF-4B45-811C-93ABE8314534}" scale="90" topLeftCell="A2">
      <selection activeCell="A4" sqref="A4"/>
      <pageMargins left="0" right="0" top="0" bottom="0" header="0" footer="0"/>
    </customSheetView>
  </customSheetViews>
  <mergeCells count="6">
    <mergeCell ref="A23:C23"/>
    <mergeCell ref="A24:C24"/>
    <mergeCell ref="B28:D28"/>
    <mergeCell ref="B29:D29"/>
    <mergeCell ref="A36:B36"/>
    <mergeCell ref="C36:D3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94D0-CACA-4823-96F9-ACDD16FDAD32}">
  <sheetPr>
    <tabColor theme="7" tint="0.39997558519241921"/>
  </sheetPr>
  <dimension ref="A1:F27"/>
  <sheetViews>
    <sheetView workbookViewId="0"/>
  </sheetViews>
  <sheetFormatPr defaultColWidth="8.7109375" defaultRowHeight="16.5" x14ac:dyDescent="0.25"/>
  <cols>
    <col min="1" max="1" width="8.7109375" style="11"/>
    <col min="2" max="2" width="10.7109375" style="11" customWidth="1"/>
    <col min="3" max="3" width="12" style="11" bestFit="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1562</v>
      </c>
    </row>
    <row r="5" spans="1:6" x14ac:dyDescent="0.25">
      <c r="A5" s="59" t="s">
        <v>1233</v>
      </c>
      <c r="B5" s="59"/>
      <c r="C5" s="59"/>
      <c r="D5" s="59"/>
      <c r="F5" s="59" t="s">
        <v>73</v>
      </c>
    </row>
    <row r="6" spans="1:6" x14ac:dyDescent="0.25">
      <c r="A6" s="58" t="s">
        <v>1294</v>
      </c>
      <c r="B6" s="58"/>
    </row>
    <row r="7" spans="1:6" ht="66" x14ac:dyDescent="0.25">
      <c r="A7" s="11" t="s">
        <v>1295</v>
      </c>
      <c r="B7" s="11" t="s">
        <v>1546</v>
      </c>
      <c r="D7" s="2094" t="s">
        <v>1563</v>
      </c>
      <c r="F7" s="2094" t="s">
        <v>1564</v>
      </c>
    </row>
    <row r="8" spans="1:6" x14ac:dyDescent="0.25">
      <c r="A8" s="58"/>
      <c r="B8" s="58"/>
    </row>
    <row r="9" spans="1:6" x14ac:dyDescent="0.25">
      <c r="A9" s="58"/>
      <c r="B9" s="58"/>
    </row>
    <row r="11" spans="1:6" x14ac:dyDescent="0.25">
      <c r="A11" s="59" t="s">
        <v>1298</v>
      </c>
      <c r="B11" s="59"/>
      <c r="C11" s="59"/>
      <c r="D11" s="59"/>
      <c r="F11" s="59" t="s">
        <v>73</v>
      </c>
    </row>
    <row r="13" spans="1:6" x14ac:dyDescent="0.25">
      <c r="A13" s="7" t="s">
        <v>1299</v>
      </c>
      <c r="D13" s="60" t="s">
        <v>1300</v>
      </c>
      <c r="E13" s="60"/>
    </row>
    <row r="14" spans="1:6" x14ac:dyDescent="0.25">
      <c r="A14" s="2353"/>
      <c r="B14" s="2354"/>
      <c r="C14" s="2354"/>
      <c r="F14" s="2094"/>
    </row>
    <row r="15" spans="1:6" x14ac:dyDescent="0.25">
      <c r="A15" s="2353"/>
      <c r="B15" s="2354"/>
      <c r="C15" s="2354"/>
      <c r="F15" s="2094"/>
    </row>
    <row r="17" spans="1:6" x14ac:dyDescent="0.25">
      <c r="A17" s="59" t="s">
        <v>1306</v>
      </c>
      <c r="B17" s="59"/>
      <c r="C17" s="59"/>
      <c r="D17" s="59"/>
      <c r="F17" s="59" t="s">
        <v>73</v>
      </c>
    </row>
    <row r="19" spans="1:6" x14ac:dyDescent="0.25">
      <c r="A19" s="11" t="s">
        <v>1307</v>
      </c>
      <c r="B19" s="2353"/>
      <c r="C19" s="2354"/>
      <c r="D19" s="2354"/>
    </row>
    <row r="20" spans="1:6" x14ac:dyDescent="0.25">
      <c r="A20" s="11" t="s">
        <v>1309</v>
      </c>
      <c r="B20" s="2353"/>
      <c r="C20" s="2354"/>
      <c r="D20" s="2354"/>
    </row>
    <row r="21" spans="1:6" x14ac:dyDescent="0.25">
      <c r="A21" s="11" t="s">
        <v>1311</v>
      </c>
    </row>
    <row r="22" spans="1:6" x14ac:dyDescent="0.25">
      <c r="A22" s="11" t="s">
        <v>1313</v>
      </c>
    </row>
    <row r="24" spans="1:6" x14ac:dyDescent="0.25">
      <c r="A24" s="59" t="s">
        <v>1315</v>
      </c>
      <c r="B24" s="59"/>
      <c r="C24" s="59"/>
      <c r="D24" s="59"/>
      <c r="F24" s="59" t="s">
        <v>73</v>
      </c>
    </row>
    <row r="26" spans="1:6" x14ac:dyDescent="0.25">
      <c r="A26" s="7" t="s">
        <v>1316</v>
      </c>
      <c r="C26" s="7" t="s">
        <v>1317</v>
      </c>
    </row>
    <row r="27" spans="1:6" ht="33" x14ac:dyDescent="0.25">
      <c r="A27" s="2353" t="s">
        <v>1318</v>
      </c>
      <c r="B27" s="2354"/>
      <c r="C27" s="2355" t="s">
        <v>1319</v>
      </c>
      <c r="D27" s="2356"/>
      <c r="F27" s="2094" t="s">
        <v>1320</v>
      </c>
    </row>
  </sheetData>
  <customSheetViews>
    <customSheetView guid="{CA1C9262-C0F9-4BBB-95C8-A52990BD1149}" scale="90" state="hidden" topLeftCell="A2">
      <selection activeCell="A4" sqref="A4"/>
      <pageMargins left="0" right="0" top="0" bottom="0" header="0" footer="0"/>
    </customSheetView>
    <customSheetView guid="{9F71BA88-74DF-4B45-811C-93ABE8314534}" scale="90" topLeftCell="A2">
      <selection activeCell="A4" sqref="A4"/>
      <pageMargins left="0" right="0" top="0" bottom="0" header="0" footer="0"/>
    </customSheetView>
  </customSheetViews>
  <mergeCells count="6">
    <mergeCell ref="A14:C14"/>
    <mergeCell ref="A15:C15"/>
    <mergeCell ref="B19:D19"/>
    <mergeCell ref="B20:D20"/>
    <mergeCell ref="A27:B27"/>
    <mergeCell ref="C27:D2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BAC9D-EA60-4950-B3FB-DD8EF864E489}">
  <sheetPr codeName="Sheet305">
    <tabColor theme="6"/>
    <pageSetUpPr autoPageBreaks="0" fitToPage="1"/>
  </sheetPr>
  <dimension ref="A1:O116"/>
  <sheetViews>
    <sheetView workbookViewId="0">
      <selection activeCell="I20" sqref="I20"/>
    </sheetView>
  </sheetViews>
  <sheetFormatPr defaultColWidth="8.7109375" defaultRowHeight="16.5" x14ac:dyDescent="0.3"/>
  <cols>
    <col min="1" max="1" width="7.42578125" style="9" customWidth="1"/>
    <col min="2" max="2" width="41" style="9" customWidth="1"/>
    <col min="3" max="3" width="17" style="10" bestFit="1" customWidth="1"/>
    <col min="4" max="4" width="17.140625" style="10" bestFit="1" customWidth="1"/>
    <col min="5" max="5" width="16.5703125" style="10" bestFit="1" customWidth="1"/>
    <col min="6" max="6" width="2.5703125" style="1427" customWidth="1"/>
    <col min="7" max="7" width="17.42578125" style="10" customWidth="1"/>
    <col min="8" max="8" width="15.5703125" style="10" bestFit="1" customWidth="1"/>
    <col min="9" max="9" width="15.7109375" style="10" bestFit="1" customWidth="1"/>
    <col min="10" max="10" width="14.7109375" style="9" customWidth="1"/>
    <col min="11" max="11" width="15.28515625" style="9" customWidth="1"/>
    <col min="12" max="12" width="13.140625" style="10" customWidth="1"/>
    <col min="13" max="13" width="15.140625" style="10" customWidth="1"/>
    <col min="14" max="14" width="17" style="10" bestFit="1" customWidth="1"/>
    <col min="15" max="15" width="14.7109375" style="9" bestFit="1" customWidth="1"/>
    <col min="16" max="16" width="4.5703125" style="9" customWidth="1"/>
    <col min="17" max="16384" width="8.7109375" style="9"/>
  </cols>
  <sheetData>
    <row r="1" spans="1:15" s="4" customFormat="1" x14ac:dyDescent="0.3">
      <c r="A1" s="4" t="s">
        <v>15</v>
      </c>
      <c r="F1" s="1427"/>
    </row>
    <row r="2" spans="1:15" x14ac:dyDescent="0.3">
      <c r="A2" s="9" t="str">
        <f>CONCATENATE("Pupil Center Funding Plan | FY",'1.1 Assumption Control YR1'!D5)</f>
        <v>Pupil Center Funding Plan | FY2026</v>
      </c>
      <c r="C2" s="9"/>
      <c r="D2" s="9"/>
      <c r="E2" s="9"/>
      <c r="G2" s="9"/>
      <c r="H2" s="9"/>
      <c r="I2" s="9"/>
      <c r="L2" s="35" t="s">
        <v>2283</v>
      </c>
      <c r="M2" s="35" t="s">
        <v>2284</v>
      </c>
      <c r="N2" s="9"/>
    </row>
    <row r="3" spans="1:15" x14ac:dyDescent="0.3">
      <c r="A3" s="9" t="s">
        <v>1565</v>
      </c>
      <c r="C3" s="9"/>
      <c r="D3" s="9"/>
      <c r="E3" s="9"/>
      <c r="G3" s="9"/>
      <c r="H3" s="9"/>
      <c r="I3" s="9"/>
      <c r="K3" s="9" t="s">
        <v>2285</v>
      </c>
      <c r="L3" s="22">
        <f>'1.1 Assumption Control YR1'!E54</f>
        <v>9416</v>
      </c>
      <c r="M3" s="22">
        <f>'5.1 Assumption Control YR2'!E54</f>
        <v>9486</v>
      </c>
      <c r="N3" s="9"/>
    </row>
    <row r="4" spans="1:15" x14ac:dyDescent="0.3">
      <c r="C4" s="9"/>
      <c r="D4" s="9"/>
      <c r="E4" s="9"/>
      <c r="G4" s="4" t="s">
        <v>1566</v>
      </c>
      <c r="H4" s="9"/>
      <c r="I4" s="9"/>
      <c r="L4" s="9"/>
      <c r="M4" s="9"/>
      <c r="N4" s="9"/>
    </row>
    <row r="5" spans="1:15" s="4" customFormat="1" ht="17.25" thickBot="1" x14ac:dyDescent="0.35">
      <c r="C5" s="17" t="s">
        <v>1331</v>
      </c>
      <c r="D5" s="17" t="s">
        <v>1332</v>
      </c>
      <c r="E5" s="18" t="s">
        <v>1333</v>
      </c>
      <c r="F5" s="1427"/>
      <c r="H5" s="699" t="s">
        <v>1567</v>
      </c>
      <c r="I5" s="6" t="s">
        <v>1568</v>
      </c>
      <c r="L5" s="6"/>
      <c r="M5" s="699"/>
      <c r="N5" s="699" t="s">
        <v>1569</v>
      </c>
      <c r="O5" s="4" t="s">
        <v>1568</v>
      </c>
    </row>
    <row r="6" spans="1:15" ht="15.75" customHeight="1" thickTop="1" thickBot="1" x14ac:dyDescent="0.35">
      <c r="B6" s="17" t="s">
        <v>1336</v>
      </c>
      <c r="C6" s="849">
        <f>'2.7 Weighted Funding YR1'!E6</f>
        <v>0</v>
      </c>
      <c r="D6" s="850">
        <f>E35</f>
        <v>0</v>
      </c>
      <c r="E6" s="851">
        <f>C6-D6</f>
        <v>0</v>
      </c>
      <c r="G6" s="6" t="s">
        <v>1570</v>
      </c>
      <c r="H6" s="615">
        <f>H7+I6</f>
        <v>-510</v>
      </c>
      <c r="I6" s="2264">
        <v>-510</v>
      </c>
      <c r="J6" s="674" t="s">
        <v>1571</v>
      </c>
      <c r="L6" s="43">
        <f>'6.8 Alloc of Residual Rev. YR2'!C6</f>
        <v>0</v>
      </c>
      <c r="M6" s="6" t="s">
        <v>1570</v>
      </c>
      <c r="N6" s="615">
        <f>O6+N7</f>
        <v>-442</v>
      </c>
      <c r="O6" s="2264">
        <v>-442</v>
      </c>
    </row>
    <row r="7" spans="1:15" ht="14.65" customHeight="1" thickTop="1" x14ac:dyDescent="0.3">
      <c r="B7" s="17"/>
      <c r="G7" s="10" t="s">
        <v>1572</v>
      </c>
      <c r="H7" s="834">
        <v>0</v>
      </c>
      <c r="K7" s="10"/>
      <c r="M7" s="814" t="str">
        <f>G7</f>
        <v>Original increase</v>
      </c>
      <c r="N7" s="835">
        <v>0</v>
      </c>
      <c r="O7" s="12"/>
    </row>
    <row r="8" spans="1:15" x14ac:dyDescent="0.3">
      <c r="B8" s="17"/>
      <c r="C8" s="2016"/>
      <c r="D8" s="2016"/>
      <c r="E8" s="2017" t="s">
        <v>1573</v>
      </c>
      <c r="G8" s="273" t="s">
        <v>1574</v>
      </c>
      <c r="H8" s="274"/>
      <c r="I8" s="274"/>
      <c r="J8" s="226"/>
      <c r="K8" s="274"/>
      <c r="L8" s="274"/>
      <c r="M8" s="275"/>
      <c r="N8" s="9"/>
    </row>
    <row r="9" spans="1:15" x14ac:dyDescent="0.3">
      <c r="C9" s="118" t="s">
        <v>1575</v>
      </c>
      <c r="D9" s="118" t="s">
        <v>1576</v>
      </c>
      <c r="E9" s="118" t="s">
        <v>1575</v>
      </c>
      <c r="G9" s="97" t="s">
        <v>1575</v>
      </c>
      <c r="H9" s="2018"/>
      <c r="I9" s="17" t="s">
        <v>1577</v>
      </c>
      <c r="J9" s="2018"/>
      <c r="K9" s="202"/>
      <c r="L9" s="2018"/>
      <c r="M9" s="112"/>
      <c r="N9" s="9"/>
    </row>
    <row r="10" spans="1:15" x14ac:dyDescent="0.3">
      <c r="C10" s="101" t="s">
        <v>1578</v>
      </c>
      <c r="D10" s="101" t="s">
        <v>1578</v>
      </c>
      <c r="E10" s="101" t="s">
        <v>1578</v>
      </c>
      <c r="G10" s="90" t="s">
        <v>1578</v>
      </c>
      <c r="H10" s="101" t="s">
        <v>1579</v>
      </c>
      <c r="I10" s="91" t="s">
        <v>1580</v>
      </c>
      <c r="J10" s="101" t="s">
        <v>1581</v>
      </c>
      <c r="K10" s="91"/>
      <c r="L10" s="101" t="s">
        <v>1582</v>
      </c>
      <c r="M10" s="92" t="s">
        <v>156</v>
      </c>
      <c r="N10" s="9"/>
    </row>
    <row r="11" spans="1:15" x14ac:dyDescent="0.3">
      <c r="A11" s="4"/>
      <c r="C11" s="101" t="s">
        <v>1470</v>
      </c>
      <c r="D11" s="101" t="s">
        <v>1470</v>
      </c>
      <c r="E11" s="101" t="s">
        <v>1470</v>
      </c>
      <c r="G11" s="90" t="s">
        <v>1470</v>
      </c>
      <c r="H11" s="101" t="s">
        <v>1583</v>
      </c>
      <c r="I11" s="91" t="s">
        <v>1584</v>
      </c>
      <c r="J11" s="101" t="s">
        <v>1585</v>
      </c>
      <c r="K11" s="91" t="s">
        <v>1586</v>
      </c>
      <c r="L11" s="101" t="s">
        <v>1587</v>
      </c>
      <c r="M11" s="92" t="s">
        <v>1470</v>
      </c>
      <c r="N11" s="9"/>
    </row>
    <row r="12" spans="1:15" s="84" customFormat="1" ht="14.65" customHeight="1" x14ac:dyDescent="0.3">
      <c r="A12" s="336"/>
      <c r="B12" s="203" t="s">
        <v>1346</v>
      </c>
      <c r="C12" s="337" t="s">
        <v>1588</v>
      </c>
      <c r="D12" s="338" t="s">
        <v>1589</v>
      </c>
      <c r="E12" s="338" t="s">
        <v>1590</v>
      </c>
      <c r="F12" s="1427"/>
      <c r="G12" s="339" t="s">
        <v>1591</v>
      </c>
      <c r="H12" s="337" t="s">
        <v>1592</v>
      </c>
      <c r="I12" s="340" t="s">
        <v>1453</v>
      </c>
      <c r="J12" s="337" t="s">
        <v>186</v>
      </c>
      <c r="K12" s="340" t="s">
        <v>186</v>
      </c>
      <c r="L12" s="337" t="s">
        <v>186</v>
      </c>
      <c r="M12" s="341" t="s">
        <v>1593</v>
      </c>
      <c r="N12" s="84" t="s">
        <v>156</v>
      </c>
    </row>
    <row r="13" spans="1:15" x14ac:dyDescent="0.3">
      <c r="A13" s="4" t="s">
        <v>1228</v>
      </c>
      <c r="C13" s="104"/>
      <c r="D13" s="104"/>
      <c r="E13" s="104"/>
      <c r="G13" s="99"/>
      <c r="H13" s="104"/>
      <c r="I13" s="89"/>
      <c r="J13" s="104"/>
      <c r="K13" s="89"/>
      <c r="L13" s="104"/>
      <c r="M13" s="100"/>
      <c r="N13" s="9" t="s">
        <v>1594</v>
      </c>
    </row>
    <row r="14" spans="1:15" x14ac:dyDescent="0.3">
      <c r="B14" s="112" t="str">
        <f>'1.2 Budgeted Enrollment YR1'!E9</f>
        <v>Carson City</v>
      </c>
      <c r="C14" s="354">
        <f>'2.6 Adj. Base Summary YR1'!G15</f>
        <v>70657231</v>
      </c>
      <c r="D14" s="1923">
        <f>C14/$C$35</f>
        <v>1.5623923073344443E-2</v>
      </c>
      <c r="E14" s="375">
        <f>ROUND(D14*$C$6,2)</f>
        <v>0</v>
      </c>
      <c r="F14" s="1830"/>
      <c r="G14" s="380">
        <f>ROUND(IF(F14&gt;0,F14)+C14+E14,2)</f>
        <v>70657231</v>
      </c>
      <c r="H14" s="354">
        <f>ROUND('2.1 Auxiliary Services YR1'!J12,2)</f>
        <v>3203204</v>
      </c>
      <c r="I14" s="154">
        <f>ROUND('2.2 Spec Ed Local YR1'!L9,2)</f>
        <v>6741119</v>
      </c>
      <c r="J14" s="354">
        <f>ROUND('2.7 Weighted Funding YR1'!E18,2)</f>
        <v>3310632</v>
      </c>
      <c r="K14" s="154">
        <f>ROUND('2.7 Weighted Funding YR1'!I18,2)</f>
        <v>729565</v>
      </c>
      <c r="L14" s="354">
        <f>ROUND('2.7 Weighted Funding YR1'!M18,2)</f>
        <v>322574</v>
      </c>
      <c r="M14" s="402">
        <f>ROUND(SUM(G14:L14),0)</f>
        <v>84964325</v>
      </c>
      <c r="N14" s="12">
        <f>SUM(C14,H14,I14,J14,K14,L14)</f>
        <v>84964325</v>
      </c>
    </row>
    <row r="15" spans="1:15" x14ac:dyDescent="0.3">
      <c r="B15" s="112" t="str">
        <f>'1.2 Budgeted Enrollment YR1'!E10</f>
        <v>Churchill</v>
      </c>
      <c r="C15" s="354">
        <f>'2.6 Adj. Base Summary YR1'!G16</f>
        <v>33151831</v>
      </c>
      <c r="D15" s="1923">
        <f t="shared" ref="D15:D30" si="0">C15/$C$35</f>
        <v>7.3306249049657152E-3</v>
      </c>
      <c r="E15" s="375">
        <f t="shared" ref="E15:E30" si="1">ROUND(D15*$C$6,2)</f>
        <v>0</v>
      </c>
      <c r="F15" s="1830"/>
      <c r="G15" s="380">
        <f t="shared" ref="G15:G30" si="2">ROUND(IF(F15&gt;0,F15)+C15+E15,2)</f>
        <v>33151831</v>
      </c>
      <c r="H15" s="354">
        <f>ROUND('2.1 Auxiliary Services YR1'!J13,2)</f>
        <v>1665797</v>
      </c>
      <c r="I15" s="154">
        <f>ROUND('2.2 Spec Ed Local YR1'!L10,2)</f>
        <v>2215685</v>
      </c>
      <c r="J15" s="354">
        <f>ROUND('2.7 Weighted Funding YR1'!E19,2)</f>
        <v>483862</v>
      </c>
      <c r="K15" s="154">
        <f>ROUND('2.7 Weighted Funding YR1'!I19,2)</f>
        <v>287204</v>
      </c>
      <c r="L15" s="354">
        <f>ROUND('2.7 Weighted Funding YR1'!M19,2)</f>
        <v>0</v>
      </c>
      <c r="M15" s="402">
        <f t="shared" ref="M15:M35" si="3">ROUND(SUM(G15:L15),0)</f>
        <v>37804379</v>
      </c>
      <c r="N15" s="12">
        <f t="shared" ref="N15:N31" si="4">SUM(C15,H15,I15,J15,K15,L15)</f>
        <v>37804379</v>
      </c>
    </row>
    <row r="16" spans="1:15" x14ac:dyDescent="0.3">
      <c r="B16" s="112" t="str">
        <f>'1.2 Budgeted Enrollment YR1'!E11</f>
        <v>Clark</v>
      </c>
      <c r="C16" s="354">
        <f>'2.6 Adj. Base Summary YR1'!G17</f>
        <v>2720666567</v>
      </c>
      <c r="D16" s="1923">
        <f t="shared" si="0"/>
        <v>0.60160134425630285</v>
      </c>
      <c r="E16" s="375">
        <f t="shared" si="1"/>
        <v>0</v>
      </c>
      <c r="F16" s="1830"/>
      <c r="G16" s="380">
        <f t="shared" si="2"/>
        <v>2720666567</v>
      </c>
      <c r="H16" s="354">
        <f>ROUND('2.1 Auxiliary Services YR1'!J14,2)</f>
        <v>135130854</v>
      </c>
      <c r="I16" s="154">
        <f>ROUND('2.2 Spec Ed Local YR1'!L11,2)</f>
        <v>453025801</v>
      </c>
      <c r="J16" s="354">
        <f>ROUND('2.7 Weighted Funding YR1'!E20,2)</f>
        <v>164801563</v>
      </c>
      <c r="K16" s="154">
        <f>ROUND('2.7 Weighted Funding YR1'!I20,2)</f>
        <v>137574209</v>
      </c>
      <c r="L16" s="354">
        <f>ROUND('2.7 Weighted Funding YR1'!M20,2)</f>
        <v>6152682</v>
      </c>
      <c r="M16" s="402">
        <f t="shared" si="3"/>
        <v>3617351676</v>
      </c>
      <c r="N16" s="12">
        <f t="shared" si="4"/>
        <v>3617351676</v>
      </c>
    </row>
    <row r="17" spans="1:14" x14ac:dyDescent="0.3">
      <c r="B17" s="112" t="str">
        <f>'1.2 Budgeted Enrollment YR1'!E12</f>
        <v>Douglas</v>
      </c>
      <c r="C17" s="354">
        <f>'2.6 Adj. Base Summary YR1'!G18</f>
        <v>50969723</v>
      </c>
      <c r="D17" s="1923">
        <f t="shared" si="0"/>
        <v>1.1270566649033769E-2</v>
      </c>
      <c r="E17" s="375">
        <f t="shared" si="1"/>
        <v>0</v>
      </c>
      <c r="F17" s="1830"/>
      <c r="G17" s="380">
        <f t="shared" si="2"/>
        <v>50969723</v>
      </c>
      <c r="H17" s="354">
        <f>ROUND('2.1 Auxiliary Services YR1'!J15,2)</f>
        <v>3977265</v>
      </c>
      <c r="I17" s="154">
        <f>ROUND('2.2 Spec Ed Local YR1'!L12,2)</f>
        <v>5428400</v>
      </c>
      <c r="J17" s="354">
        <f>ROUND('2.7 Weighted Funding YR1'!E21,2)</f>
        <v>683348</v>
      </c>
      <c r="K17" s="154">
        <f>ROUND('2.7 Weighted Funding YR1'!I21,2)</f>
        <v>475373</v>
      </c>
      <c r="L17" s="354">
        <f>ROUND('2.7 Weighted Funding YR1'!M21,2)</f>
        <v>133557</v>
      </c>
      <c r="M17" s="402">
        <f t="shared" si="3"/>
        <v>61667666</v>
      </c>
      <c r="N17" s="12">
        <f t="shared" si="4"/>
        <v>61667666</v>
      </c>
    </row>
    <row r="18" spans="1:14" x14ac:dyDescent="0.3">
      <c r="B18" s="112" t="str">
        <f>'1.2 Budgeted Enrollment YR1'!E13</f>
        <v>Elko</v>
      </c>
      <c r="C18" s="354">
        <f>'2.6 Adj. Base Summary YR1'!G19</f>
        <v>107837710</v>
      </c>
      <c r="D18" s="1923">
        <f t="shared" si="0"/>
        <v>2.3845373808175793E-2</v>
      </c>
      <c r="E18" s="375">
        <f t="shared" si="1"/>
        <v>0</v>
      </c>
      <c r="F18" s="1830"/>
      <c r="G18" s="380">
        <f>ROUND(IF(F18&gt;0,F18)+C18+E18,2)</f>
        <v>107837710</v>
      </c>
      <c r="H18" s="354">
        <f>ROUND('2.1 Auxiliary Services YR1'!J16,2)</f>
        <v>5952147</v>
      </c>
      <c r="I18" s="154">
        <f>ROUND('2.2 Spec Ed Local YR1'!L13,2)</f>
        <v>6815778</v>
      </c>
      <c r="J18" s="354">
        <f>ROUND('2.7 Weighted Funding YR1'!E22,2)</f>
        <v>2839504</v>
      </c>
      <c r="K18" s="154">
        <f>ROUND('2.7 Weighted Funding YR1'!I22,2)</f>
        <v>1492142</v>
      </c>
      <c r="L18" s="354">
        <f>ROUND('2.7 Weighted Funding YR1'!M22,2)</f>
        <v>43010</v>
      </c>
      <c r="M18" s="402">
        <f t="shared" si="3"/>
        <v>124980291</v>
      </c>
      <c r="N18" s="12">
        <f t="shared" si="4"/>
        <v>124980291</v>
      </c>
    </row>
    <row r="19" spans="1:14" x14ac:dyDescent="0.3">
      <c r="B19" s="112" t="str">
        <f>'1.2 Budgeted Enrollment YR1'!E14</f>
        <v>Esmeralda</v>
      </c>
      <c r="C19" s="354">
        <f>'2.6 Adj. Base Summary YR1'!G20</f>
        <v>1992589</v>
      </c>
      <c r="D19" s="1923">
        <f t="shared" si="0"/>
        <v>4.406068113933354E-4</v>
      </c>
      <c r="E19" s="375">
        <f t="shared" si="1"/>
        <v>0</v>
      </c>
      <c r="F19" s="1830"/>
      <c r="G19" s="380">
        <f t="shared" si="2"/>
        <v>1992589</v>
      </c>
      <c r="H19" s="354">
        <f>ROUND('2.1 Auxiliary Services YR1'!J17,2)</f>
        <v>463206</v>
      </c>
      <c r="I19" s="154">
        <f>ROUND('2.2 Spec Ed Local YR1'!L14,2)</f>
        <v>38569</v>
      </c>
      <c r="J19" s="354">
        <f>ROUND('2.7 Weighted Funding YR1'!E23,2)</f>
        <v>46688</v>
      </c>
      <c r="K19" s="154">
        <f>ROUND('2.7 Weighted Funding YR1'!I23,2)</f>
        <v>3301</v>
      </c>
      <c r="L19" s="354">
        <f>ROUND('2.7 Weighted Funding YR1'!M23,2)</f>
        <v>0</v>
      </c>
      <c r="M19" s="402">
        <f t="shared" si="3"/>
        <v>2544353</v>
      </c>
      <c r="N19" s="12">
        <f t="shared" si="4"/>
        <v>2544353</v>
      </c>
    </row>
    <row r="20" spans="1:14" x14ac:dyDescent="0.3">
      <c r="B20" s="112" t="str">
        <f>'1.2 Budgeted Enrollment YR1'!E15</f>
        <v>Eureka</v>
      </c>
      <c r="C20" s="354">
        <f>'2.6 Adj. Base Summary YR1'!G21</f>
        <v>5287122</v>
      </c>
      <c r="D20" s="1923">
        <f t="shared" si="0"/>
        <v>1.1691030944502626E-3</v>
      </c>
      <c r="E20" s="375">
        <f t="shared" si="1"/>
        <v>0</v>
      </c>
      <c r="F20" s="1830"/>
      <c r="G20" s="380">
        <f t="shared" si="2"/>
        <v>5287122</v>
      </c>
      <c r="H20" s="354">
        <f>ROUND('2.1 Auxiliary Services YR1'!J18,2)</f>
        <v>1123640</v>
      </c>
      <c r="I20" s="154">
        <f>ROUND('2.2 Spec Ed Local YR1'!L15,2)</f>
        <v>0</v>
      </c>
      <c r="J20" s="354">
        <f>ROUND('2.7 Weighted Funding YR1'!E24,2)</f>
        <v>16978</v>
      </c>
      <c r="K20" s="154">
        <f>ROUND('2.7 Weighted Funding YR1'!I24,2)</f>
        <v>3301</v>
      </c>
      <c r="L20" s="354">
        <f>ROUND('2.7 Weighted Funding YR1'!M24,2)</f>
        <v>0</v>
      </c>
      <c r="M20" s="402">
        <f t="shared" si="3"/>
        <v>6431041</v>
      </c>
      <c r="N20" s="12">
        <f t="shared" si="4"/>
        <v>6431041</v>
      </c>
    </row>
    <row r="21" spans="1:14" x14ac:dyDescent="0.3">
      <c r="B21" s="112" t="str">
        <f>'1.2 Budgeted Enrollment YR1'!E16</f>
        <v>Humboldt</v>
      </c>
      <c r="C21" s="354">
        <f>'2.6 Adj. Base Summary YR1'!G22</f>
        <v>36425116</v>
      </c>
      <c r="D21" s="1923">
        <f t="shared" si="0"/>
        <v>8.0544227712751413E-3</v>
      </c>
      <c r="E21" s="375">
        <f t="shared" si="1"/>
        <v>0</v>
      </c>
      <c r="F21" s="1830"/>
      <c r="G21" s="380">
        <f t="shared" si="2"/>
        <v>36425116</v>
      </c>
      <c r="H21" s="354">
        <f>ROUND('2.1 Auxiliary Services YR1'!J19,2)</f>
        <v>2021109</v>
      </c>
      <c r="I21" s="154">
        <f>ROUND('2.2 Spec Ed Local YR1'!L16,2)</f>
        <v>3147883</v>
      </c>
      <c r="J21" s="354">
        <f>ROUND('2.7 Weighted Funding YR1'!E25,2)</f>
        <v>836147</v>
      </c>
      <c r="K21" s="154">
        <f>ROUND('2.7 Weighted Funding YR1'!I25,2)</f>
        <v>349927</v>
      </c>
      <c r="L21" s="354">
        <f>ROUND('2.7 Weighted Funding YR1'!M25,2)</f>
        <v>0</v>
      </c>
      <c r="M21" s="402">
        <f t="shared" si="3"/>
        <v>42780182</v>
      </c>
      <c r="N21" s="12">
        <f t="shared" si="4"/>
        <v>42780182</v>
      </c>
    </row>
    <row r="22" spans="1:14" x14ac:dyDescent="0.3">
      <c r="B22" s="112" t="str">
        <f>'1.2 Budgeted Enrollment YR1'!E17</f>
        <v>Lander</v>
      </c>
      <c r="C22" s="354">
        <f>'2.6 Adj. Base Summary YR1'!G23</f>
        <v>13704383</v>
      </c>
      <c r="D22" s="1923">
        <f t="shared" si="0"/>
        <v>3.0303512142960901E-3</v>
      </c>
      <c r="E22" s="375">
        <f t="shared" si="1"/>
        <v>0</v>
      </c>
      <c r="F22" s="1830"/>
      <c r="G22" s="380">
        <f t="shared" si="2"/>
        <v>13704383</v>
      </c>
      <c r="H22" s="354">
        <f>ROUND('2.1 Auxiliary Services YR1'!J20,2)</f>
        <v>416029</v>
      </c>
      <c r="I22" s="154">
        <f>ROUND('2.2 Spec Ed Local YR1'!L17,2)</f>
        <v>828068</v>
      </c>
      <c r="J22" s="354">
        <f>ROUND('2.7 Weighted Funding YR1'!E26,2)</f>
        <v>165532</v>
      </c>
      <c r="K22" s="154">
        <f>ROUND('2.7 Weighted Funding YR1'!I26,2)</f>
        <v>260795</v>
      </c>
      <c r="L22" s="354">
        <f>ROUND('2.7 Weighted Funding YR1'!M26,2)</f>
        <v>0</v>
      </c>
      <c r="M22" s="402">
        <f t="shared" si="3"/>
        <v>15374807</v>
      </c>
      <c r="N22" s="12">
        <f t="shared" si="4"/>
        <v>15374807</v>
      </c>
    </row>
    <row r="23" spans="1:14" x14ac:dyDescent="0.3">
      <c r="B23" s="112" t="str">
        <f>'1.2 Budgeted Enrollment YR1'!E18</f>
        <v>Lincoln</v>
      </c>
      <c r="C23" s="354">
        <f>'2.6 Adj. Base Summary YR1'!G24</f>
        <v>14960332</v>
      </c>
      <c r="D23" s="1923">
        <f t="shared" si="0"/>
        <v>3.308070143870954E-3</v>
      </c>
      <c r="E23" s="375">
        <f t="shared" si="1"/>
        <v>0</v>
      </c>
      <c r="F23" s="1830"/>
      <c r="G23" s="380">
        <f t="shared" si="2"/>
        <v>14960332</v>
      </c>
      <c r="H23" s="354">
        <f>ROUND('2.1 Auxiliary Services YR1'!J21,2)</f>
        <v>702311</v>
      </c>
      <c r="I23" s="154">
        <f>ROUND('2.2 Spec Ed Local YR1'!L18,2)</f>
        <v>0</v>
      </c>
      <c r="J23" s="354">
        <f>ROUND('2.7 Weighted Funding YR1'!E27,2)</f>
        <v>33955</v>
      </c>
      <c r="K23" s="154">
        <f>ROUND('2.7 Weighted Funding YR1'!I27,2)</f>
        <v>135349</v>
      </c>
      <c r="L23" s="354">
        <f>ROUND('2.7 Weighted Funding YR1'!M27,2)</f>
        <v>0</v>
      </c>
      <c r="M23" s="402">
        <f t="shared" si="3"/>
        <v>15831947</v>
      </c>
      <c r="N23" s="12">
        <f t="shared" si="4"/>
        <v>15831947</v>
      </c>
    </row>
    <row r="24" spans="1:14" x14ac:dyDescent="0.3">
      <c r="B24" s="112" t="str">
        <f>'1.2 Budgeted Enrollment YR1'!E19</f>
        <v>Lyon</v>
      </c>
      <c r="C24" s="354">
        <f>'2.6 Adj. Base Summary YR1'!G25</f>
        <v>102835055</v>
      </c>
      <c r="D24" s="1923">
        <f t="shared" si="0"/>
        <v>2.2739172846486792E-2</v>
      </c>
      <c r="E24" s="375">
        <f t="shared" si="1"/>
        <v>0</v>
      </c>
      <c r="F24" s="1830"/>
      <c r="G24" s="380">
        <f t="shared" si="2"/>
        <v>102835055</v>
      </c>
      <c r="H24" s="354">
        <f>ROUND('2.1 Auxiliary Services YR1'!J22,2)</f>
        <v>5367830</v>
      </c>
      <c r="I24" s="154">
        <f>ROUND('2.2 Spec Ed Local YR1'!L19,2)</f>
        <v>11959030</v>
      </c>
      <c r="J24" s="354">
        <f>ROUND('2.7 Weighted Funding YR1'!E28,2)</f>
        <v>2274998</v>
      </c>
      <c r="K24" s="154">
        <f>ROUND('2.7 Weighted Funding YR1'!I28,2)</f>
        <v>1284167</v>
      </c>
      <c r="L24" s="354">
        <f>ROUND('2.7 Weighted Funding YR1'!M28,2)</f>
        <v>67910</v>
      </c>
      <c r="M24" s="402">
        <f t="shared" si="3"/>
        <v>123788990</v>
      </c>
      <c r="N24" s="12">
        <f t="shared" si="4"/>
        <v>123788990</v>
      </c>
    </row>
    <row r="25" spans="1:14" x14ac:dyDescent="0.3">
      <c r="B25" s="112" t="str">
        <f>'1.2 Budgeted Enrollment YR1'!E20</f>
        <v>Mineral</v>
      </c>
      <c r="C25" s="354">
        <f>'2.6 Adj. Base Summary YR1'!G26</f>
        <v>8413004</v>
      </c>
      <c r="D25" s="1923">
        <f t="shared" si="0"/>
        <v>1.8603068001877838E-3</v>
      </c>
      <c r="E25" s="375">
        <f t="shared" si="1"/>
        <v>0</v>
      </c>
      <c r="F25" s="1830"/>
      <c r="G25" s="380">
        <f t="shared" si="2"/>
        <v>8413004</v>
      </c>
      <c r="H25" s="354">
        <f>ROUND('2.1 Auxiliary Services YR1'!J23,2)</f>
        <v>588327</v>
      </c>
      <c r="I25" s="154">
        <f>ROUND('2.2 Spec Ed Local YR1'!L20,2)</f>
        <v>110574</v>
      </c>
      <c r="J25" s="354">
        <f>ROUND('2.7 Weighted Funding YR1'!E29,2)</f>
        <v>144310</v>
      </c>
      <c r="K25" s="154">
        <f>ROUND('2.7 Weighted Funding YR1'!I29,2)</f>
        <v>141952</v>
      </c>
      <c r="L25" s="354">
        <f>ROUND('2.7 Weighted Funding YR1'!M29,2)</f>
        <v>0</v>
      </c>
      <c r="M25" s="402">
        <f t="shared" si="3"/>
        <v>9398167</v>
      </c>
      <c r="N25" s="12">
        <f t="shared" si="4"/>
        <v>9398167</v>
      </c>
    </row>
    <row r="26" spans="1:14" x14ac:dyDescent="0.3">
      <c r="B26" s="112" t="str">
        <f>'1.2 Budgeted Enrollment YR1'!E21</f>
        <v>Nye</v>
      </c>
      <c r="C26" s="354">
        <f>'2.6 Adj. Base Summary YR1'!G27</f>
        <v>62444947</v>
      </c>
      <c r="D26" s="1923">
        <f t="shared" si="0"/>
        <v>1.3808000036784215E-2</v>
      </c>
      <c r="E26" s="375">
        <f t="shared" si="1"/>
        <v>0</v>
      </c>
      <c r="F26" s="1830"/>
      <c r="G26" s="380">
        <f t="shared" si="2"/>
        <v>62444947</v>
      </c>
      <c r="H26" s="354">
        <f>ROUND('2.1 Auxiliary Services YR1'!J24,2)</f>
        <v>4888451</v>
      </c>
      <c r="I26" s="154">
        <f>ROUND('2.2 Spec Ed Local YR1'!L21,2)</f>
        <v>12987281</v>
      </c>
      <c r="J26" s="354">
        <f>ROUND('2.7 Weighted Funding YR1'!E30,2)</f>
        <v>1600139</v>
      </c>
      <c r="K26" s="154">
        <f>ROUND('2.7 Weighted Funding YR1'!I30,2)</f>
        <v>894625</v>
      </c>
      <c r="L26" s="354">
        <f>ROUND('2.7 Weighted Funding YR1'!M30,2)</f>
        <v>0</v>
      </c>
      <c r="M26" s="402">
        <f t="shared" si="3"/>
        <v>82815443</v>
      </c>
      <c r="N26" s="12">
        <f t="shared" si="4"/>
        <v>82815443</v>
      </c>
    </row>
    <row r="27" spans="1:14" x14ac:dyDescent="0.3">
      <c r="B27" s="112" t="str">
        <f>'1.2 Budgeted Enrollment YR1'!E22</f>
        <v>Pershing</v>
      </c>
      <c r="C27" s="354">
        <f>'2.6 Adj. Base Summary YR1'!G28</f>
        <v>9740847</v>
      </c>
      <c r="D27" s="1923">
        <f t="shared" si="0"/>
        <v>2.1539231306307205E-3</v>
      </c>
      <c r="E27" s="375">
        <f t="shared" si="1"/>
        <v>0</v>
      </c>
      <c r="F27" s="1830"/>
      <c r="G27" s="380">
        <f t="shared" si="2"/>
        <v>9740847</v>
      </c>
      <c r="H27" s="354">
        <f>ROUND('2.1 Auxiliary Services YR1'!J25,2)</f>
        <v>944477</v>
      </c>
      <c r="I27" s="154">
        <f>ROUND('2.2 Spec Ed Local YR1'!L22,2)</f>
        <v>0</v>
      </c>
      <c r="J27" s="354">
        <f>ROUND('2.7 Weighted Funding YR1'!E31,2)</f>
        <v>123088</v>
      </c>
      <c r="K27" s="154">
        <f>ROUND('2.7 Weighted Funding YR1'!I31,2)</f>
        <v>92434</v>
      </c>
      <c r="L27" s="354">
        <f>ROUND('2.7 Weighted Funding YR1'!M31,2)</f>
        <v>0</v>
      </c>
      <c r="M27" s="402">
        <f t="shared" si="3"/>
        <v>10900846</v>
      </c>
      <c r="N27" s="12">
        <f t="shared" si="4"/>
        <v>10900846</v>
      </c>
    </row>
    <row r="28" spans="1:14" x14ac:dyDescent="0.3">
      <c r="B28" s="112" t="str">
        <f>'1.2 Budgeted Enrollment YR1'!E23</f>
        <v>Storey</v>
      </c>
      <c r="C28" s="354">
        <f>'2.6 Adj. Base Summary YR1'!G29</f>
        <v>6772109</v>
      </c>
      <c r="D28" s="1923">
        <f t="shared" si="0"/>
        <v>1.4974675424275197E-3</v>
      </c>
      <c r="E28" s="375">
        <f t="shared" si="1"/>
        <v>0</v>
      </c>
      <c r="F28" s="1830"/>
      <c r="G28" s="380">
        <f t="shared" si="2"/>
        <v>6772109</v>
      </c>
      <c r="H28" s="354">
        <f>ROUND('2.1 Auxiliary Services YR1'!J26,2)</f>
        <v>839127</v>
      </c>
      <c r="I28" s="154">
        <f>ROUND('2.2 Spec Ed Local YR1'!L23,2)</f>
        <v>0</v>
      </c>
      <c r="J28" s="354">
        <f>ROUND('2.7 Weighted Funding YR1'!E32,2)</f>
        <v>4244</v>
      </c>
      <c r="K28" s="154">
        <f>ROUND('2.7 Weighted Funding YR1'!I32,2)</f>
        <v>29711</v>
      </c>
      <c r="L28" s="354">
        <f>ROUND('2.7 Weighted Funding YR1'!M32,2)</f>
        <v>0</v>
      </c>
      <c r="M28" s="402">
        <f t="shared" si="3"/>
        <v>7645191</v>
      </c>
      <c r="N28" s="12">
        <f t="shared" si="4"/>
        <v>7645191</v>
      </c>
    </row>
    <row r="29" spans="1:14" x14ac:dyDescent="0.3">
      <c r="B29" s="112" t="str">
        <f>'1.2 Budgeted Enrollment YR1'!E24</f>
        <v>Washoe</v>
      </c>
      <c r="C29" s="354">
        <f>'2.6 Adj. Base Summary YR1'!G30</f>
        <v>571971185</v>
      </c>
      <c r="D29" s="1923">
        <f t="shared" si="0"/>
        <v>0.12647585630138355</v>
      </c>
      <c r="E29" s="375">
        <f t="shared" si="1"/>
        <v>0</v>
      </c>
      <c r="F29" s="1830"/>
      <c r="G29" s="380">
        <f t="shared" si="2"/>
        <v>571971185</v>
      </c>
      <c r="H29" s="354">
        <f>ROUND('2.1 Auxiliary Services YR1'!J27,2)</f>
        <v>25630842</v>
      </c>
      <c r="I29" s="154">
        <f>ROUND('2.2 Spec Ed Local YR1'!L24,2)</f>
        <v>70479875</v>
      </c>
      <c r="J29" s="354">
        <f>ROUND('2.7 Weighted Funding YR1'!E33,2)</f>
        <v>28590278</v>
      </c>
      <c r="K29" s="154">
        <f>ROUND('2.7 Weighted Funding YR1'!I33,2)</f>
        <v>14528581</v>
      </c>
      <c r="L29" s="354">
        <f>ROUND('2.7 Weighted Funding YR1'!M33,2)</f>
        <v>1464601</v>
      </c>
      <c r="M29" s="402">
        <f t="shared" si="3"/>
        <v>712665362</v>
      </c>
      <c r="N29" s="12">
        <f t="shared" si="4"/>
        <v>712665362</v>
      </c>
    </row>
    <row r="30" spans="1:14" x14ac:dyDescent="0.3">
      <c r="A30" s="137"/>
      <c r="B30" s="128" t="str">
        <f>'1.2 Budgeted Enrollment YR1'!E25</f>
        <v>White Pine</v>
      </c>
      <c r="C30" s="365">
        <f>'2.6 Adj. Base Summary YR1'!G31</f>
        <v>18564061</v>
      </c>
      <c r="D30" s="1924">
        <f t="shared" si="0"/>
        <v>4.1049367048203982E-3</v>
      </c>
      <c r="E30" s="375">
        <f t="shared" si="1"/>
        <v>0</v>
      </c>
      <c r="F30" s="1830"/>
      <c r="G30" s="380">
        <f t="shared" si="2"/>
        <v>18564061</v>
      </c>
      <c r="H30" s="354">
        <f>ROUND('2.1 Auxiliary Services YR1'!J28,2)</f>
        <v>1342342</v>
      </c>
      <c r="I30" s="365">
        <f>ROUND('2.2 Spec Ed Local YR1'!L25,2)</f>
        <v>1129956</v>
      </c>
      <c r="J30" s="354">
        <f>ROUND('2.7 Weighted Funding YR1'!E34,2)</f>
        <v>63666</v>
      </c>
      <c r="K30" s="365">
        <f>ROUND('2.7 Weighted Funding YR1'!I34,2)</f>
        <v>396144</v>
      </c>
      <c r="L30" s="354">
        <f>ROUND('2.7 Weighted Funding YR1'!M34,2)</f>
        <v>0</v>
      </c>
      <c r="M30" s="402">
        <f t="shared" si="3"/>
        <v>21496169</v>
      </c>
      <c r="N30" s="12">
        <f t="shared" si="4"/>
        <v>21496169</v>
      </c>
    </row>
    <row r="31" spans="1:14" x14ac:dyDescent="0.3">
      <c r="B31" s="9" t="str">
        <f>'1.2 Budgeted Enrollment YR1'!E26</f>
        <v>Charter Schools</v>
      </c>
      <c r="C31" s="2015">
        <f>C100</f>
        <v>684397184</v>
      </c>
      <c r="D31" s="310">
        <f>D100</f>
        <v>0.15133580531098881</v>
      </c>
      <c r="E31" s="2011">
        <f>E100</f>
        <v>0</v>
      </c>
      <c r="F31" s="1830"/>
      <c r="G31" s="481">
        <f>G100</f>
        <v>684397184</v>
      </c>
      <c r="H31" s="2015">
        <f>H100</f>
        <v>0</v>
      </c>
      <c r="I31" s="154">
        <f t="shared" ref="I31:L31" si="5">I100</f>
        <v>24608056</v>
      </c>
      <c r="J31" s="2015">
        <f t="shared" si="5"/>
        <v>27096252</v>
      </c>
      <c r="K31" s="154">
        <f t="shared" si="5"/>
        <v>6625505</v>
      </c>
      <c r="L31" s="2015">
        <f t="shared" si="5"/>
        <v>1687574</v>
      </c>
      <c r="M31" s="476">
        <f t="shared" si="3"/>
        <v>744414571</v>
      </c>
      <c r="N31" s="12">
        <f t="shared" si="4"/>
        <v>744414571</v>
      </c>
    </row>
    <row r="32" spans="1:14" x14ac:dyDescent="0.3">
      <c r="B32" s="9" t="str">
        <f>'1.2 Budgeted Enrollment YR1'!E27</f>
        <v>University Schools</v>
      </c>
      <c r="C32" s="354">
        <f>C105</f>
        <v>1583485</v>
      </c>
      <c r="D32" s="310">
        <f>D105</f>
        <v>3.5014459918185619E-4</v>
      </c>
      <c r="E32" s="375">
        <f>E105</f>
        <v>0</v>
      </c>
      <c r="F32" s="1830"/>
      <c r="G32" s="380">
        <f t="shared" ref="G32" si="6">G105</f>
        <v>1583485</v>
      </c>
      <c r="H32" s="354">
        <f>H105</f>
        <v>0</v>
      </c>
      <c r="I32" s="154">
        <f t="shared" ref="I32:L32" si="7">I105</f>
        <v>52268</v>
      </c>
      <c r="J32" s="354">
        <f t="shared" si="7"/>
        <v>0</v>
      </c>
      <c r="K32" s="154">
        <f t="shared" si="7"/>
        <v>0</v>
      </c>
      <c r="L32" s="354">
        <f t="shared" si="7"/>
        <v>0</v>
      </c>
      <c r="M32" s="402">
        <f t="shared" si="3"/>
        <v>1635753</v>
      </c>
      <c r="N32" s="12">
        <f>SUM(C32,H32,I32,J32,K32,L32)</f>
        <v>1635753</v>
      </c>
    </row>
    <row r="33" spans="1:15" x14ac:dyDescent="0.3">
      <c r="B33" s="9" t="str">
        <f>'1.2 Budgeted Enrollment YR1'!E28</f>
        <v>City of Henderson</v>
      </c>
      <c r="C33" s="354">
        <f>C110</f>
        <v>0</v>
      </c>
      <c r="D33" s="310">
        <f>D110</f>
        <v>0</v>
      </c>
      <c r="E33" s="375">
        <f>E110</f>
        <v>0</v>
      </c>
      <c r="F33" s="1830"/>
      <c r="G33" s="380">
        <f t="shared" ref="G33" si="8">G110</f>
        <v>0</v>
      </c>
      <c r="H33" s="354">
        <f>H110</f>
        <v>0</v>
      </c>
      <c r="I33" s="154">
        <f t="shared" ref="I33:L33" si="9">I110</f>
        <v>0</v>
      </c>
      <c r="J33" s="354">
        <f t="shared" si="9"/>
        <v>0</v>
      </c>
      <c r="K33" s="154">
        <f t="shared" si="9"/>
        <v>0</v>
      </c>
      <c r="L33" s="354">
        <f t="shared" si="9"/>
        <v>0</v>
      </c>
      <c r="M33" s="402">
        <f t="shared" si="3"/>
        <v>0</v>
      </c>
      <c r="N33" s="12">
        <f t="shared" ref="N33:N34" si="10">SUM(C33,H33,I33,J33,K33,L33)</f>
        <v>0</v>
      </c>
    </row>
    <row r="34" spans="1:15" x14ac:dyDescent="0.3">
      <c r="B34" s="9" t="str">
        <f>'1.2 Budgeted Enrollment YR1'!E29</f>
        <v>City of North Las Vegas</v>
      </c>
      <c r="C34" s="365">
        <f>C115</f>
        <v>0</v>
      </c>
      <c r="D34" s="310">
        <f>D115</f>
        <v>0</v>
      </c>
      <c r="E34" s="375">
        <f>E115</f>
        <v>0</v>
      </c>
      <c r="F34" s="1830"/>
      <c r="G34" s="380">
        <f t="shared" ref="G34" si="11">G115</f>
        <v>0</v>
      </c>
      <c r="H34" s="354">
        <f>H115</f>
        <v>0</v>
      </c>
      <c r="I34" s="154">
        <f t="shared" ref="I34:L34" si="12">I115</f>
        <v>0</v>
      </c>
      <c r="J34" s="354">
        <f t="shared" si="12"/>
        <v>0</v>
      </c>
      <c r="K34" s="154">
        <f t="shared" si="12"/>
        <v>0</v>
      </c>
      <c r="L34" s="354">
        <f t="shared" si="12"/>
        <v>0</v>
      </c>
      <c r="M34" s="403">
        <f t="shared" si="3"/>
        <v>0</v>
      </c>
      <c r="N34" s="12">
        <f t="shared" si="10"/>
        <v>0</v>
      </c>
    </row>
    <row r="35" spans="1:15" s="4" customFormat="1" x14ac:dyDescent="0.3">
      <c r="A35" s="289"/>
      <c r="B35" s="291" t="s">
        <v>1354</v>
      </c>
      <c r="C35" s="382">
        <f>SUM(C14:C34)</f>
        <v>4522374481</v>
      </c>
      <c r="D35" s="1925">
        <f>SUM(D14:D34)</f>
        <v>0.99999999999999978</v>
      </c>
      <c r="E35" s="379">
        <f>SUM(E14:E34)</f>
        <v>0</v>
      </c>
      <c r="F35" s="1830"/>
      <c r="G35" s="382">
        <f t="shared" ref="G35:L35" si="13">SUM(G14:G34)</f>
        <v>4522374481</v>
      </c>
      <c r="H35" s="379">
        <f>SUM(H14:H34)</f>
        <v>194256958</v>
      </c>
      <c r="I35" s="383">
        <f t="shared" si="13"/>
        <v>599568343</v>
      </c>
      <c r="J35" s="379">
        <f t="shared" si="13"/>
        <v>233115184</v>
      </c>
      <c r="K35" s="383">
        <f t="shared" si="13"/>
        <v>165304285</v>
      </c>
      <c r="L35" s="379">
        <f t="shared" si="13"/>
        <v>9871908</v>
      </c>
      <c r="M35" s="1744">
        <f t="shared" si="3"/>
        <v>5724491159</v>
      </c>
      <c r="N35" s="8">
        <f>SUM(N14:N34)</f>
        <v>5724491159</v>
      </c>
      <c r="O35" s="8"/>
    </row>
    <row r="36" spans="1:15" s="526" customFormat="1" x14ac:dyDescent="0.3">
      <c r="C36" s="2019">
        <f>C35-'2.6 Adj. Base Summary YR1'!G36</f>
        <v>0</v>
      </c>
      <c r="D36" s="1926"/>
      <c r="E36" s="2019"/>
      <c r="F36" s="1427"/>
      <c r="G36" s="2019">
        <f>((C35+E35)+F35)-G35</f>
        <v>0</v>
      </c>
      <c r="H36" s="2019">
        <f>H35-'2.1 Auxiliary Services YR1'!J33</f>
        <v>0</v>
      </c>
      <c r="I36" s="1833">
        <f>'2.2 Spec Ed Local YR1'!L30-I35</f>
        <v>0</v>
      </c>
      <c r="J36" s="2019">
        <f>J35-'2.7 Weighted Funding YR1'!E39</f>
        <v>0</v>
      </c>
      <c r="K36" s="1833">
        <f>K35-'2.7 Weighted Funding YR1'!I39</f>
        <v>0</v>
      </c>
      <c r="L36" s="2019">
        <f>L35-'2.7 Weighted Funding YR1'!M39</f>
        <v>0</v>
      </c>
      <c r="M36" s="2019">
        <f>M35-'1.3 Budgeted Revenues YR1'!C40</f>
        <v>0</v>
      </c>
      <c r="N36" s="1834"/>
    </row>
    <row r="37" spans="1:15" x14ac:dyDescent="0.3">
      <c r="A37" s="4" t="s">
        <v>305</v>
      </c>
      <c r="C37" s="104"/>
      <c r="D37" s="1927"/>
      <c r="E37" s="104"/>
      <c r="F37" s="1830"/>
      <c r="G37" s="104"/>
      <c r="H37" s="104"/>
      <c r="I37" s="89"/>
      <c r="J37" s="104"/>
      <c r="K37" s="89"/>
      <c r="L37" s="104"/>
      <c r="M37" s="104"/>
      <c r="N37" s="9"/>
    </row>
    <row r="38" spans="1:15" x14ac:dyDescent="0.3">
      <c r="B38" s="9" t="str">
        <f>'1.2 Budgeted Enrollment YR1'!E34</f>
        <v>FuturEdge (Formerly 100 Academy Of Excellence)</v>
      </c>
      <c r="C38" s="354">
        <f>'2.6 Adj. Base Summary YR1'!G39</f>
        <v>2271804</v>
      </c>
      <c r="D38" s="310">
        <f>C38/$C$35</f>
        <v>5.0234760733428962E-4</v>
      </c>
      <c r="E38" s="375">
        <f>ROUND(D38*$C$6,2)</f>
        <v>0</v>
      </c>
      <c r="F38" s="1830"/>
      <c r="G38" s="375">
        <f>ROUND(IF(F38&gt;0,F38)+C38+E38,2)</f>
        <v>2271804</v>
      </c>
      <c r="H38" s="354">
        <f>'2.1 Auxiliary Services YR1'!G84</f>
        <v>0</v>
      </c>
      <c r="I38" s="154">
        <f>ROUND('2.2 Spec Ed Local YR1'!L34,0)</f>
        <v>190820</v>
      </c>
      <c r="J38" s="354">
        <f>ROUND('2.7 Weighted Funding YR1'!E42,0)</f>
        <v>114599</v>
      </c>
      <c r="K38" s="154">
        <f>ROUND('2.7 Weighted Funding YR1'!I42,2)</f>
        <v>260795</v>
      </c>
      <c r="L38" s="354">
        <f>ROUND('2.7 Weighted Funding YR1'!M42,0)</f>
        <v>0</v>
      </c>
      <c r="M38" s="375">
        <f>ROUND(SUM(G38:L38),2)</f>
        <v>2838018</v>
      </c>
      <c r="N38" s="9"/>
    </row>
    <row r="39" spans="1:15" x14ac:dyDescent="0.3">
      <c r="B39" s="9" t="str">
        <f>'1.2 Budgeted Enrollment YR1'!E35</f>
        <v>Academy For Career Education</v>
      </c>
      <c r="C39" s="354">
        <f>'2.6 Adj. Base Summary YR1'!G40</f>
        <v>2391754</v>
      </c>
      <c r="D39" s="310">
        <f>C39/$C$35</f>
        <v>5.2887128433272261E-4</v>
      </c>
      <c r="E39" s="375">
        <f t="shared" ref="E39:E99" si="14">ROUND(D39*$C$6,2)</f>
        <v>0</v>
      </c>
      <c r="F39" s="1830"/>
      <c r="G39" s="375">
        <f t="shared" ref="G39:G99" si="15">ROUND(IF(F39&gt;0,F39)+C39+E39,2)</f>
        <v>2391754</v>
      </c>
      <c r="H39" s="354">
        <f>'2.1 Auxiliary Services YR1'!G85</f>
        <v>0</v>
      </c>
      <c r="I39" s="154">
        <f>ROUND('2.2 Spec Ed Local YR1'!L35,0)</f>
        <v>0</v>
      </c>
      <c r="J39" s="354">
        <f>ROUND('2.7 Weighted Funding YR1'!E43,0)</f>
        <v>114599</v>
      </c>
      <c r="K39" s="154">
        <f>ROUND('2.7 Weighted Funding YR1'!I43,2)</f>
        <v>13205</v>
      </c>
      <c r="L39" s="354">
        <f>ROUND('2.7 Weighted Funding YR1'!M43,0)</f>
        <v>0</v>
      </c>
      <c r="M39" s="375">
        <f t="shared" ref="M39:M99" si="16">ROUND(SUM(G39:L39),2)</f>
        <v>2519558</v>
      </c>
      <c r="N39" s="9"/>
    </row>
    <row r="40" spans="1:15" x14ac:dyDescent="0.3">
      <c r="B40" s="9" t="str">
        <f>'1.2 Budgeted Enrollment YR1'!E36</f>
        <v xml:space="preserve">Alpine Academy </v>
      </c>
      <c r="C40" s="354">
        <f>'2.6 Adj. Base Summary YR1'!G41</f>
        <v>1549852</v>
      </c>
      <c r="D40" s="310">
        <f t="shared" ref="D40:D96" si="17">C40/$C$35</f>
        <v>3.4270757685181624E-4</v>
      </c>
      <c r="E40" s="375">
        <f t="shared" si="14"/>
        <v>0</v>
      </c>
      <c r="F40" s="1830"/>
      <c r="G40" s="375">
        <f t="shared" si="15"/>
        <v>1549852</v>
      </c>
      <c r="H40" s="354">
        <f>'2.1 Auxiliary Services YR1'!G86</f>
        <v>0</v>
      </c>
      <c r="I40" s="154">
        <f>ROUND('2.2 Spec Ed Local YR1'!L36,0)</f>
        <v>30681</v>
      </c>
      <c r="J40" s="354">
        <f>ROUND('2.7 Weighted Funding YR1'!E44,0)</f>
        <v>21222</v>
      </c>
      <c r="K40" s="154">
        <f>ROUND('2.7 Weighted Funding YR1'!I44,2)</f>
        <v>26410</v>
      </c>
      <c r="L40" s="354">
        <f>ROUND('2.7 Weighted Funding YR1'!M44,0)</f>
        <v>0</v>
      </c>
      <c r="M40" s="375">
        <f t="shared" si="16"/>
        <v>1628165</v>
      </c>
      <c r="N40" s="9"/>
    </row>
    <row r="41" spans="1:15" x14ac:dyDescent="0.3">
      <c r="B41" s="9" t="str">
        <f>'1.2 Budgeted Enrollment YR1'!E37</f>
        <v xml:space="preserve">Amplus (Formerly American Preparatory Academy) </v>
      </c>
      <c r="C41" s="354">
        <f>'2.6 Adj. Base Summary YR1'!G42</f>
        <v>22343476</v>
      </c>
      <c r="D41" s="310">
        <f t="shared" si="17"/>
        <v>4.9406514418194195E-3</v>
      </c>
      <c r="E41" s="375">
        <f t="shared" si="14"/>
        <v>0</v>
      </c>
      <c r="F41" s="1830"/>
      <c r="G41" s="375">
        <f t="shared" si="15"/>
        <v>22343476</v>
      </c>
      <c r="H41" s="354">
        <f>'2.1 Auxiliary Services YR1'!G87</f>
        <v>0</v>
      </c>
      <c r="I41" s="154">
        <f>ROUND('2.2 Spec Ed Local YR1'!L37,0)</f>
        <v>419964</v>
      </c>
      <c r="J41" s="354">
        <f>ROUND('2.7 Weighted Funding YR1'!E45,0)</f>
        <v>632416</v>
      </c>
      <c r="K41" s="154">
        <f>ROUND('2.7 Weighted Funding YR1'!I45,2)</f>
        <v>29711</v>
      </c>
      <c r="L41" s="354">
        <f>ROUND('2.7 Weighted Funding YR1'!M45,0)</f>
        <v>66779</v>
      </c>
      <c r="M41" s="375">
        <f t="shared" si="16"/>
        <v>23492346</v>
      </c>
      <c r="N41" s="9"/>
    </row>
    <row r="42" spans="1:15" x14ac:dyDescent="0.3">
      <c r="B42" s="9" t="str">
        <f>'1.2 Budgeted Enrollment YR1'!E38</f>
        <v>Bailey Charter School</v>
      </c>
      <c r="C42" s="354">
        <f>'2.6 Adj. Base Summary YR1'!G43</f>
        <v>1570799</v>
      </c>
      <c r="D42" s="310">
        <f t="shared" si="17"/>
        <v>3.4733943564369766E-4</v>
      </c>
      <c r="E42" s="375">
        <f t="shared" si="14"/>
        <v>0</v>
      </c>
      <c r="F42" s="1830"/>
      <c r="G42" s="375">
        <f t="shared" si="15"/>
        <v>1570799</v>
      </c>
      <c r="H42" s="354">
        <f>'2.1 Auxiliary Services YR1'!G88</f>
        <v>0</v>
      </c>
      <c r="I42" s="154">
        <f>ROUND('2.2 Spec Ed Local YR1'!L38,0)</f>
        <v>33894</v>
      </c>
      <c r="J42" s="354">
        <f>ROUND('2.7 Weighted Funding YR1'!E46,0)</f>
        <v>275886</v>
      </c>
      <c r="K42" s="154">
        <f>ROUND('2.7 Weighted Funding YR1'!I46,2)</f>
        <v>102337</v>
      </c>
      <c r="L42" s="354">
        <f>ROUND('2.7 Weighted Funding YR1'!M46,0)</f>
        <v>0</v>
      </c>
      <c r="M42" s="375">
        <f t="shared" si="16"/>
        <v>1982916</v>
      </c>
      <c r="N42" s="9"/>
    </row>
    <row r="43" spans="1:15" x14ac:dyDescent="0.3">
      <c r="B43" s="9" t="str">
        <f>'1.2 Budgeted Enrollment YR1'!E39</f>
        <v>Battle Born Academy</v>
      </c>
      <c r="C43" s="354">
        <f>'2.6 Adj. Base Summary YR1'!G44</f>
        <v>2551670</v>
      </c>
      <c r="D43" s="310">
        <f t="shared" si="17"/>
        <v>5.6423235420251347E-4</v>
      </c>
      <c r="E43" s="375">
        <f t="shared" si="14"/>
        <v>0</v>
      </c>
      <c r="F43" s="1830"/>
      <c r="G43" s="375">
        <f t="shared" si="15"/>
        <v>2551670</v>
      </c>
      <c r="H43" s="354">
        <f>'2.1 Auxiliary Services YR1'!G89</f>
        <v>0</v>
      </c>
      <c r="I43" s="154">
        <f>ROUND('2.2 Spec Ed Local YR1'!L39,0)</f>
        <v>153810</v>
      </c>
      <c r="J43" s="354">
        <f>ROUND('2.7 Weighted Funding YR1'!E47,0)</f>
        <v>598460</v>
      </c>
      <c r="K43" s="154">
        <f>ROUND('2.7 Weighted Funding YR1'!I47,2)</f>
        <v>0</v>
      </c>
      <c r="L43" s="354">
        <f>ROUND('2.7 Weighted Funding YR1'!M47,0)</f>
        <v>0</v>
      </c>
      <c r="M43" s="375">
        <f t="shared" si="16"/>
        <v>3303940</v>
      </c>
      <c r="N43" s="9"/>
    </row>
    <row r="44" spans="1:15" x14ac:dyDescent="0.3">
      <c r="B44" s="9" t="str">
        <f>'1.2 Budgeted Enrollment YR1'!E40</f>
        <v>Beacon Academy</v>
      </c>
      <c r="C44" s="354">
        <f>'2.6 Adj. Base Summary YR1'!G45</f>
        <v>8088120</v>
      </c>
      <c r="D44" s="310">
        <f t="shared" si="17"/>
        <v>1.7884675481831245E-3</v>
      </c>
      <c r="E44" s="375">
        <f t="shared" si="14"/>
        <v>0</v>
      </c>
      <c r="F44" s="1830"/>
      <c r="G44" s="375">
        <f t="shared" si="15"/>
        <v>8088120</v>
      </c>
      <c r="H44" s="354">
        <f>'2.1 Auxiliary Services YR1'!G90</f>
        <v>0</v>
      </c>
      <c r="I44" s="154">
        <f>ROUND('2.2 Spec Ed Local YR1'!L40,0)</f>
        <v>801317</v>
      </c>
      <c r="J44" s="354">
        <f>ROUND('2.7 Weighted Funding YR1'!E48,0)</f>
        <v>522061</v>
      </c>
      <c r="K44" s="154">
        <f>ROUND('2.7 Weighted Funding YR1'!I48,2)</f>
        <v>861613</v>
      </c>
      <c r="L44" s="354">
        <f>ROUND('2.7 Weighted Funding YR1'!M48,0)</f>
        <v>0</v>
      </c>
      <c r="M44" s="375">
        <f t="shared" si="16"/>
        <v>10273111</v>
      </c>
      <c r="N44" s="9"/>
    </row>
    <row r="45" spans="1:15" x14ac:dyDescent="0.3">
      <c r="B45" s="9" t="str">
        <f>'1.2 Budgeted Enrollment YR1'!E41</f>
        <v>Cactus Park</v>
      </c>
      <c r="C45" s="354">
        <f>'2.6 Adj. Base Summary YR1'!G46</f>
        <v>2844619</v>
      </c>
      <c r="D45" s="310">
        <f t="shared" si="17"/>
        <v>6.2901005035102483E-4</v>
      </c>
      <c r="E45" s="375">
        <f t="shared" si="14"/>
        <v>0</v>
      </c>
      <c r="F45" s="1830"/>
      <c r="G45" s="375">
        <f t="shared" si="15"/>
        <v>2844619</v>
      </c>
      <c r="H45" s="354">
        <f>'2.1 Auxiliary Services YR1'!G91</f>
        <v>0</v>
      </c>
      <c r="I45" s="154">
        <f>ROUND('2.2 Spec Ed Local YR1'!L41,0)</f>
        <v>31624</v>
      </c>
      <c r="J45" s="354">
        <f>ROUND('2.7 Weighted Funding YR1'!E49,0)</f>
        <v>271642</v>
      </c>
      <c r="K45" s="154">
        <f>ROUND('2.7 Weighted Funding YR1'!I49,2)</f>
        <v>0</v>
      </c>
      <c r="L45" s="354">
        <f>ROUND('2.7 Weighted Funding YR1'!M49,0)</f>
        <v>0</v>
      </c>
      <c r="M45" s="375">
        <f t="shared" si="16"/>
        <v>3147885</v>
      </c>
      <c r="N45" s="9"/>
    </row>
    <row r="46" spans="1:15" x14ac:dyDescent="0.3">
      <c r="B46" s="9" t="str">
        <f>'1.2 Budgeted Enrollment YR1'!E42</f>
        <v>Carson Montessori</v>
      </c>
      <c r="C46" s="354">
        <f>'2.6 Adj. Base Summary YR1'!G47</f>
        <v>3006091</v>
      </c>
      <c r="D46" s="310">
        <f t="shared" si="17"/>
        <v>6.6471518726049527E-4</v>
      </c>
      <c r="E46" s="375">
        <f t="shared" si="14"/>
        <v>0</v>
      </c>
      <c r="F46" s="1830"/>
      <c r="G46" s="375">
        <f t="shared" si="15"/>
        <v>3006091</v>
      </c>
      <c r="H46" s="354">
        <f>'2.1 Auxiliary Services YR1'!G92</f>
        <v>0</v>
      </c>
      <c r="I46" s="154">
        <f>ROUND('2.2 Spec Ed Local YR1'!L42,0)</f>
        <v>67318</v>
      </c>
      <c r="J46" s="354">
        <f>ROUND('2.7 Weighted Funding YR1'!E50,0)</f>
        <v>21222</v>
      </c>
      <c r="K46" s="154">
        <f>ROUND('2.7 Weighted Funding YR1'!I50,2)</f>
        <v>3301</v>
      </c>
      <c r="L46" s="354">
        <f>ROUND('2.7 Weighted Funding YR1'!M50,0)</f>
        <v>1132</v>
      </c>
      <c r="M46" s="375">
        <f t="shared" si="16"/>
        <v>3099064</v>
      </c>
      <c r="N46" s="9"/>
    </row>
    <row r="47" spans="1:15" x14ac:dyDescent="0.3">
      <c r="B47" s="9" t="str">
        <f>'1.2 Budgeted Enrollment YR1'!E43</f>
        <v>CIVICA Nevada Career &amp; Collegiate Academy</v>
      </c>
      <c r="C47" s="354">
        <f>'2.6 Adj. Base Summary YR1'!G48</f>
        <v>8642913</v>
      </c>
      <c r="D47" s="310">
        <f t="shared" si="17"/>
        <v>1.9111449165281984E-3</v>
      </c>
      <c r="E47" s="375">
        <f t="shared" si="14"/>
        <v>0</v>
      </c>
      <c r="F47" s="1830"/>
      <c r="G47" s="375">
        <f t="shared" si="15"/>
        <v>8642913</v>
      </c>
      <c r="H47" s="354">
        <f>'2.1 Auxiliary Services YR1'!G93</f>
        <v>0</v>
      </c>
      <c r="I47" s="154">
        <f>ROUND('2.2 Spec Ed Local YR1'!L43,0)</f>
        <v>257639</v>
      </c>
      <c r="J47" s="354">
        <f>ROUND('2.7 Weighted Funding YR1'!E51,0)</f>
        <v>1434607</v>
      </c>
      <c r="K47" s="154">
        <f>ROUND('2.7 Weighted Funding YR1'!I51,2)</f>
        <v>16506</v>
      </c>
      <c r="L47" s="354">
        <f>ROUND('2.7 Weighted Funding YR1'!M51,0)</f>
        <v>0</v>
      </c>
      <c r="M47" s="375">
        <f t="shared" si="16"/>
        <v>10351665</v>
      </c>
      <c r="N47" s="9"/>
    </row>
    <row r="48" spans="1:15" x14ac:dyDescent="0.3">
      <c r="B48" s="9" t="str">
        <f>'1.2 Budgeted Enrollment YR1'!E44</f>
        <v>Coral Academy of Science Las Vegas</v>
      </c>
      <c r="C48" s="354">
        <f>'2.6 Adj. Base Summary YR1'!G49</f>
        <v>51690250</v>
      </c>
      <c r="D48" s="310">
        <f t="shared" si="17"/>
        <v>1.1429891579560238E-2</v>
      </c>
      <c r="E48" s="375">
        <f t="shared" si="14"/>
        <v>0</v>
      </c>
      <c r="F48" s="1830"/>
      <c r="G48" s="375">
        <f t="shared" si="15"/>
        <v>51690250</v>
      </c>
      <c r="H48" s="354">
        <f>'2.1 Auxiliary Services YR1'!G94</f>
        <v>0</v>
      </c>
      <c r="I48" s="154">
        <f>ROUND('2.2 Spec Ed Local YR1'!L44,0)</f>
        <v>620880</v>
      </c>
      <c r="J48" s="354">
        <f>ROUND('2.7 Weighted Funding YR1'!E52,0)</f>
        <v>1120522</v>
      </c>
      <c r="K48" s="154">
        <f>ROUND('2.7 Weighted Funding YR1'!I52,2)</f>
        <v>56120</v>
      </c>
      <c r="L48" s="354">
        <f>ROUND('2.7 Weighted Funding YR1'!M52,0)</f>
        <v>69042</v>
      </c>
      <c r="M48" s="375">
        <f t="shared" si="16"/>
        <v>53556814</v>
      </c>
      <c r="N48" s="9"/>
    </row>
    <row r="49" spans="2:14" x14ac:dyDescent="0.3">
      <c r="B49" s="9" t="str">
        <f>'1.2 Budgeted Enrollment YR1'!E45</f>
        <v>Coral Academy Washoe</v>
      </c>
      <c r="C49" s="354">
        <f>'2.6 Adj. Base Summary YR1'!G50</f>
        <v>19128094</v>
      </c>
      <c r="D49" s="310">
        <f t="shared" si="17"/>
        <v>4.2296572476170401E-3</v>
      </c>
      <c r="E49" s="375">
        <f t="shared" si="14"/>
        <v>0</v>
      </c>
      <c r="F49" s="1830"/>
      <c r="G49" s="375">
        <f t="shared" si="15"/>
        <v>19128094</v>
      </c>
      <c r="H49" s="354">
        <f>'2.1 Auxiliary Services YR1'!G95</f>
        <v>0</v>
      </c>
      <c r="I49" s="154">
        <f>ROUND('2.2 Spec Ed Local YR1'!L45,0)</f>
        <v>342530</v>
      </c>
      <c r="J49" s="354">
        <f>ROUND('2.7 Weighted Funding YR1'!E53,0)</f>
        <v>687593</v>
      </c>
      <c r="K49" s="154">
        <f>ROUND('2.7 Weighted Funding YR1'!I53,2)</f>
        <v>138650</v>
      </c>
      <c r="L49" s="354">
        <f>ROUND('2.7 Weighted Funding YR1'!M53,0)</f>
        <v>1132</v>
      </c>
      <c r="M49" s="375">
        <f t="shared" si="16"/>
        <v>20297999</v>
      </c>
      <c r="N49" s="9"/>
    </row>
    <row r="50" spans="2:14" x14ac:dyDescent="0.3">
      <c r="B50" s="9" t="str">
        <f>'1.2 Budgeted Enrollment YR1'!E46</f>
        <v>Delta Academy</v>
      </c>
      <c r="C50" s="354">
        <f>'2.6 Adj. Base Summary YR1'!G51</f>
        <v>13252036</v>
      </c>
      <c r="D50" s="310">
        <f t="shared" si="17"/>
        <v>2.9303269898758302E-3</v>
      </c>
      <c r="E50" s="375">
        <f t="shared" si="14"/>
        <v>0</v>
      </c>
      <c r="F50" s="1830"/>
      <c r="G50" s="375">
        <f t="shared" si="15"/>
        <v>13252036</v>
      </c>
      <c r="H50" s="354">
        <f>'2.1 Auxiliary Services YR1'!G96</f>
        <v>0</v>
      </c>
      <c r="I50" s="154">
        <f>ROUND('2.2 Spec Ed Local YR1'!L46,0)</f>
        <v>423899</v>
      </c>
      <c r="J50" s="354">
        <f>ROUND('2.7 Weighted Funding YR1'!E54,0)</f>
        <v>441418</v>
      </c>
      <c r="K50" s="154">
        <f>ROUND('2.7 Weighted Funding YR1'!I54,2)</f>
        <v>1039878</v>
      </c>
      <c r="L50" s="354">
        <f>ROUND('2.7 Weighted Funding YR1'!M54,0)</f>
        <v>0</v>
      </c>
      <c r="M50" s="375">
        <f t="shared" si="16"/>
        <v>15157231</v>
      </c>
      <c r="N50" s="9"/>
    </row>
    <row r="51" spans="2:14" x14ac:dyDescent="0.3">
      <c r="B51" s="9" t="str">
        <f>'1.2 Budgeted Enrollment YR1'!E47</f>
        <v>Democracy Prep</v>
      </c>
      <c r="C51" s="354">
        <f>'2.6 Adj. Base Summary YR1'!G52</f>
        <v>12063572</v>
      </c>
      <c r="D51" s="310">
        <f t="shared" si="17"/>
        <v>2.6675305308490218E-3</v>
      </c>
      <c r="E51" s="375">
        <f t="shared" si="14"/>
        <v>0</v>
      </c>
      <c r="F51" s="1830"/>
      <c r="G51" s="375">
        <f t="shared" si="15"/>
        <v>12063572</v>
      </c>
      <c r="H51" s="354">
        <f>'2.1 Auxiliary Services YR1'!G97</f>
        <v>0</v>
      </c>
      <c r="I51" s="154">
        <f>ROUND('2.2 Spec Ed Local YR1'!L47,0)</f>
        <v>0</v>
      </c>
      <c r="J51" s="354">
        <f>ROUND('2.7 Weighted Funding YR1'!E55,0)</f>
        <v>441418</v>
      </c>
      <c r="K51" s="154">
        <f>ROUND('2.7 Weighted Funding YR1'!I55,2)</f>
        <v>584312</v>
      </c>
      <c r="L51" s="354">
        <f>ROUND('2.7 Weighted Funding YR1'!M55,0)</f>
        <v>0</v>
      </c>
      <c r="M51" s="375">
        <f t="shared" si="16"/>
        <v>13089302</v>
      </c>
      <c r="N51" s="9"/>
    </row>
    <row r="52" spans="2:14" x14ac:dyDescent="0.3">
      <c r="B52" s="9" t="str">
        <f>'1.2 Budgeted Enrollment YR1'!E48</f>
        <v>Discovery Charter</v>
      </c>
      <c r="C52" s="354">
        <f>'2.6 Adj. Base Summary YR1'!G53</f>
        <v>4714110</v>
      </c>
      <c r="D52" s="310">
        <f t="shared" si="17"/>
        <v>1.042397090246627E-3</v>
      </c>
      <c r="E52" s="375">
        <f t="shared" si="14"/>
        <v>0</v>
      </c>
      <c r="F52" s="1830"/>
      <c r="G52" s="375">
        <f t="shared" si="15"/>
        <v>4714110</v>
      </c>
      <c r="H52" s="354">
        <f>'2.1 Auxiliary Services YR1'!G98</f>
        <v>0</v>
      </c>
      <c r="I52" s="154">
        <f>ROUND('2.2 Spec Ed Local YR1'!L48,0)</f>
        <v>130158</v>
      </c>
      <c r="J52" s="354">
        <f>ROUND('2.7 Weighted Funding YR1'!E56,0)</f>
        <v>233442</v>
      </c>
      <c r="K52" s="154">
        <f>ROUND('2.7 Weighted Funding YR1'!I56,2)</f>
        <v>9904</v>
      </c>
      <c r="L52" s="354">
        <f>ROUND('2.7 Weighted Funding YR1'!M56,0)</f>
        <v>0</v>
      </c>
      <c r="M52" s="375">
        <f t="shared" si="16"/>
        <v>5087614</v>
      </c>
      <c r="N52" s="9"/>
    </row>
    <row r="53" spans="2:14" x14ac:dyDescent="0.3">
      <c r="B53" s="9" t="str">
        <f>'1.2 Budgeted Enrollment YR1'!E49</f>
        <v>Do and Be Academy of Excellence</v>
      </c>
      <c r="C53" s="354">
        <f>'2.6 Adj. Base Summary YR1'!G54</f>
        <v>522951</v>
      </c>
      <c r="D53" s="310">
        <f t="shared" ref="D53" si="18">C53/$C$35</f>
        <v>1.1563637690710735E-4</v>
      </c>
      <c r="E53" s="375">
        <f t="shared" si="14"/>
        <v>0</v>
      </c>
      <c r="F53" s="1830"/>
      <c r="G53" s="375">
        <f t="shared" si="15"/>
        <v>522951</v>
      </c>
      <c r="H53" s="354">
        <f>'2.1 Auxiliary Services YR1'!G99</f>
        <v>0</v>
      </c>
      <c r="I53" s="154">
        <f>ROUND('2.2 Spec Ed Local YR1'!L49,0)</f>
        <v>0</v>
      </c>
      <c r="J53" s="354">
        <f>ROUND('2.7 Weighted Funding YR1'!E57,0)</f>
        <v>0</v>
      </c>
      <c r="K53" s="154">
        <f>ROUND('2.7 Weighted Funding YR1'!I57,2)</f>
        <v>0</v>
      </c>
      <c r="L53" s="354">
        <f>ROUND('2.7 Weighted Funding YR1'!M57,0)</f>
        <v>0</v>
      </c>
      <c r="M53" s="375">
        <f t="shared" si="16"/>
        <v>522951</v>
      </c>
      <c r="N53" s="9" t="s">
        <v>370</v>
      </c>
    </row>
    <row r="54" spans="2:14" x14ac:dyDescent="0.3">
      <c r="B54" s="9" t="str">
        <f>'1.2 Budgeted Enrollment YR1'!E50</f>
        <v>Doral Academy</v>
      </c>
      <c r="C54" s="354">
        <f>'2.6 Adj. Base Summary YR1'!G55</f>
        <v>60965885</v>
      </c>
      <c r="D54" s="310">
        <f t="shared" si="17"/>
        <v>1.348094574125561E-2</v>
      </c>
      <c r="E54" s="375">
        <f t="shared" si="14"/>
        <v>0</v>
      </c>
      <c r="F54" s="1830"/>
      <c r="G54" s="375">
        <f t="shared" si="15"/>
        <v>60965885</v>
      </c>
      <c r="H54" s="354">
        <f>'2.1 Auxiliary Services YR1'!G100</f>
        <v>0</v>
      </c>
      <c r="I54" s="154">
        <f>ROUND('2.2 Spec Ed Local YR1'!L50,0)</f>
        <v>2791360</v>
      </c>
      <c r="J54" s="354">
        <f>ROUND('2.7 Weighted Funding YR1'!E58,0)</f>
        <v>984701</v>
      </c>
      <c r="K54" s="154">
        <f>ROUND('2.7 Weighted Funding YR1'!I58,2)</f>
        <v>23108</v>
      </c>
      <c r="L54" s="354">
        <f>ROUND('2.7 Weighted Funding YR1'!M58,0)</f>
        <v>373507</v>
      </c>
      <c r="M54" s="375">
        <f t="shared" si="16"/>
        <v>65138561</v>
      </c>
      <c r="N54" s="9"/>
    </row>
    <row r="55" spans="2:14" x14ac:dyDescent="0.3">
      <c r="B55" s="9" t="str">
        <f>'1.2 Budgeted Enrollment YR1'!E51</f>
        <v>Doral Academy of Northern Nevada</v>
      </c>
      <c r="C55" s="354">
        <f>'2.6 Adj. Base Summary YR1'!G56</f>
        <v>9609113</v>
      </c>
      <c r="D55" s="310">
        <f t="shared" si="17"/>
        <v>2.1247937428382105E-3</v>
      </c>
      <c r="E55" s="375">
        <f t="shared" si="14"/>
        <v>0</v>
      </c>
      <c r="F55" s="1830"/>
      <c r="G55" s="375">
        <f t="shared" si="15"/>
        <v>9609113</v>
      </c>
      <c r="H55" s="354">
        <f>'2.1 Auxiliary Services YR1'!G101</f>
        <v>0</v>
      </c>
      <c r="I55" s="154">
        <f>ROUND('2.2 Spec Ed Local YR1'!L51,0)</f>
        <v>85050</v>
      </c>
      <c r="J55" s="354">
        <f>ROUND('2.7 Weighted Funding YR1'!E59,0)</f>
        <v>42444</v>
      </c>
      <c r="K55" s="154">
        <f>ROUND('2.7 Weighted Funding YR1'!I59,2)</f>
        <v>0</v>
      </c>
      <c r="L55" s="354">
        <f>ROUND('2.7 Weighted Funding YR1'!M59,0)</f>
        <v>89415</v>
      </c>
      <c r="M55" s="375">
        <f t="shared" si="16"/>
        <v>9826022</v>
      </c>
      <c r="N55" s="9"/>
    </row>
    <row r="56" spans="2:14" x14ac:dyDescent="0.3">
      <c r="B56" s="9" t="str">
        <f>'1.2 Budgeted Enrollment YR1'!E52</f>
        <v>Eagle Charter School (CLOSED)</v>
      </c>
      <c r="C56" s="354">
        <f>'2.6 Adj. Base Summary YR1'!G57</f>
        <v>0</v>
      </c>
      <c r="D56" s="310">
        <f t="shared" si="17"/>
        <v>0</v>
      </c>
      <c r="E56" s="375">
        <f t="shared" si="14"/>
        <v>0</v>
      </c>
      <c r="F56" s="1830"/>
      <c r="G56" s="375">
        <f t="shared" si="15"/>
        <v>0</v>
      </c>
      <c r="H56" s="354">
        <f>'2.1 Auxiliary Services YR1'!G102</f>
        <v>0</v>
      </c>
      <c r="I56" s="154">
        <f>ROUND('2.2 Spec Ed Local YR1'!L52,0)</f>
        <v>0</v>
      </c>
      <c r="J56" s="354">
        <f>ROUND('2.7 Weighted Funding YR1'!E60,0)</f>
        <v>0</v>
      </c>
      <c r="K56" s="154">
        <f>ROUND('2.7 Weighted Funding YR1'!I60,2)</f>
        <v>0</v>
      </c>
      <c r="L56" s="354">
        <f>ROUND('2.7 Weighted Funding YR1'!M60,0)</f>
        <v>0</v>
      </c>
      <c r="M56" s="375">
        <f t="shared" si="16"/>
        <v>0</v>
      </c>
      <c r="N56" s="9"/>
    </row>
    <row r="57" spans="2:14" x14ac:dyDescent="0.3">
      <c r="B57" s="9" t="str">
        <f>'1.2 Budgeted Enrollment YR1'!E53</f>
        <v>Elko Institute for Academic Achievement</v>
      </c>
      <c r="C57" s="354">
        <f>'2.6 Adj. Base Summary YR1'!G58</f>
        <v>3213805</v>
      </c>
      <c r="D57" s="310">
        <f t="shared" si="17"/>
        <v>7.1064548358440113E-4</v>
      </c>
      <c r="E57" s="375">
        <f t="shared" si="14"/>
        <v>0</v>
      </c>
      <c r="F57" s="1830"/>
      <c r="G57" s="375">
        <f t="shared" si="15"/>
        <v>3213805</v>
      </c>
      <c r="H57" s="354">
        <f>'2.1 Auxiliary Services YR1'!G103</f>
        <v>0</v>
      </c>
      <c r="I57" s="154">
        <f>ROUND('2.2 Spec Ed Local YR1'!L53,0)</f>
        <v>140428</v>
      </c>
      <c r="J57" s="354">
        <f>ROUND('2.7 Weighted Funding YR1'!E61,0)</f>
        <v>33955</v>
      </c>
      <c r="K57" s="154">
        <f>ROUND('2.7 Weighted Funding YR1'!I61,2)</f>
        <v>26410</v>
      </c>
      <c r="L57" s="354">
        <f>ROUND('2.7 Weighted Funding YR1'!M61,0)</f>
        <v>0</v>
      </c>
      <c r="M57" s="375">
        <f t="shared" si="16"/>
        <v>3414598</v>
      </c>
      <c r="N57" s="9"/>
    </row>
    <row r="58" spans="2:14" x14ac:dyDescent="0.3">
      <c r="B58" s="9" t="str">
        <f>'1.2 Budgeted Enrollment YR1'!E54</f>
        <v>enCompass Academy</v>
      </c>
      <c r="C58" s="354">
        <f>'2.6 Adj. Base Summary YR1'!G59</f>
        <v>1224906</v>
      </c>
      <c r="D58" s="310">
        <f t="shared" si="17"/>
        <v>2.7085461523503588E-4</v>
      </c>
      <c r="E58" s="375">
        <f t="shared" si="14"/>
        <v>0</v>
      </c>
      <c r="F58" s="1830"/>
      <c r="G58" s="375">
        <f t="shared" si="15"/>
        <v>1224906</v>
      </c>
      <c r="H58" s="354">
        <f>'2.1 Auxiliary Services YR1'!G104</f>
        <v>0</v>
      </c>
      <c r="I58" s="154">
        <f>ROUND('2.2 Spec Ed Local YR1'!L54,0)</f>
        <v>0</v>
      </c>
      <c r="J58" s="354">
        <f>ROUND('2.7 Weighted Funding YR1'!E62,0)</f>
        <v>63666</v>
      </c>
      <c r="K58" s="154">
        <f>ROUND('2.7 Weighted Funding YR1'!I62,2)</f>
        <v>33012</v>
      </c>
      <c r="L58" s="354">
        <f>ROUND('2.7 Weighted Funding YR1'!M62,0)</f>
        <v>0</v>
      </c>
      <c r="M58" s="375">
        <f t="shared" si="16"/>
        <v>1321584</v>
      </c>
      <c r="N58" s="9"/>
    </row>
    <row r="59" spans="2:14" x14ac:dyDescent="0.3">
      <c r="B59" s="9" t="str">
        <f>'1.2 Budgeted Enrollment YR1'!E55</f>
        <v>Equipo Academy</v>
      </c>
      <c r="C59" s="354">
        <f>'2.6 Adj. Base Summary YR1'!G60</f>
        <v>8496032</v>
      </c>
      <c r="D59" s="310">
        <f t="shared" si="17"/>
        <v>1.8786661820454403E-3</v>
      </c>
      <c r="E59" s="375">
        <f t="shared" si="14"/>
        <v>0</v>
      </c>
      <c r="F59" s="1830"/>
      <c r="G59" s="375">
        <f t="shared" si="15"/>
        <v>8496032</v>
      </c>
      <c r="H59" s="354">
        <f>'2.1 Auxiliary Services YR1'!G105</f>
        <v>0</v>
      </c>
      <c r="I59" s="154">
        <f>ROUND('2.2 Spec Ed Local YR1'!L55,0)</f>
        <v>349906</v>
      </c>
      <c r="J59" s="354">
        <f>ROUND('2.7 Weighted Funding YR1'!E63,0)</f>
        <v>1056856</v>
      </c>
      <c r="K59" s="154">
        <f>ROUND('2.7 Weighted Funding YR1'!I63,2)</f>
        <v>72626</v>
      </c>
      <c r="L59" s="354">
        <f>ROUND('2.7 Weighted Funding YR1'!M63,0)</f>
        <v>0</v>
      </c>
      <c r="M59" s="375">
        <f t="shared" si="16"/>
        <v>9975420</v>
      </c>
      <c r="N59" s="9"/>
    </row>
    <row r="60" spans="2:14" x14ac:dyDescent="0.3">
      <c r="B60" s="9" t="str">
        <f>'1.2 Budgeted Enrollment YR1'!E56</f>
        <v>Explore Academy</v>
      </c>
      <c r="C60" s="354">
        <f>'2.6 Adj. Base Summary YR1'!G61</f>
        <v>2696750</v>
      </c>
      <c r="D60" s="310">
        <f t="shared" si="17"/>
        <v>5.9631284656543678E-4</v>
      </c>
      <c r="E60" s="375">
        <f t="shared" si="14"/>
        <v>0</v>
      </c>
      <c r="F60" s="1830"/>
      <c r="G60" s="375">
        <f t="shared" si="15"/>
        <v>2696750</v>
      </c>
      <c r="H60" s="354">
        <f>'2.1 Auxiliary Services YR1'!G106</f>
        <v>0</v>
      </c>
      <c r="I60" s="154">
        <f>ROUND('2.2 Spec Ed Local YR1'!L56,0)</f>
        <v>0</v>
      </c>
      <c r="J60" s="354">
        <f>ROUND('2.7 Weighted Funding YR1'!E64,0)</f>
        <v>174020</v>
      </c>
      <c r="K60" s="154">
        <f>ROUND('2.7 Weighted Funding YR1'!I64,2)</f>
        <v>9904</v>
      </c>
      <c r="L60" s="354">
        <f>ROUND('2.7 Weighted Funding YR1'!M64,0)</f>
        <v>0</v>
      </c>
      <c r="M60" s="375">
        <f t="shared" si="16"/>
        <v>2880674</v>
      </c>
      <c r="N60" s="9"/>
    </row>
    <row r="61" spans="2:14" x14ac:dyDescent="0.3">
      <c r="B61" s="9" t="str">
        <f>'1.2 Budgeted Enrollment YR1'!E57</f>
        <v>Explore Knowledge Academy</v>
      </c>
      <c r="C61" s="354">
        <f>'2.6 Adj. Base Summary YR1'!G62</f>
        <v>6268417</v>
      </c>
      <c r="D61" s="310">
        <f t="shared" si="17"/>
        <v>1.3860897690661633E-3</v>
      </c>
      <c r="E61" s="375">
        <f t="shared" si="14"/>
        <v>0</v>
      </c>
      <c r="F61" s="1830"/>
      <c r="G61" s="375">
        <f t="shared" si="15"/>
        <v>6268417</v>
      </c>
      <c r="H61" s="354">
        <f>'2.1 Auxiliary Services YR1'!G107</f>
        <v>0</v>
      </c>
      <c r="I61" s="154">
        <f>ROUND('2.2 Spec Ed Local YR1'!L57,0)</f>
        <v>27133</v>
      </c>
      <c r="J61" s="354">
        <f>ROUND('2.7 Weighted Funding YR1'!E65,0)</f>
        <v>199487</v>
      </c>
      <c r="K61" s="154">
        <f>ROUND('2.7 Weighted Funding YR1'!I65,2)</f>
        <v>69325</v>
      </c>
      <c r="L61" s="354">
        <f>ROUND('2.7 Weighted Funding YR1'!M65,0)</f>
        <v>0</v>
      </c>
      <c r="M61" s="375">
        <f t="shared" si="16"/>
        <v>6564362</v>
      </c>
      <c r="N61" s="9"/>
    </row>
    <row r="62" spans="2:14" x14ac:dyDescent="0.3">
      <c r="B62" s="9" t="str">
        <f>'1.2 Budgeted Enrollment YR1'!E58</f>
        <v>Founders Academy of Las Vegas</v>
      </c>
      <c r="C62" s="354">
        <f>'2.6 Adj. Base Summary YR1'!G63</f>
        <v>10472224</v>
      </c>
      <c r="D62" s="310">
        <f t="shared" si="17"/>
        <v>2.3156472432783481E-3</v>
      </c>
      <c r="E62" s="375">
        <f t="shared" si="14"/>
        <v>0</v>
      </c>
      <c r="F62" s="1830"/>
      <c r="G62" s="375">
        <f t="shared" si="15"/>
        <v>10472224</v>
      </c>
      <c r="H62" s="354">
        <f>'2.1 Auxiliary Services YR1'!G108</f>
        <v>0</v>
      </c>
      <c r="I62" s="154">
        <f>ROUND('2.2 Spec Ed Local YR1'!L58,0)</f>
        <v>168554</v>
      </c>
      <c r="J62" s="354">
        <f>ROUND('2.7 Weighted Funding YR1'!E66,0)</f>
        <v>365018</v>
      </c>
      <c r="K62" s="154">
        <f>ROUND('2.7 Weighted Funding YR1'!I66,2)</f>
        <v>26410</v>
      </c>
      <c r="L62" s="354">
        <f>ROUND('2.7 Weighted Funding YR1'!M66,0)</f>
        <v>0</v>
      </c>
      <c r="M62" s="375">
        <f t="shared" si="16"/>
        <v>11032206</v>
      </c>
      <c r="N62" s="9"/>
    </row>
    <row r="63" spans="2:14" s="19" customFormat="1" x14ac:dyDescent="0.3">
      <c r="B63" s="9" t="str">
        <f>'1.2 Budgeted Enrollment YR1'!E59</f>
        <v>Freedom Classical Academy</v>
      </c>
      <c r="C63" s="354">
        <f>'2.6 Adj. Base Summary YR1'!G64</f>
        <v>10136789</v>
      </c>
      <c r="D63" s="310">
        <f t="shared" si="17"/>
        <v>2.2414749248625969E-3</v>
      </c>
      <c r="E63" s="375">
        <f t="shared" si="14"/>
        <v>0</v>
      </c>
      <c r="F63" s="1830"/>
      <c r="G63" s="375">
        <f t="shared" si="15"/>
        <v>10136789</v>
      </c>
      <c r="H63" s="354">
        <f>'2.1 Auxiliary Services YR1'!G109</f>
        <v>0</v>
      </c>
      <c r="I63" s="154">
        <f>ROUND('2.2 Spec Ed Local YR1'!L59,0)</f>
        <v>545399</v>
      </c>
      <c r="J63" s="354">
        <f>ROUND('2.7 Weighted Funding YR1'!E67,0)</f>
        <v>581483</v>
      </c>
      <c r="K63" s="154">
        <f>ROUND('2.7 Weighted Funding YR1'!I67,2)</f>
        <v>69325</v>
      </c>
      <c r="L63" s="354">
        <f>ROUND('2.7 Weighted Funding YR1'!M67,0)</f>
        <v>54328</v>
      </c>
      <c r="M63" s="375">
        <f t="shared" si="16"/>
        <v>11387324</v>
      </c>
    </row>
    <row r="64" spans="2:14" x14ac:dyDescent="0.3">
      <c r="B64" s="9" t="str">
        <f>'1.2 Budgeted Enrollment YR1'!E60</f>
        <v>Futuro Academy Elementary</v>
      </c>
      <c r="C64" s="354">
        <f>'2.6 Adj. Base Summary YR1'!G65</f>
        <v>4413065</v>
      </c>
      <c r="D64" s="310">
        <f t="shared" si="17"/>
        <v>9.7582918410245648E-4</v>
      </c>
      <c r="E64" s="375">
        <f t="shared" si="14"/>
        <v>0</v>
      </c>
      <c r="F64" s="1830"/>
      <c r="G64" s="375">
        <f t="shared" si="15"/>
        <v>4413065</v>
      </c>
      <c r="H64" s="354">
        <f>'2.1 Auxiliary Services YR1'!G110</f>
        <v>0</v>
      </c>
      <c r="I64" s="154">
        <f>ROUND('2.2 Spec Ed Local YR1'!L60,0)</f>
        <v>332462</v>
      </c>
      <c r="J64" s="354">
        <f>ROUND('2.7 Weighted Funding YR1'!E68,0)</f>
        <v>734281</v>
      </c>
      <c r="K64" s="154">
        <f>ROUND('2.7 Weighted Funding YR1'!I68,2)</f>
        <v>0</v>
      </c>
      <c r="L64" s="354">
        <f>ROUND('2.7 Weighted Funding YR1'!M68,0)</f>
        <v>0</v>
      </c>
      <c r="M64" s="375">
        <f t="shared" si="16"/>
        <v>5479808</v>
      </c>
      <c r="N64" s="9"/>
    </row>
    <row r="65" spans="2:14" x14ac:dyDescent="0.3">
      <c r="B65" s="9" t="str">
        <f>'1.2 Budgeted Enrollment YR1'!E61</f>
        <v>High Desert Montessori</v>
      </c>
      <c r="C65" s="354">
        <f>'2.6 Adj. Base Summary YR1'!G66</f>
        <v>3885466</v>
      </c>
      <c r="D65" s="310">
        <f t="shared" si="17"/>
        <v>8.5916502853183331E-4</v>
      </c>
      <c r="E65" s="375">
        <f t="shared" si="14"/>
        <v>0</v>
      </c>
      <c r="F65" s="1830"/>
      <c r="G65" s="375">
        <f t="shared" si="15"/>
        <v>3885466</v>
      </c>
      <c r="H65" s="354">
        <f>'2.1 Auxiliary Services YR1'!G111</f>
        <v>0</v>
      </c>
      <c r="I65" s="154">
        <f>ROUND('2.2 Spec Ed Local YR1'!L61,0)</f>
        <v>0</v>
      </c>
      <c r="J65" s="354">
        <f>ROUND('2.7 Weighted Funding YR1'!E69,0)</f>
        <v>76399</v>
      </c>
      <c r="K65" s="154">
        <f>ROUND('2.7 Weighted Funding YR1'!I69,2)</f>
        <v>52819</v>
      </c>
      <c r="L65" s="354">
        <f>ROUND('2.7 Weighted Funding YR1'!M69,0)</f>
        <v>0</v>
      </c>
      <c r="M65" s="375">
        <f t="shared" si="16"/>
        <v>4014684</v>
      </c>
      <c r="N65" s="9"/>
    </row>
    <row r="66" spans="2:14" x14ac:dyDescent="0.3">
      <c r="B66" s="9" t="str">
        <f>'1.2 Budgeted Enrollment YR1'!E62</f>
        <v>Honors Academy of Literature</v>
      </c>
      <c r="C66" s="354">
        <f>'2.6 Adj. Base Summary YR1'!G67</f>
        <v>2067524</v>
      </c>
      <c r="D66" s="310">
        <f t="shared" si="17"/>
        <v>4.5717664662366114E-4</v>
      </c>
      <c r="E66" s="375">
        <f t="shared" si="14"/>
        <v>0</v>
      </c>
      <c r="F66" s="1830"/>
      <c r="G66" s="375">
        <f t="shared" si="15"/>
        <v>2067524</v>
      </c>
      <c r="H66" s="354">
        <f>'2.1 Auxiliary Services YR1'!G112</f>
        <v>0</v>
      </c>
      <c r="I66" s="154">
        <f>ROUND('2.2 Spec Ed Local YR1'!L62,0)</f>
        <v>231070</v>
      </c>
      <c r="J66" s="354">
        <f>ROUND('2.7 Weighted Funding YR1'!E70,0)</f>
        <v>8489</v>
      </c>
      <c r="K66" s="154">
        <f>ROUND('2.7 Weighted Funding YR1'!I70,2)</f>
        <v>0</v>
      </c>
      <c r="L66" s="354">
        <f>ROUND('2.7 Weighted Funding YR1'!M70,0)</f>
        <v>2264</v>
      </c>
      <c r="M66" s="375">
        <f t="shared" si="16"/>
        <v>2309347</v>
      </c>
      <c r="N66" s="9"/>
    </row>
    <row r="67" spans="2:14" x14ac:dyDescent="0.3">
      <c r="B67" s="9" t="str">
        <f>'1.2 Budgeted Enrollment YR1'!E63</f>
        <v>Imagine School Mountain View</v>
      </c>
      <c r="C67" s="354">
        <f>'2.6 Adj. Base Summary YR1'!G68</f>
        <v>6564203</v>
      </c>
      <c r="D67" s="310">
        <f t="shared" si="17"/>
        <v>1.4514947905305943E-3</v>
      </c>
      <c r="E67" s="375">
        <f t="shared" si="14"/>
        <v>0</v>
      </c>
      <c r="F67" s="1830"/>
      <c r="G67" s="375">
        <f t="shared" si="15"/>
        <v>6564203</v>
      </c>
      <c r="H67" s="354">
        <f>'2.1 Auxiliary Services YR1'!G113</f>
        <v>0</v>
      </c>
      <c r="I67" s="154">
        <f>ROUND('2.2 Spec Ed Local YR1'!L63,0)</f>
        <v>271262</v>
      </c>
      <c r="J67" s="354">
        <f>ROUND('2.7 Weighted Funding YR1'!E71,0)</f>
        <v>348041</v>
      </c>
      <c r="K67" s="154">
        <f>ROUND('2.7 Weighted Funding YR1'!I71,2)</f>
        <v>0</v>
      </c>
      <c r="L67" s="354">
        <f>ROUND('2.7 Weighted Funding YR1'!M71,0)</f>
        <v>0</v>
      </c>
      <c r="M67" s="375">
        <f t="shared" si="16"/>
        <v>7183506</v>
      </c>
      <c r="N67" s="9"/>
    </row>
    <row r="68" spans="2:14" x14ac:dyDescent="0.3">
      <c r="B68" s="9" t="str">
        <f>'1.2 Budgeted Enrollment YR1'!E64</f>
        <v>Innovations Int'l Charter</v>
      </c>
      <c r="C68" s="354">
        <f>'2.6 Adj. Base Summary YR1'!G69</f>
        <v>6433989</v>
      </c>
      <c r="D68" s="310">
        <f t="shared" si="17"/>
        <v>1.4227015093578226E-3</v>
      </c>
      <c r="E68" s="375">
        <f t="shared" si="14"/>
        <v>0</v>
      </c>
      <c r="F68" s="1830"/>
      <c r="G68" s="375">
        <f t="shared" si="15"/>
        <v>6433989</v>
      </c>
      <c r="H68" s="354">
        <f>'2.1 Auxiliary Services YR1'!G114</f>
        <v>0</v>
      </c>
      <c r="I68" s="154">
        <f>ROUND('2.2 Spec Ed Local YR1'!L64,0)</f>
        <v>73393</v>
      </c>
      <c r="J68" s="354">
        <f>ROUND('2.7 Weighted Funding YR1'!E72,0)</f>
        <v>763992</v>
      </c>
      <c r="K68" s="154">
        <f>ROUND('2.7 Weighted Funding YR1'!I72,2)</f>
        <v>201373</v>
      </c>
      <c r="L68" s="354">
        <f>ROUND('2.7 Weighted Funding YR1'!M72,0)</f>
        <v>0</v>
      </c>
      <c r="M68" s="375">
        <f t="shared" si="16"/>
        <v>7472747</v>
      </c>
      <c r="N68" s="9"/>
    </row>
    <row r="69" spans="2:14" x14ac:dyDescent="0.3">
      <c r="B69" s="9" t="str">
        <f>'1.2 Budgeted Enrollment YR1'!E65</f>
        <v>Leadership Academy of Nevada</v>
      </c>
      <c r="C69" s="354">
        <f>'2.6 Adj. Base Summary YR1'!G70</f>
        <v>2710822</v>
      </c>
      <c r="D69" s="310">
        <f t="shared" si="17"/>
        <v>5.9942448627133048E-4</v>
      </c>
      <c r="E69" s="375">
        <f t="shared" si="14"/>
        <v>0</v>
      </c>
      <c r="F69" s="1830"/>
      <c r="G69" s="375">
        <f t="shared" si="15"/>
        <v>2710822</v>
      </c>
      <c r="H69" s="354">
        <f>'2.1 Auxiliary Services YR1'!G115</f>
        <v>0</v>
      </c>
      <c r="I69" s="154">
        <f>ROUND('2.2 Spec Ed Local YR1'!L65,0)</f>
        <v>210794</v>
      </c>
      <c r="J69" s="354">
        <f>ROUND('2.7 Weighted Funding YR1'!E73,0)</f>
        <v>21222</v>
      </c>
      <c r="K69" s="154">
        <f>ROUND('2.7 Weighted Funding YR1'!I73,2)</f>
        <v>23108</v>
      </c>
      <c r="L69" s="354">
        <f>ROUND('2.7 Weighted Funding YR1'!M73,0)</f>
        <v>0</v>
      </c>
      <c r="M69" s="375">
        <f t="shared" si="16"/>
        <v>2965946</v>
      </c>
      <c r="N69" s="9"/>
    </row>
    <row r="70" spans="2:14" x14ac:dyDescent="0.3">
      <c r="B70" s="9" t="str">
        <f>'1.2 Budgeted Enrollment YR1'!E66</f>
        <v>Learning Bridge</v>
      </c>
      <c r="C70" s="354">
        <f>'2.6 Adj. Base Summary YR1'!G71</f>
        <v>2351740</v>
      </c>
      <c r="D70" s="310">
        <f t="shared" si="17"/>
        <v>5.2002327756810987E-4</v>
      </c>
      <c r="E70" s="375">
        <f t="shared" si="14"/>
        <v>0</v>
      </c>
      <c r="F70" s="1830"/>
      <c r="G70" s="375">
        <f t="shared" si="15"/>
        <v>2351740</v>
      </c>
      <c r="H70" s="354">
        <f>'2.1 Auxiliary Services YR1'!G116</f>
        <v>0</v>
      </c>
      <c r="I70" s="154">
        <f>ROUND('2.2 Spec Ed Local YR1'!L66,0)</f>
        <v>0</v>
      </c>
      <c r="J70" s="354">
        <f>ROUND('2.7 Weighted Funding YR1'!E74,0)</f>
        <v>0</v>
      </c>
      <c r="K70" s="154">
        <f>ROUND('2.7 Weighted Funding YR1'!I74,2)</f>
        <v>0</v>
      </c>
      <c r="L70" s="354">
        <f>ROUND('2.7 Weighted Funding YR1'!M74,0)</f>
        <v>0</v>
      </c>
      <c r="M70" s="375">
        <f t="shared" si="16"/>
        <v>2351740</v>
      </c>
      <c r="N70" s="9"/>
    </row>
    <row r="71" spans="2:14" x14ac:dyDescent="0.3">
      <c r="B71" s="9" t="str">
        <f>'1.2 Budgeted Enrollment YR1'!E67</f>
        <v>Legacy Traditional Schools</v>
      </c>
      <c r="C71" s="354">
        <f>'2.6 Adj. Base Summary YR1'!G72</f>
        <v>38908395</v>
      </c>
      <c r="D71" s="310">
        <f t="shared" si="17"/>
        <v>8.603532317694413E-3</v>
      </c>
      <c r="E71" s="375">
        <f t="shared" si="14"/>
        <v>0</v>
      </c>
      <c r="F71" s="1830"/>
      <c r="G71" s="375">
        <f t="shared" si="15"/>
        <v>38908395</v>
      </c>
      <c r="H71" s="354">
        <f>'2.1 Auxiliary Services YR1'!G117</f>
        <v>0</v>
      </c>
      <c r="I71" s="154">
        <f>ROUND('2.2 Spec Ed Local YR1'!L67,0)</f>
        <v>1929178</v>
      </c>
      <c r="J71" s="354">
        <f>ROUND('2.7 Weighted Funding YR1'!E75,0)</f>
        <v>1188432</v>
      </c>
      <c r="K71" s="154">
        <f>ROUND('2.7 Weighted Funding YR1'!I75,2)</f>
        <v>118843</v>
      </c>
      <c r="L71" s="354">
        <f>ROUND('2.7 Weighted Funding YR1'!M75,0)</f>
        <v>236555</v>
      </c>
      <c r="M71" s="375">
        <f t="shared" si="16"/>
        <v>42381403</v>
      </c>
      <c r="N71" s="9"/>
    </row>
    <row r="72" spans="2:14" x14ac:dyDescent="0.3">
      <c r="B72" s="9" t="str">
        <f>'1.2 Budgeted Enrollment YR1'!E68</f>
        <v xml:space="preserve">Mariposa Language and Learning Academy </v>
      </c>
      <c r="C72" s="354">
        <f>'2.6 Adj. Base Summary YR1'!G73</f>
        <v>1550568</v>
      </c>
      <c r="D72" s="310">
        <f t="shared" si="17"/>
        <v>3.4286590075953508E-4</v>
      </c>
      <c r="E72" s="375">
        <f t="shared" si="14"/>
        <v>0</v>
      </c>
      <c r="F72" s="1830"/>
      <c r="G72" s="375">
        <f t="shared" si="15"/>
        <v>1550568</v>
      </c>
      <c r="H72" s="354">
        <f>'2.1 Auxiliary Services YR1'!G118</f>
        <v>0</v>
      </c>
      <c r="I72" s="154">
        <f>ROUND('2.2 Spec Ed Local YR1'!L68,0)</f>
        <v>60742</v>
      </c>
      <c r="J72" s="354">
        <f>ROUND('2.7 Weighted Funding YR1'!E76,0)</f>
        <v>195242</v>
      </c>
      <c r="K72" s="154">
        <f>ROUND('2.7 Weighted Funding YR1'!I76,2)</f>
        <v>0</v>
      </c>
      <c r="L72" s="354">
        <f>ROUND('2.7 Weighted Funding YR1'!M76,0)</f>
        <v>0</v>
      </c>
      <c r="M72" s="375">
        <f t="shared" si="16"/>
        <v>1806552</v>
      </c>
      <c r="N72" s="9"/>
    </row>
    <row r="73" spans="2:14" x14ac:dyDescent="0.3">
      <c r="B73" s="9" t="str">
        <f>'1.2 Budgeted Enrollment YR1'!E69</f>
        <v>Mater Academy</v>
      </c>
      <c r="C73" s="354">
        <f>'2.6 Adj. Base Summary YR1'!G74</f>
        <v>42349072</v>
      </c>
      <c r="D73" s="310">
        <f t="shared" si="17"/>
        <v>9.3643443677480804E-3</v>
      </c>
      <c r="E73" s="375">
        <f t="shared" si="14"/>
        <v>0</v>
      </c>
      <c r="F73" s="1830"/>
      <c r="G73" s="375">
        <f t="shared" si="15"/>
        <v>42349072</v>
      </c>
      <c r="H73" s="354">
        <f>'2.1 Auxiliary Services YR1'!G119</f>
        <v>0</v>
      </c>
      <c r="I73" s="154">
        <f>ROUND('2.2 Spec Ed Local YR1'!L69,0)</f>
        <v>1865315</v>
      </c>
      <c r="J73" s="354">
        <f>ROUND('2.7 Weighted Funding YR1'!E77,0)</f>
        <v>6192580</v>
      </c>
      <c r="K73" s="154">
        <f>ROUND('2.7 Weighted Funding YR1'!I77,2)</f>
        <v>16506</v>
      </c>
      <c r="L73" s="354">
        <f>ROUND('2.7 Weighted Funding YR1'!M77,0)</f>
        <v>0</v>
      </c>
      <c r="M73" s="375">
        <f t="shared" si="16"/>
        <v>50423473</v>
      </c>
      <c r="N73" s="9"/>
    </row>
    <row r="74" spans="2:14" x14ac:dyDescent="0.3">
      <c r="B74" s="9" t="str">
        <f>'1.2 Budgeted Enrollment YR1'!E70</f>
        <v>Mater Academy of Northern Nevada</v>
      </c>
      <c r="C74" s="354">
        <f>'2.6 Adj. Base Summary YR1'!G75</f>
        <v>4742911</v>
      </c>
      <c r="D74" s="310">
        <f t="shared" si="17"/>
        <v>1.0487656473223408E-3</v>
      </c>
      <c r="E74" s="375">
        <f t="shared" si="14"/>
        <v>0</v>
      </c>
      <c r="F74" s="1830"/>
      <c r="G74" s="375">
        <f t="shared" si="15"/>
        <v>4742911</v>
      </c>
      <c r="H74" s="354">
        <f>'2.1 Auxiliary Services YR1'!G120</f>
        <v>0</v>
      </c>
      <c r="I74" s="154">
        <f>ROUND('2.2 Spec Ed Local YR1'!L70,0)</f>
        <v>53862</v>
      </c>
      <c r="J74" s="354">
        <f>ROUND('2.7 Weighted Funding YR1'!E78,0)</f>
        <v>564505</v>
      </c>
      <c r="K74" s="154">
        <f>ROUND('2.7 Weighted Funding YR1'!I78,2)</f>
        <v>6602</v>
      </c>
      <c r="L74" s="354">
        <f>ROUND('2.7 Weighted Funding YR1'!M78,0)</f>
        <v>0</v>
      </c>
      <c r="M74" s="375">
        <f t="shared" si="16"/>
        <v>5367880</v>
      </c>
      <c r="N74" s="9"/>
    </row>
    <row r="75" spans="2:14" x14ac:dyDescent="0.3">
      <c r="B75" s="9" t="str">
        <f>'1.2 Budgeted Enrollment YR1'!E71</f>
        <v>Nevada Connections Academy</v>
      </c>
      <c r="C75" s="354">
        <f>'2.6 Adj. Base Summary YR1'!G76</f>
        <v>11326008</v>
      </c>
      <c r="D75" s="310">
        <f t="shared" si="17"/>
        <v>2.5044383315853936E-3</v>
      </c>
      <c r="E75" s="375">
        <f t="shared" si="14"/>
        <v>0</v>
      </c>
      <c r="F75" s="1830"/>
      <c r="G75" s="375">
        <f t="shared" si="15"/>
        <v>11326008</v>
      </c>
      <c r="H75" s="354">
        <f>'2.1 Auxiliary Services YR1'!G121</f>
        <v>0</v>
      </c>
      <c r="I75" s="154">
        <f>ROUND('2.2 Spec Ed Local YR1'!L71,0)</f>
        <v>0</v>
      </c>
      <c r="J75" s="354">
        <f>ROUND('2.7 Weighted Funding YR1'!E79,0)</f>
        <v>161287</v>
      </c>
      <c r="K75" s="154">
        <f>ROUND('2.7 Weighted Funding YR1'!I79,2)</f>
        <v>99036</v>
      </c>
      <c r="L75" s="354">
        <f>ROUND('2.7 Weighted Funding YR1'!M79,0)</f>
        <v>0</v>
      </c>
      <c r="M75" s="375">
        <f t="shared" si="16"/>
        <v>11586331</v>
      </c>
      <c r="N75" s="9"/>
    </row>
    <row r="76" spans="2:14" x14ac:dyDescent="0.3">
      <c r="B76" s="9" t="str">
        <f>'1.2 Budgeted Enrollment YR1'!E72</f>
        <v>Nevada Prep</v>
      </c>
      <c r="C76" s="354">
        <f>'2.6 Adj. Base Summary YR1'!G77</f>
        <v>2879008</v>
      </c>
      <c r="D76" s="310">
        <f t="shared" si="17"/>
        <v>6.3661424149982944E-4</v>
      </c>
      <c r="E76" s="375">
        <f t="shared" si="14"/>
        <v>0</v>
      </c>
      <c r="F76" s="1830"/>
      <c r="G76" s="375">
        <f t="shared" si="15"/>
        <v>2879008</v>
      </c>
      <c r="H76" s="354">
        <f>'2.1 Auxiliary Services YR1'!G122</f>
        <v>0</v>
      </c>
      <c r="I76" s="154">
        <f>ROUND('2.2 Spec Ed Local YR1'!L72,0)</f>
        <v>180975</v>
      </c>
      <c r="J76" s="354">
        <f>ROUND('2.7 Weighted Funding YR1'!E80,0)</f>
        <v>314086</v>
      </c>
      <c r="K76" s="154">
        <f>ROUND('2.7 Weighted Funding YR1'!I80,2)</f>
        <v>92434</v>
      </c>
      <c r="L76" s="354">
        <f>ROUND('2.7 Weighted Funding YR1'!M80,0)</f>
        <v>0</v>
      </c>
      <c r="M76" s="375">
        <f t="shared" si="16"/>
        <v>3466503</v>
      </c>
      <c r="N76" s="9"/>
    </row>
    <row r="77" spans="2:14" x14ac:dyDescent="0.3">
      <c r="B77" s="9" t="str">
        <f>'1.2 Budgeted Enrollment YR1'!E73</f>
        <v xml:space="preserve">Nevada Rise </v>
      </c>
      <c r="C77" s="354">
        <f>'2.6 Adj. Base Summary YR1'!G78</f>
        <v>3514132</v>
      </c>
      <c r="D77" s="310">
        <f t="shared" si="17"/>
        <v>7.7705462357530056E-4</v>
      </c>
      <c r="E77" s="375">
        <f t="shared" si="14"/>
        <v>0</v>
      </c>
      <c r="F77" s="1830"/>
      <c r="G77" s="375">
        <f t="shared" si="15"/>
        <v>3514132</v>
      </c>
      <c r="H77" s="354">
        <f>'2.1 Auxiliary Services YR1'!G123</f>
        <v>0</v>
      </c>
      <c r="I77" s="154">
        <f>ROUND('2.2 Spec Ed Local YR1'!L73,0)</f>
        <v>334053</v>
      </c>
      <c r="J77" s="354">
        <f>ROUND('2.7 Weighted Funding YR1'!E81,0)</f>
        <v>148554</v>
      </c>
      <c r="K77" s="154">
        <f>ROUND('2.7 Weighted Funding YR1'!I81,2)</f>
        <v>3301</v>
      </c>
      <c r="L77" s="354">
        <f>ROUND('2.7 Weighted Funding YR1'!M81,0)</f>
        <v>0</v>
      </c>
      <c r="M77" s="375">
        <f t="shared" si="16"/>
        <v>4000040</v>
      </c>
      <c r="N77" s="9"/>
    </row>
    <row r="78" spans="2:14" x14ac:dyDescent="0.3">
      <c r="B78" s="9" t="str">
        <f>'1.2 Budgeted Enrollment YR1'!E74</f>
        <v>Nevada State High School</v>
      </c>
      <c r="C78" s="354">
        <f>'2.6 Adj. Base Summary YR1'!G79</f>
        <v>8613986</v>
      </c>
      <c r="D78" s="310">
        <f t="shared" si="17"/>
        <v>1.9047484979826906E-3</v>
      </c>
      <c r="E78" s="375">
        <f t="shared" si="14"/>
        <v>0</v>
      </c>
      <c r="F78" s="1830"/>
      <c r="G78" s="375">
        <f t="shared" si="15"/>
        <v>8613986</v>
      </c>
      <c r="H78" s="354">
        <f>'2.1 Auxiliary Services YR1'!G124</f>
        <v>0</v>
      </c>
      <c r="I78" s="154">
        <f>ROUND('2.2 Spec Ed Local YR1'!L74,0)</f>
        <v>9728</v>
      </c>
      <c r="J78" s="354">
        <f>ROUND('2.7 Weighted Funding YR1'!E82,0)</f>
        <v>101866</v>
      </c>
      <c r="K78" s="154">
        <f>ROUND('2.7 Weighted Funding YR1'!I82,2)</f>
        <v>3301</v>
      </c>
      <c r="L78" s="354">
        <f>ROUND('2.7 Weighted Funding YR1'!M82,0)</f>
        <v>0</v>
      </c>
      <c r="M78" s="375">
        <f t="shared" si="16"/>
        <v>8728881</v>
      </c>
      <c r="N78" s="9"/>
    </row>
    <row r="79" spans="2:14" x14ac:dyDescent="0.3">
      <c r="B79" s="9" t="str">
        <f>'1.2 Budgeted Enrollment YR1'!E75</f>
        <v>Nevada State High School-Meadowwood</v>
      </c>
      <c r="C79" s="354">
        <f>'2.6 Adj. Base Summary YR1'!G80</f>
        <v>284814</v>
      </c>
      <c r="D79" s="310">
        <f t="shared" si="17"/>
        <v>6.2978862364582676E-5</v>
      </c>
      <c r="E79" s="375">
        <f t="shared" si="14"/>
        <v>0</v>
      </c>
      <c r="F79" s="1830"/>
      <c r="G79" s="375">
        <f t="shared" si="15"/>
        <v>284814</v>
      </c>
      <c r="H79" s="354">
        <f>'2.1 Auxiliary Services YR1'!G125</f>
        <v>0</v>
      </c>
      <c r="I79" s="154">
        <f>ROUND('2.2 Spec Ed Local YR1'!L75,0)</f>
        <v>0</v>
      </c>
      <c r="J79" s="354">
        <f>ROUND('2.7 Weighted Funding YR1'!E83,0)</f>
        <v>0</v>
      </c>
      <c r="K79" s="154">
        <f>ROUND('2.7 Weighted Funding YR1'!I83,2)</f>
        <v>0</v>
      </c>
      <c r="L79" s="354">
        <f>ROUND('2.7 Weighted Funding YR1'!M83,0)</f>
        <v>0</v>
      </c>
      <c r="M79" s="375">
        <f t="shared" si="16"/>
        <v>284814</v>
      </c>
      <c r="N79" s="9"/>
    </row>
    <row r="80" spans="2:14" x14ac:dyDescent="0.3">
      <c r="B80" s="9" t="str">
        <f>'1.2 Budgeted Enrollment YR1'!E76</f>
        <v>Nevada Virtual Academy</v>
      </c>
      <c r="C80" s="354">
        <f>'2.6 Adj. Base Summary YR1'!G81</f>
        <v>17165964</v>
      </c>
      <c r="D80" s="310">
        <f t="shared" si="17"/>
        <v>3.7957856148622647E-3</v>
      </c>
      <c r="E80" s="375">
        <f t="shared" si="14"/>
        <v>0</v>
      </c>
      <c r="F80" s="1830"/>
      <c r="G80" s="375">
        <f t="shared" si="15"/>
        <v>17165964</v>
      </c>
      <c r="H80" s="354">
        <f>'2.1 Auxiliary Services YR1'!G126</f>
        <v>0</v>
      </c>
      <c r="I80" s="154">
        <f>ROUND('2.2 Spec Ed Local YR1'!L76,0)</f>
        <v>513939</v>
      </c>
      <c r="J80" s="354">
        <f>ROUND('2.7 Weighted Funding YR1'!E84,0)</f>
        <v>335308</v>
      </c>
      <c r="K80" s="154">
        <f>ROUND('2.7 Weighted Funding YR1'!I84,2)</f>
        <v>257494</v>
      </c>
      <c r="L80" s="354">
        <f>ROUND('2.7 Weighted Funding YR1'!M84,0)</f>
        <v>0</v>
      </c>
      <c r="M80" s="375">
        <f t="shared" si="16"/>
        <v>18272705</v>
      </c>
      <c r="N80" s="9"/>
    </row>
    <row r="81" spans="2:14" x14ac:dyDescent="0.3">
      <c r="B81" s="9" t="str">
        <f>'1.2 Budgeted Enrollment YR1'!E77</f>
        <v>Oasis Academy</v>
      </c>
      <c r="C81" s="354">
        <f>'2.6 Adj. Base Summary YR1'!G82</f>
        <v>8472366</v>
      </c>
      <c r="D81" s="310">
        <f t="shared" si="17"/>
        <v>1.8734330904252243E-3</v>
      </c>
      <c r="E81" s="375">
        <f t="shared" si="14"/>
        <v>0</v>
      </c>
      <c r="F81" s="1830"/>
      <c r="G81" s="375">
        <f t="shared" si="15"/>
        <v>8472366</v>
      </c>
      <c r="H81" s="354">
        <f>'2.1 Auxiliary Services YR1'!G127</f>
        <v>0</v>
      </c>
      <c r="I81" s="154">
        <f>ROUND('2.2 Spec Ed Local YR1'!L77,0)</f>
        <v>573004</v>
      </c>
      <c r="J81" s="354">
        <f>ROUND('2.7 Weighted Funding YR1'!E85,0)</f>
        <v>84888</v>
      </c>
      <c r="K81" s="154">
        <f>ROUND('2.7 Weighted Funding YR1'!I85,2)</f>
        <v>0</v>
      </c>
      <c r="L81" s="354">
        <f>ROUND('2.7 Weighted Funding YR1'!M85,0)</f>
        <v>0</v>
      </c>
      <c r="M81" s="375">
        <f t="shared" si="16"/>
        <v>9130258</v>
      </c>
      <c r="N81" s="9"/>
    </row>
    <row r="82" spans="2:14" x14ac:dyDescent="0.3">
      <c r="B82" s="9" t="str">
        <f>'1.2 Budgeted Enrollment YR1'!E78</f>
        <v>Odyssey Charter Schools</v>
      </c>
      <c r="C82" s="354">
        <f>'2.6 Adj. Base Summary YR1'!G83</f>
        <v>22644250</v>
      </c>
      <c r="D82" s="310">
        <f t="shared" si="17"/>
        <v>5.0071594236912554E-3</v>
      </c>
      <c r="E82" s="375">
        <f t="shared" si="14"/>
        <v>0</v>
      </c>
      <c r="F82" s="1830"/>
      <c r="G82" s="375">
        <f t="shared" si="15"/>
        <v>22644250</v>
      </c>
      <c r="H82" s="354">
        <f>'2.1 Auxiliary Services YR1'!G128</f>
        <v>0</v>
      </c>
      <c r="I82" s="154">
        <f>ROUND('2.2 Spec Ed Local YR1'!L78,0)</f>
        <v>2396373</v>
      </c>
      <c r="J82" s="354">
        <f>ROUND('2.7 Weighted Funding YR1'!E86,0)</f>
        <v>471128</v>
      </c>
      <c r="K82" s="154">
        <f>ROUND('2.7 Weighted Funding YR1'!I86,2)</f>
        <v>927637</v>
      </c>
      <c r="L82" s="354">
        <f>ROUND('2.7 Weighted Funding YR1'!M86,0)</f>
        <v>0</v>
      </c>
      <c r="M82" s="375">
        <f t="shared" si="16"/>
        <v>26439388</v>
      </c>
      <c r="N82" s="9"/>
    </row>
    <row r="83" spans="2:14" x14ac:dyDescent="0.3">
      <c r="B83" s="9" t="str">
        <f>'1.2 Budgeted Enrollment YR1'!E79</f>
        <v>Pinecrest Academy of Northern Nevada</v>
      </c>
      <c r="C83" s="354">
        <f>'2.6 Adj. Base Summary YR1'!G84</f>
        <v>9643201</v>
      </c>
      <c r="D83" s="310">
        <f t="shared" si="17"/>
        <v>2.132331376031396E-3</v>
      </c>
      <c r="E83" s="375">
        <f t="shared" si="14"/>
        <v>0</v>
      </c>
      <c r="F83" s="1830"/>
      <c r="G83" s="375">
        <f t="shared" si="15"/>
        <v>9643201</v>
      </c>
      <c r="H83" s="354">
        <f>'2.1 Auxiliary Services YR1'!G129</f>
        <v>0</v>
      </c>
      <c r="I83" s="154">
        <f>ROUND('2.2 Spec Ed Local YR1'!L79,0)</f>
        <v>1248935</v>
      </c>
      <c r="J83" s="354">
        <f>ROUND('2.7 Weighted Funding YR1'!E87,0)</f>
        <v>76399</v>
      </c>
      <c r="K83" s="154">
        <f>ROUND('2.7 Weighted Funding YR1'!I87,2)</f>
        <v>0</v>
      </c>
      <c r="L83" s="354">
        <f>ROUND('2.7 Weighted Funding YR1'!M87,0)</f>
        <v>70174</v>
      </c>
      <c r="M83" s="375">
        <f t="shared" si="16"/>
        <v>11038709</v>
      </c>
      <c r="N83" s="9"/>
    </row>
    <row r="84" spans="2:14" x14ac:dyDescent="0.3">
      <c r="B84" s="9" t="str">
        <f>'1.2 Budgeted Enrollment YR1'!E80</f>
        <v>Pinecrest Academy of Nevada</v>
      </c>
      <c r="C84" s="354">
        <f>'2.6 Adj. Base Summary YR1'!G85</f>
        <v>75973360</v>
      </c>
      <c r="D84" s="310">
        <f t="shared" si="17"/>
        <v>1.6799440276162304E-2</v>
      </c>
      <c r="E84" s="375">
        <f t="shared" si="14"/>
        <v>0</v>
      </c>
      <c r="F84" s="1830"/>
      <c r="G84" s="375">
        <f t="shared" si="15"/>
        <v>75973360</v>
      </c>
      <c r="H84" s="354">
        <f>'2.1 Auxiliary Services YR1'!G130</f>
        <v>0</v>
      </c>
      <c r="I84" s="154">
        <f>ROUND('2.2 Spec Ed Local YR1'!L80,0)</f>
        <v>143895</v>
      </c>
      <c r="J84" s="354">
        <f>ROUND('2.7 Weighted Funding YR1'!E88,0)</f>
        <v>827658</v>
      </c>
      <c r="K84" s="154">
        <f>ROUND('2.7 Weighted Funding YR1'!I88,2)</f>
        <v>419252</v>
      </c>
      <c r="L84" s="354">
        <f>ROUND('2.7 Weighted Funding YR1'!M88,0)</f>
        <v>448209</v>
      </c>
      <c r="M84" s="375">
        <f t="shared" si="16"/>
        <v>77812374</v>
      </c>
      <c r="N84" s="9"/>
    </row>
    <row r="85" spans="2:14" x14ac:dyDescent="0.3">
      <c r="B85" s="9" t="str">
        <f>'1.2 Budgeted Enrollment YR1'!E81</f>
        <v>Pioneer Technical Arts Academy</v>
      </c>
      <c r="C85" s="354">
        <f>'2.6 Adj. Base Summary YR1'!G86</f>
        <v>2488858</v>
      </c>
      <c r="D85" s="310">
        <f t="shared" ref="D85" si="19">C85/$C$35</f>
        <v>5.5034319038737743E-4</v>
      </c>
      <c r="E85" s="375">
        <f t="shared" si="14"/>
        <v>0</v>
      </c>
      <c r="F85" s="1830"/>
      <c r="G85" s="375">
        <f t="shared" si="15"/>
        <v>2488858</v>
      </c>
      <c r="H85" s="354">
        <f>'2.1 Auxiliary Services YR1'!G131</f>
        <v>0</v>
      </c>
      <c r="I85" s="154">
        <f>ROUND('2.2 Spec Ed Local YR1'!L81,0)</f>
        <v>0</v>
      </c>
      <c r="J85" s="354">
        <f>ROUND('2.7 Weighted Funding YR1'!E89,0)</f>
        <v>0</v>
      </c>
      <c r="K85" s="154">
        <f>ROUND('2.7 Weighted Funding YR1'!I89,2)</f>
        <v>0</v>
      </c>
      <c r="L85" s="354">
        <f>ROUND('2.7 Weighted Funding YR1'!M89,0)</f>
        <v>0</v>
      </c>
      <c r="M85" s="375">
        <f t="shared" si="16"/>
        <v>2488858</v>
      </c>
      <c r="N85" s="9" t="s">
        <v>370</v>
      </c>
    </row>
    <row r="86" spans="2:14" x14ac:dyDescent="0.3">
      <c r="B86" s="9" t="str">
        <f>'1.2 Budgeted Enrollment YR1'!E82</f>
        <v>Quest Academy</v>
      </c>
      <c r="C86" s="354">
        <f>'2.6 Adj. Base Summary YR1'!G87</f>
        <v>4296970</v>
      </c>
      <c r="D86" s="310">
        <f t="shared" si="17"/>
        <v>9.5015793540605728E-4</v>
      </c>
      <c r="E86" s="375">
        <f t="shared" si="14"/>
        <v>0</v>
      </c>
      <c r="F86" s="1830"/>
      <c r="G86" s="375">
        <f t="shared" si="15"/>
        <v>4296970</v>
      </c>
      <c r="H86" s="354">
        <f>'2.1 Auxiliary Services YR1'!G132</f>
        <v>0</v>
      </c>
      <c r="I86" s="154">
        <f>ROUND('2.2 Spec Ed Local YR1'!L82,0)</f>
        <v>46203</v>
      </c>
      <c r="J86" s="354">
        <f>ROUND('2.7 Weighted Funding YR1'!E90,0)</f>
        <v>203731</v>
      </c>
      <c r="K86" s="154">
        <f>ROUND('2.7 Weighted Funding YR1'!I90,2)</f>
        <v>52819</v>
      </c>
      <c r="L86" s="354">
        <f>ROUND('2.7 Weighted Funding YR1'!M90,0)</f>
        <v>0</v>
      </c>
      <c r="M86" s="375">
        <f t="shared" si="16"/>
        <v>4599723</v>
      </c>
      <c r="N86" s="9"/>
    </row>
    <row r="87" spans="2:14" x14ac:dyDescent="0.3">
      <c r="B87" s="9" t="str">
        <f>'1.2 Budgeted Enrollment YR1'!E83</f>
        <v>Rainbow Dreams Academy</v>
      </c>
      <c r="C87" s="354">
        <f>'2.6 Adj. Base Summary YR1'!G88</f>
        <v>597830</v>
      </c>
      <c r="D87" s="310">
        <f t="shared" si="17"/>
        <v>1.3219382926196908E-4</v>
      </c>
      <c r="E87" s="375">
        <f t="shared" si="14"/>
        <v>0</v>
      </c>
      <c r="F87" s="1830"/>
      <c r="G87" s="375">
        <f t="shared" si="15"/>
        <v>597830</v>
      </c>
      <c r="H87" s="354">
        <f>'2.1 Auxiliary Services YR1'!G133</f>
        <v>0</v>
      </c>
      <c r="I87" s="154">
        <f>ROUND('2.2 Spec Ed Local YR1'!L83,0)</f>
        <v>40634</v>
      </c>
      <c r="J87" s="354">
        <f>ROUND('2.7 Weighted Funding YR1'!E91,0)</f>
        <v>25466</v>
      </c>
      <c r="K87" s="154">
        <f>ROUND('2.7 Weighted Funding YR1'!I91,2)</f>
        <v>16506</v>
      </c>
      <c r="L87" s="354">
        <f>ROUND('2.7 Weighted Funding YR1'!M91,0)</f>
        <v>0</v>
      </c>
      <c r="M87" s="375">
        <f t="shared" si="16"/>
        <v>680436</v>
      </c>
      <c r="N87" s="9"/>
    </row>
    <row r="88" spans="2:14" x14ac:dyDescent="0.3">
      <c r="B88" s="9" t="str">
        <f>'1.2 Budgeted Enrollment YR1'!E84</f>
        <v>Rooted Charter School</v>
      </c>
      <c r="C88" s="354">
        <f>'2.6 Adj. Base Summary YR1'!G89</f>
        <v>222738</v>
      </c>
      <c r="D88" s="310">
        <f t="shared" ref="D88" si="20">C88/$C$35</f>
        <v>4.9252444912688338E-5</v>
      </c>
      <c r="E88" s="375">
        <f t="shared" si="14"/>
        <v>0</v>
      </c>
      <c r="F88" s="1830"/>
      <c r="G88" s="375">
        <f t="shared" si="15"/>
        <v>222738</v>
      </c>
      <c r="H88" s="354">
        <f>'2.1 Auxiliary Services YR1'!G134</f>
        <v>0</v>
      </c>
      <c r="I88" s="154">
        <f>ROUND('2.2 Spec Ed Local YR1'!L84,0)</f>
        <v>0</v>
      </c>
      <c r="J88" s="354">
        <f>ROUND('2.7 Weighted Funding YR1'!E92,0)</f>
        <v>0</v>
      </c>
      <c r="K88" s="154">
        <f>ROUND('2.7 Weighted Funding YR1'!I92,2)</f>
        <v>0</v>
      </c>
      <c r="L88" s="354">
        <f>ROUND('2.7 Weighted Funding YR1'!M92,0)</f>
        <v>0</v>
      </c>
      <c r="M88" s="375">
        <f t="shared" si="16"/>
        <v>222738</v>
      </c>
      <c r="N88" s="9"/>
    </row>
    <row r="89" spans="2:14" x14ac:dyDescent="0.3">
      <c r="B89" s="9" t="str">
        <f>'1.2 Budgeted Enrollment YR1'!E85</f>
        <v>Sage Collegiate Academy</v>
      </c>
      <c r="C89" s="354">
        <f>'2.6 Adj. Base Summary YR1'!G90</f>
        <v>2227189</v>
      </c>
      <c r="D89" s="310">
        <f t="shared" si="17"/>
        <v>4.9248221467663989E-4</v>
      </c>
      <c r="E89" s="375">
        <f t="shared" si="14"/>
        <v>0</v>
      </c>
      <c r="F89" s="1830"/>
      <c r="G89" s="375">
        <f t="shared" si="15"/>
        <v>2227189</v>
      </c>
      <c r="H89" s="354">
        <f>'2.1 Auxiliary Services YR1'!G135</f>
        <v>0</v>
      </c>
      <c r="I89" s="154">
        <f>ROUND('2.2 Spec Ed Local YR1'!L85,0)</f>
        <v>93023</v>
      </c>
      <c r="J89" s="354">
        <f>ROUND('2.7 Weighted Funding YR1'!E93,0)</f>
        <v>292864</v>
      </c>
      <c r="K89" s="154">
        <f>ROUND('2.7 Weighted Funding YR1'!I93,2)</f>
        <v>0</v>
      </c>
      <c r="L89" s="354">
        <f>ROUND('2.7 Weighted Funding YR1'!M93,0)</f>
        <v>0</v>
      </c>
      <c r="M89" s="375">
        <f t="shared" si="16"/>
        <v>2613076</v>
      </c>
      <c r="N89" s="9"/>
    </row>
    <row r="90" spans="2:14" x14ac:dyDescent="0.3">
      <c r="B90" s="9" t="str">
        <f>'1.2 Budgeted Enrollment YR1'!E86</f>
        <v>Sierra Nevada Academy Charter</v>
      </c>
      <c r="C90" s="354">
        <f>'2.6 Adj. Base Summary YR1'!G91</f>
        <v>2698290</v>
      </c>
      <c r="D90" s="310">
        <f t="shared" si="17"/>
        <v>5.9665337564069807E-4</v>
      </c>
      <c r="E90" s="375">
        <f t="shared" si="14"/>
        <v>0</v>
      </c>
      <c r="F90" s="1830"/>
      <c r="G90" s="375">
        <f t="shared" si="15"/>
        <v>2698290</v>
      </c>
      <c r="H90" s="354">
        <f>'2.1 Auxiliary Services YR1'!G136</f>
        <v>0</v>
      </c>
      <c r="I90" s="154">
        <f>ROUND('2.2 Spec Ed Local YR1'!L86,0)</f>
        <v>265057</v>
      </c>
      <c r="J90" s="354">
        <f>ROUND('2.7 Weighted Funding YR1'!E94,0)</f>
        <v>93377</v>
      </c>
      <c r="K90" s="154">
        <f>ROUND('2.7 Weighted Funding YR1'!I94,2)</f>
        <v>99036</v>
      </c>
      <c r="L90" s="354">
        <f>ROUND('2.7 Weighted Funding YR1'!M94,0)</f>
        <v>0</v>
      </c>
      <c r="M90" s="375">
        <f t="shared" si="16"/>
        <v>3155760</v>
      </c>
      <c r="N90" s="9"/>
    </row>
    <row r="91" spans="2:14" x14ac:dyDescent="0.3">
      <c r="B91" s="9" t="str">
        <f>'1.2 Budgeted Enrollment YR1'!E87</f>
        <v>Signature Preparatory</v>
      </c>
      <c r="C91" s="354">
        <f>'2.6 Adj. Base Summary YR1'!G92</f>
        <v>9388554</v>
      </c>
      <c r="D91" s="310">
        <f t="shared" si="17"/>
        <v>2.0760231244547392E-3</v>
      </c>
      <c r="E91" s="375">
        <f t="shared" si="14"/>
        <v>0</v>
      </c>
      <c r="F91" s="1830"/>
      <c r="G91" s="375">
        <f t="shared" si="15"/>
        <v>9388554</v>
      </c>
      <c r="H91" s="354">
        <f>'2.1 Auxiliary Services YR1'!G137</f>
        <v>0</v>
      </c>
      <c r="I91" s="154">
        <f>ROUND('2.2 Spec Ed Local YR1'!L87,0)</f>
        <v>281852</v>
      </c>
      <c r="J91" s="354">
        <f>ROUND('2.7 Weighted Funding YR1'!E95,0)</f>
        <v>284375</v>
      </c>
      <c r="K91" s="154">
        <f>ROUND('2.7 Weighted Funding YR1'!I95,2)</f>
        <v>56120</v>
      </c>
      <c r="L91" s="354">
        <f>ROUND('2.7 Weighted Funding YR1'!M95,0)</f>
        <v>0</v>
      </c>
      <c r="M91" s="375">
        <f t="shared" si="16"/>
        <v>10010901</v>
      </c>
      <c r="N91" s="9"/>
    </row>
    <row r="92" spans="2:14" x14ac:dyDescent="0.3">
      <c r="B92" s="9" t="str">
        <f>'1.2 Budgeted Enrollment YR1'!E88</f>
        <v>Silver Sands Montessori</v>
      </c>
      <c r="C92" s="354">
        <f>'2.6 Adj. Base Summary YR1'!G93</f>
        <v>2261452</v>
      </c>
      <c r="D92" s="310">
        <f t="shared" si="17"/>
        <v>5.0005854435565046E-4</v>
      </c>
      <c r="E92" s="375">
        <f t="shared" si="14"/>
        <v>0</v>
      </c>
      <c r="F92" s="1830"/>
      <c r="G92" s="375">
        <f t="shared" si="15"/>
        <v>2261452</v>
      </c>
      <c r="H92" s="354">
        <f>'2.1 Auxiliary Services YR1'!G138</f>
        <v>0</v>
      </c>
      <c r="I92" s="154">
        <f>ROUND('2.2 Spec Ed Local YR1'!L88,0)</f>
        <v>0</v>
      </c>
      <c r="J92" s="354">
        <f>ROUND('2.7 Weighted Funding YR1'!E96,0)</f>
        <v>101866</v>
      </c>
      <c r="K92" s="154">
        <f>ROUND('2.7 Weighted Funding YR1'!I96,2)</f>
        <v>0</v>
      </c>
      <c r="L92" s="354">
        <f>ROUND('2.7 Weighted Funding YR1'!M96,0)</f>
        <v>0</v>
      </c>
      <c r="M92" s="375">
        <f t="shared" si="16"/>
        <v>2363318</v>
      </c>
      <c r="N92" s="9"/>
    </row>
    <row r="93" spans="2:14" x14ac:dyDescent="0.3">
      <c r="B93" s="9" t="str">
        <f>'1.2 Budgeted Enrollment YR1'!E89</f>
        <v>Somerset Academy</v>
      </c>
      <c r="C93" s="354">
        <f>'2.6 Adj. Base Summary YR1'!G94</f>
        <v>90670221</v>
      </c>
      <c r="D93" s="310">
        <f t="shared" si="17"/>
        <v>2.0049250981079909E-2</v>
      </c>
      <c r="E93" s="375">
        <f t="shared" si="14"/>
        <v>0</v>
      </c>
      <c r="F93" s="1830"/>
      <c r="G93" s="375">
        <f t="shared" si="15"/>
        <v>90670221</v>
      </c>
      <c r="H93" s="354">
        <f>'2.1 Auxiliary Services YR1'!G139</f>
        <v>0</v>
      </c>
      <c r="I93" s="154">
        <f>ROUND('2.2 Spec Ed Local YR1'!L89,0)</f>
        <v>4081801</v>
      </c>
      <c r="J93" s="354">
        <f>ROUND('2.7 Weighted Funding YR1'!E97,0)</f>
        <v>1468562</v>
      </c>
      <c r="K93" s="154">
        <f>ROUND('2.7 Weighted Funding YR1'!I97,2)</f>
        <v>359831</v>
      </c>
      <c r="L93" s="354">
        <f>ROUND('2.7 Weighted Funding YR1'!M97,0)</f>
        <v>275037</v>
      </c>
      <c r="M93" s="375">
        <f>ROUND(SUM(G93:L93),2)</f>
        <v>96855452</v>
      </c>
      <c r="N93" s="9"/>
    </row>
    <row r="94" spans="2:14" x14ac:dyDescent="0.3">
      <c r="B94" s="9" t="str">
        <f>'1.2 Budgeted Enrollment YR1'!E90</f>
        <v>Southern Nevada Trade High School</v>
      </c>
      <c r="C94" s="354">
        <f>'2.6 Adj. Base Summary YR1'!G95</f>
        <v>764777</v>
      </c>
      <c r="D94" s="310">
        <f t="shared" ref="D94" si="21">C94/$C$35</f>
        <v>1.6910961337082602E-4</v>
      </c>
      <c r="E94" s="375">
        <f t="shared" si="14"/>
        <v>0</v>
      </c>
      <c r="F94" s="1830"/>
      <c r="G94" s="375">
        <f t="shared" si="15"/>
        <v>764777</v>
      </c>
      <c r="H94" s="354">
        <f>'2.1 Auxiliary Services YR1'!G140</f>
        <v>0</v>
      </c>
      <c r="I94" s="154">
        <f>ROUND('2.2 Spec Ed Local YR1'!L90,0)</f>
        <v>0</v>
      </c>
      <c r="J94" s="354">
        <f>ROUND('2.7 Weighted Funding YR1'!E98,0)</f>
        <v>106110</v>
      </c>
      <c r="K94" s="154">
        <f>ROUND('2.7 Weighted Funding YR1'!I98,2)</f>
        <v>105638</v>
      </c>
      <c r="L94" s="354">
        <f>ROUND('2.7 Weighted Funding YR1'!M98,0)</f>
        <v>0</v>
      </c>
      <c r="M94" s="375">
        <f t="shared" si="16"/>
        <v>976525</v>
      </c>
      <c r="N94" s="9"/>
    </row>
    <row r="95" spans="2:14" x14ac:dyDescent="0.3">
      <c r="B95" s="9" t="str">
        <f>'1.2 Budgeted Enrollment YR1'!E91</f>
        <v>Sports Leadership and Management Academy</v>
      </c>
      <c r="C95" s="354">
        <f>'2.6 Adj. Base Summary YR1'!G96</f>
        <v>17626131</v>
      </c>
      <c r="D95" s="310">
        <f t="shared" si="17"/>
        <v>3.8975390193919678E-3</v>
      </c>
      <c r="E95" s="375">
        <f t="shared" si="14"/>
        <v>0</v>
      </c>
      <c r="F95" s="1830"/>
      <c r="G95" s="375">
        <f t="shared" si="15"/>
        <v>17626131</v>
      </c>
      <c r="H95" s="354">
        <f>'2.1 Auxiliary Services YR1'!G141</f>
        <v>0</v>
      </c>
      <c r="I95" s="154">
        <f>ROUND('2.2 Spec Ed Local YR1'!L91,0)</f>
        <v>1415450</v>
      </c>
      <c r="J95" s="354">
        <f>ROUND('2.7 Weighted Funding YR1'!E99,0)</f>
        <v>823414</v>
      </c>
      <c r="K95" s="154">
        <f>ROUND('2.7 Weighted Funding YR1'!I99,2)</f>
        <v>72626</v>
      </c>
      <c r="L95" s="354">
        <f>ROUND('2.7 Weighted Funding YR1'!M99,0)</f>
        <v>0</v>
      </c>
      <c r="M95" s="375">
        <f t="shared" si="16"/>
        <v>19937621</v>
      </c>
      <c r="N95" s="9"/>
    </row>
    <row r="96" spans="2:14" x14ac:dyDescent="0.3">
      <c r="B96" s="9" t="str">
        <f>'1.2 Budgeted Enrollment YR1'!E92</f>
        <v>Strong Start Academy</v>
      </c>
      <c r="C96" s="354">
        <f>'2.6 Adj. Base Summary YR1'!G97</f>
        <v>1391436</v>
      </c>
      <c r="D96" s="310">
        <f t="shared" si="17"/>
        <v>3.076781911462409E-4</v>
      </c>
      <c r="E96" s="375">
        <f t="shared" si="14"/>
        <v>0</v>
      </c>
      <c r="F96" s="1830"/>
      <c r="G96" s="375">
        <f t="shared" si="15"/>
        <v>1391436</v>
      </c>
      <c r="H96" s="354">
        <f>'2.1 Auxiliary Services YR1'!G142</f>
        <v>0</v>
      </c>
      <c r="I96" s="154">
        <f>ROUND('2.2 Spec Ed Local YR1'!L92,0)</f>
        <v>219797</v>
      </c>
      <c r="J96" s="354">
        <f>ROUND('2.7 Weighted Funding YR1'!E100,0)</f>
        <v>237686</v>
      </c>
      <c r="K96" s="154">
        <f>ROUND('2.7 Weighted Funding YR1'!I100,2)</f>
        <v>0</v>
      </c>
      <c r="L96" s="354">
        <f>ROUND('2.7 Weighted Funding YR1'!M100,0)</f>
        <v>0</v>
      </c>
      <c r="M96" s="375">
        <f t="shared" si="16"/>
        <v>1848919</v>
      </c>
      <c r="N96" s="9"/>
    </row>
    <row r="97" spans="1:14" x14ac:dyDescent="0.3">
      <c r="B97" s="9" t="str">
        <f>'1.2 Budgeted Enrollment YR1'!E93</f>
        <v>ThrivePoint</v>
      </c>
      <c r="C97" s="354">
        <f>'2.6 Adj. Base Summary YR1'!G98</f>
        <v>1442957</v>
      </c>
      <c r="D97" s="310">
        <f>C97/$C$35</f>
        <v>3.190706576959388E-4</v>
      </c>
      <c r="E97" s="375">
        <f t="shared" si="14"/>
        <v>0</v>
      </c>
      <c r="F97" s="1830"/>
      <c r="G97" s="375">
        <f t="shared" si="15"/>
        <v>1442957</v>
      </c>
      <c r="H97" s="354">
        <f>'2.1 Auxiliary Services YR1'!G143</f>
        <v>0</v>
      </c>
      <c r="I97" s="154">
        <f>ROUND('2.2 Spec Ed Local YR1'!L93,0)</f>
        <v>0</v>
      </c>
      <c r="J97" s="354">
        <f>ROUND('2.7 Weighted Funding YR1'!E101,0)</f>
        <v>178265</v>
      </c>
      <c r="K97" s="154">
        <f>ROUND('2.7 Weighted Funding YR1'!I101,2)</f>
        <v>161759</v>
      </c>
      <c r="L97" s="354">
        <f>ROUND('2.7 Weighted Funding YR1'!M101,0)</f>
        <v>0</v>
      </c>
      <c r="M97" s="375">
        <f t="shared" si="16"/>
        <v>1782981</v>
      </c>
      <c r="N97" s="9" t="s">
        <v>370</v>
      </c>
    </row>
    <row r="98" spans="1:14" x14ac:dyDescent="0.3">
      <c r="B98" s="9" t="str">
        <f>'1.2 Budgeted Enrollment YR1'!E94</f>
        <v>Vegas Vista Academy</v>
      </c>
      <c r="C98" s="354">
        <f>'2.6 Adj. Base Summary YR1'!G99</f>
        <v>987796</v>
      </c>
      <c r="D98" s="310">
        <f>C98/$C$35</f>
        <v>2.1842419378361073E-4</v>
      </c>
      <c r="E98" s="375">
        <f t="shared" si="14"/>
        <v>0</v>
      </c>
      <c r="F98" s="1830"/>
      <c r="G98" s="375">
        <f t="shared" si="15"/>
        <v>987796</v>
      </c>
      <c r="H98" s="354">
        <f>'2.1 Auxiliary Services YR1'!G144</f>
        <v>0</v>
      </c>
      <c r="I98" s="154">
        <f>ROUND('2.2 Spec Ed Local YR1'!L94,0)</f>
        <v>0</v>
      </c>
      <c r="J98" s="354">
        <f>ROUND('2.7 Weighted Funding YR1'!E102,0)</f>
        <v>152798</v>
      </c>
      <c r="K98" s="154">
        <f>ROUND('2.7 Weighted Funding YR1'!I102,2)</f>
        <v>0</v>
      </c>
      <c r="L98" s="354">
        <f>ROUND('2.7 Weighted Funding YR1'!M102,0)</f>
        <v>0</v>
      </c>
      <c r="M98" s="375">
        <f t="shared" si="16"/>
        <v>1140594</v>
      </c>
      <c r="N98" s="9" t="s">
        <v>370</v>
      </c>
    </row>
    <row r="99" spans="1:14" x14ac:dyDescent="0.3">
      <c r="B99" s="137" t="str">
        <f>'1.2 Budgeted Enrollment YR1'!E95</f>
        <v>Young Women's Leadership Academy</v>
      </c>
      <c r="C99" s="365">
        <f>'2.6 Adj. Base Summary YR1'!G100</f>
        <v>1121109</v>
      </c>
      <c r="D99" s="1928">
        <f>C99/$C$35</f>
        <v>2.4790273443965155E-4</v>
      </c>
      <c r="E99" s="376">
        <f t="shared" si="14"/>
        <v>0</v>
      </c>
      <c r="F99" s="1830"/>
      <c r="G99" s="376">
        <f t="shared" si="15"/>
        <v>1121109</v>
      </c>
      <c r="H99" s="148">
        <f>'2.1 Auxiliary Services YR1'!G145</f>
        <v>0</v>
      </c>
      <c r="I99" s="148">
        <f>ROUND('2.2 Spec Ed Local YR1'!L95,0)</f>
        <v>122895</v>
      </c>
      <c r="J99" s="365">
        <f>ROUND('2.7 Weighted Funding YR1'!E103,0)</f>
        <v>80644</v>
      </c>
      <c r="K99" s="148">
        <f>ROUND('2.7 Weighted Funding YR1'!I103,2)</f>
        <v>6602</v>
      </c>
      <c r="L99" s="365">
        <f>ROUND('2.7 Weighted Funding YR1'!M103,0)</f>
        <v>0</v>
      </c>
      <c r="M99" s="376">
        <f t="shared" si="16"/>
        <v>1331250</v>
      </c>
      <c r="N99" s="9"/>
    </row>
    <row r="100" spans="1:14" s="4" customFormat="1" x14ac:dyDescent="0.3">
      <c r="A100" s="291"/>
      <c r="B100" s="291" t="s">
        <v>1398</v>
      </c>
      <c r="C100" s="388">
        <f>SUM(C38:C99)</f>
        <v>684397184</v>
      </c>
      <c r="D100" s="1929">
        <f>SUM(D38:D99)</f>
        <v>0.15133580531098881</v>
      </c>
      <c r="E100" s="388">
        <f>SUM(E38:E99)</f>
        <v>0</v>
      </c>
      <c r="F100" s="1830"/>
      <c r="G100" s="388">
        <f t="shared" ref="G100:L100" si="22">SUM(G38:G99)</f>
        <v>684397184</v>
      </c>
      <c r="H100" s="1726">
        <f>'2.1 Auxiliary Services YR1'!J29</f>
        <v>0</v>
      </c>
      <c r="I100" s="1726">
        <f t="shared" si="22"/>
        <v>24608056</v>
      </c>
      <c r="J100" s="388">
        <f t="shared" si="22"/>
        <v>27096252</v>
      </c>
      <c r="K100" s="1726">
        <f t="shared" si="22"/>
        <v>6625505</v>
      </c>
      <c r="L100" s="388">
        <f t="shared" si="22"/>
        <v>1687574</v>
      </c>
      <c r="M100" s="388">
        <f>SUM(G100:L100)</f>
        <v>744414571</v>
      </c>
    </row>
    <row r="101" spans="1:14" x14ac:dyDescent="0.3">
      <c r="C101" s="173">
        <f>C100-C31</f>
        <v>0</v>
      </c>
      <c r="D101" s="20"/>
      <c r="E101" s="131">
        <f>E100-E31</f>
        <v>0</v>
      </c>
      <c r="F101" s="1832"/>
      <c r="G101" s="131">
        <f t="shared" ref="G101:L101" si="23">G100-G31</f>
        <v>0</v>
      </c>
      <c r="H101" s="131">
        <f t="shared" si="23"/>
        <v>0</v>
      </c>
      <c r="I101" s="131">
        <f t="shared" si="23"/>
        <v>0</v>
      </c>
      <c r="J101" s="131">
        <f t="shared" si="23"/>
        <v>0</v>
      </c>
      <c r="K101" s="131">
        <f t="shared" si="23"/>
        <v>0</v>
      </c>
      <c r="L101" s="131">
        <f t="shared" si="23"/>
        <v>0</v>
      </c>
      <c r="M101" s="131">
        <f>M100-M31</f>
        <v>0</v>
      </c>
    </row>
    <row r="102" spans="1:14" x14ac:dyDescent="0.3">
      <c r="A102" s="4" t="s">
        <v>306</v>
      </c>
      <c r="D102" s="20"/>
      <c r="F102" s="1830"/>
      <c r="J102" s="12"/>
      <c r="K102" s="12"/>
    </row>
    <row r="103" spans="1:14" x14ac:dyDescent="0.3">
      <c r="A103" s="455"/>
      <c r="B103" s="207" t="str">
        <f>'1.2 Budgeted Enrollment YR1'!E100</f>
        <v>Davidson Academy</v>
      </c>
      <c r="C103" s="2015">
        <f>'2.6 Adj. Base Summary YR1'!G104</f>
        <v>1583485</v>
      </c>
      <c r="D103" s="2088">
        <f>C103/$C$35</f>
        <v>3.5014459918185619E-4</v>
      </c>
      <c r="E103" s="2011">
        <f>ROUND(D103*$C$6,2)</f>
        <v>0</v>
      </c>
      <c r="F103" s="1830"/>
      <c r="G103" s="2011">
        <f>ROUND(IF(F103&gt;0,F103)+C103+E103,2)</f>
        <v>1583485</v>
      </c>
      <c r="H103" s="475">
        <v>0</v>
      </c>
      <c r="I103" s="2015">
        <f>ROUND('2.2 Spec Ed Local YR1'!L99,)</f>
        <v>52268</v>
      </c>
      <c r="J103" s="475">
        <f>ROUND('2.7 Weighted Funding YR1'!E107,0)</f>
        <v>0</v>
      </c>
      <c r="K103" s="2015">
        <f>ROUND('2.7 Weighted Funding YR1'!I107,0)</f>
        <v>0</v>
      </c>
      <c r="L103" s="475">
        <f>ROUND('2.7 Weighted Funding YR1'!M107,0)</f>
        <v>0</v>
      </c>
      <c r="M103" s="2011">
        <f>ROUND(SUM(G103:L103),0)</f>
        <v>1635753</v>
      </c>
      <c r="N103" s="9"/>
    </row>
    <row r="104" spans="1:14" x14ac:dyDescent="0.3">
      <c r="A104" s="142"/>
      <c r="B104" s="137" t="str">
        <f>'1.2 Budgeted Enrollment YR1'!E101</f>
        <v>TBD</v>
      </c>
      <c r="C104" s="365">
        <f>'2.6 Adj. Base Summary YR1'!G105</f>
        <v>0</v>
      </c>
      <c r="D104" s="1924">
        <f>C104/$C$35</f>
        <v>0</v>
      </c>
      <c r="E104" s="376">
        <f>ROUND(D104*$C$6,0)</f>
        <v>0</v>
      </c>
      <c r="F104" s="1830"/>
      <c r="G104" s="376">
        <f>ROUND(IF(F104&gt;0,F104)+C104+E104,0)</f>
        <v>0</v>
      </c>
      <c r="H104" s="148">
        <v>0</v>
      </c>
      <c r="I104" s="365">
        <f>'2.2 Spec Ed Local YR1'!L100</f>
        <v>0</v>
      </c>
      <c r="J104" s="148">
        <f>'2.7 Weighted Funding YR1'!E108</f>
        <v>0</v>
      </c>
      <c r="K104" s="365">
        <f>'2.7 Weighted Funding YR1'!I108</f>
        <v>0</v>
      </c>
      <c r="L104" s="148">
        <f>'2.7 Weighted Funding YR1'!M108</f>
        <v>0</v>
      </c>
      <c r="M104" s="376">
        <f>SUM(G104:L104)</f>
        <v>0</v>
      </c>
      <c r="N104" s="9"/>
    </row>
    <row r="105" spans="1:14" s="4" customFormat="1" x14ac:dyDescent="0.3">
      <c r="A105" s="204"/>
      <c r="B105" s="135" t="s">
        <v>1398</v>
      </c>
      <c r="C105" s="388">
        <f>SUM(C103:C104)</f>
        <v>1583485</v>
      </c>
      <c r="D105" s="1930">
        <f>SUM(D103:D104)</f>
        <v>3.5014459918185619E-4</v>
      </c>
      <c r="E105" s="388">
        <f>SUM(E103:E104)</f>
        <v>0</v>
      </c>
      <c r="F105" s="1830"/>
      <c r="G105" s="379">
        <f>SUM(G103:G104)</f>
        <v>1583485</v>
      </c>
      <c r="H105" s="383">
        <f t="shared" ref="H105:L105" si="24">SUM(H103:H104)</f>
        <v>0</v>
      </c>
      <c r="I105" s="379">
        <f t="shared" si="24"/>
        <v>52268</v>
      </c>
      <c r="J105" s="383">
        <f t="shared" si="24"/>
        <v>0</v>
      </c>
      <c r="K105" s="379">
        <f t="shared" si="24"/>
        <v>0</v>
      </c>
      <c r="L105" s="383">
        <f t="shared" si="24"/>
        <v>0</v>
      </c>
      <c r="M105" s="379">
        <f>SUM(M103:M104)</f>
        <v>1635753</v>
      </c>
    </row>
    <row r="106" spans="1:14" x14ac:dyDescent="0.3">
      <c r="C106" s="173">
        <f>C105-C32</f>
        <v>0</v>
      </c>
      <c r="D106" s="20"/>
      <c r="E106" s="173">
        <f>E105-E32</f>
        <v>0</v>
      </c>
      <c r="F106" s="1832"/>
      <c r="G106" s="173">
        <f t="shared" ref="G106:M106" si="25">G105-G32</f>
        <v>0</v>
      </c>
      <c r="H106" s="173">
        <f t="shared" si="25"/>
        <v>0</v>
      </c>
      <c r="I106" s="173">
        <f t="shared" si="25"/>
        <v>0</v>
      </c>
      <c r="J106" s="796">
        <f t="shared" si="25"/>
        <v>0</v>
      </c>
      <c r="K106" s="796">
        <f t="shared" si="25"/>
        <v>0</v>
      </c>
      <c r="L106" s="796">
        <f t="shared" si="25"/>
        <v>0</v>
      </c>
      <c r="M106" s="796">
        <f t="shared" si="25"/>
        <v>0</v>
      </c>
    </row>
    <row r="107" spans="1:14" x14ac:dyDescent="0.3">
      <c r="A107" s="4" t="str">
        <f>'2.3 Statewide Base Funding YR1'!A107</f>
        <v>City of Henderson</v>
      </c>
      <c r="D107" s="20"/>
      <c r="F107" s="1830"/>
      <c r="J107" s="12"/>
      <c r="K107" s="12"/>
    </row>
    <row r="108" spans="1:14" x14ac:dyDescent="0.3">
      <c r="A108" s="455"/>
      <c r="B108" s="207" t="str">
        <f>'1.2 Budgeted Enrollment YR1'!E107</f>
        <v>TBD</v>
      </c>
      <c r="C108" s="2015">
        <f>'2.6 Adj. Base Summary YR1'!G109</f>
        <v>0</v>
      </c>
      <c r="D108" s="2020">
        <f>C108/$C$35</f>
        <v>0</v>
      </c>
      <c r="E108" s="2011">
        <f>ROUND(D108*$C$6,0)</f>
        <v>0</v>
      </c>
      <c r="F108" s="1830"/>
      <c r="G108" s="2011">
        <f>ROUND(IF(F108&gt;0,F108)+C108+E108,2)</f>
        <v>0</v>
      </c>
      <c r="H108" s="2015">
        <v>0</v>
      </c>
      <c r="I108" s="475">
        <f>ROUND('2.2 Spec Ed Local YR1'!L104,)</f>
        <v>0</v>
      </c>
      <c r="J108" s="2015">
        <f>ROUND('2.7 Weighted Funding YR1'!E112,0)</f>
        <v>0</v>
      </c>
      <c r="K108" s="475">
        <f>ROUND('2.7 Weighted Funding YR1'!I112,0)</f>
        <v>0</v>
      </c>
      <c r="L108" s="2015">
        <f>ROUND('2.7 Weighted Funding YR1'!M112,0)</f>
        <v>0</v>
      </c>
      <c r="M108" s="476">
        <f>ROUND(SUM(G108:L108),0)</f>
        <v>0</v>
      </c>
      <c r="N108" s="9"/>
    </row>
    <row r="109" spans="1:14" x14ac:dyDescent="0.3">
      <c r="A109" s="142"/>
      <c r="B109" s="137" t="str">
        <f>'1.2 Budgeted Enrollment YR1'!E108</f>
        <v>TBD</v>
      </c>
      <c r="C109" s="365">
        <f>'2.6 Adj. Base Summary YR1'!G110</f>
        <v>0</v>
      </c>
      <c r="D109" s="1924">
        <f>C109/$C$35</f>
        <v>0</v>
      </c>
      <c r="E109" s="376">
        <f>ROUND(D109*$C$6,0)</f>
        <v>0</v>
      </c>
      <c r="F109" s="1830"/>
      <c r="G109" s="376">
        <f t="shared" ref="G109" si="26">ROUND(IF(F109&gt;0,F109)+C109+E109,0)</f>
        <v>0</v>
      </c>
      <c r="H109" s="365">
        <v>0</v>
      </c>
      <c r="I109" s="148">
        <f>'2.2 Spec Ed Local YR1'!L105</f>
        <v>0</v>
      </c>
      <c r="J109" s="365">
        <f>'2.7 Weighted Funding YR1'!E113</f>
        <v>0</v>
      </c>
      <c r="K109" s="148">
        <f>'2.7 Weighted Funding YR1'!I113</f>
        <v>0</v>
      </c>
      <c r="L109" s="365">
        <f>'2.7 Weighted Funding YR1'!M113</f>
        <v>0</v>
      </c>
      <c r="M109" s="403">
        <f>SUM(G109:L109)</f>
        <v>0</v>
      </c>
      <c r="N109" s="9"/>
    </row>
    <row r="110" spans="1:14" s="4" customFormat="1" x14ac:dyDescent="0.3">
      <c r="A110" s="204"/>
      <c r="B110" s="135" t="s">
        <v>1398</v>
      </c>
      <c r="C110" s="388">
        <f>SUM(C108:C109)</f>
        <v>0</v>
      </c>
      <c r="D110" s="1930">
        <f>SUM(D108:D109)</f>
        <v>0</v>
      </c>
      <c r="E110" s="388">
        <f>SUM(E108:E109)</f>
        <v>0</v>
      </c>
      <c r="F110" s="1830"/>
      <c r="G110" s="1831">
        <f>SUM(G108:G109)</f>
        <v>0</v>
      </c>
      <c r="H110" s="388">
        <f t="shared" ref="H110:M110" si="27">SUM(H108:H109)</f>
        <v>0</v>
      </c>
      <c r="I110" s="1726">
        <f t="shared" si="27"/>
        <v>0</v>
      </c>
      <c r="J110" s="388">
        <f t="shared" si="27"/>
        <v>0</v>
      </c>
      <c r="K110" s="1726">
        <f t="shared" si="27"/>
        <v>0</v>
      </c>
      <c r="L110" s="388">
        <f t="shared" si="27"/>
        <v>0</v>
      </c>
      <c r="M110" s="1745">
        <f t="shared" si="27"/>
        <v>0</v>
      </c>
    </row>
    <row r="111" spans="1:14" x14ac:dyDescent="0.3">
      <c r="C111" s="173">
        <f>C110-C33</f>
        <v>0</v>
      </c>
      <c r="D111" s="20"/>
      <c r="E111" s="173">
        <f>E110-E33</f>
        <v>0</v>
      </c>
      <c r="F111" s="1832"/>
      <c r="G111" s="796">
        <f>G110-G33</f>
        <v>0</v>
      </c>
      <c r="H111" s="173">
        <f>H110-H37</f>
        <v>0</v>
      </c>
      <c r="I111" s="173">
        <f>I110-I37</f>
        <v>0</v>
      </c>
      <c r="J111" s="173">
        <f>J110-J33</f>
        <v>0</v>
      </c>
      <c r="K111" s="173">
        <f>K110-K33</f>
        <v>0</v>
      </c>
      <c r="L111" s="173">
        <f>L110-L33</f>
        <v>0</v>
      </c>
      <c r="M111" s="173">
        <f>M110-M33</f>
        <v>0</v>
      </c>
    </row>
    <row r="112" spans="1:14" x14ac:dyDescent="0.3">
      <c r="A112" s="4" t="str">
        <f>'2.3 Statewide Base Funding YR1'!A112</f>
        <v>City of North Las Vegas</v>
      </c>
      <c r="D112" s="20"/>
      <c r="F112" s="1830"/>
      <c r="J112" s="12"/>
      <c r="K112" s="12"/>
    </row>
    <row r="113" spans="1:14" x14ac:dyDescent="0.3">
      <c r="A113" s="455"/>
      <c r="B113" s="207" t="str">
        <f>'1.2 Budgeted Enrollment YR1'!E113</f>
        <v>TBD</v>
      </c>
      <c r="C113" s="2015">
        <f>'2.6 Adj. Base Summary YR1'!G114</f>
        <v>0</v>
      </c>
      <c r="D113" s="2020">
        <f>C113/$C$35</f>
        <v>0</v>
      </c>
      <c r="E113" s="2011">
        <f>ROUND(D113*$C$6,0)</f>
        <v>0</v>
      </c>
      <c r="F113" s="1830"/>
      <c r="G113" s="2011">
        <f>ROUND(IF(F113&gt;0,F113)+C113+E113,2)</f>
        <v>0</v>
      </c>
      <c r="H113" s="2015">
        <v>0</v>
      </c>
      <c r="I113" s="475">
        <f>ROUND('2.2 Spec Ed Local YR1'!L109,)</f>
        <v>0</v>
      </c>
      <c r="J113" s="2015">
        <f>ROUND('2.7 Weighted Funding YR1'!E117,0)</f>
        <v>0</v>
      </c>
      <c r="K113" s="475">
        <f>ROUND('2.7 Weighted Funding YR1'!I117,0)</f>
        <v>0</v>
      </c>
      <c r="L113" s="2015">
        <f>ROUND('2.7 Weighted Funding YR1'!M117,0)</f>
        <v>0</v>
      </c>
      <c r="M113" s="476">
        <f>ROUND(SUM(G113:L113),0)</f>
        <v>0</v>
      </c>
      <c r="N113" s="9"/>
    </row>
    <row r="114" spans="1:14" x14ac:dyDescent="0.3">
      <c r="A114" s="142"/>
      <c r="B114" s="137" t="str">
        <f>'1.2 Budgeted Enrollment YR1'!E114</f>
        <v>TBD</v>
      </c>
      <c r="C114" s="365">
        <f>'2.6 Adj. Base Summary YR1'!G115</f>
        <v>0</v>
      </c>
      <c r="D114" s="1924">
        <f>C114/$C$35</f>
        <v>0</v>
      </c>
      <c r="E114" s="376">
        <f>ROUND(D114*$C$6,0)</f>
        <v>0</v>
      </c>
      <c r="F114" s="1830"/>
      <c r="G114" s="376">
        <f t="shared" ref="G114" si="28">ROUND(IF(F114&gt;0,F114)+C114+E114,0)</f>
        <v>0</v>
      </c>
      <c r="H114" s="365">
        <v>0</v>
      </c>
      <c r="I114" s="148">
        <f>'2.2 Spec Ed Local YR1'!L110</f>
        <v>0</v>
      </c>
      <c r="J114" s="365">
        <f>'2.7 Weighted Funding YR1'!E118</f>
        <v>0</v>
      </c>
      <c r="K114" s="148">
        <f>'2.7 Weighted Funding YR1'!I118</f>
        <v>0</v>
      </c>
      <c r="L114" s="365">
        <f>'2.7 Weighted Funding YR1'!M118</f>
        <v>0</v>
      </c>
      <c r="M114" s="403">
        <f>SUM(G114:L114)</f>
        <v>0</v>
      </c>
      <c r="N114" s="9"/>
    </row>
    <row r="115" spans="1:14" s="4" customFormat="1" x14ac:dyDescent="0.3">
      <c r="A115" s="204"/>
      <c r="B115" s="135" t="s">
        <v>1398</v>
      </c>
      <c r="C115" s="388">
        <f>SUM(C113:C114)</f>
        <v>0</v>
      </c>
      <c r="D115" s="1930">
        <f>SUM(D113:D114)</f>
        <v>0</v>
      </c>
      <c r="E115" s="388">
        <f>SUM(E113:E114)</f>
        <v>0</v>
      </c>
      <c r="F115" s="1830"/>
      <c r="G115" s="388">
        <f>SUM(G113:G114)</f>
        <v>0</v>
      </c>
      <c r="H115" s="388">
        <f t="shared" ref="H115:L115" si="29">SUM(H113:H114)</f>
        <v>0</v>
      </c>
      <c r="I115" s="1726">
        <f t="shared" si="29"/>
        <v>0</v>
      </c>
      <c r="J115" s="388">
        <f t="shared" si="29"/>
        <v>0</v>
      </c>
      <c r="K115" s="1726">
        <f t="shared" si="29"/>
        <v>0</v>
      </c>
      <c r="L115" s="388">
        <f t="shared" si="29"/>
        <v>0</v>
      </c>
      <c r="M115" s="1745">
        <f>SUM(M113:M114)</f>
        <v>0</v>
      </c>
    </row>
    <row r="116" spans="1:14" x14ac:dyDescent="0.3">
      <c r="C116" s="173">
        <f>C115-C34</f>
        <v>0</v>
      </c>
      <c r="D116" s="173"/>
      <c r="E116" s="173">
        <f>E115-E34</f>
        <v>0</v>
      </c>
      <c r="F116" s="1832"/>
      <c r="G116" s="173">
        <f>G115-G34</f>
        <v>0</v>
      </c>
      <c r="H116" s="173">
        <f>H115-H42</f>
        <v>0</v>
      </c>
      <c r="I116" s="173">
        <f>I115-I42</f>
        <v>-33894</v>
      </c>
      <c r="J116" s="173">
        <f>J115-J34</f>
        <v>0</v>
      </c>
      <c r="K116" s="173">
        <f>K115-K34</f>
        <v>0</v>
      </c>
      <c r="L116" s="173">
        <f>L115-L34</f>
        <v>0</v>
      </c>
      <c r="M116" s="173">
        <f>M115-M34</f>
        <v>0</v>
      </c>
    </row>
  </sheetData>
  <customSheetViews>
    <customSheetView guid="{CA1C9262-C0F9-4BBB-95C8-A52990BD1149}" scale="70" showPageBreaks="1">
      <pane xSplit="2" ySplit="10" topLeftCell="U11" activePane="bottomRight" state="frozen"/>
      <selection pane="bottomRight" activeCell="A4" sqref="A4"/>
      <rowBreaks count="1" manualBreakCount="1">
        <brk id="30" max="16383" man="1"/>
      </rowBreaks>
      <colBreaks count="6" manualBreakCount="6">
        <brk id="10" max="1048575" man="1"/>
        <brk id="18" max="1048575" man="1"/>
        <brk id="26" max="1048575" man="1"/>
        <brk id="34" max="1048575" man="1"/>
        <brk id="42" max="1048575" man="1"/>
        <brk id="50" max="1048575" man="1"/>
      </colBreaks>
      <pageMargins left="0" right="0" top="0" bottom="0" header="0" footer="0"/>
      <pageSetup paperSize="3" fitToWidth="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70" showPageBreaks="1">
      <pane xSplit="2" ySplit="10" topLeftCell="U11" activePane="bottomRight" state="frozen"/>
      <selection pane="bottomRight" activeCell="A4" sqref="A4"/>
      <rowBreaks count="1" manualBreakCount="1">
        <brk id="30" max="16383" man="1"/>
      </rowBreaks>
      <colBreaks count="6" manualBreakCount="6">
        <brk id="10" max="1048575" man="1"/>
        <brk id="18" max="1048575" man="1"/>
        <brk id="26" max="1048575" man="1"/>
        <brk id="34" max="1048575" man="1"/>
        <brk id="42" max="1048575" man="1"/>
        <brk id="50" max="1048575" man="1"/>
      </colBreaks>
      <pageMargins left="0" right="0" top="0" bottom="0" header="0" footer="0"/>
      <pageSetup paperSize="3" fitToWidth="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70">
      <pane xSplit="2" ySplit="10" topLeftCell="U11" activePane="bottomRight" state="frozen"/>
      <selection pane="bottomRight" activeCell="B48" sqref="B48"/>
      <rowBreaks count="1" manualBreakCount="1">
        <brk id="30" max="16383" man="1"/>
      </rowBreaks>
      <colBreaks count="6" manualBreakCount="6">
        <brk id="10" max="1048575" man="1"/>
        <brk id="18" max="1048575" man="1"/>
        <brk id="26" max="1048575" man="1"/>
        <brk id="34" max="1048575" man="1"/>
        <brk id="42" max="1048575" man="1"/>
        <brk id="50" max="1048575" man="1"/>
      </colBreaks>
      <pageMargins left="0" right="0" top="0" bottom="0" header="0" footer="0"/>
      <pageSetup paperSize="3" fitToWidth="0" orientation="landscape" r:id="rId3"/>
      <headerFooter>
        <oddHeader>&amp;R&amp;"Arial Narrow,Regular"&amp;10&amp;A
&amp;P</oddHeader>
        <oddFooter>&amp;L&amp;"Arial Narrow,Regular"&amp;10This is a draft document. It is intended for discussion purposes only.&amp;R&amp;G</oddFooter>
      </headerFooter>
    </customSheetView>
  </customSheetViews>
  <conditionalFormatting sqref="K2">
    <cfRule type="cellIs" dxfId="42" priority="2" operator="lessThan">
      <formula>0</formula>
    </cfRule>
  </conditionalFormatting>
  <conditionalFormatting sqref="N2">
    <cfRule type="cellIs" dxfId="41" priority="1" operator="lessThan">
      <formula>0</formula>
    </cfRule>
  </conditionalFormatting>
  <pageMargins left="0.7" right="0.7" top="0.75" bottom="0.75" header="0.3" footer="0.3"/>
  <pageSetup scale="42" fitToHeight="0" orientation="landscape" r:id="rId4"/>
  <headerFooter>
    <oddHeader>&amp;R&amp;"Arial Narrow,Regular"&amp;10&amp;A
&amp;P</oddHeader>
  </headerFooter>
  <rowBreaks count="2" manualBreakCount="2">
    <brk id="35" max="16383" man="1"/>
    <brk id="90" max="16383" man="1"/>
  </rowBreaks>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6A55-CEBC-444B-B802-3CF6D671804D}">
  <sheetPr>
    <tabColor theme="6"/>
    <pageSetUpPr autoPageBreaks="0" fitToPage="1"/>
  </sheetPr>
  <dimension ref="A1:W111"/>
  <sheetViews>
    <sheetView zoomScale="85" zoomScaleNormal="85" workbookViewId="0">
      <selection activeCell="F19" sqref="F19"/>
    </sheetView>
  </sheetViews>
  <sheetFormatPr defaultColWidth="8.7109375" defaultRowHeight="16.5" x14ac:dyDescent="0.3"/>
  <cols>
    <col min="1" max="1" width="29.5703125" style="9" customWidth="1"/>
    <col min="2" max="2" width="14.140625" style="35" bestFit="1" customWidth="1"/>
    <col min="3" max="4" width="11" style="9" bestFit="1" customWidth="1"/>
    <col min="5" max="5" width="30.42578125" style="9" customWidth="1"/>
    <col min="6" max="6" width="11" style="9" bestFit="1" customWidth="1"/>
    <col min="7" max="7" width="2.7109375" style="9" customWidth="1"/>
    <col min="8" max="8" width="20.140625" style="9" customWidth="1"/>
    <col min="9" max="9" width="12" style="9" customWidth="1"/>
    <col min="10" max="10" width="2.7109375" style="9" bestFit="1" customWidth="1"/>
    <col min="11" max="11" width="16.5703125" style="9" bestFit="1" customWidth="1"/>
    <col min="12" max="12" width="2.7109375" style="4" customWidth="1"/>
    <col min="13" max="13" width="19.140625" style="9" customWidth="1"/>
    <col min="14" max="14" width="19.7109375" style="35" customWidth="1"/>
    <col min="15" max="15" width="21" style="35" customWidth="1"/>
    <col min="16" max="16" width="3.140625" style="4" customWidth="1"/>
    <col min="17" max="17" width="27" style="35" bestFit="1" customWidth="1"/>
    <col min="18" max="18" width="30.7109375" style="35" bestFit="1" customWidth="1"/>
    <col min="19" max="19" width="2.7109375" style="4" customWidth="1"/>
    <col min="20" max="20" width="19.7109375" style="35" bestFit="1" customWidth="1"/>
    <col min="21" max="21" width="10.5703125" style="9" bestFit="1" customWidth="1"/>
    <col min="22" max="22" width="12.5703125" style="9" bestFit="1" customWidth="1"/>
    <col min="23" max="16384" width="8.7109375" style="9"/>
  </cols>
  <sheetData>
    <row r="1" spans="1:23" s="4" customFormat="1" x14ac:dyDescent="0.3">
      <c r="A1" s="4" t="s">
        <v>15</v>
      </c>
      <c r="B1" s="5"/>
    </row>
    <row r="2" spans="1:23" x14ac:dyDescent="0.3">
      <c r="A2" s="9" t="str">
        <f>CONCATENATE("Pupil Center Funding Model | FY",'1.1 Assumption Control YR1'!D5)</f>
        <v>Pupil Center Funding Model | FY2026</v>
      </c>
      <c r="N2" s="9"/>
      <c r="O2" s="9"/>
      <c r="Q2" s="9"/>
      <c r="R2" s="9"/>
      <c r="T2" s="9"/>
    </row>
    <row r="3" spans="1:23" x14ac:dyDescent="0.3">
      <c r="A3" s="9" t="s">
        <v>1595</v>
      </c>
      <c r="N3" s="9"/>
      <c r="O3" s="9"/>
      <c r="Q3" s="9"/>
      <c r="R3" s="9"/>
      <c r="T3" s="9"/>
    </row>
    <row r="4" spans="1:23" x14ac:dyDescent="0.3">
      <c r="H4" s="17"/>
      <c r="I4" s="17"/>
      <c r="J4" s="17"/>
      <c r="K4" s="17"/>
      <c r="M4" s="17"/>
      <c r="N4" s="5"/>
      <c r="O4" s="5"/>
      <c r="Q4" s="5"/>
      <c r="R4" s="5"/>
      <c r="T4" s="5"/>
    </row>
    <row r="5" spans="1:23" ht="16.5" customHeight="1" x14ac:dyDescent="0.3">
      <c r="E5" s="1269" t="s">
        <v>1596</v>
      </c>
      <c r="F5" s="462"/>
      <c r="G5" s="291"/>
      <c r="H5" s="291"/>
      <c r="I5" s="291"/>
      <c r="J5" s="291"/>
      <c r="K5" s="342"/>
      <c r="M5" s="2370" t="s">
        <v>1597</v>
      </c>
      <c r="N5" s="2371"/>
      <c r="O5" s="2372"/>
      <c r="Q5" s="227"/>
      <c r="R5" s="1996"/>
      <c r="T5" s="1996"/>
    </row>
    <row r="6" spans="1:23" s="13" customFormat="1" ht="69" customHeight="1" x14ac:dyDescent="0.3">
      <c r="A6" s="465" t="s">
        <v>1598</v>
      </c>
      <c r="B6" s="528"/>
      <c r="C6" s="466" t="s">
        <v>1599</v>
      </c>
      <c r="D6" s="466" t="s">
        <v>2321</v>
      </c>
      <c r="E6" s="549" t="s">
        <v>1600</v>
      </c>
      <c r="F6" s="466" t="s">
        <v>1601</v>
      </c>
      <c r="G6" s="466"/>
      <c r="H6" s="466" t="s">
        <v>1602</v>
      </c>
      <c r="I6" s="466" t="s">
        <v>1603</v>
      </c>
      <c r="J6" s="466"/>
      <c r="K6" s="631" t="s">
        <v>1604</v>
      </c>
      <c r="L6" s="4"/>
      <c r="M6" s="549" t="s">
        <v>1605</v>
      </c>
      <c r="N6" s="631" t="s">
        <v>1606</v>
      </c>
      <c r="O6" s="631" t="s">
        <v>1607</v>
      </c>
      <c r="P6" s="4"/>
      <c r="Q6" s="549" t="s">
        <v>1608</v>
      </c>
      <c r="R6" s="551" t="s">
        <v>1609</v>
      </c>
      <c r="S6" s="4"/>
      <c r="T6" s="551" t="s">
        <v>1610</v>
      </c>
      <c r="U6" s="1835"/>
    </row>
    <row r="7" spans="1:23" x14ac:dyDescent="0.3">
      <c r="E7" s="106"/>
      <c r="I7" s="165"/>
      <c r="K7" s="102"/>
      <c r="M7" s="106"/>
      <c r="N7" s="145"/>
      <c r="O7" s="145"/>
      <c r="Q7" s="146"/>
      <c r="R7" s="145"/>
      <c r="T7" s="145"/>
      <c r="U7" s="106"/>
      <c r="V7" s="12"/>
    </row>
    <row r="8" spans="1:23" x14ac:dyDescent="0.3">
      <c r="A8" s="36" t="str">
        <f>'1.2 Budgeted Enrollment YR1'!E9</f>
        <v>Carson City</v>
      </c>
      <c r="C8" s="108">
        <f>'1.4 FY 2020 Revenue Received'!J8</f>
        <v>7703.8062179500002</v>
      </c>
      <c r="D8" s="108">
        <f>'1.2 Budgeted Enrollment YR1'!G9</f>
        <v>6970.4860982512937</v>
      </c>
      <c r="E8" s="159">
        <f>ROUND('2.8 Alloc of Residual Rev. YR1'!M14,0)</f>
        <v>84964325</v>
      </c>
      <c r="F8" s="385">
        <f>E8/D8</f>
        <v>12189.153496958448</v>
      </c>
      <c r="H8" s="154">
        <f>ROUND('1.4 FY 2020 Revenue Received'!H8,0)</f>
        <v>72834177</v>
      </c>
      <c r="I8" s="795">
        <f>H8/C8</f>
        <v>9454.3106276862363</v>
      </c>
      <c r="J8" s="796">
        <f>I8-'1.4 FY 2020 Revenue Received'!K8</f>
        <v>0</v>
      </c>
      <c r="K8" s="632" t="str">
        <f t="shared" ref="K8:K28" si="0">IF(F8&gt;I8,"Yes",IF(T8="PCFP","Yes","No"))</f>
        <v>Yes</v>
      </c>
      <c r="M8" s="314">
        <f>'1.3 Budgeted Revenues YR1'!G13</f>
        <v>0</v>
      </c>
      <c r="N8" s="632" t="str">
        <f t="shared" ref="N8:N24" si="1">IF(M8&gt;H8,"Yes","No")</f>
        <v>No</v>
      </c>
      <c r="O8" s="632" t="str">
        <f t="shared" ref="O8:O24" si="2">IF(M8&gt;E8,"Yes","No")</f>
        <v>No</v>
      </c>
      <c r="Q8" s="1274">
        <f>IF(K8="Yes",ROUND(F8*D8,0),"")</f>
        <v>84964325</v>
      </c>
      <c r="R8" s="1280" t="str">
        <f>IF(K8="No",ROUND((I8*D8),0),"")</f>
        <v/>
      </c>
      <c r="T8" s="367" t="str">
        <f>'1.1 Assumption Control YR1'!I35</f>
        <v>PCFP</v>
      </c>
      <c r="V8" s="12"/>
    </row>
    <row r="9" spans="1:23" x14ac:dyDescent="0.3">
      <c r="A9" s="36" t="str">
        <f>'1.2 Budgeted Enrollment YR1'!E10</f>
        <v>Churchill</v>
      </c>
      <c r="C9" s="108">
        <f>'1.4 FY 2020 Revenue Received'!J9</f>
        <v>3244.6133332499999</v>
      </c>
      <c r="D9" s="108">
        <f>'1.2 Budgeted Enrollment YR1'!G10</f>
        <v>3074.1458778318033</v>
      </c>
      <c r="E9" s="159">
        <f>ROUND('2.8 Alloc of Residual Rev. YR1'!M15,2)</f>
        <v>37804379</v>
      </c>
      <c r="F9" s="385">
        <f t="shared" ref="F9:F24" si="3">E9/D9</f>
        <v>12297.52279246535</v>
      </c>
      <c r="H9" s="154">
        <f>ROUND('1.4 FY 2020 Revenue Received'!H9,0)</f>
        <v>29392879</v>
      </c>
      <c r="I9" s="795">
        <f>H9/C9</f>
        <v>9058.9774438725872</v>
      </c>
      <c r="J9" s="796">
        <f>I9-'1.4 FY 2020 Revenue Received'!K9</f>
        <v>0</v>
      </c>
      <c r="K9" s="632" t="str">
        <f t="shared" si="0"/>
        <v>Yes</v>
      </c>
      <c r="M9" s="314">
        <f>'1.3 Budgeted Revenues YR1'!G14</f>
        <v>289437.72000000003</v>
      </c>
      <c r="N9" s="632" t="str">
        <f t="shared" si="1"/>
        <v>No</v>
      </c>
      <c r="O9" s="632" t="str">
        <f t="shared" si="2"/>
        <v>No</v>
      </c>
      <c r="Q9" s="1274">
        <f t="shared" ref="Q9:Q24" si="4">IF(K9="Yes",ROUND(F9*D9,0),"")</f>
        <v>37804379</v>
      </c>
      <c r="R9" s="1280" t="str">
        <f t="shared" ref="R9:R24" si="5">IF(K9="No",ROUND((I9*D9),0),"")</f>
        <v/>
      </c>
      <c r="T9" s="367" t="str">
        <f>'1.1 Assumption Control YR1'!I36</f>
        <v>PCFP</v>
      </c>
      <c r="V9" s="12"/>
    </row>
    <row r="10" spans="1:23" x14ac:dyDescent="0.3">
      <c r="A10" s="36" t="str">
        <f>'1.2 Budgeted Enrollment YR1'!E11</f>
        <v>Clark</v>
      </c>
      <c r="C10" s="108">
        <f>'1.4 FY 2020 Revenue Received'!J10</f>
        <v>314756.71407050022</v>
      </c>
      <c r="D10" s="108">
        <f>'1.2 Budgeted Enrollment YR1'!G11</f>
        <v>285878.81775061262</v>
      </c>
      <c r="E10" s="159">
        <f>ROUND('2.8 Alloc of Residual Rev. YR1'!M16,2)</f>
        <v>3617351676</v>
      </c>
      <c r="F10" s="385">
        <f t="shared" si="3"/>
        <v>12653.444226691918</v>
      </c>
      <c r="H10" s="154">
        <f>ROUND('1.4 FY 2020 Revenue Received'!H10,0)</f>
        <v>2584487500</v>
      </c>
      <c r="I10" s="795">
        <f t="shared" ref="I10:I24" si="6">H10/C10</f>
        <v>8211.0639248226435</v>
      </c>
      <c r="J10" s="796">
        <f>I10-'1.4 FY 2020 Revenue Received'!K10</f>
        <v>0</v>
      </c>
      <c r="K10" s="632" t="str">
        <f t="shared" si="0"/>
        <v>Yes</v>
      </c>
      <c r="M10" s="314">
        <f>'1.3 Budgeted Revenues YR1'!G15</f>
        <v>71121.959999999992</v>
      </c>
      <c r="N10" s="632" t="str">
        <f t="shared" si="1"/>
        <v>No</v>
      </c>
      <c r="O10" s="632" t="str">
        <f t="shared" si="2"/>
        <v>No</v>
      </c>
      <c r="Q10" s="1274">
        <f t="shared" si="4"/>
        <v>3617351676</v>
      </c>
      <c r="R10" s="1280" t="str">
        <f t="shared" si="5"/>
        <v/>
      </c>
      <c r="T10" s="367" t="str">
        <f>'1.1 Assumption Control YR1'!I37</f>
        <v>PCFP</v>
      </c>
      <c r="V10" s="12"/>
    </row>
    <row r="11" spans="1:23" x14ac:dyDescent="0.3">
      <c r="A11" s="36" t="str">
        <f>'1.2 Budgeted Enrollment YR1'!E12</f>
        <v>Douglas</v>
      </c>
      <c r="C11" s="108">
        <f>'1.4 FY 2020 Revenue Received'!J11</f>
        <v>5629.4090109500003</v>
      </c>
      <c r="D11" s="108">
        <f>'1.2 Budgeted Enrollment YR1'!G12</f>
        <v>4790.5859463145525</v>
      </c>
      <c r="E11" s="159">
        <f>ROUND('2.8 Alloc of Residual Rev. YR1'!M17,2)</f>
        <v>61667666</v>
      </c>
      <c r="F11" s="385">
        <f t="shared" si="3"/>
        <v>12872.677098600345</v>
      </c>
      <c r="H11" s="154">
        <f>ROUND('1.4 FY 2020 Revenue Received'!H11,0)</f>
        <v>56746026</v>
      </c>
      <c r="I11" s="795">
        <f t="shared" si="6"/>
        <v>10080.281231941208</v>
      </c>
      <c r="J11" s="796">
        <f>I11-'1.4 FY 2020 Revenue Received'!K11</f>
        <v>0</v>
      </c>
      <c r="K11" s="632" t="str">
        <f t="shared" si="0"/>
        <v>Yes</v>
      </c>
      <c r="M11" s="314">
        <f>'1.3 Budgeted Revenues YR1'!G16</f>
        <v>0</v>
      </c>
      <c r="N11" s="632" t="str">
        <f t="shared" si="1"/>
        <v>No</v>
      </c>
      <c r="O11" s="632" t="str">
        <f t="shared" si="2"/>
        <v>No</v>
      </c>
      <c r="Q11" s="1274">
        <f t="shared" si="4"/>
        <v>61667666</v>
      </c>
      <c r="R11" s="1280" t="str">
        <f t="shared" si="5"/>
        <v/>
      </c>
      <c r="T11" s="367" t="str">
        <f>'1.1 Assumption Control YR1'!I38</f>
        <v>PCFP</v>
      </c>
      <c r="V11" s="12"/>
    </row>
    <row r="12" spans="1:23" x14ac:dyDescent="0.3">
      <c r="A12" s="36" t="str">
        <f>'1.2 Budgeted Enrollment YR1'!E13</f>
        <v>Elko</v>
      </c>
      <c r="C12" s="108">
        <f>'1.4 FY 2020 Revenue Received'!J12</f>
        <v>9933.4221988000008</v>
      </c>
      <c r="D12" s="108">
        <f>'1.2 Budgeted Enrollment YR1'!G13</f>
        <v>9234.4483500865917</v>
      </c>
      <c r="E12" s="159">
        <f>ROUND('2.8 Alloc of Residual Rev. YR1'!M18,2)</f>
        <v>124980291</v>
      </c>
      <c r="F12" s="385">
        <f>E12/D12</f>
        <v>13534.137206888818</v>
      </c>
      <c r="H12" s="154">
        <f>ROUND('1.4 FY 2020 Revenue Received'!H12,0)</f>
        <v>102333946</v>
      </c>
      <c r="I12" s="795">
        <f t="shared" si="6"/>
        <v>10301.98293719584</v>
      </c>
      <c r="J12" s="796">
        <f>I12-'1.4 FY 2020 Revenue Received'!K12</f>
        <v>0</v>
      </c>
      <c r="K12" s="632" t="str">
        <f t="shared" si="0"/>
        <v>Yes</v>
      </c>
      <c r="M12" s="314">
        <f>'1.3 Budgeted Revenues YR1'!G17</f>
        <v>768012.96</v>
      </c>
      <c r="N12" s="632" t="str">
        <f t="shared" si="1"/>
        <v>No</v>
      </c>
      <c r="O12" s="632" t="str">
        <f t="shared" si="2"/>
        <v>No</v>
      </c>
      <c r="Q12" s="1274">
        <f t="shared" si="4"/>
        <v>124980291</v>
      </c>
      <c r="R12" s="1280" t="str">
        <f t="shared" si="5"/>
        <v/>
      </c>
      <c r="T12" s="367" t="str">
        <f>'1.1 Assumption Control YR1'!I39</f>
        <v>PCFP</v>
      </c>
      <c r="V12" s="12"/>
    </row>
    <row r="13" spans="1:23" x14ac:dyDescent="0.3">
      <c r="A13" s="36" t="str">
        <f>'1.2 Budgeted Enrollment YR1'!E14</f>
        <v>Esmeralda</v>
      </c>
      <c r="C13" s="108">
        <f>'1.4 FY 2020 Revenue Received'!J13</f>
        <v>70.707003950000001</v>
      </c>
      <c r="D13" s="108">
        <f>'1.2 Budgeted Enrollment YR1'!G14</f>
        <v>80.635895560117746</v>
      </c>
      <c r="E13" s="159">
        <f>ROUND('2.8 Alloc of Residual Rev. YR1'!M19,2)</f>
        <v>2544353</v>
      </c>
      <c r="F13" s="385">
        <f>E13/D13</f>
        <v>31553.602552886245</v>
      </c>
      <c r="H13" s="154">
        <f>ROUND('1.4 FY 2020 Revenue Received'!H13,0)</f>
        <v>2619928</v>
      </c>
      <c r="I13" s="795">
        <f>H13/C13</f>
        <v>37053.302411917568</v>
      </c>
      <c r="J13" s="796">
        <f>I13-'1.4 FY 2020 Revenue Received'!K13</f>
        <v>0</v>
      </c>
      <c r="K13" s="632" t="str">
        <f t="shared" si="0"/>
        <v>No</v>
      </c>
      <c r="M13" s="314">
        <f>'1.3 Budgeted Revenues YR1'!G18</f>
        <v>1206468.1199999999</v>
      </c>
      <c r="N13" s="632" t="str">
        <f t="shared" si="1"/>
        <v>No</v>
      </c>
      <c r="O13" s="632" t="str">
        <f t="shared" si="2"/>
        <v>No</v>
      </c>
      <c r="Q13" s="1274" t="str">
        <f t="shared" si="4"/>
        <v/>
      </c>
      <c r="R13" s="1280">
        <f>IF(K13="No",ROUND((I13*D13),0),"")</f>
        <v>2987826</v>
      </c>
      <c r="T13" s="367" t="str">
        <f>'1.1 Assumption Control YR1'!I40</f>
        <v>FY 2020 Baseline</v>
      </c>
      <c r="U13" s="162"/>
      <c r="V13" s="12"/>
      <c r="W13" s="28"/>
    </row>
    <row r="14" spans="1:23" x14ac:dyDescent="0.3">
      <c r="A14" s="36" t="str">
        <f>'1.2 Budgeted Enrollment YR1'!E15</f>
        <v>Eureka</v>
      </c>
      <c r="C14" s="108">
        <f>'1.4 FY 2020 Revenue Received'!J14</f>
        <v>306.2</v>
      </c>
      <c r="D14" s="108">
        <f>'1.2 Budgeted Enrollment YR1'!G15</f>
        <v>297.58201989503061</v>
      </c>
      <c r="E14" s="159">
        <f>ROUND('2.8 Alloc of Residual Rev. YR1'!M20,2)</f>
        <v>6431041</v>
      </c>
      <c r="F14" s="385">
        <f t="shared" si="3"/>
        <v>21610.986450957258</v>
      </c>
      <c r="H14" s="154">
        <f>ROUND('1.4 FY 2020 Revenue Received'!H14,0)</f>
        <v>12044695</v>
      </c>
      <c r="I14" s="795">
        <f t="shared" si="6"/>
        <v>39336.038536903987</v>
      </c>
      <c r="J14" s="796">
        <f>I14-'1.4 FY 2020 Revenue Received'!K14</f>
        <v>0</v>
      </c>
      <c r="K14" s="632" t="str">
        <f t="shared" si="0"/>
        <v>No</v>
      </c>
      <c r="M14" s="314">
        <f>'1.3 Budgeted Revenues YR1'!G19</f>
        <v>7544138.1600000001</v>
      </c>
      <c r="N14" s="632" t="str">
        <f t="shared" si="1"/>
        <v>No</v>
      </c>
      <c r="O14" s="632" t="str">
        <f t="shared" si="2"/>
        <v>Yes</v>
      </c>
      <c r="Q14" s="1274" t="str">
        <f t="shared" si="4"/>
        <v/>
      </c>
      <c r="R14" s="1280">
        <f t="shared" si="5"/>
        <v>11705698</v>
      </c>
      <c r="T14" s="367" t="str">
        <f>'1.1 Assumption Control YR1'!I41</f>
        <v>FY 2020 Baseline</v>
      </c>
      <c r="V14" s="12"/>
      <c r="W14" s="28"/>
    </row>
    <row r="15" spans="1:23" x14ac:dyDescent="0.3">
      <c r="A15" s="36" t="str">
        <f>'1.2 Budgeted Enrollment YR1'!E16</f>
        <v>Humboldt</v>
      </c>
      <c r="C15" s="108">
        <f>'1.4 FY 2020 Revenue Received'!J15</f>
        <v>3383.7675731499999</v>
      </c>
      <c r="D15" s="108">
        <f>'1.2 Budgeted Enrollment YR1'!G16</f>
        <v>3135.8857800940204</v>
      </c>
      <c r="E15" s="159">
        <f>ROUND('2.8 Alloc of Residual Rev. YR1'!M21,2)</f>
        <v>42780182</v>
      </c>
      <c r="F15" s="385">
        <f t="shared" si="3"/>
        <v>13642.13654450047</v>
      </c>
      <c r="H15" s="154">
        <f>ROUND('1.4 FY 2020 Revenue Received'!H15,0)</f>
        <v>38103491</v>
      </c>
      <c r="I15" s="795">
        <f t="shared" si="6"/>
        <v>11260.670296136472</v>
      </c>
      <c r="J15" s="796">
        <f>I15-'1.4 FY 2020 Revenue Received'!K15</f>
        <v>0</v>
      </c>
      <c r="K15" s="632" t="str">
        <f t="shared" si="0"/>
        <v>Yes</v>
      </c>
      <c r="M15" s="314">
        <f>'1.3 Budgeted Revenues YR1'!G20</f>
        <v>5940377.04</v>
      </c>
      <c r="N15" s="632" t="str">
        <f t="shared" si="1"/>
        <v>No</v>
      </c>
      <c r="O15" s="632" t="str">
        <f t="shared" si="2"/>
        <v>No</v>
      </c>
      <c r="Q15" s="1274">
        <f t="shared" si="4"/>
        <v>42780182</v>
      </c>
      <c r="R15" s="1280" t="str">
        <f t="shared" si="5"/>
        <v/>
      </c>
      <c r="T15" s="367" t="str">
        <f>'1.1 Assumption Control YR1'!I42</f>
        <v>PCFP</v>
      </c>
      <c r="V15" s="12"/>
      <c r="W15" s="28"/>
    </row>
    <row r="16" spans="1:23" x14ac:dyDescent="0.3">
      <c r="A16" s="36" t="str">
        <f>'1.2 Budgeted Enrollment YR1'!E17</f>
        <v>Lander</v>
      </c>
      <c r="C16" s="108">
        <f>'1.4 FY 2020 Revenue Received'!J16</f>
        <v>982.91822275000004</v>
      </c>
      <c r="D16" s="108">
        <f>'1.2 Budgeted Enrollment YR1'!G17</f>
        <v>970.28169719049401</v>
      </c>
      <c r="E16" s="159">
        <f>ROUND('2.8 Alloc of Residual Rev. YR1'!M22,2)</f>
        <v>15374807</v>
      </c>
      <c r="F16" s="385">
        <f t="shared" si="3"/>
        <v>15845.714749148243</v>
      </c>
      <c r="H16" s="154">
        <f>ROUND('1.4 FY 2020 Revenue Received'!H16,0)</f>
        <v>11828220</v>
      </c>
      <c r="I16" s="795">
        <f t="shared" si="6"/>
        <v>12033.778320750946</v>
      </c>
      <c r="J16" s="796">
        <f>I16-'1.4 FY 2020 Revenue Received'!K16</f>
        <v>0</v>
      </c>
      <c r="K16" s="632" t="str">
        <f t="shared" si="0"/>
        <v>Yes</v>
      </c>
      <c r="M16" s="314">
        <f>'1.3 Budgeted Revenues YR1'!G21</f>
        <v>8247542.1599999992</v>
      </c>
      <c r="N16" s="632" t="str">
        <f t="shared" si="1"/>
        <v>No</v>
      </c>
      <c r="O16" s="632" t="str">
        <f t="shared" si="2"/>
        <v>No</v>
      </c>
      <c r="Q16" s="1274">
        <f t="shared" si="4"/>
        <v>15374807</v>
      </c>
      <c r="R16" s="1280" t="str">
        <f t="shared" si="5"/>
        <v/>
      </c>
      <c r="T16" s="367" t="str">
        <f>'1.1 Assumption Control YR1'!I43</f>
        <v>PCFP</v>
      </c>
      <c r="V16" s="12"/>
      <c r="W16" s="28"/>
    </row>
    <row r="17" spans="1:23" x14ac:dyDescent="0.3">
      <c r="A17" s="36" t="str">
        <f>'1.2 Budgeted Enrollment YR1'!E18</f>
        <v>Lincoln</v>
      </c>
      <c r="C17" s="108">
        <f>'1.4 FY 2020 Revenue Received'!J17</f>
        <v>855.1576710999999</v>
      </c>
      <c r="D17" s="108">
        <f>'1.2 Budgeted Enrollment YR1'!G18</f>
        <v>870.02699048734246</v>
      </c>
      <c r="E17" s="159">
        <f>ROUND('2.8 Alloc of Residual Rev. YR1'!M23,2)</f>
        <v>15831947</v>
      </c>
      <c r="F17" s="385">
        <f t="shared" si="3"/>
        <v>18197.075692021685</v>
      </c>
      <c r="H17" s="154">
        <f>ROUND('1.4 FY 2020 Revenue Received'!H17,0)</f>
        <v>12721738</v>
      </c>
      <c r="I17" s="795">
        <f t="shared" si="6"/>
        <v>14876.48234931445</v>
      </c>
      <c r="J17" s="796">
        <f>I17-'1.4 FY 2020 Revenue Received'!K17</f>
        <v>0</v>
      </c>
      <c r="K17" s="632" t="str">
        <f t="shared" si="0"/>
        <v>Yes</v>
      </c>
      <c r="M17" s="314">
        <f>'1.3 Budgeted Revenues YR1'!G22</f>
        <v>0</v>
      </c>
      <c r="N17" s="632" t="str">
        <f t="shared" si="1"/>
        <v>No</v>
      </c>
      <c r="O17" s="632" t="str">
        <f t="shared" si="2"/>
        <v>No</v>
      </c>
      <c r="Q17" s="1274">
        <f t="shared" si="4"/>
        <v>15831947</v>
      </c>
      <c r="R17" s="1280" t="str">
        <f t="shared" si="5"/>
        <v/>
      </c>
      <c r="T17" s="367" t="str">
        <f>'1.1 Assumption Control YR1'!I44</f>
        <v>PCFP</v>
      </c>
      <c r="V17" s="12"/>
      <c r="W17" s="28"/>
    </row>
    <row r="18" spans="1:23" x14ac:dyDescent="0.3">
      <c r="A18" s="36" t="str">
        <f>'1.2 Budgeted Enrollment YR1'!E19</f>
        <v>Lyon</v>
      </c>
      <c r="C18" s="108">
        <f>'1.4 FY 2020 Revenue Received'!J18</f>
        <v>8845.8018661500009</v>
      </c>
      <c r="D18" s="108">
        <f>'1.2 Budgeted Enrollment YR1'!G19</f>
        <v>8933.9764767711295</v>
      </c>
      <c r="E18" s="159">
        <f>ROUND('2.8 Alloc of Residual Rev. YR1'!M24,2)</f>
        <v>123788990</v>
      </c>
      <c r="F18" s="385">
        <f t="shared" si="3"/>
        <v>13855.978949783306</v>
      </c>
      <c r="H18" s="154">
        <f>ROUND('1.4 FY 2020 Revenue Received'!H18,0)</f>
        <v>84376123</v>
      </c>
      <c r="I18" s="795">
        <f t="shared" si="6"/>
        <v>9538.5499558700158</v>
      </c>
      <c r="J18" s="796">
        <f>I18-'1.4 FY 2020 Revenue Received'!K18</f>
        <v>0</v>
      </c>
      <c r="K18" s="632" t="str">
        <f t="shared" si="0"/>
        <v>Yes</v>
      </c>
      <c r="M18" s="314">
        <f>'1.3 Budgeted Revenues YR1'!G23</f>
        <v>2865.7200000000003</v>
      </c>
      <c r="N18" s="632" t="str">
        <f t="shared" si="1"/>
        <v>No</v>
      </c>
      <c r="O18" s="632" t="str">
        <f t="shared" si="2"/>
        <v>No</v>
      </c>
      <c r="Q18" s="1274">
        <f t="shared" si="4"/>
        <v>123788990</v>
      </c>
      <c r="R18" s="1280" t="str">
        <f t="shared" si="5"/>
        <v/>
      </c>
      <c r="T18" s="367" t="str">
        <f>'1.1 Assumption Control YR1'!I45</f>
        <v>PCFP</v>
      </c>
      <c r="V18" s="12"/>
      <c r="W18" s="28"/>
    </row>
    <row r="19" spans="1:23" x14ac:dyDescent="0.3">
      <c r="A19" s="36" t="str">
        <f>'1.2 Budgeted Enrollment YR1'!E20</f>
        <v>Mineral</v>
      </c>
      <c r="C19" s="108">
        <f>'1.4 FY 2020 Revenue Received'!J19</f>
        <v>541.82059757121215</v>
      </c>
      <c r="D19" s="108">
        <f>'1.2 Budgeted Enrollment YR1'!G20</f>
        <v>509.60323278309136</v>
      </c>
      <c r="E19" s="159">
        <f>ROUND('2.8 Alloc of Residual Rev. YR1'!M25,2)</f>
        <v>9398167</v>
      </c>
      <c r="F19" s="385">
        <f t="shared" si="3"/>
        <v>18442.125943106519</v>
      </c>
      <c r="H19" s="154">
        <f>ROUND('1.4 FY 2020 Revenue Received'!H19,0)</f>
        <v>7521260</v>
      </c>
      <c r="I19" s="795">
        <f t="shared" si="6"/>
        <v>13881.458242294806</v>
      </c>
      <c r="J19" s="796">
        <f>I19-'1.4 FY 2020 Revenue Received'!K19</f>
        <v>0</v>
      </c>
      <c r="K19" s="632" t="str">
        <f t="shared" si="0"/>
        <v>Yes</v>
      </c>
      <c r="M19" s="314">
        <f>'1.3 Budgeted Revenues YR1'!G24</f>
        <v>423084.48000000004</v>
      </c>
      <c r="N19" s="632" t="str">
        <f t="shared" si="1"/>
        <v>No</v>
      </c>
      <c r="O19" s="632" t="str">
        <f t="shared" si="2"/>
        <v>No</v>
      </c>
      <c r="Q19" s="1274">
        <f t="shared" si="4"/>
        <v>9398167</v>
      </c>
      <c r="R19" s="1280" t="str">
        <f t="shared" si="5"/>
        <v/>
      </c>
      <c r="T19" s="367" t="str">
        <f>'1.1 Assumption Control YR1'!I46</f>
        <v>PCFP</v>
      </c>
      <c r="V19" s="12"/>
      <c r="W19" s="28"/>
    </row>
    <row r="20" spans="1:23" x14ac:dyDescent="0.3">
      <c r="A20" s="36" t="str">
        <f>'1.2 Budgeted Enrollment YR1'!E21</f>
        <v>Nye</v>
      </c>
      <c r="C20" s="108">
        <f>'1.4 FY 2020 Revenue Received'!J20</f>
        <v>5385.5136149795999</v>
      </c>
      <c r="D20" s="108">
        <f>'1.2 Budgeted Enrollment YR1'!G21</f>
        <v>5457.0457625112185</v>
      </c>
      <c r="E20" s="159">
        <f>ROUND('2.8 Alloc of Residual Rev. YR1'!M26,2)</f>
        <v>82815443</v>
      </c>
      <c r="F20" s="385">
        <f t="shared" si="3"/>
        <v>15175.874750570181</v>
      </c>
      <c r="H20" s="154">
        <f>ROUND('1.4 FY 2020 Revenue Received'!H20,0)</f>
        <v>57608701</v>
      </c>
      <c r="I20" s="795">
        <f t="shared" si="6"/>
        <v>10696.974349811986</v>
      </c>
      <c r="J20" s="796">
        <f>I20-'1.4 FY 2020 Revenue Received'!K20</f>
        <v>0</v>
      </c>
      <c r="K20" s="632" t="str">
        <f t="shared" si="0"/>
        <v>Yes</v>
      </c>
      <c r="M20" s="314">
        <f>'1.3 Budgeted Revenues YR1'!G25</f>
        <v>542402.64</v>
      </c>
      <c r="N20" s="632" t="str">
        <f t="shared" si="1"/>
        <v>No</v>
      </c>
      <c r="O20" s="632" t="str">
        <f t="shared" si="2"/>
        <v>No</v>
      </c>
      <c r="Q20" s="1274">
        <f t="shared" si="4"/>
        <v>82815443</v>
      </c>
      <c r="R20" s="1280" t="str">
        <f t="shared" si="5"/>
        <v/>
      </c>
      <c r="T20" s="367" t="str">
        <f>'1.1 Assumption Control YR1'!I47</f>
        <v>PCFP</v>
      </c>
      <c r="V20" s="12"/>
      <c r="W20" s="28"/>
    </row>
    <row r="21" spans="1:23" x14ac:dyDescent="0.3">
      <c r="A21" s="36" t="str">
        <f>'1.2 Budgeted Enrollment YR1'!E22</f>
        <v>Pershing</v>
      </c>
      <c r="C21" s="108">
        <f>'1.4 FY 2020 Revenue Received'!J21</f>
        <v>665.11446960000001</v>
      </c>
      <c r="D21" s="108">
        <f>'1.2 Budgeted Enrollment YR1'!G22</f>
        <v>635.8592256998902</v>
      </c>
      <c r="E21" s="159">
        <f>ROUND('2.8 Alloc of Residual Rev. YR1'!M27,2)</f>
        <v>10900846</v>
      </c>
      <c r="F21" s="385">
        <f t="shared" si="3"/>
        <v>17143.489564064184</v>
      </c>
      <c r="H21" s="154">
        <f>ROUND('1.4 FY 2020 Revenue Received'!H21,0)</f>
        <v>9061410</v>
      </c>
      <c r="I21" s="795">
        <f t="shared" si="6"/>
        <v>13623.83531582095</v>
      </c>
      <c r="J21" s="796">
        <f>I21-'1.4 FY 2020 Revenue Received'!K21</f>
        <v>0</v>
      </c>
      <c r="K21" s="632" t="str">
        <f t="shared" si="0"/>
        <v>Yes</v>
      </c>
      <c r="M21" s="314">
        <f>'1.3 Budgeted Revenues YR1'!G26</f>
        <v>99518.64</v>
      </c>
      <c r="N21" s="632" t="str">
        <f t="shared" si="1"/>
        <v>No</v>
      </c>
      <c r="O21" s="632" t="str">
        <f t="shared" si="2"/>
        <v>No</v>
      </c>
      <c r="Q21" s="1274">
        <f t="shared" si="4"/>
        <v>10900846</v>
      </c>
      <c r="R21" s="1280" t="str">
        <f t="shared" si="5"/>
        <v/>
      </c>
      <c r="T21" s="367" t="str">
        <f>'1.1 Assumption Control YR1'!I48</f>
        <v>PCFP</v>
      </c>
      <c r="V21" s="12"/>
      <c r="W21" s="28"/>
    </row>
    <row r="22" spans="1:23" x14ac:dyDescent="0.3">
      <c r="A22" s="36" t="str">
        <f>'1.2 Budgeted Enrollment YR1'!E23</f>
        <v>Storey</v>
      </c>
      <c r="C22" s="108">
        <f>'1.4 FY 2020 Revenue Received'!J22</f>
        <v>437.81518235000004</v>
      </c>
      <c r="D22" s="108">
        <f>'1.2 Budgeted Enrollment YR1'!G23</f>
        <v>395.34078642383383</v>
      </c>
      <c r="E22" s="159">
        <f>ROUND('2.8 Alloc of Residual Rev. YR1'!M28,2)</f>
        <v>7645191</v>
      </c>
      <c r="F22" s="385">
        <f t="shared" si="3"/>
        <v>19338.229857730399</v>
      </c>
      <c r="H22" s="154">
        <f>ROUND('1.4 FY 2020 Revenue Received'!H22,0)</f>
        <v>11383223</v>
      </c>
      <c r="I22" s="795">
        <f t="shared" si="6"/>
        <v>26000.064545271929</v>
      </c>
      <c r="J22" s="796">
        <f>I22-'1.4 FY 2020 Revenue Received'!K22</f>
        <v>0</v>
      </c>
      <c r="K22" s="632" t="str">
        <f t="shared" si="0"/>
        <v>No</v>
      </c>
      <c r="M22" s="314">
        <f>'1.3 Budgeted Revenues YR1'!G27</f>
        <v>0</v>
      </c>
      <c r="N22" s="632" t="str">
        <f t="shared" si="1"/>
        <v>No</v>
      </c>
      <c r="O22" s="632" t="str">
        <f t="shared" si="2"/>
        <v>No</v>
      </c>
      <c r="Q22" s="1274" t="str">
        <f t="shared" si="4"/>
        <v/>
      </c>
      <c r="R22" s="1280">
        <f t="shared" si="5"/>
        <v>10278886</v>
      </c>
      <c r="T22" s="367" t="str">
        <f>'1.1 Assumption Control YR1'!I49</f>
        <v>FY 2020 Baseline</v>
      </c>
      <c r="U22" s="162"/>
      <c r="V22" s="12"/>
      <c r="W22" s="28"/>
    </row>
    <row r="23" spans="1:23" x14ac:dyDescent="0.3">
      <c r="A23" s="36" t="str">
        <f>'1.2 Budgeted Enrollment YR1'!E24</f>
        <v>Washoe</v>
      </c>
      <c r="C23" s="108">
        <f>'1.4 FY 2020 Revenue Received'!J23</f>
        <v>63659.88216394998</v>
      </c>
      <c r="D23" s="108">
        <f>'1.2 Budgeted Enrollment YR1'!G24</f>
        <v>58816.718998091914</v>
      </c>
      <c r="E23" s="159">
        <f>ROUND('2.8 Alloc of Residual Rev. YR1'!M29,2)</f>
        <v>712665362</v>
      </c>
      <c r="F23" s="385">
        <f t="shared" si="3"/>
        <v>12116.713991188793</v>
      </c>
      <c r="H23" s="154">
        <f>ROUND('1.4 FY 2020 Revenue Received'!H23,0)</f>
        <v>533886901</v>
      </c>
      <c r="I23" s="795">
        <f t="shared" si="6"/>
        <v>8386.5518259211512</v>
      </c>
      <c r="J23" s="796">
        <f>I23-'1.4 FY 2020 Revenue Received'!K23</f>
        <v>0</v>
      </c>
      <c r="K23" s="632" t="str">
        <f t="shared" si="0"/>
        <v>Yes</v>
      </c>
      <c r="M23" s="314">
        <f>'1.3 Budgeted Revenues YR1'!G28</f>
        <v>66172.08</v>
      </c>
      <c r="N23" s="632" t="str">
        <f t="shared" si="1"/>
        <v>No</v>
      </c>
      <c r="O23" s="632" t="str">
        <f t="shared" si="2"/>
        <v>No</v>
      </c>
      <c r="Q23" s="1274">
        <f t="shared" si="4"/>
        <v>712665362</v>
      </c>
      <c r="R23" s="1280" t="str">
        <f t="shared" si="5"/>
        <v/>
      </c>
      <c r="T23" s="367" t="str">
        <f>'1.1 Assumption Control YR1'!I50</f>
        <v>PCFP</v>
      </c>
      <c r="V23" s="12"/>
      <c r="W23" s="28"/>
    </row>
    <row r="24" spans="1:23" x14ac:dyDescent="0.3">
      <c r="A24" s="459" t="str">
        <f>'1.2 Budgeted Enrollment YR1'!E25</f>
        <v>White Pine</v>
      </c>
      <c r="B24" s="304"/>
      <c r="C24" s="490">
        <f>'1.4 FY 2020 Revenue Received'!J24</f>
        <v>1248.6201723000001</v>
      </c>
      <c r="D24" s="490">
        <f>'1.2 Budgeted Enrollment YR1'!G25</f>
        <v>1231.0239819599622</v>
      </c>
      <c r="E24" s="366">
        <f>ROUND('2.8 Alloc of Residual Rev. YR1'!M30,2)</f>
        <v>21496169</v>
      </c>
      <c r="F24" s="391">
        <f t="shared" si="3"/>
        <v>17462.022929703689</v>
      </c>
      <c r="G24" s="137"/>
      <c r="H24" s="148">
        <f>ROUND('1.4 FY 2020 Revenue Received'!H24,0)</f>
        <v>15230573</v>
      </c>
      <c r="I24" s="1261">
        <f t="shared" si="6"/>
        <v>12197.923225879633</v>
      </c>
      <c r="J24" s="1262">
        <f>I24-'1.4 FY 2020 Revenue Received'!K24</f>
        <v>0</v>
      </c>
      <c r="K24" s="630" t="str">
        <f t="shared" si="0"/>
        <v>Yes</v>
      </c>
      <c r="M24" s="1263">
        <f>'1.3 Budgeted Revenues YR1'!G29</f>
        <v>850858.32000000007</v>
      </c>
      <c r="N24" s="630" t="str">
        <f t="shared" si="1"/>
        <v>No</v>
      </c>
      <c r="O24" s="630" t="str">
        <f t="shared" si="2"/>
        <v>No</v>
      </c>
      <c r="Q24" s="1274">
        <f t="shared" si="4"/>
        <v>21496169</v>
      </c>
      <c r="R24" s="1280" t="str">
        <f t="shared" si="5"/>
        <v/>
      </c>
      <c r="T24" s="446" t="str">
        <f>'1.1 Assumption Control YR1'!I51</f>
        <v>PCFP</v>
      </c>
      <c r="V24" s="12"/>
      <c r="W24" s="28"/>
    </row>
    <row r="25" spans="1:23" x14ac:dyDescent="0.3">
      <c r="A25" s="36" t="str">
        <f>'1.2 Budgeted Enrollment YR1'!E26</f>
        <v>Charter Schools</v>
      </c>
      <c r="C25" s="108">
        <f>'1.4 FY 2020 Revenue Received'!J25</f>
        <v>57012.474131748568</v>
      </c>
      <c r="D25" s="108">
        <f>'1.2 Budgeted Enrollment YR1'!G26</f>
        <v>72301.606666666703</v>
      </c>
      <c r="E25" s="159">
        <f>E96</f>
        <v>771414571</v>
      </c>
      <c r="F25" s="385">
        <f>E25/D25</f>
        <v>10669.397355946257</v>
      </c>
      <c r="H25" s="154">
        <f>ROUND('1.4 FY 2020 Revenue Received'!H25,0)</f>
        <v>433806524</v>
      </c>
      <c r="I25" s="795">
        <f>H25/C25</f>
        <v>7608.9755901055678</v>
      </c>
      <c r="J25" s="796">
        <f>I25-'1.4 FY 2020 Revenue Received'!K25</f>
        <v>0</v>
      </c>
      <c r="K25" s="2021" t="str">
        <f t="shared" si="0"/>
        <v>Yes</v>
      </c>
      <c r="M25" s="486"/>
      <c r="N25" s="1270" t="str">
        <f>IF(M25&gt;H25,"Yes","Does Not Apply")</f>
        <v>Does Not Apply</v>
      </c>
      <c r="O25" s="1270" t="str">
        <f>IF(N25&gt;K25,"Yes","Does Not Apply")</f>
        <v>Does Not Apply</v>
      </c>
      <c r="Q25" s="1276">
        <f>IF(K25="Yes",ROUND(F25*D25,0),"")</f>
        <v>771414571</v>
      </c>
      <c r="R25" s="2022" t="str">
        <f>IF(K25="No",ROUND((I25*D25),0),"")</f>
        <v/>
      </c>
      <c r="T25" s="2023" t="str">
        <f>'1.1 Assumption Control YR1'!I52</f>
        <v>PCFP</v>
      </c>
      <c r="V25" s="12"/>
      <c r="W25" s="28"/>
    </row>
    <row r="26" spans="1:23" x14ac:dyDescent="0.3">
      <c r="A26" s="36" t="str">
        <f>'1.2 Budgeted Enrollment YR1'!E27</f>
        <v>University Schools</v>
      </c>
      <c r="C26" s="108">
        <f>C101</f>
        <v>143.645726495611</v>
      </c>
      <c r="D26" s="108">
        <f>D101</f>
        <v>167.88437423074134</v>
      </c>
      <c r="E26" s="159">
        <f>E101</f>
        <v>1635753</v>
      </c>
      <c r="F26" s="385">
        <f>E26/D26</f>
        <v>9743.3308340644653</v>
      </c>
      <c r="H26" s="154">
        <f>H101</f>
        <v>1161406</v>
      </c>
      <c r="I26" s="795">
        <f>H26/C26</f>
        <v>8085.2109445489559</v>
      </c>
      <c r="J26" s="796">
        <f>I26-'1.4 FY 2020 Revenue Received'!K26</f>
        <v>0</v>
      </c>
      <c r="K26" s="632" t="str">
        <f t="shared" si="0"/>
        <v>Yes</v>
      </c>
      <c r="M26" s="486"/>
      <c r="N26" s="1270" t="str">
        <f>IF(M26&gt;H26,"Yes","Does Not Apply")</f>
        <v>Does Not Apply</v>
      </c>
      <c r="O26" s="1270" t="str">
        <f>IF(N26&gt;K26,"Yes","Does Not Apply")</f>
        <v>Does Not Apply</v>
      </c>
      <c r="Q26" s="1274">
        <f t="shared" ref="Q26:Q28" si="7">IF(K26="Yes",ROUND(F26*D26,0),"")</f>
        <v>1635753</v>
      </c>
      <c r="R26" s="1280" t="str">
        <f t="shared" ref="R26:R28" si="8">IF(K26="No",ROUND((I26*D26),0),"")</f>
        <v/>
      </c>
      <c r="T26" s="367" t="str">
        <f>'1.1 Assumption Control YR1'!I53</f>
        <v>PCFP</v>
      </c>
      <c r="V26" s="12"/>
      <c r="W26" s="28"/>
    </row>
    <row r="27" spans="1:23" x14ac:dyDescent="0.3">
      <c r="A27" s="36" t="str">
        <f>A103</f>
        <v>City of Henderson</v>
      </c>
      <c r="C27" s="108">
        <f>C106</f>
        <v>0</v>
      </c>
      <c r="D27" s="108">
        <f>D106</f>
        <v>0</v>
      </c>
      <c r="E27" s="12">
        <f>E106</f>
        <v>0</v>
      </c>
      <c r="F27" s="385">
        <f>IF(D27=0,0,E27/D27)</f>
        <v>0</v>
      </c>
      <c r="H27" s="154">
        <f>H106</f>
        <v>0</v>
      </c>
      <c r="I27" s="795">
        <f>IF(C27=0,0,H27/C27)</f>
        <v>0</v>
      </c>
      <c r="J27" s="796"/>
      <c r="K27" s="632" t="str">
        <f t="shared" si="0"/>
        <v>Yes</v>
      </c>
      <c r="M27" s="488"/>
      <c r="N27" s="1270" t="str">
        <f>IF(M27&gt;H27,"Yes","Does Not Apply")</f>
        <v>Does Not Apply</v>
      </c>
      <c r="O27" s="1270" t="str">
        <f>IF(N27&gt;K27,"Yes","Does Not Apply")</f>
        <v>Does Not Apply</v>
      </c>
      <c r="Q27" s="1274">
        <f t="shared" si="7"/>
        <v>0</v>
      </c>
      <c r="R27" s="1280" t="str">
        <f t="shared" si="8"/>
        <v/>
      </c>
      <c r="T27" s="367" t="str">
        <f>'1.1 Assumption Control YR1'!I54</f>
        <v>PCFP</v>
      </c>
      <c r="V27" s="12"/>
      <c r="W27" s="28"/>
    </row>
    <row r="28" spans="1:23" x14ac:dyDescent="0.3">
      <c r="A28" s="459" t="str">
        <f>A108</f>
        <v>City of North Las Vegas</v>
      </c>
      <c r="B28" s="304"/>
      <c r="C28" s="490">
        <f>C111</f>
        <v>0</v>
      </c>
      <c r="D28" s="490">
        <f>D111</f>
        <v>0</v>
      </c>
      <c r="E28" s="440">
        <f>E111</f>
        <v>0</v>
      </c>
      <c r="F28" s="391">
        <f>IF(D28=0,0,E28/D28)</f>
        <v>0</v>
      </c>
      <c r="G28" s="137"/>
      <c r="H28" s="148">
        <f>H111</f>
        <v>0</v>
      </c>
      <c r="I28" s="1261">
        <f>IF(C28=0,0,H28/C28)</f>
        <v>0</v>
      </c>
      <c r="J28" s="1262"/>
      <c r="K28" s="630" t="str">
        <f t="shared" si="0"/>
        <v>Yes</v>
      </c>
      <c r="M28" s="489"/>
      <c r="N28" s="1271" t="str">
        <f>IF(M28&gt;H28,"Yes","Does Not Apply")</f>
        <v>Does Not Apply</v>
      </c>
      <c r="O28" s="1271" t="str">
        <f>IF(N28&gt;K28,"Yes","Does Not Apply")</f>
        <v>Does Not Apply</v>
      </c>
      <c r="Q28" s="1275">
        <f t="shared" si="7"/>
        <v>0</v>
      </c>
      <c r="R28" s="1281" t="str">
        <f t="shared" si="8"/>
        <v/>
      </c>
      <c r="T28" s="446" t="str">
        <f>'1.1 Assumption Control YR1'!I55</f>
        <v>PCFP</v>
      </c>
      <c r="V28" s="12"/>
      <c r="W28" s="28"/>
    </row>
    <row r="29" spans="1:23" x14ac:dyDescent="0.3">
      <c r="A29" s="204" t="s">
        <v>1611</v>
      </c>
      <c r="B29" s="2092"/>
      <c r="C29" s="1256">
        <f>SUM(C8:C28)</f>
        <v>484807.40322754526</v>
      </c>
      <c r="D29" s="1256">
        <f>SUM(D8:D28)</f>
        <v>463751.95591146237</v>
      </c>
      <c r="E29" s="400">
        <f>SUM(E8:E28)</f>
        <v>5751491159</v>
      </c>
      <c r="F29" s="96"/>
      <c r="G29" s="135"/>
      <c r="H29" s="1726">
        <f>SUM(H8:H28)</f>
        <v>4077148721</v>
      </c>
      <c r="I29" s="96"/>
      <c r="J29" s="96"/>
      <c r="K29" s="1257"/>
      <c r="M29" s="400">
        <f>SUM(M8:M28)</f>
        <v>26052000</v>
      </c>
      <c r="N29" s="1258"/>
      <c r="O29" s="1259"/>
      <c r="Q29" s="1277">
        <f>SUM(Q8:Q28)</f>
        <v>5734870574</v>
      </c>
      <c r="R29" s="1278">
        <f>SUM(R8:R28)</f>
        <v>24972410</v>
      </c>
      <c r="T29" s="214"/>
      <c r="V29" s="12"/>
    </row>
    <row r="30" spans="1:23" x14ac:dyDescent="0.3">
      <c r="C30" s="108">
        <f>SUM(C8:C26)-'1.4 FY 2020 Revenue Received'!J29</f>
        <v>0</v>
      </c>
      <c r="D30" s="108">
        <f>SUM(D8:D28)-'1.2 Budgeted Enrollment YR1'!G30</f>
        <v>0</v>
      </c>
      <c r="E30" s="99">
        <f>ROUND(E29-'1.3 Budgeted Revenues YR1'!C40,0)</f>
        <v>27000000</v>
      </c>
      <c r="F30" s="796"/>
      <c r="G30" s="131"/>
      <c r="H30" s="89">
        <f>H29-'1.4 FY 2020 Revenue Received'!H29</f>
        <v>0</v>
      </c>
      <c r="I30" s="89"/>
      <c r="J30" s="89"/>
      <c r="K30" s="632"/>
      <c r="M30" s="671">
        <f>M29-'1.3 Budgeted Revenues YR1'!G30</f>
        <v>0</v>
      </c>
      <c r="N30" s="177"/>
      <c r="O30" s="175"/>
      <c r="Q30" s="1279" t="s">
        <v>1612</v>
      </c>
      <c r="R30" s="1282">
        <f>R29+Q29</f>
        <v>5759842984</v>
      </c>
      <c r="T30" s="177"/>
    </row>
    <row r="31" spans="1:23" s="283" customFormat="1" ht="49.5" x14ac:dyDescent="0.45">
      <c r="A31" s="281" t="s">
        <v>1613</v>
      </c>
      <c r="B31" s="2323" t="s">
        <v>1614</v>
      </c>
      <c r="C31" s="466" t="s">
        <v>1599</v>
      </c>
      <c r="D31" s="466" t="s">
        <v>2321</v>
      </c>
      <c r="E31" s="1836"/>
      <c r="F31" s="282"/>
      <c r="H31" s="1837"/>
      <c r="I31" s="282"/>
      <c r="K31" s="633"/>
      <c r="L31" s="4"/>
      <c r="M31" s="285"/>
      <c r="N31" s="286"/>
      <c r="O31" s="284"/>
      <c r="P31" s="4"/>
      <c r="Q31" s="343" t="s">
        <v>1615</v>
      </c>
      <c r="R31" s="2172">
        <f>(E29-R30)/R30</f>
        <v>-1.4500091449020653E-3</v>
      </c>
      <c r="S31" s="4"/>
      <c r="T31" s="815">
        <f>E29-R30</f>
        <v>-8351825</v>
      </c>
    </row>
    <row r="32" spans="1:23" x14ac:dyDescent="0.3">
      <c r="A32" s="9" t="str">
        <f>'1.2 Budgeted Enrollment YR1'!E34</f>
        <v>FuturEdge (Formerly 100 Academy Of Excellence)</v>
      </c>
      <c r="B32" s="369" t="str">
        <f>IF(C32=0,"Yes","")</f>
        <v/>
      </c>
      <c r="C32" s="108">
        <f>'1.4 FY 2020 Revenue Received'!J32</f>
        <v>480.71396750000002</v>
      </c>
      <c r="D32" s="108">
        <f>'1.2 Budgeted Enrollment YR1'!G34</f>
        <v>240.86136805673826</v>
      </c>
      <c r="E32" s="159">
        <f>ROUND('2.8 Alloc of Residual Rev. YR1'!M38,0)</f>
        <v>2838018</v>
      </c>
      <c r="F32" s="385">
        <f>IF(D32=0,0,E32/D32)</f>
        <v>11782.786184837518</v>
      </c>
      <c r="H32" s="154">
        <f>ROUND('1.4 FY 2020 Revenue Received'!H32,0)</f>
        <v>3526522</v>
      </c>
      <c r="I32" s="385">
        <f>IF(C32=0,0,H32/C32)</f>
        <v>7336.0090166300397</v>
      </c>
      <c r="K32" s="632" t="str">
        <f>$K$25</f>
        <v>Yes</v>
      </c>
      <c r="M32" s="2024"/>
      <c r="N32" s="181" t="str">
        <f t="shared" ref="N32:N63" si="9">IF(M32&gt;H32,"Yes","Does Not Apply")</f>
        <v>Does Not Apply</v>
      </c>
      <c r="O32" s="2025" t="str">
        <f t="shared" ref="O32:O63" si="10">IF(N32&gt;K32,"Yes","Does Not Apply")</f>
        <v>Does Not Apply</v>
      </c>
      <c r="Q32" s="181"/>
      <c r="R32" s="181"/>
      <c r="T32" s="181" t="str">
        <f>T25</f>
        <v>PCFP</v>
      </c>
    </row>
    <row r="33" spans="1:21" x14ac:dyDescent="0.3">
      <c r="A33" s="9" t="str">
        <f>'1.2 Budgeted Enrollment YR1'!E35</f>
        <v>Academy For Career Education</v>
      </c>
      <c r="B33" s="369" t="str">
        <f t="shared" ref="B33:B93" si="11">IF(C33=0,"Yes","")</f>
        <v/>
      </c>
      <c r="C33" s="108">
        <f>'1.4 FY 2020 Revenue Received'!J33</f>
        <v>190.83797749999999</v>
      </c>
      <c r="D33" s="108">
        <f>'1.2 Budgeted Enrollment YR1'!G35</f>
        <v>253.57864951202251</v>
      </c>
      <c r="E33" s="159">
        <f>ROUND('2.8 Alloc of Residual Rev. YR1'!M39,0)</f>
        <v>2519558</v>
      </c>
      <c r="F33" s="385">
        <f t="shared" ref="F33:F45" si="12">IF(D33=0,0,E33/D33)</f>
        <v>9936.0021233985808</v>
      </c>
      <c r="H33" s="154">
        <f>ROUND('1.4 FY 2020 Revenue Received'!H33,0)</f>
        <v>1427556</v>
      </c>
      <c r="I33" s="385">
        <f t="shared" ref="I33:I94" si="13">IF(C33=0,0,H33/C33)</f>
        <v>7480.4607484377684</v>
      </c>
      <c r="K33" s="632" t="str">
        <f t="shared" ref="K33:K90" si="14">$K$25</f>
        <v>Yes</v>
      </c>
      <c r="M33" s="1272"/>
      <c r="N33" s="181" t="str">
        <f t="shared" si="9"/>
        <v>Does Not Apply</v>
      </c>
      <c r="O33" s="1270" t="str">
        <f t="shared" si="10"/>
        <v>Does Not Apply</v>
      </c>
      <c r="Q33" s="181"/>
      <c r="R33" s="181"/>
      <c r="T33" s="181" t="str">
        <f>T32</f>
        <v>PCFP</v>
      </c>
    </row>
    <row r="34" spans="1:21" x14ac:dyDescent="0.3">
      <c r="A34" s="9" t="str">
        <f>'1.2 Budgeted Enrollment YR1'!E36</f>
        <v xml:space="preserve">Alpine Academy </v>
      </c>
      <c r="B34" s="369" t="str">
        <f t="shared" si="11"/>
        <v/>
      </c>
      <c r="C34" s="108">
        <f>'1.4 FY 2020 Revenue Received'!J34</f>
        <v>103.98956000000001</v>
      </c>
      <c r="D34" s="108">
        <f>'1.2 Budgeted Enrollment YR1'!G36</f>
        <v>164.31844740358281</v>
      </c>
      <c r="E34" s="159">
        <f>ROUND('2.8 Alloc of Residual Rev. YR1'!M40,0)</f>
        <v>1628165</v>
      </c>
      <c r="F34" s="385">
        <f t="shared" si="12"/>
        <v>9908.5953264946656</v>
      </c>
      <c r="H34" s="154">
        <f>ROUND('1.4 FY 2020 Revenue Received'!H34,0)</f>
        <v>946883</v>
      </c>
      <c r="I34" s="385">
        <f t="shared" si="13"/>
        <v>9105.5582887359069</v>
      </c>
      <c r="K34" s="632" t="str">
        <f t="shared" si="14"/>
        <v>Yes</v>
      </c>
      <c r="M34" s="1272"/>
      <c r="N34" s="181" t="str">
        <f t="shared" si="9"/>
        <v>Does Not Apply</v>
      </c>
      <c r="O34" s="1270" t="str">
        <f t="shared" si="10"/>
        <v>Does Not Apply</v>
      </c>
      <c r="Q34" s="181"/>
      <c r="R34" s="181"/>
      <c r="T34" s="181" t="str">
        <f t="shared" ref="T34:T93" si="15">T33</f>
        <v>PCFP</v>
      </c>
    </row>
    <row r="35" spans="1:21" x14ac:dyDescent="0.3">
      <c r="A35" s="9" t="str">
        <f>'1.2 Budgeted Enrollment YR1'!E37</f>
        <v xml:space="preserve">Amplus (Formerly American Preparatory Academy) </v>
      </c>
      <c r="B35" s="369" t="str">
        <f t="shared" si="11"/>
        <v/>
      </c>
      <c r="C35" s="108">
        <f>'1.4 FY 2020 Revenue Received'!J35</f>
        <v>1600.97</v>
      </c>
      <c r="D35" s="108">
        <f>'1.2 Budgeted Enrollment YR1'!G37</f>
        <v>2368.9011816066622</v>
      </c>
      <c r="E35" s="159">
        <f>ROUND('2.8 Alloc of Residual Rev. YR1'!M41,0)</f>
        <v>23492346</v>
      </c>
      <c r="F35" s="385">
        <f t="shared" si="12"/>
        <v>9916.9801519820103</v>
      </c>
      <c r="H35" s="154">
        <f>ROUND('1.4 FY 2020 Revenue Received'!H35,0)</f>
        <v>11813993</v>
      </c>
      <c r="I35" s="385">
        <f t="shared" si="13"/>
        <v>7379.2719413855348</v>
      </c>
      <c r="K35" s="632" t="str">
        <f t="shared" si="14"/>
        <v>Yes</v>
      </c>
      <c r="M35" s="1272"/>
      <c r="N35" s="181" t="str">
        <f t="shared" si="9"/>
        <v>Does Not Apply</v>
      </c>
      <c r="O35" s="1270" t="str">
        <f t="shared" si="10"/>
        <v>Does Not Apply</v>
      </c>
      <c r="Q35" s="181"/>
      <c r="R35" s="181"/>
      <c r="T35" s="181" t="str">
        <f t="shared" si="15"/>
        <v>PCFP</v>
      </c>
    </row>
    <row r="36" spans="1:21" x14ac:dyDescent="0.3">
      <c r="A36" s="9" t="str">
        <f>'1.2 Budgeted Enrollment YR1'!E38</f>
        <v>Bailey Charter School</v>
      </c>
      <c r="B36" s="369" t="str">
        <f t="shared" si="11"/>
        <v/>
      </c>
      <c r="C36" s="108">
        <f>'1.4 FY 2020 Revenue Received'!J36</f>
        <v>265.87594999999999</v>
      </c>
      <c r="D36" s="108">
        <f>'1.2 Budgeted Enrollment YR1'!G38</f>
        <v>166.53929996193739</v>
      </c>
      <c r="E36" s="159">
        <f>ROUND('2.8 Alloc of Residual Rev. YR1'!M42,0)</f>
        <v>1982916</v>
      </c>
      <c r="F36" s="385">
        <f t="shared" si="12"/>
        <v>11906.595022635474</v>
      </c>
      <c r="H36" s="154">
        <f>ROUND('1.4 FY 2020 Revenue Received'!H36,0)</f>
        <v>1985978</v>
      </c>
      <c r="I36" s="385">
        <f t="shared" si="13"/>
        <v>7469.5661642205705</v>
      </c>
      <c r="K36" s="632" t="str">
        <f t="shared" si="14"/>
        <v>Yes</v>
      </c>
      <c r="M36" s="1272"/>
      <c r="N36" s="181" t="str">
        <f t="shared" si="9"/>
        <v>Does Not Apply</v>
      </c>
      <c r="O36" s="1270" t="str">
        <f t="shared" si="10"/>
        <v>Does Not Apply</v>
      </c>
      <c r="Q36" s="181"/>
      <c r="R36" s="181"/>
      <c r="T36" s="181" t="str">
        <f t="shared" si="15"/>
        <v>PCFP</v>
      </c>
    </row>
    <row r="37" spans="1:21" x14ac:dyDescent="0.3">
      <c r="A37" s="9" t="str">
        <f>'1.2 Budgeted Enrollment YR1'!E39</f>
        <v>Battle Born Academy</v>
      </c>
      <c r="B37" s="369" t="str">
        <f t="shared" si="11"/>
        <v>Yes</v>
      </c>
      <c r="C37" s="108">
        <f>'1.4 FY 2020 Revenue Received'!J37</f>
        <v>0</v>
      </c>
      <c r="D37" s="108">
        <f>'1.2 Budgeted Enrollment YR1'!G39</f>
        <v>270.53331354166147</v>
      </c>
      <c r="E37" s="159">
        <f>ROUND('2.8 Alloc of Residual Rev. YR1'!M43,0)</f>
        <v>3303940</v>
      </c>
      <c r="F37" s="385">
        <f t="shared" si="12"/>
        <v>12212.691874234562</v>
      </c>
      <c r="H37" s="154">
        <f>ROUND('1.4 FY 2020 Revenue Received'!H37,0)</f>
        <v>0</v>
      </c>
      <c r="I37" s="385">
        <f t="shared" si="13"/>
        <v>0</v>
      </c>
      <c r="K37" s="632" t="str">
        <f t="shared" si="14"/>
        <v>Yes</v>
      </c>
      <c r="M37" s="1272"/>
      <c r="N37" s="181" t="str">
        <f t="shared" si="9"/>
        <v>Does Not Apply</v>
      </c>
      <c r="O37" s="1270" t="str">
        <f t="shared" si="10"/>
        <v>Does Not Apply</v>
      </c>
      <c r="Q37" s="181"/>
      <c r="R37" s="181"/>
      <c r="T37" s="181" t="str">
        <f t="shared" si="15"/>
        <v>PCFP</v>
      </c>
    </row>
    <row r="38" spans="1:21" x14ac:dyDescent="0.3">
      <c r="A38" s="9" t="str">
        <f>'1.2 Budgeted Enrollment YR1'!E40</f>
        <v>Beacon Academy</v>
      </c>
      <c r="B38" s="369" t="str">
        <f t="shared" si="11"/>
        <v/>
      </c>
      <c r="C38" s="108">
        <f>'1.4 FY 2020 Revenue Received'!J38</f>
        <v>371.10250250000001</v>
      </c>
      <c r="D38" s="108">
        <f>'1.2 Budgeted Enrollment YR1'!G40</f>
        <v>857.51912183963623</v>
      </c>
      <c r="E38" s="159">
        <f>ROUND('2.8 Alloc of Residual Rev. YR1'!M44,0)</f>
        <v>10273111</v>
      </c>
      <c r="F38" s="385">
        <f t="shared" si="12"/>
        <v>11980.037224080892</v>
      </c>
      <c r="H38" s="154">
        <f>ROUND('1.4 FY 2020 Revenue Received'!H38,0)</f>
        <v>3166786</v>
      </c>
      <c r="I38" s="385">
        <f t="shared" si="13"/>
        <v>8533.4536379204292</v>
      </c>
      <c r="K38" s="632" t="str">
        <f t="shared" si="14"/>
        <v>Yes</v>
      </c>
      <c r="M38" s="1272"/>
      <c r="N38" s="181" t="str">
        <f t="shared" si="9"/>
        <v>Does Not Apply</v>
      </c>
      <c r="O38" s="1270" t="str">
        <f t="shared" si="10"/>
        <v>Does Not Apply</v>
      </c>
      <c r="Q38" s="181"/>
      <c r="R38" s="181"/>
      <c r="T38" s="181" t="str">
        <f t="shared" si="15"/>
        <v>PCFP</v>
      </c>
    </row>
    <row r="39" spans="1:21" x14ac:dyDescent="0.3">
      <c r="A39" s="9" t="str">
        <f>'1.2 Budgeted Enrollment YR1'!E41</f>
        <v>Cactus Park</v>
      </c>
      <c r="B39" s="369" t="str">
        <f t="shared" si="11"/>
        <v>Yes</v>
      </c>
      <c r="C39" s="108">
        <f>'1.4 FY 2020 Revenue Received'!J39</f>
        <v>0</v>
      </c>
      <c r="D39" s="108">
        <f>'1.2 Budgeted Enrollment YR1'!G41</f>
        <v>301.59239347241777</v>
      </c>
      <c r="E39" s="159">
        <f>ROUND('2.8 Alloc of Residual Rev. YR1'!M45,0)</f>
        <v>3147885</v>
      </c>
      <c r="F39" s="385">
        <f t="shared" si="12"/>
        <v>10437.547723788633</v>
      </c>
      <c r="H39" s="154">
        <f>ROUND('1.4 FY 2020 Revenue Received'!H39,0)</f>
        <v>0</v>
      </c>
      <c r="I39" s="385">
        <f t="shared" si="13"/>
        <v>0</v>
      </c>
      <c r="K39" s="632" t="str">
        <f t="shared" si="14"/>
        <v>Yes</v>
      </c>
      <c r="M39" s="1272"/>
      <c r="N39" s="181" t="str">
        <f t="shared" si="9"/>
        <v>Does Not Apply</v>
      </c>
      <c r="O39" s="1270" t="str">
        <f t="shared" si="10"/>
        <v>Does Not Apply</v>
      </c>
      <c r="Q39" s="181"/>
      <c r="R39" s="181"/>
      <c r="T39" s="181" t="str">
        <f t="shared" si="15"/>
        <v>PCFP</v>
      </c>
    </row>
    <row r="40" spans="1:21" x14ac:dyDescent="0.3">
      <c r="A40" s="9" t="str">
        <f>'1.2 Budgeted Enrollment YR1'!E42</f>
        <v>Carson Montessori</v>
      </c>
      <c r="B40" s="369" t="str">
        <f t="shared" si="11"/>
        <v/>
      </c>
      <c r="C40" s="108">
        <f>'1.4 FY 2020 Revenue Received'!J40</f>
        <v>278.55615749999998</v>
      </c>
      <c r="D40" s="108">
        <f>'1.2 Budgeted Enrollment YR1'!G42</f>
        <v>296.55722891108132</v>
      </c>
      <c r="E40" s="159">
        <f>ROUND('2.8 Alloc of Residual Rev. YR1'!M46,0)</f>
        <v>3099064</v>
      </c>
      <c r="F40" s="385">
        <f t="shared" si="12"/>
        <v>10450.138111214994</v>
      </c>
      <c r="H40" s="154">
        <f>ROUND('1.4 FY 2020 Revenue Received'!H40,0)</f>
        <v>2359224</v>
      </c>
      <c r="I40" s="385">
        <f t="shared" si="13"/>
        <v>8469.4735207926624</v>
      </c>
      <c r="K40" s="632" t="str">
        <f t="shared" si="14"/>
        <v>Yes</v>
      </c>
      <c r="M40" s="1272"/>
      <c r="N40" s="181" t="str">
        <f t="shared" si="9"/>
        <v>Does Not Apply</v>
      </c>
      <c r="O40" s="1270" t="str">
        <f t="shared" si="10"/>
        <v>Does Not Apply</v>
      </c>
      <c r="Q40" s="181"/>
      <c r="R40" s="181"/>
      <c r="T40" s="181" t="str">
        <f t="shared" si="15"/>
        <v>PCFP</v>
      </c>
    </row>
    <row r="41" spans="1:21" x14ac:dyDescent="0.3">
      <c r="A41" s="9" t="str">
        <f>'1.2 Budgeted Enrollment YR1'!E43</f>
        <v>CIVICA Nevada Career &amp; Collegiate Academy</v>
      </c>
      <c r="B41" s="369" t="str">
        <f t="shared" si="11"/>
        <v>Yes</v>
      </c>
      <c r="C41" s="108">
        <f>'1.4 FY 2020 Revenue Received'!J41</f>
        <v>0</v>
      </c>
      <c r="D41" s="108">
        <f>'1.2 Budgeted Enrollment YR1'!G43</f>
        <v>916.3393721230467</v>
      </c>
      <c r="E41" s="159">
        <f>ROUND('2.8 Alloc of Residual Rev. YR1'!M47,0)</f>
        <v>10351665</v>
      </c>
      <c r="F41" s="385">
        <f t="shared" si="12"/>
        <v>11296.75894643319</v>
      </c>
      <c r="H41" s="154">
        <f>ROUND('1.4 FY 2020 Revenue Received'!H41,0)</f>
        <v>0</v>
      </c>
      <c r="I41" s="385">
        <f t="shared" si="13"/>
        <v>0</v>
      </c>
      <c r="K41" s="632" t="str">
        <f t="shared" si="14"/>
        <v>Yes</v>
      </c>
      <c r="M41" s="1272"/>
      <c r="N41" s="181" t="str">
        <f t="shared" si="9"/>
        <v>Does Not Apply</v>
      </c>
      <c r="O41" s="1270" t="str">
        <f t="shared" si="10"/>
        <v>Does Not Apply</v>
      </c>
      <c r="Q41" s="181"/>
      <c r="R41" s="181"/>
      <c r="T41" s="181" t="str">
        <f t="shared" si="15"/>
        <v>PCFP</v>
      </c>
    </row>
    <row r="42" spans="1:21" x14ac:dyDescent="0.3">
      <c r="A42" s="9" t="str">
        <f>'1.2 Budgeted Enrollment YR1'!E44</f>
        <v>Coral Academy of Science Las Vegas</v>
      </c>
      <c r="B42" s="369" t="str">
        <f t="shared" si="11"/>
        <v/>
      </c>
      <c r="C42" s="108">
        <f>'1.4 FY 2020 Revenue Received'!J42</f>
        <v>3731.6204735000006</v>
      </c>
      <c r="D42" s="108">
        <f>'1.2 Budgeted Enrollment YR1'!G44</f>
        <v>5480.3063751434274</v>
      </c>
      <c r="E42" s="159">
        <f>ROUND('2.8 Alloc of Residual Rev. YR1'!M48,0)</f>
        <v>53556814</v>
      </c>
      <c r="F42" s="385">
        <f t="shared" si="12"/>
        <v>9772.594875883804</v>
      </c>
      <c r="H42" s="154">
        <f>ROUND('1.4 FY 2020 Revenue Received'!H42,0)</f>
        <v>27593260</v>
      </c>
      <c r="I42" s="385">
        <f t="shared" si="13"/>
        <v>7394.4443696653425</v>
      </c>
      <c r="K42" s="632" t="str">
        <f t="shared" si="14"/>
        <v>Yes</v>
      </c>
      <c r="M42" s="1272"/>
      <c r="N42" s="181" t="str">
        <f t="shared" si="9"/>
        <v>Does Not Apply</v>
      </c>
      <c r="O42" s="1270" t="str">
        <f t="shared" si="10"/>
        <v>Does Not Apply</v>
      </c>
      <c r="Q42" s="181"/>
      <c r="R42" s="181"/>
      <c r="T42" s="181" t="str">
        <f t="shared" si="15"/>
        <v>PCFP</v>
      </c>
    </row>
    <row r="43" spans="1:21" x14ac:dyDescent="0.3">
      <c r="A43" s="9" t="str">
        <f>'1.2 Budgeted Enrollment YR1'!E45</f>
        <v>Coral Academy Washoe</v>
      </c>
      <c r="B43" s="369" t="str">
        <f t="shared" si="11"/>
        <v/>
      </c>
      <c r="C43" s="108">
        <f>'1.4 FY 2020 Revenue Received'!J43</f>
        <v>1424.90155</v>
      </c>
      <c r="D43" s="108">
        <f>'1.2 Budgeted Enrollment YR1'!G45</f>
        <v>2027.9998005260131</v>
      </c>
      <c r="E43" s="159">
        <f>ROUND('2.8 Alloc of Residual Rev. YR1'!M49,0)</f>
        <v>20297999</v>
      </c>
      <c r="F43" s="385">
        <f t="shared" si="12"/>
        <v>10008.876231020929</v>
      </c>
      <c r="H43" s="154">
        <f>ROUND('1.4 FY 2020 Revenue Received'!H43,0)</f>
        <v>10950257</v>
      </c>
      <c r="I43" s="385">
        <f t="shared" si="13"/>
        <v>7684.9218109138837</v>
      </c>
      <c r="K43" s="632" t="str">
        <f t="shared" si="14"/>
        <v>Yes</v>
      </c>
      <c r="M43" s="1272"/>
      <c r="N43" s="181" t="str">
        <f t="shared" si="9"/>
        <v>Does Not Apply</v>
      </c>
      <c r="O43" s="1270" t="str">
        <f t="shared" si="10"/>
        <v>Does Not Apply</v>
      </c>
      <c r="Q43" s="181"/>
      <c r="R43" s="181"/>
      <c r="T43" s="181" t="str">
        <f t="shared" si="15"/>
        <v>PCFP</v>
      </c>
    </row>
    <row r="44" spans="1:21" x14ac:dyDescent="0.3">
      <c r="A44" s="9" t="str">
        <f>'1.2 Budgeted Enrollment YR1'!E46</f>
        <v>Delta Academy</v>
      </c>
      <c r="B44" s="369" t="str">
        <f t="shared" si="11"/>
        <v/>
      </c>
      <c r="C44" s="108">
        <f>'1.4 FY 2020 Revenue Received'!J44</f>
        <v>614.92500499999994</v>
      </c>
      <c r="D44" s="108">
        <f>'1.2 Budgeted Enrollment YR1'!G46</f>
        <v>1405.0080479301287</v>
      </c>
      <c r="E44" s="159">
        <f>ROUND('2.8 Alloc of Residual Rev. YR1'!M50,0)</f>
        <v>15157231</v>
      </c>
      <c r="F44" s="385">
        <f t="shared" si="12"/>
        <v>10788.002974310202</v>
      </c>
      <c r="H44" s="154">
        <f>ROUND('1.4 FY 2020 Revenue Received'!H44,0)</f>
        <v>4624989</v>
      </c>
      <c r="I44" s="385">
        <f t="shared" si="13"/>
        <v>7521.224478422374</v>
      </c>
      <c r="K44" s="632" t="str">
        <f t="shared" si="14"/>
        <v>Yes</v>
      </c>
      <c r="M44" s="1272"/>
      <c r="N44" s="181" t="str">
        <f t="shared" si="9"/>
        <v>Does Not Apply</v>
      </c>
      <c r="O44" s="1270" t="str">
        <f t="shared" si="10"/>
        <v>Does Not Apply</v>
      </c>
      <c r="Q44" s="181"/>
      <c r="R44" s="181"/>
      <c r="T44" s="181" t="str">
        <f t="shared" si="15"/>
        <v>PCFP</v>
      </c>
    </row>
    <row r="45" spans="1:21" x14ac:dyDescent="0.3">
      <c r="A45" s="9" t="str">
        <f>'1.2 Budgeted Enrollment YR1'!E47</f>
        <v>Democracy Prep</v>
      </c>
      <c r="B45" s="369" t="str">
        <f t="shared" si="11"/>
        <v/>
      </c>
      <c r="C45" s="108">
        <f>'1.4 FY 2020 Revenue Received'!J45</f>
        <v>981.96345500000007</v>
      </c>
      <c r="D45" s="108">
        <f>'1.2 Budgeted Enrollment YR1'!G47</f>
        <v>1279.0046975769933</v>
      </c>
      <c r="E45" s="159">
        <f>ROUND('2.8 Alloc of Residual Rev. YR1'!M51,0)</f>
        <v>13089302</v>
      </c>
      <c r="F45" s="385">
        <f t="shared" si="12"/>
        <v>10233.974921903718</v>
      </c>
      <c r="H45" s="154">
        <f>ROUND('1.4 FY 2020 Revenue Received'!H45,0)</f>
        <v>8001703</v>
      </c>
      <c r="I45" s="385">
        <f t="shared" si="13"/>
        <v>8148.6769790226044</v>
      </c>
      <c r="K45" s="632" t="str">
        <f t="shared" si="14"/>
        <v>Yes</v>
      </c>
      <c r="M45" s="1272"/>
      <c r="N45" s="181" t="str">
        <f t="shared" si="9"/>
        <v>Does Not Apply</v>
      </c>
      <c r="O45" s="1270" t="str">
        <f t="shared" si="10"/>
        <v>Does Not Apply</v>
      </c>
      <c r="Q45" s="181"/>
      <c r="R45" s="181"/>
      <c r="T45" s="181" t="str">
        <f t="shared" si="15"/>
        <v>PCFP</v>
      </c>
    </row>
    <row r="46" spans="1:21" x14ac:dyDescent="0.3">
      <c r="A46" s="9" t="str">
        <f>'1.2 Budgeted Enrollment YR1'!E48</f>
        <v>Discovery Charter</v>
      </c>
      <c r="B46" s="369" t="str">
        <f t="shared" si="11"/>
        <v/>
      </c>
      <c r="C46" s="108">
        <f>'1.4 FY 2020 Revenue Received'!J46</f>
        <v>378.66546975</v>
      </c>
      <c r="D46" s="108">
        <f>'1.2 Budgeted Enrollment YR1'!G48</f>
        <v>499.79963400639872</v>
      </c>
      <c r="E46" s="159">
        <f>ROUND('2.8 Alloc of Residual Rev. YR1'!M52,0)</f>
        <v>5087614</v>
      </c>
      <c r="F46" s="385">
        <f t="shared" ref="F46:F90" si="16">IF(D46=0,0,E46/D46)</f>
        <v>10179.30717399218</v>
      </c>
      <c r="H46" s="154">
        <f>ROUND('1.4 FY 2020 Revenue Received'!H46,0)</f>
        <v>2926109</v>
      </c>
      <c r="I46" s="385">
        <f t="shared" si="13"/>
        <v>7727.4249535661547</v>
      </c>
      <c r="K46" s="632" t="str">
        <f t="shared" si="14"/>
        <v>Yes</v>
      </c>
      <c r="M46" s="1272"/>
      <c r="N46" s="181" t="str">
        <f t="shared" si="9"/>
        <v>Does Not Apply</v>
      </c>
      <c r="O46" s="1270" t="str">
        <f t="shared" si="10"/>
        <v>Does Not Apply</v>
      </c>
      <c r="Q46" s="181"/>
      <c r="R46" s="181"/>
      <c r="T46" s="181" t="str">
        <f t="shared" si="15"/>
        <v>PCFP</v>
      </c>
    </row>
    <row r="47" spans="1:21" x14ac:dyDescent="0.3">
      <c r="A47" s="9" t="str">
        <f>'1.2 Budgeted Enrollment YR1'!E49</f>
        <v>Do and Be Academy of Excellence</v>
      </c>
      <c r="B47" s="369" t="str">
        <f t="shared" ref="B47" si="17">IF(C47=0,"Yes","")</f>
        <v>Yes</v>
      </c>
      <c r="C47" s="108">
        <f>'1.4 FY 2020 Revenue Received'!J47</f>
        <v>0</v>
      </c>
      <c r="D47" s="108">
        <f>'1.2 Budgeted Enrollment YR1'!G49</f>
        <v>55.444307975565003</v>
      </c>
      <c r="E47" s="159">
        <f>ROUND('2.8 Alloc of Residual Rev. YR1'!M53,0)</f>
        <v>522951</v>
      </c>
      <c r="F47" s="385">
        <f t="shared" ref="F47" si="18">IF(D47=0,0,E47/D47)</f>
        <v>9432.0051795122235</v>
      </c>
      <c r="H47" s="154">
        <f>ROUND('1.4 FY 2020 Revenue Received'!H47,0)</f>
        <v>0</v>
      </c>
      <c r="I47" s="385">
        <f t="shared" ref="I47" si="19">IF(C47=0,0,H47/C47)</f>
        <v>0</v>
      </c>
      <c r="K47" s="632" t="str">
        <f t="shared" si="14"/>
        <v>Yes</v>
      </c>
      <c r="M47" s="1272"/>
      <c r="N47" s="181" t="str">
        <f t="shared" si="9"/>
        <v>Does Not Apply</v>
      </c>
      <c r="O47" s="1270" t="str">
        <f t="shared" si="10"/>
        <v>Does Not Apply</v>
      </c>
      <c r="Q47" s="181"/>
      <c r="R47" s="181"/>
      <c r="T47" s="181" t="str">
        <f t="shared" si="15"/>
        <v>PCFP</v>
      </c>
      <c r="U47" s="9" t="s">
        <v>370</v>
      </c>
    </row>
    <row r="48" spans="1:21" x14ac:dyDescent="0.3">
      <c r="A48" s="9" t="str">
        <f>'1.2 Budgeted Enrollment YR1'!E50</f>
        <v>Doral Academy</v>
      </c>
      <c r="B48" s="369" t="str">
        <f t="shared" si="11"/>
        <v/>
      </c>
      <c r="C48" s="108">
        <f>'1.4 FY 2020 Revenue Received'!J48</f>
        <v>5724.9224675000005</v>
      </c>
      <c r="D48" s="108">
        <f>'1.2 Budgeted Enrollment YR1'!G50</f>
        <v>6463.7282261846876</v>
      </c>
      <c r="E48" s="159">
        <f>ROUND('2.8 Alloc of Residual Rev. YR1'!M54,0)</f>
        <v>65138561</v>
      </c>
      <c r="F48" s="385">
        <f t="shared" si="16"/>
        <v>10077.552570376092</v>
      </c>
      <c r="H48" s="154">
        <f>ROUND('1.4 FY 2020 Revenue Received'!H48,0)</f>
        <v>42640149</v>
      </c>
      <c r="I48" s="385">
        <f t="shared" si="13"/>
        <v>7448.1618296256856</v>
      </c>
      <c r="K48" s="632" t="str">
        <f t="shared" si="14"/>
        <v>Yes</v>
      </c>
      <c r="M48" s="1272"/>
      <c r="N48" s="181" t="str">
        <f t="shared" si="9"/>
        <v>Does Not Apply</v>
      </c>
      <c r="O48" s="1270" t="str">
        <f t="shared" si="10"/>
        <v>Does Not Apply</v>
      </c>
      <c r="Q48" s="181"/>
      <c r="R48" s="181"/>
      <c r="T48" s="181" t="str">
        <f t="shared" si="15"/>
        <v>PCFP</v>
      </c>
    </row>
    <row r="49" spans="1:20" x14ac:dyDescent="0.3">
      <c r="A49" s="9" t="str">
        <f>'1.2 Budgeted Enrollment YR1'!E51</f>
        <v>Doral Academy of Northern Nevada</v>
      </c>
      <c r="B49" s="369" t="str">
        <f t="shared" si="11"/>
        <v/>
      </c>
      <c r="C49" s="108">
        <f>'1.4 FY 2020 Revenue Received'!J49</f>
        <v>811.68888499999991</v>
      </c>
      <c r="D49" s="108">
        <f>'1.2 Budgeted Enrollment YR1'!G51</f>
        <v>1018.777864840123</v>
      </c>
      <c r="E49" s="159">
        <f>ROUND('2.8 Alloc of Residual Rev. YR1'!M55,0)</f>
        <v>9826022</v>
      </c>
      <c r="F49" s="385">
        <f t="shared" si="16"/>
        <v>9644.9111618085644</v>
      </c>
      <c r="H49" s="154">
        <f>ROUND('1.4 FY 2020 Revenue Received'!H49,0)</f>
        <v>6246542</v>
      </c>
      <c r="I49" s="385">
        <f t="shared" si="13"/>
        <v>7695.7343083489441</v>
      </c>
      <c r="K49" s="632" t="str">
        <f t="shared" si="14"/>
        <v>Yes</v>
      </c>
      <c r="M49" s="1272"/>
      <c r="N49" s="181" t="str">
        <f t="shared" si="9"/>
        <v>Does Not Apply</v>
      </c>
      <c r="O49" s="1270" t="str">
        <f t="shared" si="10"/>
        <v>Does Not Apply</v>
      </c>
      <c r="Q49" s="181"/>
      <c r="R49" s="181"/>
      <c r="T49" s="181" t="str">
        <f t="shared" si="15"/>
        <v>PCFP</v>
      </c>
    </row>
    <row r="50" spans="1:20" x14ac:dyDescent="0.3">
      <c r="A50" s="9" t="str">
        <f>'1.2 Budgeted Enrollment YR1'!E52</f>
        <v>Eagle Charter School (CLOSED)</v>
      </c>
      <c r="B50" s="369" t="str">
        <f t="shared" si="11"/>
        <v>Yes</v>
      </c>
      <c r="C50" s="108">
        <f>'1.4 FY 2020 Revenue Received'!J50</f>
        <v>0</v>
      </c>
      <c r="D50" s="108">
        <f>'1.2 Budgeted Enrollment YR1'!G52</f>
        <v>0</v>
      </c>
      <c r="E50" s="159">
        <f>ROUND('2.8 Alloc of Residual Rev. YR1'!M56,0)</f>
        <v>0</v>
      </c>
      <c r="F50" s="385">
        <f t="shared" si="16"/>
        <v>0</v>
      </c>
      <c r="H50" s="154">
        <f>ROUND('1.4 FY 2020 Revenue Received'!H50,0)</f>
        <v>0</v>
      </c>
      <c r="I50" s="385">
        <f t="shared" si="13"/>
        <v>0</v>
      </c>
      <c r="K50" s="632" t="str">
        <f t="shared" si="14"/>
        <v>Yes</v>
      </c>
      <c r="M50" s="1272"/>
      <c r="N50" s="181" t="str">
        <f t="shared" si="9"/>
        <v>Does Not Apply</v>
      </c>
      <c r="O50" s="1270" t="str">
        <f t="shared" si="10"/>
        <v>Does Not Apply</v>
      </c>
      <c r="Q50" s="181"/>
      <c r="R50" s="181"/>
      <c r="T50" s="181" t="str">
        <f t="shared" si="15"/>
        <v>PCFP</v>
      </c>
    </row>
    <row r="51" spans="1:20" x14ac:dyDescent="0.3">
      <c r="A51" s="9" t="str">
        <f>'1.2 Budgeted Enrollment YR1'!E53</f>
        <v>Elko Institute for Academic Achievement</v>
      </c>
      <c r="B51" s="369" t="str">
        <f t="shared" si="11"/>
        <v/>
      </c>
      <c r="C51" s="108">
        <f>'1.4 FY 2020 Revenue Received'!J51</f>
        <v>197.48914249999996</v>
      </c>
      <c r="D51" s="108">
        <f>'1.2 Budgeted Enrollment YR1'!G53</f>
        <v>315.7286385132989</v>
      </c>
      <c r="E51" s="159">
        <f>ROUND('2.8 Alloc of Residual Rev. YR1'!M57,0)</f>
        <v>3414598</v>
      </c>
      <c r="F51" s="385">
        <f t="shared" si="16"/>
        <v>10814.977114773745</v>
      </c>
      <c r="H51" s="154">
        <f>ROUND('1.4 FY 2020 Revenue Received'!H51,0)</f>
        <v>2010359</v>
      </c>
      <c r="I51" s="385">
        <f t="shared" si="13"/>
        <v>10179.592531270424</v>
      </c>
      <c r="K51" s="632" t="str">
        <f t="shared" si="14"/>
        <v>Yes</v>
      </c>
      <c r="M51" s="1272"/>
      <c r="N51" s="181" t="str">
        <f t="shared" si="9"/>
        <v>Does Not Apply</v>
      </c>
      <c r="O51" s="1270" t="str">
        <f t="shared" si="10"/>
        <v>Does Not Apply</v>
      </c>
      <c r="Q51" s="181"/>
      <c r="R51" s="181"/>
      <c r="T51" s="181" t="str">
        <f t="shared" si="15"/>
        <v>PCFP</v>
      </c>
    </row>
    <row r="52" spans="1:20" x14ac:dyDescent="0.3">
      <c r="A52" s="9" t="str">
        <f>'1.2 Budgeted Enrollment YR1'!E54</f>
        <v>enCompass Academy</v>
      </c>
      <c r="B52" s="369" t="str">
        <f t="shared" si="11"/>
        <v/>
      </c>
      <c r="C52" s="108">
        <f>'1.4 FY 2020 Revenue Received'!J52</f>
        <v>94.269284999999996</v>
      </c>
      <c r="D52" s="108">
        <f>'1.2 Budgeted Enrollment YR1'!G54</f>
        <v>129.86699722187711</v>
      </c>
      <c r="E52" s="159">
        <f>ROUND('2.8 Alloc of Residual Rev. YR1'!M58,0)</f>
        <v>1321584</v>
      </c>
      <c r="F52" s="385">
        <f t="shared" si="16"/>
        <v>10176.44226994854</v>
      </c>
      <c r="H52" s="154">
        <f>ROUND('1.4 FY 2020 Revenue Received'!H52,0)</f>
        <v>722846</v>
      </c>
      <c r="I52" s="385">
        <f t="shared" si="13"/>
        <v>7667.8846137424298</v>
      </c>
      <c r="K52" s="632" t="str">
        <f t="shared" si="14"/>
        <v>Yes</v>
      </c>
      <c r="M52" s="1272"/>
      <c r="N52" s="181" t="str">
        <f t="shared" si="9"/>
        <v>Does Not Apply</v>
      </c>
      <c r="O52" s="1270" t="str">
        <f t="shared" si="10"/>
        <v>Does Not Apply</v>
      </c>
      <c r="Q52" s="181"/>
      <c r="R52" s="181"/>
      <c r="T52" s="181" t="str">
        <f t="shared" si="15"/>
        <v>PCFP</v>
      </c>
    </row>
    <row r="53" spans="1:20" x14ac:dyDescent="0.3">
      <c r="A53" s="9" t="str">
        <f>'1.2 Budgeted Enrollment YR1'!E55</f>
        <v>Equipo Academy</v>
      </c>
      <c r="B53" s="369" t="str">
        <f t="shared" si="11"/>
        <v/>
      </c>
      <c r="C53" s="108">
        <f>'1.4 FY 2020 Revenue Received'!J53</f>
        <v>759.97385250000002</v>
      </c>
      <c r="D53" s="108">
        <f>'1.2 Budgeted Enrollment YR1'!G55</f>
        <v>900.7667088070209</v>
      </c>
      <c r="E53" s="159">
        <f>ROUND('2.8 Alloc of Residual Rev. YR1'!M59,0)</f>
        <v>9975420</v>
      </c>
      <c r="F53" s="385">
        <f t="shared" si="16"/>
        <v>11074.365762486368</v>
      </c>
      <c r="H53" s="154">
        <f>ROUND('1.4 FY 2020 Revenue Received'!H53,0)</f>
        <v>5943695</v>
      </c>
      <c r="I53" s="385">
        <f t="shared" si="13"/>
        <v>7820.9203914683367</v>
      </c>
      <c r="K53" s="632" t="str">
        <f t="shared" si="14"/>
        <v>Yes</v>
      </c>
      <c r="M53" s="1272"/>
      <c r="N53" s="181" t="str">
        <f t="shared" si="9"/>
        <v>Does Not Apply</v>
      </c>
      <c r="O53" s="1270" t="str">
        <f t="shared" si="10"/>
        <v>Does Not Apply</v>
      </c>
      <c r="Q53" s="181"/>
      <c r="R53" s="181"/>
      <c r="T53" s="181" t="str">
        <f t="shared" si="15"/>
        <v>PCFP</v>
      </c>
    </row>
    <row r="54" spans="1:20" x14ac:dyDescent="0.3">
      <c r="A54" s="9" t="str">
        <f>'1.2 Budgeted Enrollment YR1'!E56</f>
        <v>Explore Academy</v>
      </c>
      <c r="B54" s="369" t="str">
        <f t="shared" si="11"/>
        <v>Yes</v>
      </c>
      <c r="C54" s="108">
        <f>'1.4 FY 2020 Revenue Received'!J54</f>
        <v>0</v>
      </c>
      <c r="D54" s="108">
        <f>'1.2 Budgeted Enrollment YR1'!G56</f>
        <v>285.9150020191048</v>
      </c>
      <c r="E54" s="159">
        <f>ROUND('2.8 Alloc of Residual Rev. YR1'!M60,0)</f>
        <v>2880674</v>
      </c>
      <c r="F54" s="385">
        <f t="shared" si="16"/>
        <v>10075.281043866014</v>
      </c>
      <c r="H54" s="154">
        <f>ROUND('1.4 FY 2020 Revenue Received'!H54,0)</f>
        <v>0</v>
      </c>
      <c r="I54" s="385">
        <f t="shared" si="13"/>
        <v>0</v>
      </c>
      <c r="K54" s="632" t="str">
        <f t="shared" si="14"/>
        <v>Yes</v>
      </c>
      <c r="M54" s="1272"/>
      <c r="N54" s="181" t="str">
        <f t="shared" si="9"/>
        <v>Does Not Apply</v>
      </c>
      <c r="O54" s="1270" t="str">
        <f t="shared" si="10"/>
        <v>Does Not Apply</v>
      </c>
      <c r="Q54" s="181"/>
      <c r="R54" s="181"/>
      <c r="T54" s="181" t="str">
        <f t="shared" si="15"/>
        <v>PCFP</v>
      </c>
    </row>
    <row r="55" spans="1:20" x14ac:dyDescent="0.3">
      <c r="A55" s="9" t="str">
        <f>'1.2 Budgeted Enrollment YR1'!E57</f>
        <v>Explore Knowledge Academy</v>
      </c>
      <c r="B55" s="369" t="str">
        <f t="shared" si="11"/>
        <v/>
      </c>
      <c r="C55" s="108">
        <f>'1.4 FY 2020 Revenue Received'!J55</f>
        <v>762.71106750000013</v>
      </c>
      <c r="D55" s="108">
        <f>'1.2 Budgeted Enrollment YR1'!G57</f>
        <v>664.59038477421791</v>
      </c>
      <c r="E55" s="159">
        <f>ROUND('2.8 Alloc of Residual Rev. YR1'!M61,0)</f>
        <v>6564362</v>
      </c>
      <c r="F55" s="385">
        <f t="shared" si="16"/>
        <v>9877.3051046023156</v>
      </c>
      <c r="H55" s="154">
        <f>ROUND('1.4 FY 2020 Revenue Received'!H55,0)</f>
        <v>5570129</v>
      </c>
      <c r="I55" s="385">
        <f t="shared" si="13"/>
        <v>7303.0656527086503</v>
      </c>
      <c r="K55" s="632" t="str">
        <f t="shared" si="14"/>
        <v>Yes</v>
      </c>
      <c r="M55" s="1272"/>
      <c r="N55" s="181" t="str">
        <f t="shared" si="9"/>
        <v>Does Not Apply</v>
      </c>
      <c r="O55" s="1270" t="str">
        <f t="shared" si="10"/>
        <v>Does Not Apply</v>
      </c>
      <c r="Q55" s="181"/>
      <c r="R55" s="181"/>
      <c r="T55" s="181" t="str">
        <f t="shared" si="15"/>
        <v>PCFP</v>
      </c>
    </row>
    <row r="56" spans="1:20" x14ac:dyDescent="0.3">
      <c r="A56" s="9" t="str">
        <f>'1.2 Budgeted Enrollment YR1'!E58</f>
        <v>Founders Academy of Las Vegas</v>
      </c>
      <c r="B56" s="369" t="str">
        <f t="shared" si="11"/>
        <v/>
      </c>
      <c r="C56" s="108">
        <f>'1.4 FY 2020 Revenue Received'!J56</f>
        <v>764.61392499999999</v>
      </c>
      <c r="D56" s="108">
        <f>'1.2 Budgeted Enrollment YR1'!G58</f>
        <v>1110.2866416609052</v>
      </c>
      <c r="E56" s="159">
        <f>ROUND('2.8 Alloc of Residual Rev. YR1'!M62,0)</f>
        <v>11032206</v>
      </c>
      <c r="F56" s="385">
        <f t="shared" si="16"/>
        <v>9936.3584015535398</v>
      </c>
      <c r="H56" s="154">
        <f>ROUND('1.4 FY 2020 Revenue Received'!H56,0)</f>
        <v>5668819</v>
      </c>
      <c r="I56" s="385">
        <f t="shared" si="13"/>
        <v>7413.9625432534467</v>
      </c>
      <c r="K56" s="632" t="str">
        <f t="shared" si="14"/>
        <v>Yes</v>
      </c>
      <c r="M56" s="1272"/>
      <c r="N56" s="181" t="str">
        <f t="shared" si="9"/>
        <v>Does Not Apply</v>
      </c>
      <c r="O56" s="1270" t="str">
        <f t="shared" si="10"/>
        <v>Does Not Apply</v>
      </c>
      <c r="Q56" s="181"/>
      <c r="R56" s="181"/>
      <c r="T56" s="181" t="str">
        <f t="shared" si="15"/>
        <v>PCFP</v>
      </c>
    </row>
    <row r="57" spans="1:20" x14ac:dyDescent="0.3">
      <c r="A57" s="9" t="str">
        <f>'1.2 Budgeted Enrollment YR1'!E59</f>
        <v>Freedom Classical Academy</v>
      </c>
      <c r="B57" s="369" t="str">
        <f t="shared" si="11"/>
        <v/>
      </c>
      <c r="C57" s="108">
        <f>'1.4 FY 2020 Revenue Received'!J57</f>
        <v>1071.2845</v>
      </c>
      <c r="D57" s="108">
        <f>'1.2 Budgeted Enrollment YR1'!G59</f>
        <v>1074.7232250803561</v>
      </c>
      <c r="E57" s="159">
        <f>ROUND('2.8 Alloc of Residual Rev. YR1'!M63,0)</f>
        <v>11387324</v>
      </c>
      <c r="F57" s="385">
        <f t="shared" si="16"/>
        <v>10595.587528266713</v>
      </c>
      <c r="H57" s="154">
        <f>ROUND('1.4 FY 2020 Revenue Received'!H57,0)</f>
        <v>8142139</v>
      </c>
      <c r="I57" s="385">
        <f t="shared" si="13"/>
        <v>7600.3517272955969</v>
      </c>
      <c r="K57" s="632" t="str">
        <f t="shared" si="14"/>
        <v>Yes</v>
      </c>
      <c r="M57" s="1272"/>
      <c r="N57" s="181" t="str">
        <f t="shared" si="9"/>
        <v>Does Not Apply</v>
      </c>
      <c r="O57" s="1270" t="str">
        <f t="shared" si="10"/>
        <v>Does Not Apply</v>
      </c>
      <c r="Q57" s="181"/>
      <c r="R57" s="181"/>
      <c r="T57" s="181" t="str">
        <f t="shared" si="15"/>
        <v>PCFP</v>
      </c>
    </row>
    <row r="58" spans="1:20" x14ac:dyDescent="0.3">
      <c r="A58" s="9" t="str">
        <f>'1.2 Budgeted Enrollment YR1'!E60</f>
        <v>Futuro Academy Elementary</v>
      </c>
      <c r="B58" s="369" t="str">
        <f t="shared" si="11"/>
        <v/>
      </c>
      <c r="C58" s="108">
        <f>'1.4 FY 2020 Revenue Received'!J58</f>
        <v>340.84044000000006</v>
      </c>
      <c r="D58" s="108">
        <f>'1.2 Budgeted Enrollment YR1'!G60</f>
        <v>467.88219404846518</v>
      </c>
      <c r="E58" s="159">
        <f>ROUND('2.8 Alloc of Residual Rev. YR1'!M64,0)</f>
        <v>5479808</v>
      </c>
      <c r="F58" s="385">
        <f t="shared" si="16"/>
        <v>11711.939607243055</v>
      </c>
      <c r="H58" s="154">
        <f>ROUND('1.4 FY 2020 Revenue Received'!H58,0)</f>
        <v>2619248</v>
      </c>
      <c r="I58" s="385">
        <f t="shared" si="13"/>
        <v>7684.6749757745865</v>
      </c>
      <c r="K58" s="632" t="str">
        <f t="shared" si="14"/>
        <v>Yes</v>
      </c>
      <c r="M58" s="1272"/>
      <c r="N58" s="181" t="str">
        <f t="shared" si="9"/>
        <v>Does Not Apply</v>
      </c>
      <c r="O58" s="1270" t="str">
        <f t="shared" si="10"/>
        <v>Does Not Apply</v>
      </c>
      <c r="Q58" s="181"/>
      <c r="R58" s="181"/>
      <c r="T58" s="181" t="str">
        <f t="shared" si="15"/>
        <v>PCFP</v>
      </c>
    </row>
    <row r="59" spans="1:20" x14ac:dyDescent="0.3">
      <c r="A59" s="9" t="str">
        <f>'1.2 Budgeted Enrollment YR1'!E61</f>
        <v>High Desert Montessori</v>
      </c>
      <c r="B59" s="369" t="str">
        <f t="shared" si="11"/>
        <v/>
      </c>
      <c r="C59" s="108">
        <f>'1.4 FY 2020 Revenue Received'!J59</f>
        <v>346.239215</v>
      </c>
      <c r="D59" s="108">
        <f>'1.2 Budgeted Enrollment YR1'!G61</f>
        <v>411.94504777978403</v>
      </c>
      <c r="E59" s="159">
        <f>ROUND('2.8 Alloc of Residual Rev. YR1'!M65,0)</f>
        <v>4014684</v>
      </c>
      <c r="F59" s="385">
        <f t="shared" si="16"/>
        <v>9745.6785113390997</v>
      </c>
      <c r="H59" s="154">
        <f>ROUND('1.4 FY 2020 Revenue Received'!H59,0)</f>
        <v>2661885</v>
      </c>
      <c r="I59" s="385">
        <f t="shared" si="13"/>
        <v>7687.9939783828358</v>
      </c>
      <c r="K59" s="632" t="str">
        <f t="shared" si="14"/>
        <v>Yes</v>
      </c>
      <c r="M59" s="1272"/>
      <c r="N59" s="181" t="str">
        <f t="shared" si="9"/>
        <v>Does Not Apply</v>
      </c>
      <c r="O59" s="1270" t="str">
        <f t="shared" si="10"/>
        <v>Does Not Apply</v>
      </c>
      <c r="Q59" s="181"/>
      <c r="R59" s="181"/>
      <c r="T59" s="181" t="str">
        <f t="shared" si="15"/>
        <v>PCFP</v>
      </c>
    </row>
    <row r="60" spans="1:20" x14ac:dyDescent="0.3">
      <c r="A60" s="9" t="str">
        <f>'1.2 Budgeted Enrollment YR1'!E62</f>
        <v>Honors Academy of Literature</v>
      </c>
      <c r="B60" s="369" t="str">
        <f t="shared" si="11"/>
        <v/>
      </c>
      <c r="C60" s="108">
        <f>'1.4 FY 2020 Revenue Received'!J60</f>
        <v>218.46999250000002</v>
      </c>
      <c r="D60" s="108">
        <f>'1.2 Budgeted Enrollment YR1'!G62</f>
        <v>219.20317856717219</v>
      </c>
      <c r="E60" s="159">
        <f>ROUND('2.8 Alloc of Residual Rev. YR1'!M66,0)</f>
        <v>2309347</v>
      </c>
      <c r="F60" s="385">
        <f t="shared" si="16"/>
        <v>10535.18938500396</v>
      </c>
      <c r="H60" s="154">
        <f>ROUND('1.4 FY 2020 Revenue Received'!H60,0)</f>
        <v>1710886</v>
      </c>
      <c r="I60" s="385">
        <f t="shared" si="13"/>
        <v>7831.2173695890979</v>
      </c>
      <c r="K60" s="632" t="str">
        <f t="shared" si="14"/>
        <v>Yes</v>
      </c>
      <c r="M60" s="1272"/>
      <c r="N60" s="181" t="str">
        <f t="shared" si="9"/>
        <v>Does Not Apply</v>
      </c>
      <c r="O60" s="1270" t="str">
        <f t="shared" si="10"/>
        <v>Does Not Apply</v>
      </c>
      <c r="Q60" s="181"/>
      <c r="R60" s="181"/>
      <c r="T60" s="181" t="str">
        <f t="shared" si="15"/>
        <v>PCFP</v>
      </c>
    </row>
    <row r="61" spans="1:20" x14ac:dyDescent="0.3">
      <c r="A61" s="9" t="str">
        <f>'1.2 Budgeted Enrollment YR1'!E63</f>
        <v>Imagine School Mountain View</v>
      </c>
      <c r="B61" s="369" t="str">
        <f t="shared" si="11"/>
        <v/>
      </c>
      <c r="C61" s="108">
        <f>'1.4 FY 2020 Revenue Received'!J61</f>
        <v>709.47592499999996</v>
      </c>
      <c r="D61" s="108">
        <f>'1.2 Budgeted Enrollment YR1'!G63</f>
        <v>695.95030141306381</v>
      </c>
      <c r="E61" s="159">
        <f>ROUND('2.8 Alloc of Residual Rev. YR1'!M67,0)</f>
        <v>7183506</v>
      </c>
      <c r="F61" s="385">
        <f t="shared" si="16"/>
        <v>10321.866353695867</v>
      </c>
      <c r="H61" s="154">
        <f>ROUND('1.4 FY 2020 Revenue Received'!H61,0)</f>
        <v>5418025</v>
      </c>
      <c r="I61" s="385">
        <f t="shared" si="13"/>
        <v>7636.6580021725194</v>
      </c>
      <c r="K61" s="632" t="str">
        <f t="shared" si="14"/>
        <v>Yes</v>
      </c>
      <c r="M61" s="1272"/>
      <c r="N61" s="181" t="str">
        <f t="shared" si="9"/>
        <v>Does Not Apply</v>
      </c>
      <c r="O61" s="1270" t="str">
        <f t="shared" si="10"/>
        <v>Does Not Apply</v>
      </c>
      <c r="Q61" s="181"/>
      <c r="R61" s="181"/>
      <c r="T61" s="181" t="str">
        <f t="shared" si="15"/>
        <v>PCFP</v>
      </c>
    </row>
    <row r="62" spans="1:20" x14ac:dyDescent="0.3">
      <c r="A62" s="9" t="str">
        <f>'1.2 Budgeted Enrollment YR1'!E64</f>
        <v>Innovations Int'l Charter</v>
      </c>
      <c r="B62" s="369" t="str">
        <f t="shared" si="11"/>
        <v/>
      </c>
      <c r="C62" s="108">
        <f>'1.4 FY 2020 Revenue Received'!J62</f>
        <v>802.28936500000009</v>
      </c>
      <c r="D62" s="108">
        <f>'1.2 Budgeted Enrollment YR1'!G64</f>
        <v>682.14466872714809</v>
      </c>
      <c r="E62" s="159">
        <f>ROUND('2.8 Alloc of Residual Rev. YR1'!M68,0)</f>
        <v>7472747</v>
      </c>
      <c r="F62" s="385">
        <f t="shared" si="16"/>
        <v>10954.783263121908</v>
      </c>
      <c r="H62" s="154">
        <f>ROUND('1.4 FY 2020 Revenue Received'!H62,0)</f>
        <v>5810174</v>
      </c>
      <c r="I62" s="385">
        <f t="shared" si="13"/>
        <v>7241.9930432456867</v>
      </c>
      <c r="K62" s="632" t="str">
        <f t="shared" si="14"/>
        <v>Yes</v>
      </c>
      <c r="M62" s="1272"/>
      <c r="N62" s="181" t="str">
        <f t="shared" si="9"/>
        <v>Does Not Apply</v>
      </c>
      <c r="O62" s="1270" t="str">
        <f t="shared" si="10"/>
        <v>Does Not Apply</v>
      </c>
      <c r="Q62" s="181"/>
      <c r="R62" s="181"/>
      <c r="T62" s="181" t="str">
        <f t="shared" si="15"/>
        <v>PCFP</v>
      </c>
    </row>
    <row r="63" spans="1:20" x14ac:dyDescent="0.3">
      <c r="A63" s="9" t="str">
        <f>'1.2 Budgeted Enrollment YR1'!E65</f>
        <v>Leadership Academy of Nevada</v>
      </c>
      <c r="B63" s="369" t="str">
        <f t="shared" si="11"/>
        <v/>
      </c>
      <c r="C63" s="108">
        <f>'1.4 FY 2020 Revenue Received'!J63</f>
        <v>262.75737500000002</v>
      </c>
      <c r="D63" s="108">
        <f>'1.2 Budgeted Enrollment YR1'!G65</f>
        <v>287.40686460222514</v>
      </c>
      <c r="E63" s="159">
        <f>ROUND('2.8 Alloc of Residual Rev. YR1'!M69,0)</f>
        <v>2965946</v>
      </c>
      <c r="F63" s="385">
        <f t="shared" si="16"/>
        <v>10319.676964239905</v>
      </c>
      <c r="H63" s="154">
        <f>ROUND('1.4 FY 2020 Revenue Received'!H63,0)</f>
        <v>2119515</v>
      </c>
      <c r="I63" s="385">
        <f t="shared" si="13"/>
        <v>8066.4339107513151</v>
      </c>
      <c r="K63" s="632" t="str">
        <f t="shared" si="14"/>
        <v>Yes</v>
      </c>
      <c r="M63" s="1272"/>
      <c r="N63" s="181" t="str">
        <f t="shared" si="9"/>
        <v>Does Not Apply</v>
      </c>
      <c r="O63" s="1270" t="str">
        <f t="shared" si="10"/>
        <v>Does Not Apply</v>
      </c>
      <c r="Q63" s="181"/>
      <c r="R63" s="181"/>
      <c r="T63" s="181" t="str">
        <f t="shared" si="15"/>
        <v>PCFP</v>
      </c>
    </row>
    <row r="64" spans="1:20" x14ac:dyDescent="0.3">
      <c r="A64" s="9" t="str">
        <f>'1.2 Budgeted Enrollment YR1'!E66</f>
        <v>Learning Bridge</v>
      </c>
      <c r="B64" s="369" t="str">
        <f t="shared" si="11"/>
        <v/>
      </c>
      <c r="C64" s="108">
        <f>'1.4 FY 2020 Revenue Received'!J64</f>
        <v>180.91071249999999</v>
      </c>
      <c r="D64" s="108">
        <f>'1.2 Budgeted Enrollment YR1'!G66</f>
        <v>170.53745061484202</v>
      </c>
      <c r="E64" s="159">
        <f>ROUND('2.8 Alloc of Residual Rev. YR1'!M70,0)</f>
        <v>2351740</v>
      </c>
      <c r="F64" s="385">
        <f t="shared" si="16"/>
        <v>13790.167447215996</v>
      </c>
      <c r="H64" s="154">
        <f>ROUND('1.4 FY 2020 Revenue Received'!H64,0)</f>
        <v>2103601</v>
      </c>
      <c r="I64" s="385">
        <f t="shared" si="13"/>
        <v>11627.840999189035</v>
      </c>
      <c r="K64" s="632" t="str">
        <f t="shared" si="14"/>
        <v>Yes</v>
      </c>
      <c r="M64" s="1272"/>
      <c r="N64" s="181" t="str">
        <f t="shared" ref="N64:N93" si="20">IF(M64&gt;H64,"Yes","Does Not Apply")</f>
        <v>Does Not Apply</v>
      </c>
      <c r="O64" s="1270" t="str">
        <f t="shared" ref="O64:O93" si="21">IF(N64&gt;K64,"Yes","Does Not Apply")</f>
        <v>Does Not Apply</v>
      </c>
      <c r="Q64" s="181"/>
      <c r="R64" s="181"/>
      <c r="T64" s="181" t="str">
        <f t="shared" si="15"/>
        <v>PCFP</v>
      </c>
    </row>
    <row r="65" spans="1:21" x14ac:dyDescent="0.3">
      <c r="A65" s="9" t="str">
        <f>'1.2 Budgeted Enrollment YR1'!E67</f>
        <v>Legacy Traditional Schools</v>
      </c>
      <c r="B65" s="369" t="str">
        <f t="shared" si="11"/>
        <v/>
      </c>
      <c r="C65" s="108">
        <f>'1.4 FY 2020 Revenue Received'!J65</f>
        <v>4157.8304200000002</v>
      </c>
      <c r="D65" s="108">
        <f>'1.2 Budgeted Enrollment YR1'!G67</f>
        <v>4125.1478938155515</v>
      </c>
      <c r="E65" s="159">
        <f>ROUND('2.8 Alloc of Residual Rev. YR1'!M71,0)</f>
        <v>42381403</v>
      </c>
      <c r="F65" s="385">
        <f t="shared" si="16"/>
        <v>10273.91116413995</v>
      </c>
      <c r="H65" s="154">
        <f>ROUND('1.4 FY 2020 Revenue Received'!H65,0)</f>
        <v>30660605</v>
      </c>
      <c r="I65" s="385">
        <f t="shared" si="13"/>
        <v>7374.1836253148576</v>
      </c>
      <c r="K65" s="632" t="str">
        <f t="shared" si="14"/>
        <v>Yes</v>
      </c>
      <c r="M65" s="1272"/>
      <c r="N65" s="181" t="str">
        <f t="shared" si="20"/>
        <v>Does Not Apply</v>
      </c>
      <c r="O65" s="1270" t="str">
        <f t="shared" si="21"/>
        <v>Does Not Apply</v>
      </c>
      <c r="Q65" s="181"/>
      <c r="R65" s="181"/>
      <c r="T65" s="181" t="str">
        <f t="shared" si="15"/>
        <v>PCFP</v>
      </c>
    </row>
    <row r="66" spans="1:21" x14ac:dyDescent="0.3">
      <c r="A66" s="9" t="str">
        <f>'1.2 Budgeted Enrollment YR1'!E68</f>
        <v xml:space="preserve">Mariposa Language and Learning Academy </v>
      </c>
      <c r="B66" s="369" t="str">
        <f t="shared" si="11"/>
        <v/>
      </c>
      <c r="C66" s="108">
        <f>'1.4 FY 2020 Revenue Received'!J66</f>
        <v>141.298315</v>
      </c>
      <c r="D66" s="108">
        <f>'1.2 Budgeted Enrollment YR1'!G68</f>
        <v>164.39442664043821</v>
      </c>
      <c r="E66" s="159">
        <f>ROUND('2.8 Alloc of Residual Rev. YR1'!M72,0)</f>
        <v>1806552</v>
      </c>
      <c r="F66" s="385">
        <f t="shared" si="16"/>
        <v>10989.131668990651</v>
      </c>
      <c r="H66" s="154">
        <f>ROUND('1.4 FY 2020 Revenue Received'!H66,0)</f>
        <v>1264706</v>
      </c>
      <c r="I66" s="385">
        <f t="shared" si="13"/>
        <v>8950.6092128557939</v>
      </c>
      <c r="K66" s="632" t="str">
        <f t="shared" si="14"/>
        <v>Yes</v>
      </c>
      <c r="M66" s="1272"/>
      <c r="N66" s="181" t="str">
        <f t="shared" si="20"/>
        <v>Does Not Apply</v>
      </c>
      <c r="O66" s="1270" t="str">
        <f t="shared" si="21"/>
        <v>Does Not Apply</v>
      </c>
      <c r="Q66" s="181"/>
      <c r="R66" s="181"/>
      <c r="T66" s="181" t="str">
        <f t="shared" si="15"/>
        <v>PCFP</v>
      </c>
    </row>
    <row r="67" spans="1:21" x14ac:dyDescent="0.3">
      <c r="A67" s="9" t="str">
        <f>'1.2 Budgeted Enrollment YR1'!E69</f>
        <v>Mater Academy</v>
      </c>
      <c r="B67" s="369" t="str">
        <f t="shared" si="11"/>
        <v/>
      </c>
      <c r="C67" s="108">
        <f>'1.4 FY 2020 Revenue Received'!J67</f>
        <v>1973.4592965000002</v>
      </c>
      <c r="D67" s="108">
        <f>'1.2 Budgeted Enrollment YR1'!G69</f>
        <v>4489.9355041692297</v>
      </c>
      <c r="E67" s="159">
        <f>ROUND('2.8 Alloc of Residual Rev. YR1'!M73,0)</f>
        <v>50423473</v>
      </c>
      <c r="F67" s="385">
        <f t="shared" si="16"/>
        <v>11230.333476545078</v>
      </c>
      <c r="H67" s="154">
        <f>ROUND('1.4 FY 2020 Revenue Received'!H67,0)</f>
        <v>16298031</v>
      </c>
      <c r="I67" s="385">
        <f t="shared" si="13"/>
        <v>8258.6101618133871</v>
      </c>
      <c r="K67" s="632" t="str">
        <f t="shared" si="14"/>
        <v>Yes</v>
      </c>
      <c r="M67" s="1272"/>
      <c r="N67" s="181" t="str">
        <f t="shared" si="20"/>
        <v>Does Not Apply</v>
      </c>
      <c r="O67" s="1270" t="str">
        <f t="shared" si="21"/>
        <v>Does Not Apply</v>
      </c>
      <c r="Q67" s="181"/>
      <c r="R67" s="181"/>
      <c r="T67" s="181" t="str">
        <f t="shared" si="15"/>
        <v>PCFP</v>
      </c>
    </row>
    <row r="68" spans="1:21" x14ac:dyDescent="0.3">
      <c r="A68" s="9" t="str">
        <f>'1.2 Budgeted Enrollment YR1'!E70</f>
        <v>Mater Academy of Northern Nevada</v>
      </c>
      <c r="B68" s="369" t="str">
        <f t="shared" si="11"/>
        <v/>
      </c>
      <c r="C68" s="108">
        <f>'1.4 FY 2020 Revenue Received'!J68</f>
        <v>347.39350000000002</v>
      </c>
      <c r="D68" s="108">
        <f>'1.2 Budgeted Enrollment YR1'!G70</f>
        <v>502.85317793083078</v>
      </c>
      <c r="E68" s="159">
        <f>ROUND('2.8 Alloc of Residual Rev. YR1'!M74,0)</f>
        <v>5367880</v>
      </c>
      <c r="F68" s="385">
        <f t="shared" si="16"/>
        <v>10674.845532622587</v>
      </c>
      <c r="H68" s="154">
        <f>ROUND('1.4 FY 2020 Revenue Received'!H68,0)</f>
        <v>2974096</v>
      </c>
      <c r="I68" s="385">
        <f t="shared" si="13"/>
        <v>8561.1734243732244</v>
      </c>
      <c r="K68" s="632" t="str">
        <f t="shared" si="14"/>
        <v>Yes</v>
      </c>
      <c r="M68" s="1272"/>
      <c r="N68" s="181" t="str">
        <f t="shared" si="20"/>
        <v>Does Not Apply</v>
      </c>
      <c r="O68" s="1270" t="str">
        <f t="shared" si="21"/>
        <v>Does Not Apply</v>
      </c>
      <c r="Q68" s="181"/>
      <c r="R68" s="181"/>
      <c r="T68" s="181" t="str">
        <f t="shared" si="15"/>
        <v>PCFP</v>
      </c>
    </row>
    <row r="69" spans="1:21" x14ac:dyDescent="0.3">
      <c r="A69" s="9" t="str">
        <f>'1.2 Budgeted Enrollment YR1'!E71</f>
        <v>Nevada Connections Academy</v>
      </c>
      <c r="B69" s="369" t="str">
        <f t="shared" si="11"/>
        <v/>
      </c>
      <c r="C69" s="108">
        <f>'1.4 FY 2020 Revenue Received'!J69</f>
        <v>3282.6674575360644</v>
      </c>
      <c r="D69" s="108">
        <f>'1.2 Budgeted Enrollment YR1'!G71</f>
        <v>1200.806661656123</v>
      </c>
      <c r="E69" s="159">
        <f>ROUND('2.8 Alloc of Residual Rev. YR1'!M75,0)</f>
        <v>11586331</v>
      </c>
      <c r="F69" s="385">
        <f t="shared" si="16"/>
        <v>9648.7897427387834</v>
      </c>
      <c r="H69" s="154">
        <f>ROUND('1.4 FY 2020 Revenue Received'!H69,0)</f>
        <v>26749623</v>
      </c>
      <c r="I69" s="385">
        <f t="shared" si="13"/>
        <v>8148.7459043682684</v>
      </c>
      <c r="K69" s="632" t="str">
        <f t="shared" si="14"/>
        <v>Yes</v>
      </c>
      <c r="M69" s="1272"/>
      <c r="N69" s="181" t="str">
        <f t="shared" si="20"/>
        <v>Does Not Apply</v>
      </c>
      <c r="O69" s="1270" t="str">
        <f t="shared" si="21"/>
        <v>Does Not Apply</v>
      </c>
      <c r="Q69" s="181"/>
      <c r="R69" s="181"/>
      <c r="T69" s="181" t="str">
        <f t="shared" si="15"/>
        <v>PCFP</v>
      </c>
    </row>
    <row r="70" spans="1:21" x14ac:dyDescent="0.3">
      <c r="A70" s="9" t="str">
        <f>'1.2 Budgeted Enrollment YR1'!E72</f>
        <v>Nevada Prep</v>
      </c>
      <c r="B70" s="369" t="str">
        <f t="shared" si="11"/>
        <v/>
      </c>
      <c r="C70" s="108">
        <f>'1.4 FY 2020 Revenue Received'!J70</f>
        <v>207.55364499999999</v>
      </c>
      <c r="D70" s="108">
        <f>'1.2 Budgeted Enrollment YR1'!G72</f>
        <v>305.23837009503319</v>
      </c>
      <c r="E70" s="159">
        <f>ROUND('2.8 Alloc of Residual Rev. YR1'!M76,0)</f>
        <v>3466503</v>
      </c>
      <c r="F70" s="385">
        <f t="shared" si="16"/>
        <v>11356.707870379258</v>
      </c>
      <c r="H70" s="154">
        <f>ROUND('1.4 FY 2020 Revenue Received'!H70,0)</f>
        <v>1524042</v>
      </c>
      <c r="I70" s="385">
        <f t="shared" si="13"/>
        <v>7342.8823666286371</v>
      </c>
      <c r="K70" s="632" t="str">
        <f t="shared" si="14"/>
        <v>Yes</v>
      </c>
      <c r="M70" s="1272"/>
      <c r="N70" s="181" t="str">
        <f t="shared" si="20"/>
        <v>Does Not Apply</v>
      </c>
      <c r="O70" s="1270" t="str">
        <f t="shared" si="21"/>
        <v>Does Not Apply</v>
      </c>
      <c r="Q70" s="181"/>
      <c r="R70" s="181"/>
      <c r="T70" s="181" t="str">
        <f t="shared" si="15"/>
        <v>PCFP</v>
      </c>
    </row>
    <row r="71" spans="1:21" x14ac:dyDescent="0.3">
      <c r="A71" s="9" t="str">
        <f>'1.2 Budgeted Enrollment YR1'!E73</f>
        <v xml:space="preserve">Nevada Rise </v>
      </c>
      <c r="B71" s="369" t="str">
        <f t="shared" si="11"/>
        <v/>
      </c>
      <c r="C71" s="108">
        <f>'1.4 FY 2020 Revenue Received'!J71</f>
        <v>224.46602000000001</v>
      </c>
      <c r="D71" s="108">
        <f>'1.2 Budgeted Enrollment YR1'!G73</f>
        <v>372.57548213135692</v>
      </c>
      <c r="E71" s="159">
        <f>ROUND('2.8 Alloc of Residual Rev. YR1'!M77,0)</f>
        <v>4000040</v>
      </c>
      <c r="F71" s="385">
        <f t="shared" si="16"/>
        <v>10736.186871764492</v>
      </c>
      <c r="H71" s="154">
        <f>ROUND('1.4 FY 2020 Revenue Received'!H71,0)</f>
        <v>1721041</v>
      </c>
      <c r="I71" s="385">
        <f t="shared" si="13"/>
        <v>7667.2674108980946</v>
      </c>
      <c r="K71" s="632" t="str">
        <f t="shared" si="14"/>
        <v>Yes</v>
      </c>
      <c r="M71" s="1272"/>
      <c r="N71" s="181" t="str">
        <f t="shared" si="20"/>
        <v>Does Not Apply</v>
      </c>
      <c r="O71" s="1270" t="str">
        <f t="shared" si="21"/>
        <v>Does Not Apply</v>
      </c>
      <c r="Q71" s="181"/>
      <c r="R71" s="181"/>
      <c r="T71" s="181" t="str">
        <f t="shared" si="15"/>
        <v>PCFP</v>
      </c>
    </row>
    <row r="72" spans="1:21" x14ac:dyDescent="0.3">
      <c r="A72" s="9" t="str">
        <f>'1.2 Budgeted Enrollment YR1'!E74</f>
        <v>Nevada State High School</v>
      </c>
      <c r="B72" s="369" t="str">
        <f t="shared" si="11"/>
        <v/>
      </c>
      <c r="C72" s="108">
        <f>'1.4 FY 2020 Revenue Received'!J72</f>
        <v>738.88392750000003</v>
      </c>
      <c r="D72" s="108">
        <f>'1.2 Budgeted Enrollment YR1'!G74</f>
        <v>913.27248049484274</v>
      </c>
      <c r="E72" s="159">
        <f>ROUND('2.8 Alloc of Residual Rev. YR1'!M78,0)</f>
        <v>8728881</v>
      </c>
      <c r="F72" s="385">
        <f t="shared" si="16"/>
        <v>9557.8057878962791</v>
      </c>
      <c r="H72" s="154">
        <f>ROUND('1.4 FY 2020 Revenue Received'!H72,0)</f>
        <v>5698377</v>
      </c>
      <c r="I72" s="385">
        <f t="shared" si="13"/>
        <v>7712.1409573494884</v>
      </c>
      <c r="K72" s="632" t="str">
        <f t="shared" si="14"/>
        <v>Yes</v>
      </c>
      <c r="M72" s="1272"/>
      <c r="N72" s="181" t="str">
        <f t="shared" si="20"/>
        <v>Does Not Apply</v>
      </c>
      <c r="O72" s="1270" t="str">
        <f t="shared" si="21"/>
        <v>Does Not Apply</v>
      </c>
      <c r="Q72" s="181"/>
      <c r="R72" s="181"/>
      <c r="T72" s="181" t="str">
        <f t="shared" si="15"/>
        <v>PCFP</v>
      </c>
    </row>
    <row r="73" spans="1:21" x14ac:dyDescent="0.3">
      <c r="A73" s="9" t="str">
        <f>'1.2 Budgeted Enrollment YR1'!E75</f>
        <v>Nevada State High School-Meadowwood</v>
      </c>
      <c r="B73" s="369" t="str">
        <f t="shared" si="11"/>
        <v/>
      </c>
      <c r="C73" s="108">
        <f>'1.4 FY 2020 Revenue Received'!J73</f>
        <v>53.673810000000003</v>
      </c>
      <c r="D73" s="108">
        <f>'1.2 Budgeted Enrollment YR1'!G75</f>
        <v>30.196612917803087</v>
      </c>
      <c r="E73" s="159">
        <f>ROUND('2.8 Alloc of Residual Rev. YR1'!M79,0)</f>
        <v>284814</v>
      </c>
      <c r="F73" s="385">
        <f t="shared" si="16"/>
        <v>9431.9849969690331</v>
      </c>
      <c r="H73" s="154">
        <f>ROUND('1.4 FY 2020 Revenue Received'!H73,0)</f>
        <v>411580</v>
      </c>
      <c r="I73" s="385">
        <f t="shared" si="13"/>
        <v>7668.1718700423908</v>
      </c>
      <c r="K73" s="632" t="str">
        <f t="shared" si="14"/>
        <v>Yes</v>
      </c>
      <c r="M73" s="1272"/>
      <c r="N73" s="181" t="str">
        <f t="shared" si="20"/>
        <v>Does Not Apply</v>
      </c>
      <c r="O73" s="1270" t="str">
        <f t="shared" si="21"/>
        <v>Does Not Apply</v>
      </c>
      <c r="Q73" s="181"/>
      <c r="R73" s="181"/>
      <c r="T73" s="181" t="str">
        <f t="shared" si="15"/>
        <v>PCFP</v>
      </c>
    </row>
    <row r="74" spans="1:21" x14ac:dyDescent="0.3">
      <c r="A74" s="9" t="str">
        <f>'1.2 Budgeted Enrollment YR1'!E76</f>
        <v>Nevada Virtual Academy</v>
      </c>
      <c r="B74" s="369" t="str">
        <f t="shared" si="11"/>
        <v/>
      </c>
      <c r="C74" s="108">
        <f>'1.4 FY 2020 Revenue Received'!J74</f>
        <v>1486.74559</v>
      </c>
      <c r="D74" s="108">
        <f>'1.2 Budgeted Enrollment YR1'!G76</f>
        <v>1819.9707035088049</v>
      </c>
      <c r="E74" s="159">
        <f>ROUND('2.8 Alloc of Residual Rev. YR1'!M80,0)</f>
        <v>18272705</v>
      </c>
      <c r="F74" s="385">
        <f t="shared" si="16"/>
        <v>10040.109417569862</v>
      </c>
      <c r="H74" s="154">
        <f>ROUND('1.4 FY 2020 Revenue Received'!H74,0)</f>
        <v>11537545</v>
      </c>
      <c r="I74" s="385">
        <f t="shared" si="13"/>
        <v>7760.2685204534555</v>
      </c>
      <c r="K74" s="632" t="str">
        <f t="shared" si="14"/>
        <v>Yes</v>
      </c>
      <c r="M74" s="1272"/>
      <c r="N74" s="181" t="str">
        <f t="shared" si="20"/>
        <v>Does Not Apply</v>
      </c>
      <c r="O74" s="1270" t="str">
        <f t="shared" si="21"/>
        <v>Does Not Apply</v>
      </c>
      <c r="Q74" s="181"/>
      <c r="R74" s="181"/>
      <c r="T74" s="181" t="str">
        <f t="shared" si="15"/>
        <v>PCFP</v>
      </c>
    </row>
    <row r="75" spans="1:21" x14ac:dyDescent="0.3">
      <c r="A75" s="9" t="str">
        <f>'1.2 Budgeted Enrollment YR1'!E77</f>
        <v>Oasis Academy</v>
      </c>
      <c r="B75" s="369" t="str">
        <f t="shared" si="11"/>
        <v/>
      </c>
      <c r="C75" s="108">
        <f>'1.4 FY 2020 Revenue Received'!J75</f>
        <v>638.00608999999997</v>
      </c>
      <c r="D75" s="108">
        <f>'1.2 Budgeted Enrollment YR1'!G77</f>
        <v>785.63660329576021</v>
      </c>
      <c r="E75" s="159">
        <f>ROUND('2.8 Alloc of Residual Rev. YR1'!M81,0)</f>
        <v>9130258</v>
      </c>
      <c r="F75" s="385">
        <f t="shared" si="16"/>
        <v>11621.477362050593</v>
      </c>
      <c r="H75" s="154">
        <f>ROUND('1.4 FY 2020 Revenue Received'!H75,0)</f>
        <v>5553084</v>
      </c>
      <c r="I75" s="385">
        <f t="shared" si="13"/>
        <v>8703.8103351019745</v>
      </c>
      <c r="K75" s="632" t="str">
        <f t="shared" si="14"/>
        <v>Yes</v>
      </c>
      <c r="M75" s="1272"/>
      <c r="N75" s="181" t="str">
        <f t="shared" si="20"/>
        <v>Does Not Apply</v>
      </c>
      <c r="O75" s="1270" t="str">
        <f t="shared" si="21"/>
        <v>Does Not Apply</v>
      </c>
      <c r="Q75" s="181"/>
      <c r="R75" s="181"/>
      <c r="T75" s="181" t="str">
        <f t="shared" si="15"/>
        <v>PCFP</v>
      </c>
    </row>
    <row r="76" spans="1:21" x14ac:dyDescent="0.3">
      <c r="A76" s="9" t="str">
        <f>'1.2 Budgeted Enrollment YR1'!E78</f>
        <v>Odyssey Charter Schools</v>
      </c>
      <c r="B76" s="369" t="str">
        <f t="shared" si="11"/>
        <v/>
      </c>
      <c r="C76" s="108">
        <f>'1.4 FY 2020 Revenue Received'!J76</f>
        <v>2198.2159775</v>
      </c>
      <c r="D76" s="108">
        <f>'1.2 Budgeted Enrollment YR1'!G78</f>
        <v>2400.7898726641642</v>
      </c>
      <c r="E76" s="159">
        <f>ROUND('2.8 Alloc of Residual Rev. YR1'!M82,0)</f>
        <v>26439388</v>
      </c>
      <c r="F76" s="385">
        <f t="shared" si="16"/>
        <v>11012.787208511558</v>
      </c>
      <c r="H76" s="154">
        <f>ROUND('1.4 FY 2020 Revenue Received'!H76,0)</f>
        <v>15953828</v>
      </c>
      <c r="I76" s="385">
        <f t="shared" si="13"/>
        <v>7257.6253485993057</v>
      </c>
      <c r="K76" s="632" t="str">
        <f t="shared" si="14"/>
        <v>Yes</v>
      </c>
      <c r="M76" s="1272"/>
      <c r="N76" s="181" t="str">
        <f t="shared" si="20"/>
        <v>Does Not Apply</v>
      </c>
      <c r="O76" s="1270" t="str">
        <f t="shared" si="21"/>
        <v>Does Not Apply</v>
      </c>
      <c r="Q76" s="181"/>
      <c r="R76" s="181"/>
      <c r="T76" s="181" t="str">
        <f t="shared" si="15"/>
        <v>PCFP</v>
      </c>
    </row>
    <row r="77" spans="1:21" x14ac:dyDescent="0.3">
      <c r="A77" s="9" t="str">
        <f>'1.2 Budgeted Enrollment YR1'!E79</f>
        <v>Pinecrest Academy of Northern Nevada</v>
      </c>
      <c r="B77" s="369" t="str">
        <f t="shared" si="11"/>
        <v>Yes</v>
      </c>
      <c r="C77" s="108">
        <f>'1.4 FY 2020 Revenue Received'!J77</f>
        <v>0</v>
      </c>
      <c r="D77" s="108">
        <f>'1.2 Budgeted Enrollment YR1'!G79</f>
        <v>1022.3920123229747</v>
      </c>
      <c r="E77" s="159">
        <f>ROUND('2.8 Alloc of Residual Rev. YR1'!M83,0)</f>
        <v>11038709</v>
      </c>
      <c r="F77" s="385">
        <f t="shared" si="16"/>
        <v>10796.943703539871</v>
      </c>
      <c r="H77" s="154">
        <f>ROUND('1.4 FY 2020 Revenue Received'!H77,0)</f>
        <v>0</v>
      </c>
      <c r="I77" s="385">
        <f t="shared" si="13"/>
        <v>0</v>
      </c>
      <c r="K77" s="632" t="str">
        <f t="shared" si="14"/>
        <v>Yes</v>
      </c>
      <c r="M77" s="1272"/>
      <c r="N77" s="181" t="str">
        <f t="shared" si="20"/>
        <v>Does Not Apply</v>
      </c>
      <c r="O77" s="1270" t="str">
        <f t="shared" si="21"/>
        <v>Does Not Apply</v>
      </c>
      <c r="Q77" s="181"/>
      <c r="R77" s="181"/>
      <c r="T77" s="181" t="str">
        <f t="shared" si="15"/>
        <v>PCFP</v>
      </c>
    </row>
    <row r="78" spans="1:21" x14ac:dyDescent="0.3">
      <c r="A78" s="9" t="str">
        <f>'1.2 Budgeted Enrollment YR1'!E80</f>
        <v>Pinecrest Academy of Nevada</v>
      </c>
      <c r="B78" s="369" t="str">
        <f t="shared" si="11"/>
        <v/>
      </c>
      <c r="C78" s="108">
        <f>'1.4 FY 2020 Revenue Received'!J78</f>
        <v>5968.9445674999997</v>
      </c>
      <c r="D78" s="108">
        <f>'1.2 Budgeted Enrollment YR1'!G80</f>
        <v>8054.8515217779041</v>
      </c>
      <c r="E78" s="159">
        <f>ROUND('2.8 Alloc of Residual Rev. YR1'!M84,0)</f>
        <v>77812374</v>
      </c>
      <c r="F78" s="385">
        <f t="shared" si="16"/>
        <v>9660.3114023416401</v>
      </c>
      <c r="H78" s="154">
        <f>ROUND('1.4 FY 2020 Revenue Received'!H78,0)</f>
        <v>44296209</v>
      </c>
      <c r="I78" s="385">
        <f t="shared" si="13"/>
        <v>7421.1124762635854</v>
      </c>
      <c r="K78" s="632" t="str">
        <f t="shared" si="14"/>
        <v>Yes</v>
      </c>
      <c r="M78" s="1272"/>
      <c r="N78" s="181" t="str">
        <f t="shared" si="20"/>
        <v>Does Not Apply</v>
      </c>
      <c r="O78" s="1270" t="str">
        <f t="shared" si="21"/>
        <v>Does Not Apply</v>
      </c>
      <c r="Q78" s="181"/>
      <c r="R78" s="181"/>
      <c r="T78" s="181" t="str">
        <f t="shared" si="15"/>
        <v>PCFP</v>
      </c>
    </row>
    <row r="79" spans="1:21" x14ac:dyDescent="0.3">
      <c r="A79" s="9" t="str">
        <f>'1.2 Budgeted Enrollment YR1'!E81</f>
        <v>Pioneer Technical Arts Academy</v>
      </c>
      <c r="B79" s="369" t="str">
        <f t="shared" ref="B79" si="22">IF(C79=0,"Yes","")</f>
        <v>Yes</v>
      </c>
      <c r="C79" s="108">
        <f>'1.4 FY 2020 Revenue Received'!J80</f>
        <v>0</v>
      </c>
      <c r="D79" s="108">
        <f>'1.2 Budgeted Enrollment YR1'!G81</f>
        <v>263.87383610592974</v>
      </c>
      <c r="E79" s="159">
        <f>ROUND('2.8 Alloc of Residual Rev. YR1'!M85,0)</f>
        <v>2488858</v>
      </c>
      <c r="F79" s="385">
        <f t="shared" ref="F79" si="23">IF(D79=0,0,E79/D79)</f>
        <v>9431.9999160540901</v>
      </c>
      <c r="H79" s="154">
        <f>ROUND('1.4 FY 2020 Revenue Received'!H79,0)</f>
        <v>0</v>
      </c>
      <c r="I79" s="385">
        <f t="shared" ref="I79" si="24">IF(C79=0,0,H79/C79)</f>
        <v>0</v>
      </c>
      <c r="K79" s="632" t="str">
        <f t="shared" si="14"/>
        <v>Yes</v>
      </c>
      <c r="M79" s="1272"/>
      <c r="N79" s="181" t="str">
        <f t="shared" si="20"/>
        <v>Does Not Apply</v>
      </c>
      <c r="O79" s="1270" t="str">
        <f t="shared" si="21"/>
        <v>Does Not Apply</v>
      </c>
      <c r="Q79" s="181"/>
      <c r="R79" s="181"/>
      <c r="T79" s="181" t="str">
        <f t="shared" si="15"/>
        <v>PCFP</v>
      </c>
      <c r="U79" s="9" t="s">
        <v>370</v>
      </c>
    </row>
    <row r="80" spans="1:21" x14ac:dyDescent="0.3">
      <c r="A80" s="9" t="str">
        <f>'1.2 Budgeted Enrollment YR1'!E82</f>
        <v>Quest Academy</v>
      </c>
      <c r="B80" s="369" t="str">
        <f t="shared" si="11"/>
        <v/>
      </c>
      <c r="C80" s="108">
        <f>'1.4 FY 2020 Revenue Received'!J81</f>
        <v>473.36828499999996</v>
      </c>
      <c r="D80" s="108">
        <f>'1.2 Budgeted Enrollment YR1'!G82</f>
        <v>455.57355767788971</v>
      </c>
      <c r="E80" s="159">
        <f>ROUND('2.8 Alloc of Residual Rev. YR1'!M86,0)</f>
        <v>4599723</v>
      </c>
      <c r="F80" s="385">
        <f t="shared" si="16"/>
        <v>10096.553942782175</v>
      </c>
      <c r="H80" s="154">
        <f>ROUND('1.4 FY 2020 Revenue Received'!H80,0)</f>
        <v>0</v>
      </c>
      <c r="I80" s="385">
        <f t="shared" si="13"/>
        <v>0</v>
      </c>
      <c r="K80" s="632" t="str">
        <f t="shared" si="14"/>
        <v>Yes</v>
      </c>
      <c r="M80" s="1272"/>
      <c r="N80" s="181" t="str">
        <f t="shared" si="20"/>
        <v>Does Not Apply</v>
      </c>
      <c r="O80" s="1270" t="str">
        <f t="shared" si="21"/>
        <v>Does Not Apply</v>
      </c>
      <c r="Q80" s="181"/>
      <c r="R80" s="181"/>
      <c r="T80" s="181" t="str">
        <f t="shared" si="15"/>
        <v>PCFP</v>
      </c>
    </row>
    <row r="81" spans="1:21" x14ac:dyDescent="0.3">
      <c r="A81" s="9" t="str">
        <f>'1.2 Budgeted Enrollment YR1'!E83</f>
        <v>Rainbow Dreams Academy</v>
      </c>
      <c r="B81" s="369" t="str">
        <f t="shared" si="11"/>
        <v/>
      </c>
      <c r="C81" s="108">
        <f>'1.4 FY 2020 Revenue Received'!J82</f>
        <v>309.1138657125</v>
      </c>
      <c r="D81" s="108">
        <f>'1.2 Budgeted Enrollment YR1'!G83</f>
        <v>63.383111480510713</v>
      </c>
      <c r="E81" s="159">
        <f>ROUND('2.8 Alloc of Residual Rev. YR1'!M87,0)</f>
        <v>680436</v>
      </c>
      <c r="F81" s="385">
        <f t="shared" si="16"/>
        <v>10735.288692938704</v>
      </c>
      <c r="H81" s="154">
        <f>ROUND('1.4 FY 2020 Revenue Received'!H81,0)</f>
        <v>3726085</v>
      </c>
      <c r="I81" s="385">
        <f t="shared" si="13"/>
        <v>12054.085608264333</v>
      </c>
      <c r="K81" s="632" t="str">
        <f t="shared" si="14"/>
        <v>Yes</v>
      </c>
      <c r="M81" s="1272"/>
      <c r="N81" s="181" t="str">
        <f t="shared" si="20"/>
        <v>Does Not Apply</v>
      </c>
      <c r="O81" s="1270" t="str">
        <f t="shared" si="21"/>
        <v>Does Not Apply</v>
      </c>
      <c r="Q81" s="181"/>
      <c r="R81" s="181"/>
      <c r="T81" s="181" t="str">
        <f t="shared" si="15"/>
        <v>PCFP</v>
      </c>
    </row>
    <row r="82" spans="1:21" x14ac:dyDescent="0.3">
      <c r="A82" s="9" t="str">
        <f>'1.2 Budgeted Enrollment YR1'!E84</f>
        <v>Rooted Charter School</v>
      </c>
      <c r="B82" s="369" t="str">
        <f t="shared" si="11"/>
        <v>Yes</v>
      </c>
      <c r="C82" s="108">
        <f>'1.4 FY 2020 Revenue Received'!J83</f>
        <v>0</v>
      </c>
      <c r="D82" s="108">
        <f>'1.2 Budgeted Enrollment YR1'!G84</f>
        <v>23.615168211814723</v>
      </c>
      <c r="E82" s="159">
        <f>ROUND('2.8 Alloc of Residual Rev. YR1'!M88,0)</f>
        <v>222738</v>
      </c>
      <c r="F82" s="385">
        <f t="shared" ref="F82" si="25">IF(D82=0,0,E82/D82)</f>
        <v>9431.9887117536455</v>
      </c>
      <c r="H82" s="154">
        <f>ROUND('1.4 FY 2020 Revenue Received'!H82,0)</f>
        <v>2238633</v>
      </c>
      <c r="I82" s="385">
        <f t="shared" ref="I82" si="26">IF(C82=0,0,H82/C82)</f>
        <v>0</v>
      </c>
      <c r="K82" s="632" t="str">
        <f t="shared" si="14"/>
        <v>Yes</v>
      </c>
      <c r="M82" s="1272"/>
      <c r="N82" s="181" t="str">
        <f t="shared" si="20"/>
        <v>Does Not Apply</v>
      </c>
      <c r="O82" s="1270" t="str">
        <f t="shared" si="21"/>
        <v>Does Not Apply</v>
      </c>
      <c r="Q82" s="181"/>
      <c r="R82" s="181"/>
      <c r="T82" s="181" t="str">
        <f t="shared" si="15"/>
        <v>PCFP</v>
      </c>
    </row>
    <row r="83" spans="1:21" x14ac:dyDescent="0.3">
      <c r="A83" s="9" t="str">
        <f>'1.2 Budgeted Enrollment YR1'!E85</f>
        <v>Sage Collegiate Academy</v>
      </c>
      <c r="B83" s="369" t="str">
        <f t="shared" si="11"/>
        <v>Yes</v>
      </c>
      <c r="C83" s="108">
        <f>'1.4 FY 2020 Revenue Received'!J84</f>
        <v>0</v>
      </c>
      <c r="D83" s="108">
        <f>'1.2 Budgeted Enrollment YR1'!G85</f>
        <v>236.13114718926738</v>
      </c>
      <c r="E83" s="159">
        <f>ROUND('2.8 Alloc of Residual Rev. YR1'!M89,0)</f>
        <v>2613076</v>
      </c>
      <c r="F83" s="385">
        <f t="shared" si="16"/>
        <v>11066.206348057625</v>
      </c>
      <c r="H83" s="154">
        <f>ROUND('1.4 FY 2020 Revenue Received'!H83,0)</f>
        <v>0</v>
      </c>
      <c r="I83" s="385">
        <f t="shared" si="13"/>
        <v>0</v>
      </c>
      <c r="K83" s="632" t="str">
        <f t="shared" si="14"/>
        <v>Yes</v>
      </c>
      <c r="M83" s="1272"/>
      <c r="N83" s="181" t="str">
        <f t="shared" si="20"/>
        <v>Does Not Apply</v>
      </c>
      <c r="O83" s="1270" t="str">
        <f t="shared" si="21"/>
        <v>Does Not Apply</v>
      </c>
      <c r="Q83" s="181"/>
      <c r="R83" s="181"/>
      <c r="T83" s="181" t="str">
        <f t="shared" si="15"/>
        <v>PCFP</v>
      </c>
    </row>
    <row r="84" spans="1:21" x14ac:dyDescent="0.3">
      <c r="A84" s="9" t="str">
        <f>'1.2 Budgeted Enrollment YR1'!E86</f>
        <v>Sierra Nevada Academy Charter</v>
      </c>
      <c r="B84" s="369" t="str">
        <f t="shared" si="11"/>
        <v/>
      </c>
      <c r="C84" s="108">
        <f>'1.4 FY 2020 Revenue Received'!J85</f>
        <v>383.22259250000002</v>
      </c>
      <c r="D84" s="108">
        <f>'1.2 Budgeted Enrollment YR1'!G86</f>
        <v>265.07102245962432</v>
      </c>
      <c r="E84" s="159">
        <f>ROUND('2.8 Alloc of Residual Rev. YR1'!M90,0)</f>
        <v>3155760</v>
      </c>
      <c r="F84" s="385">
        <f t="shared" si="16"/>
        <v>11905.33756091987</v>
      </c>
      <c r="H84" s="154">
        <f>ROUND('1.4 FY 2020 Revenue Received'!H84,0)</f>
        <v>0</v>
      </c>
      <c r="I84" s="385">
        <f t="shared" si="13"/>
        <v>0</v>
      </c>
      <c r="K84" s="632" t="str">
        <f t="shared" si="14"/>
        <v>Yes</v>
      </c>
      <c r="M84" s="1272"/>
      <c r="N84" s="181" t="str">
        <f t="shared" si="20"/>
        <v>Does Not Apply</v>
      </c>
      <c r="O84" s="1270" t="str">
        <f t="shared" si="21"/>
        <v>Does Not Apply</v>
      </c>
      <c r="Q84" s="181"/>
      <c r="R84" s="181"/>
      <c r="T84" s="181" t="str">
        <f t="shared" si="15"/>
        <v>PCFP</v>
      </c>
    </row>
    <row r="85" spans="1:21" x14ac:dyDescent="0.3">
      <c r="A85" s="9" t="str">
        <f>'1.2 Budgeted Enrollment YR1'!E87</f>
        <v>Signature Preparatory</v>
      </c>
      <c r="B85" s="369" t="str">
        <f t="shared" si="11"/>
        <v/>
      </c>
      <c r="C85" s="108">
        <f>'1.4 FY 2020 Revenue Received'!J86</f>
        <v>558.54129249999994</v>
      </c>
      <c r="D85" s="108">
        <f>'1.2 Budgeted Enrollment YR1'!G87</f>
        <v>995.39371457820653</v>
      </c>
      <c r="E85" s="159">
        <f>ROUND('2.8 Alloc of Residual Rev. YR1'!M91,0)</f>
        <v>10010901</v>
      </c>
      <c r="F85" s="385">
        <f t="shared" si="16"/>
        <v>10057.227460233735</v>
      </c>
      <c r="H85" s="154">
        <f>ROUND('1.4 FY 2020 Revenue Received'!H85,0)</f>
        <v>3076925</v>
      </c>
      <c r="I85" s="385">
        <f t="shared" si="13"/>
        <v>5508.8585952667063</v>
      </c>
      <c r="K85" s="632" t="str">
        <f t="shared" si="14"/>
        <v>Yes</v>
      </c>
      <c r="M85" s="1272"/>
      <c r="N85" s="181" t="str">
        <f t="shared" si="20"/>
        <v>Does Not Apply</v>
      </c>
      <c r="O85" s="1270" t="str">
        <f t="shared" si="21"/>
        <v>Does Not Apply</v>
      </c>
      <c r="Q85" s="181"/>
      <c r="R85" s="181"/>
      <c r="T85" s="181" t="str">
        <f t="shared" si="15"/>
        <v>PCFP</v>
      </c>
    </row>
    <row r="86" spans="1:21" x14ac:dyDescent="0.3">
      <c r="A86" s="9" t="str">
        <f>'1.2 Budgeted Enrollment YR1'!E88</f>
        <v>Silver Sands Montessori</v>
      </c>
      <c r="B86" s="369" t="str">
        <f t="shared" si="11"/>
        <v/>
      </c>
      <c r="C86" s="108">
        <f>'1.4 FY 2020 Revenue Received'!J87</f>
        <v>295.10142875000003</v>
      </c>
      <c r="D86" s="108">
        <f>'1.2 Budgeted Enrollment YR1'!G88</f>
        <v>239.7637761081109</v>
      </c>
      <c r="E86" s="159">
        <f>ROUND('2.8 Alloc of Residual Rev. YR1'!M92,0)</f>
        <v>2363318</v>
      </c>
      <c r="F86" s="385">
        <f t="shared" si="16"/>
        <v>9856.8601077352323</v>
      </c>
      <c r="H86" s="154">
        <f>ROUND('1.4 FY 2020 Revenue Received'!H86,0)</f>
        <v>4130437</v>
      </c>
      <c r="I86" s="385">
        <f t="shared" si="13"/>
        <v>13996.668933443785</v>
      </c>
      <c r="K86" s="632" t="str">
        <f t="shared" si="14"/>
        <v>Yes</v>
      </c>
      <c r="M86" s="1272"/>
      <c r="N86" s="181" t="str">
        <f t="shared" si="20"/>
        <v>Does Not Apply</v>
      </c>
      <c r="O86" s="1270" t="str">
        <f t="shared" si="21"/>
        <v>Does Not Apply</v>
      </c>
      <c r="Q86" s="181"/>
      <c r="R86" s="181"/>
      <c r="T86" s="181" t="str">
        <f t="shared" si="15"/>
        <v>PCFP</v>
      </c>
    </row>
    <row r="87" spans="1:21" x14ac:dyDescent="0.3">
      <c r="A87" s="9" t="str">
        <f>'1.2 Budgeted Enrollment YR1'!E89</f>
        <v>Somerset Academy</v>
      </c>
      <c r="B87" s="369" t="str">
        <f t="shared" si="11"/>
        <v/>
      </c>
      <c r="C87" s="108">
        <f>'1.4 FY 2020 Revenue Received'!J88</f>
        <v>9074.0997949999983</v>
      </c>
      <c r="D87" s="108">
        <f>'1.2 Budgeted Enrollment YR1'!G89</f>
        <v>9613.0429519265235</v>
      </c>
      <c r="E87" s="159">
        <f>ROUND('2.8 Alloc of Residual Rev. YR1'!M93,0)</f>
        <v>96855452</v>
      </c>
      <c r="F87" s="385">
        <f t="shared" si="16"/>
        <v>10075.420705427043</v>
      </c>
      <c r="H87" s="154">
        <f>ROUND('1.4 FY 2020 Revenue Received'!H87,0)</f>
        <v>2228437</v>
      </c>
      <c r="I87" s="385">
        <f t="shared" si="13"/>
        <v>245.58215694607097</v>
      </c>
      <c r="K87" s="632" t="str">
        <f t="shared" si="14"/>
        <v>Yes</v>
      </c>
      <c r="M87" s="1272"/>
      <c r="N87" s="181" t="str">
        <f t="shared" si="20"/>
        <v>Does Not Apply</v>
      </c>
      <c r="O87" s="1270" t="str">
        <f t="shared" si="21"/>
        <v>Does Not Apply</v>
      </c>
      <c r="Q87" s="181"/>
      <c r="R87" s="181"/>
      <c r="T87" s="181" t="str">
        <f t="shared" si="15"/>
        <v>PCFP</v>
      </c>
    </row>
    <row r="88" spans="1:21" x14ac:dyDescent="0.3">
      <c r="A88" s="9" t="str">
        <f>'1.2 Budgeted Enrollment YR1'!E90</f>
        <v>Southern Nevada Trade High School</v>
      </c>
      <c r="B88" s="369" t="str">
        <f t="shared" si="11"/>
        <v>Yes</v>
      </c>
      <c r="C88" s="108">
        <f>'1.4 FY 2020 Revenue Received'!J89</f>
        <v>0</v>
      </c>
      <c r="D88" s="108">
        <f>'1.2 Budgeted Enrollment YR1'!G90</f>
        <v>81.083193428487846</v>
      </c>
      <c r="E88" s="159">
        <f>ROUND('2.8 Alloc of Residual Rev. YR1'!M94,0)</f>
        <v>976525</v>
      </c>
      <c r="F88" s="385">
        <f t="shared" ref="F88" si="27">IF(D88=0,0,E88/D88)</f>
        <v>12043.49457278414</v>
      </c>
      <c r="H88" s="154">
        <f>ROUND('1.4 FY 2020 Revenue Received'!H88,0)</f>
        <v>67219952</v>
      </c>
      <c r="I88" s="385">
        <f t="shared" ref="I88" si="28">IF(C88=0,0,H88/C88)</f>
        <v>0</v>
      </c>
      <c r="K88" s="632" t="str">
        <f t="shared" si="14"/>
        <v>Yes</v>
      </c>
      <c r="M88" s="1272"/>
      <c r="N88" s="181" t="str">
        <f t="shared" si="20"/>
        <v>Does Not Apply</v>
      </c>
      <c r="O88" s="1270" t="str">
        <f t="shared" si="21"/>
        <v>Does Not Apply</v>
      </c>
      <c r="Q88" s="181"/>
      <c r="R88" s="181"/>
      <c r="T88" s="181" t="str">
        <f t="shared" si="15"/>
        <v>PCFP</v>
      </c>
    </row>
    <row r="89" spans="1:21" x14ac:dyDescent="0.3">
      <c r="A89" s="9" t="str">
        <f>'1.2 Budgeted Enrollment YR1'!E91</f>
        <v>Sports Leadership and Management Academy</v>
      </c>
      <c r="B89" s="369" t="str">
        <f t="shared" si="11"/>
        <v/>
      </c>
      <c r="C89" s="108">
        <f>'1.4 FY 2020 Revenue Received'!J90</f>
        <v>1027.8300375000001</v>
      </c>
      <c r="D89" s="108">
        <f>'1.2 Budgeted Enrollment YR1'!G91</f>
        <v>1868.7586142879702</v>
      </c>
      <c r="E89" s="159">
        <f>ROUND('2.8 Alloc of Residual Rev. YR1'!M95,0)</f>
        <v>19937621</v>
      </c>
      <c r="F89" s="385">
        <f t="shared" si="16"/>
        <v>10668.911890258541</v>
      </c>
      <c r="H89" s="154">
        <f>ROUND('1.4 FY 2020 Revenue Received'!H89,0)</f>
        <v>0</v>
      </c>
      <c r="I89" s="385">
        <f t="shared" si="13"/>
        <v>0</v>
      </c>
      <c r="K89" s="632" t="str">
        <f t="shared" si="14"/>
        <v>Yes</v>
      </c>
      <c r="M89" s="1272"/>
      <c r="N89" s="181" t="str">
        <f t="shared" si="20"/>
        <v>Does Not Apply</v>
      </c>
      <c r="O89" s="1270" t="str">
        <f t="shared" si="21"/>
        <v>Does Not Apply</v>
      </c>
      <c r="Q89" s="181"/>
      <c r="R89" s="181"/>
      <c r="T89" s="181" t="str">
        <f t="shared" si="15"/>
        <v>PCFP</v>
      </c>
    </row>
    <row r="90" spans="1:21" x14ac:dyDescent="0.3">
      <c r="A90" s="9" t="str">
        <f>'1.2 Budgeted Enrollment YR1'!E92</f>
        <v>Strong Start Academy</v>
      </c>
      <c r="B90" s="369" t="str">
        <f t="shared" si="11"/>
        <v>Yes</v>
      </c>
      <c r="C90" s="108">
        <f>'1.4 FY 2020 Revenue Received'!J91</f>
        <v>0</v>
      </c>
      <c r="D90" s="108">
        <f>'1.2 Budgeted Enrollment YR1'!G92</f>
        <v>147.52292907276259</v>
      </c>
      <c r="E90" s="159">
        <f>ROUND('2.8 Alloc of Residual Rev. YR1'!M96,0)</f>
        <v>1848919</v>
      </c>
      <c r="F90" s="385">
        <f t="shared" si="16"/>
        <v>12533.095781253498</v>
      </c>
      <c r="H90" s="154">
        <f>ROUND('1.4 FY 2020 Revenue Received'!H90,0)</f>
        <v>7832016</v>
      </c>
      <c r="I90" s="385">
        <f t="shared" si="13"/>
        <v>0</v>
      </c>
      <c r="K90" s="632" t="str">
        <f t="shared" si="14"/>
        <v>Yes</v>
      </c>
      <c r="M90" s="1272"/>
      <c r="N90" s="181" t="str">
        <f t="shared" si="20"/>
        <v>Does Not Apply</v>
      </c>
      <c r="O90" s="1270" t="str">
        <f t="shared" si="21"/>
        <v>Does Not Apply</v>
      </c>
      <c r="Q90" s="181"/>
      <c r="R90" s="181"/>
      <c r="T90" s="181" t="str">
        <f t="shared" si="15"/>
        <v>PCFP</v>
      </c>
    </row>
    <row r="91" spans="1:21" x14ac:dyDescent="0.3">
      <c r="A91" s="9" t="str">
        <f>'1.2 Budgeted Enrollment YR1'!E93</f>
        <v>ThrivePoint</v>
      </c>
      <c r="B91" s="369" t="str">
        <f t="shared" si="11"/>
        <v>Yes</v>
      </c>
      <c r="C91" s="108">
        <f>'1.4 FY 2020 Revenue Received'!J92</f>
        <v>0</v>
      </c>
      <c r="D91" s="108">
        <f>'1.2 Budgeted Enrollment YR1'!G93</f>
        <v>152.98522015479972</v>
      </c>
      <c r="E91" s="159">
        <f>ROUND('2.8 Alloc of Residual Rev. YR1'!M97,0)</f>
        <v>1782981</v>
      </c>
      <c r="F91" s="385">
        <f>IF(D91=0,0,E91/D91)</f>
        <v>11654.596425693095</v>
      </c>
      <c r="H91" s="154">
        <f>ROUND('1.4 FY 2020 Revenue Received'!H91,0)</f>
        <v>0</v>
      </c>
      <c r="I91" s="385">
        <f t="shared" si="13"/>
        <v>0</v>
      </c>
      <c r="K91" s="632" t="str">
        <f>$K$25</f>
        <v>Yes</v>
      </c>
      <c r="M91" s="1272"/>
      <c r="N91" s="181" t="str">
        <f t="shared" si="20"/>
        <v>Does Not Apply</v>
      </c>
      <c r="O91" s="1270" t="str">
        <f t="shared" si="21"/>
        <v>Does Not Apply</v>
      </c>
      <c r="Q91" s="181"/>
      <c r="R91" s="181"/>
      <c r="T91" s="181" t="e">
        <f>#REF!</f>
        <v>#REF!</v>
      </c>
      <c r="U91" s="9" t="s">
        <v>370</v>
      </c>
    </row>
    <row r="92" spans="1:21" x14ac:dyDescent="0.3">
      <c r="A92" s="9" t="str">
        <f>'1.2 Budgeted Enrollment YR1'!E94</f>
        <v>Vegas Vista Academy</v>
      </c>
      <c r="B92" s="369" t="str">
        <f t="shared" ref="B92" si="29">IF(C92=0,"Yes","")</f>
        <v>Yes</v>
      </c>
      <c r="C92" s="108">
        <f>'1.4 FY 2020 Revenue Received'!J93</f>
        <v>0</v>
      </c>
      <c r="D92" s="108">
        <f>'1.2 Budgeted Enrollment YR1'!G94</f>
        <v>104.72813728717834</v>
      </c>
      <c r="E92" s="159">
        <f>ROUND('2.8 Alloc of Residual Rev. YR1'!M98,0)</f>
        <v>1140594</v>
      </c>
      <c r="F92" s="385">
        <f>IF(D92=0,0,E92/D92)</f>
        <v>10890.998632701172</v>
      </c>
      <c r="H92" s="154">
        <f>ROUND('1.4 FY 2020 Revenue Received'!H92,0)</f>
        <v>0</v>
      </c>
      <c r="I92" s="385">
        <f t="shared" ref="I92" si="30">IF(C92=0,0,H92/C92)</f>
        <v>0</v>
      </c>
      <c r="K92" s="632" t="str">
        <f>$K$25</f>
        <v>Yes</v>
      </c>
      <c r="M92" s="1272"/>
      <c r="N92" s="181" t="str">
        <f t="shared" si="20"/>
        <v>Does Not Apply</v>
      </c>
      <c r="O92" s="1270" t="str">
        <f t="shared" si="21"/>
        <v>Does Not Apply</v>
      </c>
      <c r="Q92" s="181"/>
      <c r="R92" s="181"/>
      <c r="T92" s="181" t="e">
        <f t="shared" si="15"/>
        <v>#REF!</v>
      </c>
      <c r="U92" s="9" t="s">
        <v>370</v>
      </c>
    </row>
    <row r="93" spans="1:21" x14ac:dyDescent="0.3">
      <c r="A93" s="9" t="str">
        <f>'1.2 Budgeted Enrollment YR1'!E95</f>
        <v>Young Women's Leadership Academy</v>
      </c>
      <c r="B93" s="369" t="str">
        <f t="shared" si="11"/>
        <v>Yes</v>
      </c>
      <c r="C93" s="108">
        <f>'1.4 FY 2020 Revenue Received'!J94</f>
        <v>0</v>
      </c>
      <c r="D93" s="108">
        <f>'1.2 Budgeted Enrollment YR1'!G95</f>
        <v>118.86232883517145</v>
      </c>
      <c r="E93" s="159">
        <f>ROUND('2.8 Alloc of Residual Rev. YR1'!M99,0)</f>
        <v>1331250</v>
      </c>
      <c r="F93" s="385">
        <f>IF(D93=0,0,E93/D93)</f>
        <v>11199.931997345167</v>
      </c>
      <c r="H93" s="154">
        <f>ROUND('1.4 FY 2020 Revenue Received'!H93,0)</f>
        <v>0</v>
      </c>
      <c r="I93" s="391">
        <f t="shared" si="13"/>
        <v>0</v>
      </c>
      <c r="K93" s="632" t="str">
        <f>$K$25</f>
        <v>Yes</v>
      </c>
      <c r="M93" s="1272"/>
      <c r="N93" s="181" t="str">
        <f t="shared" si="20"/>
        <v>Does Not Apply</v>
      </c>
      <c r="O93" s="1270" t="str">
        <f t="shared" si="21"/>
        <v>Does Not Apply</v>
      </c>
      <c r="Q93" s="181"/>
      <c r="R93" s="181"/>
      <c r="T93" s="181" t="e">
        <f t="shared" si="15"/>
        <v>#REF!</v>
      </c>
    </row>
    <row r="94" spans="1:21" x14ac:dyDescent="0.3">
      <c r="A94" s="455" t="s">
        <v>1616</v>
      </c>
      <c r="B94" s="497"/>
      <c r="C94" s="514">
        <f>SUMIF(B32:B93,"",C32:C93)</f>
        <v>57012.474131748568</v>
      </c>
      <c r="D94" s="514">
        <f>SUMIF(B32:B93,"",D32:D93)</f>
        <v>68320.58830492651</v>
      </c>
      <c r="E94" s="515">
        <f>SUMIF(B32:B93,"",E32:E93)</f>
        <v>700763806</v>
      </c>
      <c r="F94" s="500">
        <f>IF(D94=0,0,E94/D94)</f>
        <v>10256.993146375889</v>
      </c>
      <c r="G94" s="207"/>
      <c r="H94" s="475">
        <f>SUMIF(B32:B93,"",H32:H93)</f>
        <v>356515923</v>
      </c>
      <c r="I94" s="385">
        <f t="shared" si="13"/>
        <v>6253.2968166955379</v>
      </c>
      <c r="J94" s="207"/>
      <c r="K94" s="2021" t="str">
        <f>IF(F94&gt;I94,"Yes",IF(T25="PCFP","Yes","No"))</f>
        <v>Yes</v>
      </c>
      <c r="M94" s="2024"/>
      <c r="N94" s="503"/>
      <c r="O94" s="2025"/>
      <c r="Q94" s="503"/>
      <c r="R94" s="503"/>
      <c r="T94" s="505"/>
    </row>
    <row r="95" spans="1:21" x14ac:dyDescent="0.3">
      <c r="A95" s="142" t="s">
        <v>1617</v>
      </c>
      <c r="B95" s="508"/>
      <c r="C95" s="518">
        <f>SUMIF(B32:B93,"Yes",C32:C93)</f>
        <v>0</v>
      </c>
      <c r="D95" s="518">
        <f>SUMIF(B32:B93,"Yes",D32:D93)</f>
        <v>3981.0183617401822</v>
      </c>
      <c r="E95" s="366">
        <f>SUMIF(B32:B93,"Yes",E32:E93)</f>
        <v>43650765</v>
      </c>
      <c r="F95" s="391">
        <f>IF(D95=0,0,E95/D95)</f>
        <v>10964.72335307677</v>
      </c>
      <c r="G95" s="137"/>
      <c r="H95" s="148">
        <f>SUMIF(B32:B93,"Yes",H32:H93)</f>
        <v>77290601</v>
      </c>
      <c r="I95" s="391">
        <f>IF(C95=0,0,H95/C95)</f>
        <v>0</v>
      </c>
      <c r="J95" s="137"/>
      <c r="K95" s="630" t="str">
        <f>IF(C95=0,"Yes",IF(F95&gt;I95,"Yes",IF(T25="PCFP","Yes","No")))</f>
        <v>Yes</v>
      </c>
      <c r="M95" s="1273"/>
      <c r="N95" s="483"/>
      <c r="O95" s="1271"/>
      <c r="Q95" s="483"/>
      <c r="R95" s="483"/>
      <c r="T95" s="485"/>
    </row>
    <row r="96" spans="1:21" x14ac:dyDescent="0.3">
      <c r="A96" s="4" t="s">
        <v>499</v>
      </c>
      <c r="B96" s="35" t="str">
        <f t="shared" ref="B96:B100" si="31">IF(C96=0,"Yes","")</f>
        <v/>
      </c>
      <c r="C96" s="398">
        <f>SUM(C32:C93)</f>
        <v>57012.474131748568</v>
      </c>
      <c r="D96" s="398">
        <f>SUM(D32:D93)</f>
        <v>72301.606666666703</v>
      </c>
      <c r="E96" s="393">
        <f>SUM(E94:E95)+8000000+19000000</f>
        <v>771414571</v>
      </c>
      <c r="F96" s="89"/>
      <c r="G96" s="95"/>
      <c r="H96" s="395">
        <f>SUM(H32:H93)</f>
        <v>433806524</v>
      </c>
      <c r="I96" s="95"/>
      <c r="J96" s="13"/>
      <c r="K96" s="175"/>
      <c r="M96" s="180"/>
      <c r="N96" s="208"/>
      <c r="O96" s="482"/>
      <c r="Q96" s="177"/>
      <c r="R96" s="177"/>
      <c r="T96" s="177"/>
    </row>
    <row r="97" spans="1:20" x14ac:dyDescent="0.3">
      <c r="E97" s="12"/>
      <c r="H97" s="12"/>
      <c r="K97" s="175"/>
      <c r="N97" s="208"/>
      <c r="O97" s="482"/>
    </row>
    <row r="98" spans="1:20" x14ac:dyDescent="0.3">
      <c r="A98" s="4" t="s">
        <v>1618</v>
      </c>
      <c r="E98" s="12"/>
      <c r="H98" s="12"/>
      <c r="K98" s="175"/>
      <c r="N98" s="208"/>
      <c r="O98" s="482"/>
    </row>
    <row r="99" spans="1:20" x14ac:dyDescent="0.3">
      <c r="A99" s="455" t="str">
        <f>'1.2 Budgeted Enrollment YR1'!E100</f>
        <v>Davidson Academy</v>
      </c>
      <c r="B99" s="497" t="str">
        <f t="shared" si="31"/>
        <v/>
      </c>
      <c r="C99" s="498">
        <f>'1.4 FY 2020 Revenue Received'!J98</f>
        <v>143.645726495611</v>
      </c>
      <c r="D99" s="498">
        <f>'1.2 Budgeted Enrollment YR1'!G100</f>
        <v>167.88437423074134</v>
      </c>
      <c r="E99" s="797">
        <f>ROUND('2.8 Alloc of Residual Rev. YR1'!M103,0)</f>
        <v>1635753</v>
      </c>
      <c r="F99" s="500">
        <f>IF(D99=0,0,E99/D99)</f>
        <v>9743.3308340644653</v>
      </c>
      <c r="G99" s="207"/>
      <c r="H99" s="797">
        <f>ROUND('1.4 FY 2020 Revenue Received'!H98,0)</f>
        <v>1161406</v>
      </c>
      <c r="I99" s="500">
        <f>IF(D99=0,0,H99/D99)</f>
        <v>6917.8921821738832</v>
      </c>
      <c r="J99" s="207"/>
      <c r="K99" s="347" t="str">
        <f>IF(F99&gt;I99,"Yes",IF(T99="PCFP","Yes","No"))</f>
        <v>Yes</v>
      </c>
      <c r="M99" s="502"/>
      <c r="N99" s="503" t="str">
        <f>IF(M99&gt;H99,"Yes","Does Not Apply")</f>
        <v>Does Not Apply</v>
      </c>
      <c r="O99" s="505" t="str">
        <f>IF(N99&gt;K99,"Yes","Does Not Apply")</f>
        <v>Does Not Apply</v>
      </c>
      <c r="Q99" s="1265"/>
      <c r="R99" s="1266"/>
      <c r="T99" s="2026" t="str">
        <f>'1.1 Assumption Control YR1'!I53</f>
        <v>PCFP</v>
      </c>
    </row>
    <row r="100" spans="1:20" x14ac:dyDescent="0.3">
      <c r="A100" s="142" t="str">
        <f>'1.2 Budgeted Enrollment YR1'!E101</f>
        <v>TBD</v>
      </c>
      <c r="B100" s="508" t="str">
        <f t="shared" si="31"/>
        <v>Yes</v>
      </c>
      <c r="C100" s="490">
        <f>'1.4 FY 2020 Revenue Received'!J99</f>
        <v>0</v>
      </c>
      <c r="D100" s="490">
        <f>'1.2 Budgeted Enrollment YR1'!G101</f>
        <v>0</v>
      </c>
      <c r="E100" s="127">
        <f>'2.8 Alloc of Residual Rev. YR1'!M104</f>
        <v>0</v>
      </c>
      <c r="F100" s="391">
        <f>IF(D100=0,0,E100/D100)</f>
        <v>0</v>
      </c>
      <c r="G100" s="137"/>
      <c r="H100" s="127">
        <f>'1.4 FY 2020 Revenue Received'!H99</f>
        <v>0</v>
      </c>
      <c r="I100" s="391">
        <f>IF(D100=0,0,H100/D100)</f>
        <v>0</v>
      </c>
      <c r="J100" s="137"/>
      <c r="K100" s="630" t="str">
        <f>IF(F100&gt;I100,"Yes",IF(T100="PCFP","Yes","No"))</f>
        <v>Yes</v>
      </c>
      <c r="M100" s="510"/>
      <c r="N100" s="483" t="str">
        <f>IF(M100&gt;H100,"Yes","Does Not Apply")</f>
        <v>Does Not Apply</v>
      </c>
      <c r="O100" s="485" t="str">
        <f>IF(N100&gt;K100,"Yes","Does Not Apply")</f>
        <v>Does Not Apply</v>
      </c>
      <c r="Q100" s="1267"/>
      <c r="R100" s="1268"/>
      <c r="T100" s="1264" t="str">
        <f>T99</f>
        <v>PCFP</v>
      </c>
    </row>
    <row r="101" spans="1:20" s="4" customFormat="1" x14ac:dyDescent="0.3">
      <c r="B101" s="5"/>
      <c r="C101" s="495">
        <f t="shared" ref="C101:H101" si="32">SUM(C99:C100)</f>
        <v>143.645726495611</v>
      </c>
      <c r="D101" s="495">
        <f t="shared" si="32"/>
        <v>167.88437423074134</v>
      </c>
      <c r="E101" s="699">
        <f t="shared" si="32"/>
        <v>1635753</v>
      </c>
      <c r="F101" s="496"/>
      <c r="G101" s="496"/>
      <c r="H101" s="699">
        <f t="shared" si="32"/>
        <v>1161406</v>
      </c>
      <c r="I101" s="496"/>
      <c r="J101" s="496"/>
      <c r="K101" s="496"/>
      <c r="N101" s="5"/>
      <c r="O101" s="5"/>
      <c r="Q101" s="496"/>
      <c r="R101" s="496"/>
      <c r="T101" s="5"/>
    </row>
    <row r="102" spans="1:20" x14ac:dyDescent="0.3">
      <c r="E102" s="12"/>
      <c r="H102" s="12"/>
    </row>
    <row r="103" spans="1:20" x14ac:dyDescent="0.3">
      <c r="A103" s="4" t="str">
        <f>'2.3 Statewide Base Funding YR1'!A107</f>
        <v>City of Henderson</v>
      </c>
      <c r="E103" s="12"/>
      <c r="H103" s="12"/>
      <c r="K103" s="175"/>
      <c r="N103" s="208"/>
      <c r="O103" s="482"/>
    </row>
    <row r="104" spans="1:20" x14ac:dyDescent="0.3">
      <c r="A104" s="455" t="str">
        <f>'1.2 Budgeted Enrollment YR1'!E107</f>
        <v>TBD</v>
      </c>
      <c r="B104" s="497" t="str">
        <f>IF(C104=0,"Yes","")</f>
        <v>Yes</v>
      </c>
      <c r="C104" s="498">
        <f>'1.4 FY 2020 Revenue Received'!J103</f>
        <v>0</v>
      </c>
      <c r="D104" s="498">
        <f>'1.2 Budgeted Enrollment YR1'!G107</f>
        <v>0</v>
      </c>
      <c r="E104" s="797">
        <f>'2.8 Alloc of Residual Rev. YR1'!M108</f>
        <v>0</v>
      </c>
      <c r="F104" s="500">
        <f>IF(D104=0,0,E104/D104)</f>
        <v>0</v>
      </c>
      <c r="G104" s="207"/>
      <c r="H104" s="797">
        <f>ROUND('1.4 FY 2020 Revenue Received'!H103,0)</f>
        <v>0</v>
      </c>
      <c r="I104" s="476">
        <f>IF(D104=0,0,H104/D104)</f>
        <v>0</v>
      </c>
      <c r="J104" s="207"/>
      <c r="K104" s="347" t="str">
        <f>IF(F104&gt;I104,"Yes",IF(T104="PCFP","Yes","No"))</f>
        <v>Yes</v>
      </c>
      <c r="M104" s="502"/>
      <c r="N104" s="503" t="str">
        <f>IF(M104&gt;H104,"Yes","Does Not Apply")</f>
        <v>Does Not Apply</v>
      </c>
      <c r="O104" s="505" t="str">
        <f>IF(N104&gt;K104,"Yes","Does Not Apply")</f>
        <v>Does Not Apply</v>
      </c>
      <c r="Q104" s="1265"/>
      <c r="R104" s="1266"/>
      <c r="T104" s="2026" t="str">
        <f>'1.1 Assumption Control YR1'!I52</f>
        <v>PCFP</v>
      </c>
    </row>
    <row r="105" spans="1:20" x14ac:dyDescent="0.3">
      <c r="A105" s="142" t="str">
        <f>'1.2 Budgeted Enrollment YR1'!E108</f>
        <v>TBD</v>
      </c>
      <c r="B105" s="508" t="str">
        <f t="shared" ref="B105" si="33">IF(C105=0,"Yes","")</f>
        <v>Yes</v>
      </c>
      <c r="C105" s="490">
        <f>'1.4 FY 2020 Revenue Received'!J104</f>
        <v>0</v>
      </c>
      <c r="D105" s="490">
        <f>'1.2 Budgeted Enrollment YR1'!G108</f>
        <v>0</v>
      </c>
      <c r="E105" s="127">
        <f>'2.8 Alloc of Residual Rev. YR1'!M109</f>
        <v>0</v>
      </c>
      <c r="F105" s="391">
        <f>IF(D105=0,0,E105/D105)</f>
        <v>0</v>
      </c>
      <c r="G105" s="137"/>
      <c r="H105" s="127">
        <f>'1.4 FY 2020 Revenue Received'!H104</f>
        <v>0</v>
      </c>
      <c r="I105" s="403">
        <f>IF(D105=0,0,H105/D105)</f>
        <v>0</v>
      </c>
      <c r="J105" s="137"/>
      <c r="K105" s="630" t="str">
        <f>IF(F105&gt;I105,"Yes",IF(T105="PCFP","Yes","No"))</f>
        <v>Yes</v>
      </c>
      <c r="M105" s="510"/>
      <c r="N105" s="483" t="str">
        <f>IF(M105&gt;H105,"Yes","Does Not Apply")</f>
        <v>Does Not Apply</v>
      </c>
      <c r="O105" s="485" t="str">
        <f>IF(N105&gt;K105,"Yes","Does Not Apply")</f>
        <v>Does Not Apply</v>
      </c>
      <c r="Q105" s="1267"/>
      <c r="R105" s="1268"/>
      <c r="T105" s="1264" t="str">
        <f>T104</f>
        <v>PCFP</v>
      </c>
    </row>
    <row r="106" spans="1:20" s="4" customFormat="1" x14ac:dyDescent="0.3">
      <c r="B106" s="5"/>
      <c r="C106" s="495">
        <f>SUM(C104:C105)</f>
        <v>0</v>
      </c>
      <c r="D106" s="495">
        <f t="shared" ref="D106:E106" si="34">SUM(D104:D105)</f>
        <v>0</v>
      </c>
      <c r="E106" s="699">
        <f t="shared" si="34"/>
        <v>0</v>
      </c>
      <c r="F106" s="496"/>
      <c r="G106" s="496"/>
      <c r="H106" s="699">
        <f t="shared" ref="H106" si="35">SUM(H104:H105)</f>
        <v>0</v>
      </c>
      <c r="I106" s="496"/>
      <c r="J106" s="496"/>
      <c r="K106" s="496"/>
      <c r="N106" s="5"/>
      <c r="O106" s="5"/>
      <c r="Q106" s="496"/>
      <c r="R106" s="496"/>
      <c r="T106" s="5"/>
    </row>
    <row r="107" spans="1:20" x14ac:dyDescent="0.3">
      <c r="E107" s="12"/>
      <c r="H107" s="12"/>
    </row>
    <row r="108" spans="1:20" x14ac:dyDescent="0.3">
      <c r="A108" s="4" t="str">
        <f>'2.3 Statewide Base Funding YR1'!A112</f>
        <v>City of North Las Vegas</v>
      </c>
      <c r="E108" s="12"/>
      <c r="H108" s="12"/>
      <c r="K108" s="175"/>
      <c r="N108" s="208"/>
      <c r="O108" s="482"/>
    </row>
    <row r="109" spans="1:20" x14ac:dyDescent="0.3">
      <c r="A109" s="455" t="str">
        <f>'1.2 Budgeted Enrollment YR1'!E113</f>
        <v>TBD</v>
      </c>
      <c r="B109" s="497" t="str">
        <f>IF(C109=0,"Yes","")</f>
        <v>Yes</v>
      </c>
      <c r="C109" s="498">
        <f>'1.4 FY 2020 Revenue Received'!J108</f>
        <v>0</v>
      </c>
      <c r="D109" s="498">
        <f>'1.2 Budgeted Enrollment YR1'!G113</f>
        <v>0</v>
      </c>
      <c r="E109" s="797">
        <f>ROUND('2.8 Alloc of Residual Rev. YR1'!M113,0)</f>
        <v>0</v>
      </c>
      <c r="F109" s="500">
        <f>IF(D109=0,0,E109/D109)</f>
        <v>0</v>
      </c>
      <c r="G109" s="207"/>
      <c r="H109" s="797">
        <f>ROUND('1.4 FY 2020 Revenue Received'!H108,0)</f>
        <v>0</v>
      </c>
      <c r="I109" s="476">
        <f>IF(D109=0,0,H109/D109)</f>
        <v>0</v>
      </c>
      <c r="J109" s="207"/>
      <c r="K109" s="347" t="str">
        <f>IF(F109&gt;I109,"Yes",IF(T109="PCFP","Yes","No"))</f>
        <v>Yes</v>
      </c>
      <c r="M109" s="502"/>
      <c r="N109" s="503" t="str">
        <f>IF(M109&gt;H109,"Yes","Does Not Apply")</f>
        <v>Does Not Apply</v>
      </c>
      <c r="O109" s="505" t="str">
        <f>IF(N109&gt;K109,"Yes","Does Not Apply")</f>
        <v>Does Not Apply</v>
      </c>
      <c r="Q109" s="1265"/>
      <c r="R109" s="1266"/>
      <c r="T109" s="2026" t="str">
        <f>'1.1 Assumption Control YR1'!I53</f>
        <v>PCFP</v>
      </c>
    </row>
    <row r="110" spans="1:20" x14ac:dyDescent="0.3">
      <c r="A110" s="142" t="str">
        <f>'1.2 Budgeted Enrollment YR1'!E114</f>
        <v>TBD</v>
      </c>
      <c r="B110" s="508" t="str">
        <f t="shared" ref="B110" si="36">IF(C110=0,"Yes","")</f>
        <v>Yes</v>
      </c>
      <c r="C110" s="490">
        <f>'1.4 FY 2020 Revenue Received'!J109</f>
        <v>0</v>
      </c>
      <c r="D110" s="490">
        <f>'1.2 Budgeted Enrollment YR1'!G114</f>
        <v>0</v>
      </c>
      <c r="E110" s="127">
        <f>'2.8 Alloc of Residual Rev. YR1'!M114</f>
        <v>0</v>
      </c>
      <c r="F110" s="391">
        <f>IF(D110=0,0,E110/D110)</f>
        <v>0</v>
      </c>
      <c r="G110" s="137"/>
      <c r="H110" s="127">
        <f>'1.4 FY 2020 Revenue Received'!H109</f>
        <v>0</v>
      </c>
      <c r="I110" s="403">
        <f>IF(D110=0,0,H110/D110)</f>
        <v>0</v>
      </c>
      <c r="J110" s="137"/>
      <c r="K110" s="630" t="str">
        <f>IF(F110&gt;I110,"Yes",IF(T110="PCFP","Yes","No"))</f>
        <v>Yes</v>
      </c>
      <c r="M110" s="510"/>
      <c r="N110" s="483" t="str">
        <f>IF(M110&gt;H110,"Yes","Does Not Apply")</f>
        <v>Does Not Apply</v>
      </c>
      <c r="O110" s="485" t="str">
        <f>IF(N110&gt;K110,"Yes","Does Not Apply")</f>
        <v>Does Not Apply</v>
      </c>
      <c r="Q110" s="1267"/>
      <c r="R110" s="1268"/>
      <c r="T110" s="1264" t="str">
        <f>T109</f>
        <v>PCFP</v>
      </c>
    </row>
    <row r="111" spans="1:20" s="4" customFormat="1" x14ac:dyDescent="0.3">
      <c r="B111" s="5"/>
      <c r="C111" s="495">
        <f t="shared" ref="C111:D111" si="37">SUM(C109:C110)</f>
        <v>0</v>
      </c>
      <c r="D111" s="495">
        <f t="shared" si="37"/>
        <v>0</v>
      </c>
      <c r="E111" s="699">
        <f>SUM(E109:E110)</f>
        <v>0</v>
      </c>
      <c r="F111" s="496"/>
      <c r="G111" s="496"/>
      <c r="H111" s="699">
        <f t="shared" ref="H111" si="38">SUM(H109:H110)</f>
        <v>0</v>
      </c>
      <c r="I111" s="496"/>
      <c r="J111" s="496"/>
      <c r="K111" s="496"/>
      <c r="N111" s="5"/>
      <c r="O111" s="5"/>
      <c r="Q111" s="496"/>
      <c r="R111" s="496"/>
      <c r="T111" s="5"/>
    </row>
  </sheetData>
  <mergeCells count="1">
    <mergeCell ref="M5:O5"/>
  </mergeCells>
  <phoneticPr fontId="74" type="noConversion"/>
  <conditionalFormatting sqref="K8:K30 K32:K100">
    <cfRule type="cellIs" dxfId="40" priority="19" operator="equal">
      <formula>"No"</formula>
    </cfRule>
    <cfRule type="cellIs" dxfId="39" priority="20" operator="equal">
      <formula>"Yes"</formula>
    </cfRule>
  </conditionalFormatting>
  <conditionalFormatting sqref="K103:K105">
    <cfRule type="cellIs" dxfId="38" priority="3" operator="equal">
      <formula>"No"</formula>
    </cfRule>
    <cfRule type="cellIs" dxfId="37" priority="4" operator="equal">
      <formula>"Yes"</formula>
    </cfRule>
  </conditionalFormatting>
  <conditionalFormatting sqref="K108:K110">
    <cfRule type="cellIs" dxfId="36" priority="1" operator="equal">
      <formula>"No"</formula>
    </cfRule>
    <cfRule type="cellIs" dxfId="35" priority="2" operator="equal">
      <formula>"Yes"</formula>
    </cfRule>
  </conditionalFormatting>
  <conditionalFormatting sqref="N8:O30 Q8:R30 T8:T30">
    <cfRule type="cellIs" dxfId="34" priority="8" operator="equal">
      <formula>"No"</formula>
    </cfRule>
    <cfRule type="cellIs" dxfId="33" priority="9" operator="equal">
      <formula>"Yes"</formula>
    </cfRule>
  </conditionalFormatting>
  <pageMargins left="0.7" right="0.7" top="0.75" bottom="0.75" header="0.3" footer="0.3"/>
  <pageSetup paperSize="3" scale="62" fitToHeight="0" orientation="landscape" r:id="rId1"/>
  <headerFooter>
    <oddHeader>&amp;R&amp;"Arial Narrow,Regular"&amp;10&amp;A
&amp;P</oddHeader>
    <oddFooter>&amp;L&amp;"Arial Narrow,Regular"&amp;1This is a draft document. It is intended for discussion purposes only.&amp;R&amp;G</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111D6-9CEA-4430-8DF5-E8556096BAEA}">
  <sheetPr>
    <tabColor theme="7" tint="0.39997558519241921"/>
  </sheetPr>
  <dimension ref="A1:F13"/>
  <sheetViews>
    <sheetView workbookViewId="0"/>
  </sheetViews>
  <sheetFormatPr defaultColWidth="8.7109375" defaultRowHeight="16.5" x14ac:dyDescent="0.3"/>
  <cols>
    <col min="1" max="1" width="3.5703125" style="9" customWidth="1"/>
    <col min="2" max="2" width="92.42578125" style="9" customWidth="1"/>
    <col min="3" max="3" width="1.7109375" style="9" customWidth="1"/>
    <col min="4" max="4" width="28.7109375" style="9" customWidth="1"/>
    <col min="5" max="5" width="2" style="9" customWidth="1"/>
    <col min="6" max="6" width="35.5703125" style="9" customWidth="1"/>
    <col min="7" max="16384" width="8.7109375" style="9"/>
  </cols>
  <sheetData>
    <row r="1" spans="1:6" s="4" customFormat="1" x14ac:dyDescent="0.3">
      <c r="A1" s="4" t="s">
        <v>15</v>
      </c>
    </row>
    <row r="2" spans="1:6" x14ac:dyDescent="0.3">
      <c r="A2" s="9" t="str">
        <f>CONCATENATE("Pupil Center Funding Model | FY",'1.1 Assumption Control YR1'!D5)</f>
        <v>Pupil Center Funding Model | FY2026</v>
      </c>
    </row>
    <row r="3" spans="1:6" x14ac:dyDescent="0.3">
      <c r="A3" s="9" t="s">
        <v>72</v>
      </c>
    </row>
    <row r="5" spans="1:6" x14ac:dyDescent="0.3">
      <c r="A5" s="4" t="s">
        <v>73</v>
      </c>
      <c r="D5" s="4" t="s">
        <v>74</v>
      </c>
      <c r="F5" s="4" t="s">
        <v>75</v>
      </c>
    </row>
    <row r="6" spans="1:6" s="11" customFormat="1" x14ac:dyDescent="0.25">
      <c r="A6" s="67" t="s">
        <v>76</v>
      </c>
      <c r="B6" s="11" t="s">
        <v>77</v>
      </c>
      <c r="D6" s="11" t="s">
        <v>15</v>
      </c>
      <c r="F6" s="11" t="s">
        <v>78</v>
      </c>
    </row>
    <row r="7" spans="1:6" s="11" customFormat="1" ht="47.25" customHeight="1" x14ac:dyDescent="0.25">
      <c r="A7" s="67" t="s">
        <v>79</v>
      </c>
      <c r="B7" s="2094" t="s">
        <v>80</v>
      </c>
      <c r="C7" s="2094"/>
      <c r="D7" s="2094" t="s">
        <v>81</v>
      </c>
      <c r="F7" s="2094" t="s">
        <v>82</v>
      </c>
    </row>
    <row r="8" spans="1:6" ht="45" customHeight="1" x14ac:dyDescent="0.3">
      <c r="A8" s="67" t="s">
        <v>83</v>
      </c>
      <c r="B8" s="2094" t="s">
        <v>84</v>
      </c>
      <c r="C8" s="2094"/>
      <c r="D8" s="11" t="s">
        <v>15</v>
      </c>
      <c r="F8" s="2094" t="s">
        <v>82</v>
      </c>
    </row>
    <row r="9" spans="1:6" ht="49.5" x14ac:dyDescent="0.3">
      <c r="A9" s="67" t="s">
        <v>85</v>
      </c>
      <c r="B9" s="2094" t="s">
        <v>86</v>
      </c>
      <c r="C9" s="2094"/>
      <c r="D9" s="2094" t="s">
        <v>81</v>
      </c>
      <c r="F9" s="2094" t="s">
        <v>87</v>
      </c>
    </row>
    <row r="10" spans="1:6" ht="66" x14ac:dyDescent="0.3">
      <c r="A10" s="67" t="s">
        <v>88</v>
      </c>
      <c r="B10" s="2094" t="s">
        <v>89</v>
      </c>
      <c r="C10" s="2094"/>
      <c r="D10" s="2094" t="s">
        <v>90</v>
      </c>
      <c r="F10" s="2094" t="s">
        <v>87</v>
      </c>
    </row>
    <row r="11" spans="1:6" ht="66" x14ac:dyDescent="0.3">
      <c r="A11" s="67" t="s">
        <v>91</v>
      </c>
      <c r="B11" s="2094" t="s">
        <v>92</v>
      </c>
      <c r="D11" s="2094" t="s">
        <v>81</v>
      </c>
      <c r="F11" s="2094" t="s">
        <v>93</v>
      </c>
    </row>
    <row r="12" spans="1:6" ht="49.5" x14ac:dyDescent="0.3">
      <c r="A12" s="67" t="s">
        <v>94</v>
      </c>
      <c r="B12" s="2094" t="s">
        <v>95</v>
      </c>
      <c r="D12" s="2094" t="s">
        <v>81</v>
      </c>
      <c r="F12" s="2094" t="s">
        <v>96</v>
      </c>
    </row>
    <row r="13" spans="1:6" ht="115.5" x14ac:dyDescent="0.3">
      <c r="A13" s="67" t="s">
        <v>97</v>
      </c>
      <c r="B13" s="2094" t="s">
        <v>98</v>
      </c>
      <c r="D13" s="2094"/>
      <c r="F13" s="2094" t="s">
        <v>99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034FA-A0B6-4563-A380-B95CAC671DA3}">
  <sheetPr>
    <tabColor theme="7" tint="0.39997558519241921"/>
  </sheetPr>
  <dimension ref="A1:F28"/>
  <sheetViews>
    <sheetView workbookViewId="0"/>
  </sheetViews>
  <sheetFormatPr defaultColWidth="8.7109375" defaultRowHeight="16.5" x14ac:dyDescent="0.25"/>
  <cols>
    <col min="1" max="1" width="8.7109375" style="11"/>
    <col min="2" max="2" width="10.7109375" style="11" customWidth="1"/>
    <col min="3" max="3" width="12" style="11" bestFit="1" customWidth="1"/>
    <col min="4" max="4" width="86.42578125" style="11" customWidth="1"/>
    <col min="5" max="5" width="1.7109375" style="11" customWidth="1"/>
    <col min="6" max="6" width="31.7109375" style="11" customWidth="1"/>
    <col min="7" max="16384" width="8.7109375" style="11"/>
  </cols>
  <sheetData>
    <row r="1" spans="1:6" s="7" customFormat="1" x14ac:dyDescent="0.25">
      <c r="A1" s="7" t="s">
        <v>15</v>
      </c>
    </row>
    <row r="2" spans="1:6" x14ac:dyDescent="0.25">
      <c r="A2" s="11" t="str">
        <f>CONCATENATE("Pupil Center Funding Model | FY",'1.1 Assumption Control YR1'!D5)</f>
        <v>Pupil Center Funding Model | FY2026</v>
      </c>
    </row>
    <row r="3" spans="1:6" s="9" customFormat="1" x14ac:dyDescent="0.3">
      <c r="A3" s="9" t="s">
        <v>1619</v>
      </c>
    </row>
    <row r="5" spans="1:6" x14ac:dyDescent="0.25">
      <c r="A5" s="59" t="s">
        <v>1233</v>
      </c>
      <c r="B5" s="59"/>
      <c r="C5" s="59"/>
      <c r="D5" s="59"/>
      <c r="F5" s="59" t="s">
        <v>73</v>
      </c>
    </row>
    <row r="6" spans="1:6" x14ac:dyDescent="0.25">
      <c r="A6" s="58" t="s">
        <v>1377</v>
      </c>
      <c r="B6" s="58"/>
    </row>
    <row r="7" spans="1:6" ht="33" x14ac:dyDescent="0.25">
      <c r="A7" s="11" t="s">
        <v>1295</v>
      </c>
      <c r="B7" s="11" t="s">
        <v>1620</v>
      </c>
      <c r="D7" s="2094" t="s">
        <v>1621</v>
      </c>
      <c r="F7" s="11" t="s">
        <v>1622</v>
      </c>
    </row>
    <row r="8" spans="1:6" ht="102.75" customHeight="1" x14ac:dyDescent="0.25">
      <c r="A8" s="58"/>
      <c r="B8" s="58"/>
      <c r="C8" s="11" t="s">
        <v>1240</v>
      </c>
      <c r="D8" s="2094" t="s">
        <v>1623</v>
      </c>
      <c r="F8" s="2094" t="s">
        <v>1624</v>
      </c>
    </row>
    <row r="9" spans="1:6" ht="99" x14ac:dyDescent="0.25">
      <c r="A9" s="58"/>
      <c r="B9" s="58"/>
      <c r="C9" s="11" t="s">
        <v>1243</v>
      </c>
      <c r="D9" s="2094" t="s">
        <v>1625</v>
      </c>
      <c r="F9" s="2094" t="s">
        <v>1626</v>
      </c>
    </row>
    <row r="10" spans="1:6" ht="165" x14ac:dyDescent="0.25">
      <c r="A10" s="11" t="s">
        <v>1627</v>
      </c>
      <c r="B10" s="11" t="s">
        <v>1238</v>
      </c>
      <c r="D10" s="2094" t="s">
        <v>1628</v>
      </c>
      <c r="F10" s="2094" t="s">
        <v>1629</v>
      </c>
    </row>
    <row r="12" spans="1:6" x14ac:dyDescent="0.25">
      <c r="A12" s="59" t="s">
        <v>1298</v>
      </c>
      <c r="B12" s="59"/>
      <c r="C12" s="59"/>
      <c r="D12" s="59"/>
      <c r="F12" s="59" t="s">
        <v>73</v>
      </c>
    </row>
    <row r="14" spans="1:6" x14ac:dyDescent="0.25">
      <c r="A14" s="7" t="s">
        <v>1299</v>
      </c>
      <c r="D14" s="60" t="s">
        <v>1300</v>
      </c>
      <c r="E14" s="60"/>
    </row>
    <row r="15" spans="1:6" x14ac:dyDescent="0.25">
      <c r="A15" s="2353"/>
      <c r="B15" s="2354"/>
      <c r="C15" s="2354"/>
      <c r="F15" s="2094"/>
    </row>
    <row r="16" spans="1:6" x14ac:dyDescent="0.25">
      <c r="A16" s="2353"/>
      <c r="B16" s="2354"/>
      <c r="C16" s="2354"/>
      <c r="F16" s="2094"/>
    </row>
    <row r="18" spans="1:6" x14ac:dyDescent="0.25">
      <c r="A18" s="59" t="s">
        <v>1306</v>
      </c>
      <c r="B18" s="59"/>
      <c r="C18" s="59"/>
      <c r="D18" s="59"/>
      <c r="F18" s="59" t="s">
        <v>73</v>
      </c>
    </row>
    <row r="20" spans="1:6" x14ac:dyDescent="0.25">
      <c r="A20" s="11" t="s">
        <v>1307</v>
      </c>
      <c r="B20" s="2353"/>
      <c r="C20" s="2354"/>
      <c r="D20" s="2354"/>
    </row>
    <row r="21" spans="1:6" x14ac:dyDescent="0.25">
      <c r="A21" s="11" t="s">
        <v>1309</v>
      </c>
      <c r="B21" s="2353"/>
      <c r="C21" s="2354"/>
      <c r="D21" s="2354"/>
    </row>
    <row r="22" spans="1:6" x14ac:dyDescent="0.25">
      <c r="A22" s="11" t="s">
        <v>1311</v>
      </c>
    </row>
    <row r="23" spans="1:6" x14ac:dyDescent="0.25">
      <c r="A23" s="11" t="s">
        <v>1313</v>
      </c>
    </row>
    <row r="25" spans="1:6" x14ac:dyDescent="0.25">
      <c r="A25" s="59" t="s">
        <v>1315</v>
      </c>
      <c r="B25" s="59"/>
      <c r="C25" s="59"/>
      <c r="D25" s="59"/>
      <c r="F25" s="59" t="s">
        <v>73</v>
      </c>
    </row>
    <row r="27" spans="1:6" x14ac:dyDescent="0.25">
      <c r="A27" s="7" t="s">
        <v>1316</v>
      </c>
      <c r="C27" s="7" t="s">
        <v>1317</v>
      </c>
    </row>
    <row r="28" spans="1:6" ht="33" x14ac:dyDescent="0.25">
      <c r="A28" s="2353" t="s">
        <v>1318</v>
      </c>
      <c r="B28" s="2354"/>
      <c r="C28" s="2355" t="s">
        <v>1319</v>
      </c>
      <c r="D28" s="2356"/>
      <c r="F28" s="2094" t="s">
        <v>1320</v>
      </c>
    </row>
  </sheetData>
  <customSheetViews>
    <customSheetView guid="{CA1C9262-C0F9-4BBB-95C8-A52990BD1149}" scale="90" state="hidden" topLeftCell="A2">
      <selection activeCell="A4" sqref="A4"/>
      <pageMargins left="0" right="0" top="0" bottom="0" header="0" footer="0"/>
    </customSheetView>
    <customSheetView guid="{9F71BA88-74DF-4B45-811C-93ABE8314534}" scale="90" topLeftCell="A2">
      <selection activeCell="A4" sqref="A4"/>
      <pageMargins left="0" right="0" top="0" bottom="0" header="0" footer="0"/>
    </customSheetView>
  </customSheetViews>
  <mergeCells count="6">
    <mergeCell ref="A15:C15"/>
    <mergeCell ref="A16:C16"/>
    <mergeCell ref="B20:D20"/>
    <mergeCell ref="B21:D21"/>
    <mergeCell ref="A28:B28"/>
    <mergeCell ref="C28:D2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F2C5D-4449-40AF-88D5-2C7AA78B20EF}">
  <sheetPr>
    <tabColor theme="3"/>
    <pageSetUpPr autoPageBreaks="0" fitToPage="1"/>
  </sheetPr>
  <dimension ref="A1:AC114"/>
  <sheetViews>
    <sheetView showGridLines="0" zoomScale="85" zoomScaleNormal="85" workbookViewId="0">
      <selection activeCell="O22" sqref="O22"/>
    </sheetView>
  </sheetViews>
  <sheetFormatPr defaultColWidth="9" defaultRowHeight="16.5" x14ac:dyDescent="0.3"/>
  <cols>
    <col min="1" max="1" width="7.140625" style="9" customWidth="1"/>
    <col min="2" max="2" width="42.140625" style="9" bestFit="1" customWidth="1"/>
    <col min="3" max="3" width="2.7109375" style="9" customWidth="1"/>
    <col min="4" max="4" width="19.140625" style="9" bestFit="1" customWidth="1"/>
    <col min="5" max="5" width="18.5703125" style="9" bestFit="1" customWidth="1"/>
    <col min="6" max="6" width="2.5703125" style="4" customWidth="1"/>
    <col min="7" max="8" width="16.5703125" style="9" bestFit="1" customWidth="1"/>
    <col min="9" max="9" width="14.7109375" style="9" bestFit="1" customWidth="1"/>
    <col min="10" max="10" width="16.7109375" style="9" bestFit="1" customWidth="1"/>
    <col min="11" max="11" width="2.140625" style="4" customWidth="1"/>
    <col min="12" max="12" width="16.7109375" style="9" bestFit="1" customWidth="1"/>
    <col min="13" max="13" width="15.42578125" style="9" bestFit="1" customWidth="1"/>
    <col min="14" max="14" width="14.7109375" style="9" bestFit="1" customWidth="1"/>
    <col min="15" max="15" width="20.140625" style="9" customWidth="1"/>
    <col min="16" max="16" width="16.7109375" style="9" bestFit="1" customWidth="1"/>
    <col min="17" max="17" width="2.42578125" style="4" customWidth="1"/>
    <col min="18" max="18" width="15.7109375" style="9" customWidth="1"/>
    <col min="19" max="19" width="2.7109375" style="4" customWidth="1"/>
    <col min="20" max="20" width="18.140625" style="9" bestFit="1" customWidth="1"/>
    <col min="21" max="21" width="13.85546875" style="4" customWidth="1"/>
    <col min="22" max="22" width="25.85546875" style="131" customWidth="1"/>
    <col min="23" max="23" width="16" style="9" bestFit="1" customWidth="1"/>
    <col min="24" max="25" width="17" style="9" bestFit="1" customWidth="1"/>
    <col min="26" max="26" width="12" style="9" bestFit="1" customWidth="1"/>
    <col min="27" max="27" width="12.42578125" style="9" bestFit="1" customWidth="1"/>
    <col min="28" max="16384" width="9" style="9"/>
  </cols>
  <sheetData>
    <row r="1" spans="1:29" s="4" customFormat="1" x14ac:dyDescent="0.3">
      <c r="A1" s="4" t="s">
        <v>15</v>
      </c>
      <c r="V1" s="149"/>
    </row>
    <row r="2" spans="1:29" x14ac:dyDescent="0.3">
      <c r="A2" s="9" t="str">
        <f>CONCATENATE("Pupil Center Funding Plan | FY",'1.1 Assumption Control YR1'!D5)</f>
        <v>Pupil Center Funding Plan | FY2026</v>
      </c>
    </row>
    <row r="3" spans="1:29" x14ac:dyDescent="0.3">
      <c r="A3" s="9" t="s">
        <v>67</v>
      </c>
      <c r="G3" s="15"/>
      <c r="O3" s="12"/>
    </row>
    <row r="4" spans="1:29" s="4" customFormat="1" x14ac:dyDescent="0.3">
      <c r="G4" s="17"/>
      <c r="H4" s="17"/>
      <c r="I4" s="17"/>
      <c r="J4" s="17"/>
      <c r="L4" s="17"/>
      <c r="M4" s="17"/>
      <c r="N4" s="17"/>
      <c r="O4" s="17"/>
      <c r="P4" s="17"/>
      <c r="R4" s="17"/>
      <c r="T4" s="17"/>
      <c r="V4" s="150"/>
      <c r="W4" s="17"/>
      <c r="X4" s="17"/>
      <c r="Y4" s="17"/>
      <c r="AC4" s="16"/>
    </row>
    <row r="5" spans="1:29" x14ac:dyDescent="0.3">
      <c r="E5" s="12"/>
      <c r="G5" s="12"/>
      <c r="H5" s="12"/>
      <c r="J5" s="15"/>
      <c r="L5" s="15"/>
    </row>
    <row r="6" spans="1:29" s="4" customFormat="1" x14ac:dyDescent="0.3">
      <c r="G6" s="15"/>
      <c r="H6" s="9"/>
      <c r="I6" s="129"/>
      <c r="J6" s="129"/>
      <c r="L6" s="129"/>
      <c r="M6" s="129"/>
      <c r="N6" s="129"/>
      <c r="O6" s="129"/>
      <c r="P6" s="129"/>
      <c r="R6" s="129"/>
      <c r="T6" s="17"/>
      <c r="V6" s="149"/>
    </row>
    <row r="7" spans="1:29" s="4" customFormat="1" x14ac:dyDescent="0.3">
      <c r="D7" s="2000" t="s">
        <v>1630</v>
      </c>
      <c r="E7" s="2000" t="s">
        <v>1631</v>
      </c>
      <c r="G7" s="249" t="s">
        <v>1581</v>
      </c>
      <c r="H7" s="2000"/>
      <c r="I7" s="242" t="s">
        <v>1632</v>
      </c>
      <c r="J7" s="2000" t="s">
        <v>156</v>
      </c>
      <c r="L7" s="2000" t="s">
        <v>156</v>
      </c>
      <c r="M7" s="2000" t="s">
        <v>156</v>
      </c>
      <c r="N7" s="2000" t="s">
        <v>156</v>
      </c>
      <c r="O7" s="2000" t="s">
        <v>156</v>
      </c>
      <c r="P7" s="2000" t="s">
        <v>156</v>
      </c>
      <c r="R7" s="2000" t="s">
        <v>156</v>
      </c>
      <c r="T7" s="2000" t="s">
        <v>156</v>
      </c>
      <c r="V7" s="2000" t="s">
        <v>1633</v>
      </c>
    </row>
    <row r="8" spans="1:29" s="4" customFormat="1" x14ac:dyDescent="0.3">
      <c r="D8" s="118" t="s">
        <v>1634</v>
      </c>
      <c r="E8" s="118" t="s">
        <v>1393</v>
      </c>
      <c r="G8" s="97" t="s">
        <v>1585</v>
      </c>
      <c r="H8" s="118" t="s">
        <v>1586</v>
      </c>
      <c r="I8" s="17" t="s">
        <v>1587</v>
      </c>
      <c r="J8" s="118" t="s">
        <v>1635</v>
      </c>
      <c r="L8" s="118" t="s">
        <v>1223</v>
      </c>
      <c r="M8" s="118" t="s">
        <v>1636</v>
      </c>
      <c r="N8" s="118" t="s">
        <v>1338</v>
      </c>
      <c r="O8" s="118" t="s">
        <v>2223</v>
      </c>
      <c r="P8" s="118" t="s">
        <v>1637</v>
      </c>
      <c r="R8" s="118" t="s">
        <v>1638</v>
      </c>
      <c r="T8" s="118" t="s">
        <v>1639</v>
      </c>
      <c r="V8" s="118" t="s">
        <v>1640</v>
      </c>
    </row>
    <row r="9" spans="1:29" s="4" customFormat="1" x14ac:dyDescent="0.3">
      <c r="D9" s="118" t="s">
        <v>1641</v>
      </c>
      <c r="E9" s="118" t="s">
        <v>139</v>
      </c>
      <c r="G9" s="97" t="s">
        <v>139</v>
      </c>
      <c r="H9" s="118" t="s">
        <v>139</v>
      </c>
      <c r="I9" s="17" t="s">
        <v>139</v>
      </c>
      <c r="J9" s="118" t="s">
        <v>139</v>
      </c>
      <c r="L9" s="118" t="s">
        <v>1470</v>
      </c>
      <c r="M9" s="118" t="s">
        <v>1470</v>
      </c>
      <c r="N9" s="118" t="s">
        <v>1470</v>
      </c>
      <c r="O9" s="118" t="s">
        <v>1470</v>
      </c>
      <c r="P9" s="118" t="s">
        <v>1470</v>
      </c>
      <c r="R9" s="118" t="s">
        <v>1470</v>
      </c>
      <c r="T9" s="118" t="s">
        <v>1470</v>
      </c>
      <c r="V9" s="118" t="s">
        <v>1642</v>
      </c>
    </row>
    <row r="10" spans="1:29" s="4" customFormat="1" x14ac:dyDescent="0.3">
      <c r="A10" s="291"/>
      <c r="B10" s="291"/>
      <c r="C10" s="203" t="s">
        <v>1346</v>
      </c>
      <c r="D10" s="1283"/>
      <c r="E10" s="290" t="s">
        <v>1643</v>
      </c>
      <c r="G10" s="522" t="s">
        <v>1644</v>
      </c>
      <c r="H10" s="290" t="s">
        <v>1644</v>
      </c>
      <c r="I10" s="523" t="s">
        <v>1644</v>
      </c>
      <c r="J10" s="524" t="s">
        <v>1645</v>
      </c>
      <c r="L10" s="524" t="s">
        <v>1592</v>
      </c>
      <c r="M10" s="524" t="s">
        <v>1592</v>
      </c>
      <c r="N10" s="524" t="s">
        <v>1592</v>
      </c>
      <c r="O10" s="524" t="s">
        <v>1592</v>
      </c>
      <c r="P10" s="524" t="s">
        <v>2224</v>
      </c>
      <c r="R10" s="524" t="s">
        <v>200</v>
      </c>
      <c r="T10" s="524" t="s">
        <v>2226</v>
      </c>
      <c r="V10" s="670" t="s">
        <v>1646</v>
      </c>
    </row>
    <row r="11" spans="1:29" x14ac:dyDescent="0.3">
      <c r="A11" s="4" t="s">
        <v>1228</v>
      </c>
      <c r="D11" s="106"/>
      <c r="E11" s="102"/>
      <c r="G11" s="455"/>
      <c r="H11" s="2027"/>
      <c r="I11" s="207"/>
      <c r="J11" s="2027"/>
      <c r="L11" s="2027"/>
      <c r="N11" s="2027"/>
      <c r="O11" s="2027"/>
      <c r="P11" s="2027"/>
      <c r="R11" s="2027"/>
      <c r="T11" s="2027"/>
      <c r="V11" s="2028"/>
    </row>
    <row r="12" spans="1:29" x14ac:dyDescent="0.3">
      <c r="B12" s="9" t="str">
        <f>'1.2 Budgeted Enrollment YR1'!E9</f>
        <v>Carson City</v>
      </c>
      <c r="D12" s="1284" t="str">
        <f>IF('2.9 PCFP Funding Comparison YR1'!K8="Yes","PCFP","FY 2020 Baseline")</f>
        <v>PCFP</v>
      </c>
      <c r="E12" s="375">
        <f>ROUND(IF(D12="PCFP",'2.8 Alloc of Residual Rev. YR1'!G14,('2.9 PCFP Funding Comparison YR1'!R8-SUM(J12,P12,R12))),0)</f>
        <v>70657231</v>
      </c>
      <c r="F12" s="8"/>
      <c r="G12" s="380">
        <f>ROUND(IF(D12="PCFP",'2.8 Alloc of Residual Rev. YR1'!J14,('1.4 FY 2020 Revenue Received'!S8/2)+'1.4 FY 2020 Revenue Received'!T8),0)</f>
        <v>3310632</v>
      </c>
      <c r="H12" s="375">
        <f>ROUND(IF(D12="PCFP",'2.8 Alloc of Residual Rev. YR1'!K14,('1.4 FY 2020 Revenue Received'!S8/2)+'1.4 FY 2020 Revenue Received'!U8),0)</f>
        <v>729565</v>
      </c>
      <c r="I12" s="385">
        <f>ROUND(IF(D12="PCFP",'2.8 Alloc of Residual Rev. YR1'!L14,'1.4 FY 2020 Revenue Received'!V8),0)</f>
        <v>322574</v>
      </c>
      <c r="J12" s="375">
        <f>ROUND(SUM(G12:I12),0)</f>
        <v>4362771</v>
      </c>
      <c r="K12" s="8"/>
      <c r="L12" s="375">
        <f>ROUND(IF(D12="PCFP",SUM('2.1 Auxiliary Services YR1'!D12:E12),'1.4 FY 2020 Revenue Received'!W8),0)</f>
        <v>2868747</v>
      </c>
      <c r="M12" s="375">
        <f>ROUND('2.1 Auxiliary Services YR1'!F12,0)</f>
        <v>0</v>
      </c>
      <c r="N12" s="375">
        <f>ROUND(IF($D$12="PCFP",SUM('2.1 Auxiliary Services YR1'!G12:H12),'1.4 FY 2020 Revenue Received'!X8),0)</f>
        <v>334457</v>
      </c>
      <c r="O12" s="375"/>
      <c r="P12" s="375">
        <f>ROUND(SUM(L12:O12),2)</f>
        <v>3203204</v>
      </c>
      <c r="Q12" s="8"/>
      <c r="R12" s="354">
        <f>ROUND(IF(D12="PCFP",'2.8 Alloc of Residual Rev. YR1'!I14,'1.4 FY 2020 Revenue Received'!Y8),0)</f>
        <v>6741119</v>
      </c>
      <c r="S12" s="8"/>
      <c r="T12" s="394">
        <f>ROUND(E12+J12+P12+R12,2)</f>
        <v>84964325</v>
      </c>
      <c r="U12" s="8"/>
      <c r="V12" s="394">
        <f>T12-'2.9 PCFP Funding Comparison YR1'!H8</f>
        <v>12130148</v>
      </c>
      <c r="W12" s="131">
        <f>IF(D12="PCFP",'2.9 PCFP Funding Comparison YR1'!Q8,'2.9 PCFP Funding Comparison YR1'!R8)-T12</f>
        <v>0</v>
      </c>
    </row>
    <row r="13" spans="1:29" x14ac:dyDescent="0.3">
      <c r="B13" s="9" t="str">
        <f>'1.2 Budgeted Enrollment YR1'!E10</f>
        <v>Churchill</v>
      </c>
      <c r="D13" s="1284" t="str">
        <f>IF('2.9 PCFP Funding Comparison YR1'!K9="Yes","PCFP","FY 2020 Baseline")</f>
        <v>PCFP</v>
      </c>
      <c r="E13" s="375">
        <f>ROUND(IF(D13="PCFP",'2.8 Alloc of Residual Rev. YR1'!G15,('2.9 PCFP Funding Comparison YR1'!R9-SUM(J13,P13,R13))),0)</f>
        <v>33151831</v>
      </c>
      <c r="F13" s="8"/>
      <c r="G13" s="380">
        <f>ROUND(IF(D13="PCFP",'2.8 Alloc of Residual Rev. YR1'!J15,('1.4 FY 2020 Revenue Received'!S9/2)+'1.4 FY 2020 Revenue Received'!T9),0)</f>
        <v>483862</v>
      </c>
      <c r="H13" s="375">
        <f>ROUND(IF(D13="PCFP",'2.8 Alloc of Residual Rev. YR1'!K15,('1.4 FY 2020 Revenue Received'!S9/2)+'1.4 FY 2020 Revenue Received'!U9),0)</f>
        <v>287204</v>
      </c>
      <c r="I13" s="385">
        <f>ROUND(IF(D13="PCFP",'2.8 Alloc of Residual Rev. YR1'!L15,'1.4 FY 2020 Revenue Received'!V9),0)</f>
        <v>0</v>
      </c>
      <c r="J13" s="375">
        <f t="shared" ref="J13:J28" si="0">ROUND(SUM(G13:I13),0)</f>
        <v>771066</v>
      </c>
      <c r="K13" s="8"/>
      <c r="L13" s="375">
        <f>ROUND(IF(D13="PCFP",SUM('2.1 Auxiliary Services YR1'!D13:E13),'1.4 FY 2020 Revenue Received'!W9),0)</f>
        <v>1665797</v>
      </c>
      <c r="M13" s="375">
        <f>ROUND('2.1 Auxiliary Services YR1'!F13,0)</f>
        <v>0</v>
      </c>
      <c r="N13" s="375">
        <f>ROUND(IF(D13="PCFP",SUM('2.1 Auxiliary Services YR1'!G13:H13),'1.4 FY 2020 Revenue Received'!X9),0)</f>
        <v>0</v>
      </c>
      <c r="O13" s="375"/>
      <c r="P13" s="375">
        <f t="shared" ref="P13:P28" si="1">ROUND(SUM(L13:O13),2)</f>
        <v>1665797</v>
      </c>
      <c r="Q13" s="8"/>
      <c r="R13" s="354">
        <f>ROUND(IF(D13="PCFP",'2.8 Alloc of Residual Rev. YR1'!I15,'1.4 FY 2020 Revenue Received'!Y9),0)</f>
        <v>2215685</v>
      </c>
      <c r="S13" s="8"/>
      <c r="T13" s="394">
        <f t="shared" ref="T13:T32" si="2">ROUND(E13+J13+P13+R13,2)</f>
        <v>37804379</v>
      </c>
      <c r="U13" s="8"/>
      <c r="V13" s="394">
        <f>T13-'2.9 PCFP Funding Comparison YR1'!H9</f>
        <v>8411500</v>
      </c>
      <c r="W13" s="131">
        <f>IF(D13="PCFP",'2.9 PCFP Funding Comparison YR1'!Q9,'2.9 PCFP Funding Comparison YR1'!R9)-T13</f>
        <v>0</v>
      </c>
    </row>
    <row r="14" spans="1:29" x14ac:dyDescent="0.3">
      <c r="B14" s="9" t="str">
        <f>'1.2 Budgeted Enrollment YR1'!E11</f>
        <v>Clark</v>
      </c>
      <c r="D14" s="1284" t="str">
        <f>IF('2.9 PCFP Funding Comparison YR1'!K10="Yes","PCFP","FY 2020 Baseline")</f>
        <v>PCFP</v>
      </c>
      <c r="E14" s="375">
        <f>ROUND(IF(D14="PCFP",'2.8 Alloc of Residual Rev. YR1'!G16,('2.9 PCFP Funding Comparison YR1'!R10-SUM(J14,P14,R14))),0)</f>
        <v>2720666567</v>
      </c>
      <c r="F14" s="8"/>
      <c r="G14" s="380">
        <f>ROUND(IF(D14="PCFP",'2.8 Alloc of Residual Rev. YR1'!J16,('1.4 FY 2020 Revenue Received'!S10/2)+'1.4 FY 2020 Revenue Received'!T10),0)</f>
        <v>164801563</v>
      </c>
      <c r="H14" s="375">
        <f>ROUND(IF(D14="PCFP",'2.8 Alloc of Residual Rev. YR1'!K16,('1.4 FY 2020 Revenue Received'!S10/2)+'1.4 FY 2020 Revenue Received'!U10),0)</f>
        <v>137574209</v>
      </c>
      <c r="I14" s="385">
        <f>ROUND(IF(D14="PCFP",'2.8 Alloc of Residual Rev. YR1'!L16,'1.4 FY 2020 Revenue Received'!V10),0)</f>
        <v>6152682</v>
      </c>
      <c r="J14" s="375">
        <f t="shared" si="0"/>
        <v>308528454</v>
      </c>
      <c r="K14" s="8"/>
      <c r="L14" s="375">
        <f>ROUND(IF(D14="PCFP",SUM('2.1 Auxiliary Services YR1'!D14:E14),'1.4 FY 2020 Revenue Received'!W10),0)</f>
        <v>135130854</v>
      </c>
      <c r="M14" s="375">
        <f>ROUND('2.1 Auxiliary Services YR1'!F14,0)</f>
        <v>0</v>
      </c>
      <c r="N14" s="375">
        <f>ROUND(IF(D14="PCFP",SUM('2.1 Auxiliary Services YR1'!G14:H14),'1.4 FY 2020 Revenue Received'!X10),0)</f>
        <v>0</v>
      </c>
      <c r="O14" s="375"/>
      <c r="P14" s="375">
        <f t="shared" si="1"/>
        <v>135130854</v>
      </c>
      <c r="Q14" s="8"/>
      <c r="R14" s="354">
        <f>ROUND(IF(D14="PCFP",'2.8 Alloc of Residual Rev. YR1'!I16,'1.4 FY 2020 Revenue Received'!Y10),0)</f>
        <v>453025801</v>
      </c>
      <c r="S14" s="8"/>
      <c r="T14" s="394">
        <f t="shared" si="2"/>
        <v>3617351676</v>
      </c>
      <c r="U14" s="8"/>
      <c r="V14" s="394">
        <f>T14-'2.9 PCFP Funding Comparison YR1'!H10</f>
        <v>1032864176</v>
      </c>
      <c r="W14" s="131">
        <f>IF(D14="PCFP",'2.9 PCFP Funding Comparison YR1'!Q10,'2.9 PCFP Funding Comparison YR1'!R10)-T14</f>
        <v>0</v>
      </c>
    </row>
    <row r="15" spans="1:29" x14ac:dyDescent="0.3">
      <c r="B15" s="9" t="str">
        <f>'1.2 Budgeted Enrollment YR1'!E12</f>
        <v>Douglas</v>
      </c>
      <c r="D15" s="1284" t="str">
        <f>IF('2.9 PCFP Funding Comparison YR1'!K11="Yes","PCFP","FY 2020 Baseline")</f>
        <v>PCFP</v>
      </c>
      <c r="E15" s="375">
        <f>ROUND(IF(D15="PCFP",'2.8 Alloc of Residual Rev. YR1'!G17,('2.9 PCFP Funding Comparison YR1'!R11-SUM(J15,P15,R15))),0)</f>
        <v>50969723</v>
      </c>
      <c r="F15" s="8"/>
      <c r="G15" s="380">
        <f>ROUND(IF(D15="PCFP",'2.8 Alloc of Residual Rev. YR1'!J17,('1.4 FY 2020 Revenue Received'!S11/2)+'1.4 FY 2020 Revenue Received'!T11),0)</f>
        <v>683348</v>
      </c>
      <c r="H15" s="375">
        <f>ROUND(IF(D15="PCFP",'2.8 Alloc of Residual Rev. YR1'!K17,('1.4 FY 2020 Revenue Received'!S11/2)+'1.4 FY 2020 Revenue Received'!U11),0)</f>
        <v>475373</v>
      </c>
      <c r="I15" s="385">
        <f>ROUND(IF(D15="PCFP",'2.8 Alloc of Residual Rev. YR1'!L17,'1.4 FY 2020 Revenue Received'!V11),0)</f>
        <v>133557</v>
      </c>
      <c r="J15" s="375">
        <f t="shared" si="0"/>
        <v>1292278</v>
      </c>
      <c r="K15" s="8"/>
      <c r="L15" s="375">
        <f>ROUND(IF(D15="PCFP",SUM('2.1 Auxiliary Services YR1'!D15:E15),'1.4 FY 2020 Revenue Received'!W11),0)</f>
        <v>3977265</v>
      </c>
      <c r="M15" s="375">
        <f>ROUND('2.1 Auxiliary Services YR1'!F15,0)</f>
        <v>0</v>
      </c>
      <c r="N15" s="375">
        <f>ROUND(IF(D15="PCFP",SUM('2.1 Auxiliary Services YR1'!G15:H15),'1.4 FY 2020 Revenue Received'!X11),0)</f>
        <v>0</v>
      </c>
      <c r="O15" s="375"/>
      <c r="P15" s="375">
        <f t="shared" si="1"/>
        <v>3977265</v>
      </c>
      <c r="Q15" s="8"/>
      <c r="R15" s="354">
        <f>ROUND(IF(D15="PCFP",'2.8 Alloc of Residual Rev. YR1'!I17,'1.4 FY 2020 Revenue Received'!Y11),0)</f>
        <v>5428400</v>
      </c>
      <c r="S15" s="8"/>
      <c r="T15" s="394">
        <f t="shared" si="2"/>
        <v>61667666</v>
      </c>
      <c r="U15" s="8"/>
      <c r="V15" s="394">
        <f>T15-'2.9 PCFP Funding Comparison YR1'!H11</f>
        <v>4921640</v>
      </c>
      <c r="W15" s="131">
        <f>IF(D15="PCFP",'2.9 PCFP Funding Comparison YR1'!Q11,'2.9 PCFP Funding Comparison YR1'!R11)-T15</f>
        <v>0</v>
      </c>
    </row>
    <row r="16" spans="1:29" x14ac:dyDescent="0.3">
      <c r="B16" s="9" t="str">
        <f>'1.2 Budgeted Enrollment YR1'!E13</f>
        <v>Elko</v>
      </c>
      <c r="D16" s="1284" t="str">
        <f>IF('2.9 PCFP Funding Comparison YR1'!K12="Yes","PCFP","FY 2020 Baseline")</f>
        <v>PCFP</v>
      </c>
      <c r="E16" s="375">
        <f>ROUND(IF(D16="PCFP",'2.8 Alloc of Residual Rev. YR1'!G18,('2.9 PCFP Funding Comparison YR1'!R12-SUM(J16,P16,R16))),0)</f>
        <v>107837710</v>
      </c>
      <c r="F16" s="8"/>
      <c r="G16" s="380">
        <f>ROUND(IF(D16="PCFP",'2.8 Alloc of Residual Rev. YR1'!J18,('1.4 FY 2020 Revenue Received'!S12/2)+'1.4 FY 2020 Revenue Received'!T12),0)</f>
        <v>2839504</v>
      </c>
      <c r="H16" s="375">
        <f>ROUND(IF(D16="PCFP",'2.8 Alloc of Residual Rev. YR1'!K18,('1.4 FY 2020 Revenue Received'!S12/2)+'1.4 FY 2020 Revenue Received'!U12),0)</f>
        <v>1492142</v>
      </c>
      <c r="I16" s="385">
        <f>ROUND(IF(D16="PCFP",'2.8 Alloc of Residual Rev. YR1'!L18,'1.4 FY 2020 Revenue Received'!V12),0)</f>
        <v>43010</v>
      </c>
      <c r="J16" s="375">
        <f t="shared" si="0"/>
        <v>4374656</v>
      </c>
      <c r="K16" s="8"/>
      <c r="L16" s="375">
        <f>ROUND(IF(D16="PCFP",SUM('2.1 Auxiliary Services YR1'!D16:E16),'1.4 FY 2020 Revenue Received'!W12),0)</f>
        <v>5601775</v>
      </c>
      <c r="M16" s="375">
        <f>ROUND('2.1 Auxiliary Services YR1'!F16,0)</f>
        <v>0</v>
      </c>
      <c r="N16" s="375">
        <f>ROUND(IF(D16="PCFP",SUM('2.1 Auxiliary Services YR1'!G16:H16),'1.4 FY 2020 Revenue Received'!X12),0)</f>
        <v>350372</v>
      </c>
      <c r="O16" s="375"/>
      <c r="P16" s="375">
        <f t="shared" si="1"/>
        <v>5952147</v>
      </c>
      <c r="Q16" s="8"/>
      <c r="R16" s="354">
        <f>ROUND(IF(D16="PCFP",'2.8 Alloc of Residual Rev. YR1'!I18,'1.4 FY 2020 Revenue Received'!Y12),0)</f>
        <v>6815778</v>
      </c>
      <c r="S16" s="8"/>
      <c r="T16" s="394">
        <f t="shared" si="2"/>
        <v>124980291</v>
      </c>
      <c r="U16" s="8"/>
      <c r="V16" s="394">
        <f>T16-'2.9 PCFP Funding Comparison YR1'!H12</f>
        <v>22646345</v>
      </c>
      <c r="W16" s="131">
        <f>IF(D16="PCFP",'2.9 PCFP Funding Comparison YR1'!Q12,'2.9 PCFP Funding Comparison YR1'!R12)-T16</f>
        <v>0</v>
      </c>
    </row>
    <row r="17" spans="1:24" x14ac:dyDescent="0.3">
      <c r="B17" s="9" t="str">
        <f>'1.2 Budgeted Enrollment YR1'!E14</f>
        <v>Esmeralda</v>
      </c>
      <c r="D17" s="1284" t="str">
        <f>IF('2.9 PCFP Funding Comparison YR1'!K13="Yes","PCFP","FY 2020 Baseline")</f>
        <v>FY 2020 Baseline</v>
      </c>
      <c r="E17" s="375">
        <f>ROUND(IF(D17="PCFP",'2.8 Alloc of Residual Rev. YR1'!G19,('2.9 PCFP Funding Comparison YR1'!R13-SUM(J17,L17,N17,R17))),0)</f>
        <v>2539542</v>
      </c>
      <c r="F17" s="8"/>
      <c r="G17" s="380">
        <f>ROUND(IF(D17="PCFP",'2.8 Alloc of Residual Rev. YR1'!J19,('1.4 FY 2020 Revenue Received'!S13/2)+'1.4 FY 2020 Revenue Received'!T13),0)</f>
        <v>17430</v>
      </c>
      <c r="H17" s="375">
        <f>ROUND(IF(D17="PCFP",'2.8 Alloc of Residual Rev. YR1'!K19,('1.4 FY 2020 Revenue Received'!S13/2)+'1.4 FY 2020 Revenue Received'!U13),0)</f>
        <v>8400</v>
      </c>
      <c r="I17" s="385">
        <f>ROUND(IF(D17="PCFP",'2.8 Alloc of Residual Rev. YR1'!L19,'1.4 FY 2020 Revenue Received'!V13),0)</f>
        <v>0</v>
      </c>
      <c r="J17" s="375">
        <f t="shared" si="0"/>
        <v>25830</v>
      </c>
      <c r="K17" s="8"/>
      <c r="L17" s="375">
        <f>ROUND(IF(D17="PCFP",SUM('2.1 Auxiliary Services YR1'!D17:E17),'1.4 FY 2020 Revenue Received'!W13),0)</f>
        <v>328550</v>
      </c>
      <c r="M17" s="375">
        <f>ROUND('2.1 Auxiliary Services YR1'!F17,0)</f>
        <v>0</v>
      </c>
      <c r="N17" s="375">
        <f>ROUND(IF(D17="PCFP",SUM('2.1 Auxiliary Services YR1'!G17:H17),'1.4 FY 2020 Revenue Received'!X13),0)</f>
        <v>49284</v>
      </c>
      <c r="O17" s="375"/>
      <c r="P17" s="375">
        <f t="shared" si="1"/>
        <v>377834</v>
      </c>
      <c r="Q17" s="8"/>
      <c r="R17" s="354">
        <f>ROUND(IF(D17="PCFP",'2.8 Alloc of Residual Rev. YR1'!I19,'1.4 FY 2020 Revenue Received'!Y13),0)</f>
        <v>44620</v>
      </c>
      <c r="S17" s="8"/>
      <c r="T17" s="394">
        <f>ROUND(E17+J17+P17+R17,2)</f>
        <v>2987826</v>
      </c>
      <c r="U17" s="8"/>
      <c r="V17" s="394">
        <f>T17-'2.9 PCFP Funding Comparison YR1'!H13</f>
        <v>367898</v>
      </c>
      <c r="W17" s="131">
        <f>IF(D17="PCFP",'2.9 PCFP Funding Comparison YR1'!Q13,'2.9 PCFP Funding Comparison YR1'!R13)-T17</f>
        <v>0</v>
      </c>
    </row>
    <row r="18" spans="1:24" x14ac:dyDescent="0.3">
      <c r="B18" s="9" t="str">
        <f>'1.2 Budgeted Enrollment YR1'!E15</f>
        <v>Eureka</v>
      </c>
      <c r="D18" s="1284" t="str">
        <f>IF('2.9 PCFP Funding Comparison YR1'!K14="Yes","PCFP","FY 2020 Baseline")</f>
        <v>FY 2020 Baseline</v>
      </c>
      <c r="E18" s="375">
        <f>ROUND(IF(D18="PCFP",'2.8 Alloc of Residual Rev. YR1'!G20,('2.9 PCFP Funding Comparison YR1'!R14-SUM(J18,L18,N18,R18))),0)</f>
        <v>10660786</v>
      </c>
      <c r="F18" s="8"/>
      <c r="G18" s="380">
        <f>ROUND(IF(D18="PCFP",'2.8 Alloc of Residual Rev. YR1'!J20,('1.4 FY 2020 Revenue Received'!S14/2)+'1.4 FY 2020 Revenue Received'!T14),0)</f>
        <v>10230</v>
      </c>
      <c r="H18" s="375">
        <f>ROUND(IF(D18="PCFP",'2.8 Alloc of Residual Rev. YR1'!K20,('1.4 FY 2020 Revenue Received'!S14/2)+'1.4 FY 2020 Revenue Received'!U14),0)</f>
        <v>1200</v>
      </c>
      <c r="I18" s="385">
        <f>ROUND(IF(D18="PCFP",'2.8 Alloc of Residual Rev. YR1'!L20,'1.4 FY 2020 Revenue Received'!V14),0)</f>
        <v>0</v>
      </c>
      <c r="J18" s="375">
        <f t="shared" si="0"/>
        <v>11430</v>
      </c>
      <c r="K18" s="8"/>
      <c r="L18" s="375">
        <f>ROUND(IF(D18="PCFP",SUM('2.1 Auxiliary Services YR1'!D18:E18),'1.4 FY 2020 Revenue Received'!W14),0)</f>
        <v>434259</v>
      </c>
      <c r="M18" s="375">
        <f>ROUND('2.1 Auxiliary Services YR1'!F18,0)</f>
        <v>0</v>
      </c>
      <c r="N18" s="375">
        <f>ROUND(IF(D18="PCFP",SUM('2.1 Auxiliary Services YR1'!G18:H18),'1.4 FY 2020 Revenue Received'!X14),0)</f>
        <v>399223</v>
      </c>
      <c r="O18" s="375"/>
      <c r="P18" s="375">
        <f t="shared" si="1"/>
        <v>833482</v>
      </c>
      <c r="Q18" s="8"/>
      <c r="R18" s="354">
        <f>ROUND(IF(D18="PCFP",'2.8 Alloc of Residual Rev. YR1'!I20,'1.4 FY 2020 Revenue Received'!Y14),0)</f>
        <v>200000</v>
      </c>
      <c r="S18" s="8"/>
      <c r="T18" s="394">
        <f t="shared" si="2"/>
        <v>11705698</v>
      </c>
      <c r="U18" s="8"/>
      <c r="V18" s="394">
        <f>T18-'2.9 PCFP Funding Comparison YR1'!H14</f>
        <v>-338997</v>
      </c>
      <c r="W18" s="131">
        <f>IF(D18="PCFP",'2.9 PCFP Funding Comparison YR1'!Q14,'2.9 PCFP Funding Comparison YR1'!R14)-T18</f>
        <v>0</v>
      </c>
    </row>
    <row r="19" spans="1:24" x14ac:dyDescent="0.3">
      <c r="B19" s="9" t="str">
        <f>'1.2 Budgeted Enrollment YR1'!E16</f>
        <v>Humboldt</v>
      </c>
      <c r="D19" s="1284" t="str">
        <f>IF('2.9 PCFP Funding Comparison YR1'!K15="Yes","PCFP","FY 2020 Baseline")</f>
        <v>PCFP</v>
      </c>
      <c r="E19" s="375">
        <f>ROUND(IF(D19="PCFP",'2.8 Alloc of Residual Rev. YR1'!G21,('2.9 PCFP Funding Comparison YR1'!R15-SUM(J19,P19,R19))),0)</f>
        <v>36425116</v>
      </c>
      <c r="F19" s="8"/>
      <c r="G19" s="380">
        <f>ROUND(IF(D19="PCFP",'2.8 Alloc of Residual Rev. YR1'!J21,('1.4 FY 2020 Revenue Received'!S15/2)+'1.4 FY 2020 Revenue Received'!T15),0)</f>
        <v>836147</v>
      </c>
      <c r="H19" s="375">
        <f>ROUND(IF(D19="PCFP",'2.8 Alloc of Residual Rev. YR1'!K21,('1.4 FY 2020 Revenue Received'!S15/2)+'1.4 FY 2020 Revenue Received'!U15),0)</f>
        <v>349927</v>
      </c>
      <c r="I19" s="385">
        <f>ROUND(IF(D19="PCFP",'2.8 Alloc of Residual Rev. YR1'!L21,'1.4 FY 2020 Revenue Received'!V15),0)</f>
        <v>0</v>
      </c>
      <c r="J19" s="375">
        <f t="shared" si="0"/>
        <v>1186074</v>
      </c>
      <c r="K19" s="8"/>
      <c r="L19" s="375">
        <f>ROUND(IF(D19="PCFP",SUM('2.1 Auxiliary Services YR1'!D19:E19),'1.4 FY 2020 Revenue Received'!W15),0)</f>
        <v>2016344</v>
      </c>
      <c r="M19" s="375">
        <f>ROUND('2.1 Auxiliary Services YR1'!F19,0)</f>
        <v>0</v>
      </c>
      <c r="N19" s="375">
        <f>ROUND(IF(D19="PCFP",SUM('2.1 Auxiliary Services YR1'!G19:H19),'1.4 FY 2020 Revenue Received'!X15),0)</f>
        <v>4765</v>
      </c>
      <c r="O19" s="375"/>
      <c r="P19" s="375">
        <f t="shared" si="1"/>
        <v>2021109</v>
      </c>
      <c r="Q19" s="8"/>
      <c r="R19" s="354">
        <f>ROUND(IF(D19="PCFP",'2.8 Alloc of Residual Rev. YR1'!I21,'1.4 FY 2020 Revenue Received'!Y15),0)</f>
        <v>3147883</v>
      </c>
      <c r="S19" s="8"/>
      <c r="T19" s="394">
        <f t="shared" si="2"/>
        <v>42780182</v>
      </c>
      <c r="U19" s="8"/>
      <c r="V19" s="394">
        <f>T19-'2.9 PCFP Funding Comparison YR1'!H15</f>
        <v>4676691</v>
      </c>
      <c r="W19" s="131">
        <f>IF(D19="PCFP",'2.9 PCFP Funding Comparison YR1'!Q15,'2.9 PCFP Funding Comparison YR1'!R15)-T19</f>
        <v>0</v>
      </c>
    </row>
    <row r="20" spans="1:24" x14ac:dyDescent="0.3">
      <c r="B20" s="9" t="str">
        <f>'1.2 Budgeted Enrollment YR1'!E17</f>
        <v>Lander</v>
      </c>
      <c r="D20" s="1284" t="str">
        <f>IF('2.9 PCFP Funding Comparison YR1'!K16="Yes","PCFP","FY 2020 Baseline")</f>
        <v>PCFP</v>
      </c>
      <c r="E20" s="375">
        <f>ROUND(IF(D20="PCFP",'2.8 Alloc of Residual Rev. YR1'!G22,('2.9 PCFP Funding Comparison YR1'!R16-SUM(J20,P20,R20))),0)</f>
        <v>13704383</v>
      </c>
      <c r="F20" s="8"/>
      <c r="G20" s="380">
        <f>ROUND(IF(D20="PCFP",'2.8 Alloc of Residual Rev. YR1'!J22,('1.4 FY 2020 Revenue Received'!S16/2)+'1.4 FY 2020 Revenue Received'!T16),0)</f>
        <v>165532</v>
      </c>
      <c r="H20" s="375">
        <f>ROUND(IF(D20="PCFP",'2.8 Alloc of Residual Rev. YR1'!K22,('1.4 FY 2020 Revenue Received'!S16/2)+'1.4 FY 2020 Revenue Received'!U16),0)</f>
        <v>260795</v>
      </c>
      <c r="I20" s="385">
        <f>ROUND(IF(D20="PCFP",'2.8 Alloc of Residual Rev. YR1'!L22,'1.4 FY 2020 Revenue Received'!V16),0)</f>
        <v>0</v>
      </c>
      <c r="J20" s="375">
        <f t="shared" si="0"/>
        <v>426327</v>
      </c>
      <c r="K20" s="8"/>
      <c r="L20" s="375">
        <f>ROUND(IF(D20="PCFP",SUM('2.1 Auxiliary Services YR1'!D20:E20),'1.4 FY 2020 Revenue Received'!W16),0)</f>
        <v>400471</v>
      </c>
      <c r="M20" s="375">
        <f>ROUND('2.1 Auxiliary Services YR1'!F20,0)</f>
        <v>0</v>
      </c>
      <c r="N20" s="375">
        <f>ROUND(IF(D20="PCFP",SUM('2.1 Auxiliary Services YR1'!G20:H20),'1.4 FY 2020 Revenue Received'!X16),0)</f>
        <v>15558</v>
      </c>
      <c r="O20" s="375"/>
      <c r="P20" s="375">
        <f t="shared" si="1"/>
        <v>416029</v>
      </c>
      <c r="Q20" s="8"/>
      <c r="R20" s="354">
        <f>ROUND(IF(D20="PCFP",'2.8 Alloc of Residual Rev. YR1'!I22,'1.4 FY 2020 Revenue Received'!Y16),0)</f>
        <v>828068</v>
      </c>
      <c r="S20" s="8"/>
      <c r="T20" s="394">
        <f t="shared" si="2"/>
        <v>15374807</v>
      </c>
      <c r="U20" s="8"/>
      <c r="V20" s="394">
        <f>T20-'2.9 PCFP Funding Comparison YR1'!H16</f>
        <v>3546587</v>
      </c>
      <c r="W20" s="131">
        <f>IF(D20="PCFP",'2.9 PCFP Funding Comparison YR1'!Q16,'2.9 PCFP Funding Comparison YR1'!R16)-T20</f>
        <v>0</v>
      </c>
    </row>
    <row r="21" spans="1:24" x14ac:dyDescent="0.3">
      <c r="B21" s="9" t="str">
        <f>'1.2 Budgeted Enrollment YR1'!E18</f>
        <v>Lincoln</v>
      </c>
      <c r="D21" s="1284" t="str">
        <f>IF('2.9 PCFP Funding Comparison YR1'!K17="Yes","PCFP","FY 2020 Baseline")</f>
        <v>PCFP</v>
      </c>
      <c r="E21" s="375">
        <f>ROUND(IF(D21="PCFP",'2.8 Alloc of Residual Rev. YR1'!G23,('2.9 PCFP Funding Comparison YR1'!R17-SUM(J21,P21,R21))),0)</f>
        <v>14960332</v>
      </c>
      <c r="F21" s="8"/>
      <c r="G21" s="380">
        <f>ROUND(IF(D21="PCFP",'2.8 Alloc of Residual Rev. YR1'!J23,('1.4 FY 2020 Revenue Received'!S17/2)+'1.4 FY 2020 Revenue Received'!T17),0)</f>
        <v>33955</v>
      </c>
      <c r="H21" s="375">
        <f>ROUND(IF(D21="PCFP",'2.8 Alloc of Residual Rev. YR1'!K23,('1.4 FY 2020 Revenue Received'!S17/2)+'1.4 FY 2020 Revenue Received'!U17),0)</f>
        <v>135349</v>
      </c>
      <c r="I21" s="385">
        <f>ROUND(IF(D21="PCFP",'2.8 Alloc of Residual Rev. YR1'!L23,'1.4 FY 2020 Revenue Received'!V17),0)</f>
        <v>0</v>
      </c>
      <c r="J21" s="375">
        <f t="shared" si="0"/>
        <v>169304</v>
      </c>
      <c r="K21" s="8"/>
      <c r="L21" s="375">
        <f>ROUND(IF(D21="PCFP",SUM('2.1 Auxiliary Services YR1'!D21:E21),'1.4 FY 2020 Revenue Received'!W17),0)</f>
        <v>635350</v>
      </c>
      <c r="M21" s="375">
        <f>ROUND('2.1 Auxiliary Services YR1'!F21,0)</f>
        <v>0</v>
      </c>
      <c r="N21" s="375">
        <f>ROUND(IF(D21="PCFP",SUM('2.1 Auxiliary Services YR1'!G21:H21),'1.4 FY 2020 Revenue Received'!X17),0)</f>
        <v>66961</v>
      </c>
      <c r="O21" s="375"/>
      <c r="P21" s="375">
        <f t="shared" si="1"/>
        <v>702311</v>
      </c>
      <c r="Q21" s="8"/>
      <c r="R21" s="354">
        <f>ROUND(IF(D21="PCFP",'2.8 Alloc of Residual Rev. YR1'!I23,'1.4 FY 2020 Revenue Received'!Y17),0)</f>
        <v>0</v>
      </c>
      <c r="S21" s="8"/>
      <c r="T21" s="394">
        <f t="shared" si="2"/>
        <v>15831947</v>
      </c>
      <c r="U21" s="8"/>
      <c r="V21" s="394">
        <f>T21-'2.9 PCFP Funding Comparison YR1'!H17</f>
        <v>3110209</v>
      </c>
      <c r="W21" s="131">
        <f>IF(D21="PCFP",'2.9 PCFP Funding Comparison YR1'!Q17,'2.9 PCFP Funding Comparison YR1'!R17)-T21</f>
        <v>0</v>
      </c>
    </row>
    <row r="22" spans="1:24" x14ac:dyDescent="0.3">
      <c r="B22" s="9" t="str">
        <f>'1.2 Budgeted Enrollment YR1'!E19</f>
        <v>Lyon</v>
      </c>
      <c r="D22" s="1284" t="str">
        <f>IF('2.9 PCFP Funding Comparison YR1'!K18="Yes","PCFP","FY 2020 Baseline")</f>
        <v>PCFP</v>
      </c>
      <c r="E22" s="375">
        <f>ROUND(IF(D22="PCFP",'2.8 Alloc of Residual Rev. YR1'!G24,('2.9 PCFP Funding Comparison YR1'!R18-SUM(J22,P22,R22))),0)</f>
        <v>102835055</v>
      </c>
      <c r="F22" s="8"/>
      <c r="G22" s="380">
        <f>ROUND(IF(D22="PCFP",'2.8 Alloc of Residual Rev. YR1'!J24,('1.4 FY 2020 Revenue Received'!S18/2)+'1.4 FY 2020 Revenue Received'!T18),0)</f>
        <v>2274998</v>
      </c>
      <c r="H22" s="375">
        <f>ROUND(IF(D22="PCFP",'2.8 Alloc of Residual Rev. YR1'!K24,('1.4 FY 2020 Revenue Received'!S18/2)+'1.4 FY 2020 Revenue Received'!U18),0)</f>
        <v>1284167</v>
      </c>
      <c r="I22" s="385">
        <f>ROUND(IF(D22="PCFP",'2.8 Alloc of Residual Rev. YR1'!L24,'1.4 FY 2020 Revenue Received'!V18),0)</f>
        <v>67910</v>
      </c>
      <c r="J22" s="375">
        <f t="shared" si="0"/>
        <v>3627075</v>
      </c>
      <c r="K22" s="8"/>
      <c r="L22" s="375">
        <f>ROUND(IF(D22="PCFP",SUM('2.1 Auxiliary Services YR1'!D22:E22),'1.4 FY 2020 Revenue Received'!W18),0)</f>
        <v>5367830</v>
      </c>
      <c r="M22" s="375">
        <f>ROUND('2.1 Auxiliary Services YR1'!F22,0)</f>
        <v>0</v>
      </c>
      <c r="N22" s="375">
        <f>ROUND(IF(D22="PCFP",SUM('2.1 Auxiliary Services YR1'!G22:H22),'1.4 FY 2020 Revenue Received'!X18),0)</f>
        <v>0</v>
      </c>
      <c r="O22" s="375"/>
      <c r="P22" s="375">
        <f t="shared" si="1"/>
        <v>5367830</v>
      </c>
      <c r="Q22" s="8"/>
      <c r="R22" s="354">
        <f>ROUND(IF(D22="PCFP",'2.8 Alloc of Residual Rev. YR1'!I24,'1.4 FY 2020 Revenue Received'!Y18),0)</f>
        <v>11959030</v>
      </c>
      <c r="S22" s="8"/>
      <c r="T22" s="394">
        <f t="shared" si="2"/>
        <v>123788990</v>
      </c>
      <c r="U22" s="8"/>
      <c r="V22" s="394">
        <f>T22-'2.9 PCFP Funding Comparison YR1'!H18</f>
        <v>39412867</v>
      </c>
      <c r="W22" s="131">
        <f>IF(D22="PCFP",'2.9 PCFP Funding Comparison YR1'!Q18,'2.9 PCFP Funding Comparison YR1'!R18)-T22</f>
        <v>0</v>
      </c>
    </row>
    <row r="23" spans="1:24" x14ac:dyDescent="0.3">
      <c r="B23" s="9" t="str">
        <f>'1.2 Budgeted Enrollment YR1'!E20</f>
        <v>Mineral</v>
      </c>
      <c r="D23" s="1284" t="str">
        <f>IF('2.9 PCFP Funding Comparison YR1'!K19="Yes","PCFP","FY 2020 Baseline")</f>
        <v>PCFP</v>
      </c>
      <c r="E23" s="375">
        <f>ROUND(IF(D23="PCFP",'2.8 Alloc of Residual Rev. YR1'!G25,('2.9 PCFP Funding Comparison YR1'!R19-SUM(J23,P23,R23))),0)</f>
        <v>8413004</v>
      </c>
      <c r="F23" s="8"/>
      <c r="G23" s="380">
        <f>ROUND(IF(D23="PCFP",'2.8 Alloc of Residual Rev. YR1'!J25,('1.4 FY 2020 Revenue Received'!S19/2)+'1.4 FY 2020 Revenue Received'!T19),0)</f>
        <v>144310</v>
      </c>
      <c r="H23" s="375">
        <f>ROUND(IF(D23="PCFP",'2.8 Alloc of Residual Rev. YR1'!K25,('1.4 FY 2020 Revenue Received'!S19/2)+'1.4 FY 2020 Revenue Received'!U19),0)</f>
        <v>141952</v>
      </c>
      <c r="I23" s="385">
        <f>ROUND(IF(D23="PCFP",'2.8 Alloc of Residual Rev. YR1'!L25,'1.4 FY 2020 Revenue Received'!V19),0)</f>
        <v>0</v>
      </c>
      <c r="J23" s="375">
        <f t="shared" si="0"/>
        <v>286262</v>
      </c>
      <c r="K23" s="8"/>
      <c r="L23" s="375">
        <f>ROUND(IF(D23="PCFP",SUM('2.1 Auxiliary Services YR1'!D23:E23),'1.4 FY 2020 Revenue Received'!W19),0)</f>
        <v>388223</v>
      </c>
      <c r="M23" s="375">
        <f>ROUND('2.1 Auxiliary Services YR1'!F23,0)</f>
        <v>0</v>
      </c>
      <c r="N23" s="375">
        <f>ROUND(IF(D23="PCFP",SUM('2.1 Auxiliary Services YR1'!G23:H23),'1.4 FY 2020 Revenue Received'!X19),0)</f>
        <v>200104</v>
      </c>
      <c r="O23" s="375"/>
      <c r="P23" s="375">
        <f t="shared" si="1"/>
        <v>588327</v>
      </c>
      <c r="Q23" s="8"/>
      <c r="R23" s="354">
        <f>ROUND(IF(D23="PCFP",'2.8 Alloc of Residual Rev. YR1'!I25,'1.4 FY 2020 Revenue Received'!Y19),0)</f>
        <v>110574</v>
      </c>
      <c r="S23" s="8"/>
      <c r="T23" s="394">
        <f t="shared" si="2"/>
        <v>9398167</v>
      </c>
      <c r="U23" s="8"/>
      <c r="V23" s="394">
        <f>T23-'2.9 PCFP Funding Comparison YR1'!H19</f>
        <v>1876907</v>
      </c>
      <c r="W23" s="131">
        <f>IF(D23="PCFP",'2.9 PCFP Funding Comparison YR1'!Q19,'2.9 PCFP Funding Comparison YR1'!R19)-T23</f>
        <v>0</v>
      </c>
    </row>
    <row r="24" spans="1:24" x14ac:dyDescent="0.3">
      <c r="B24" s="9" t="str">
        <f>'1.2 Budgeted Enrollment YR1'!E21</f>
        <v>Nye</v>
      </c>
      <c r="D24" s="1284" t="str">
        <f>IF('2.9 PCFP Funding Comparison YR1'!K20="Yes","PCFP","FY 2020 Baseline")</f>
        <v>PCFP</v>
      </c>
      <c r="E24" s="375">
        <f>ROUND(IF(D24="PCFP",'2.8 Alloc of Residual Rev. YR1'!G26,('2.9 PCFP Funding Comparison YR1'!R20-SUM(J24,P24,R24))),0)</f>
        <v>62444947</v>
      </c>
      <c r="F24" s="8"/>
      <c r="G24" s="380">
        <f>ROUND(IF(D24="PCFP",'2.8 Alloc of Residual Rev. YR1'!J26,('1.4 FY 2020 Revenue Received'!S20/2)+'1.4 FY 2020 Revenue Received'!T20),0)</f>
        <v>1600139</v>
      </c>
      <c r="H24" s="375">
        <f>ROUND(IF(D24="PCFP",'2.8 Alloc of Residual Rev. YR1'!K26,('1.4 FY 2020 Revenue Received'!S20/2)+'1.4 FY 2020 Revenue Received'!U20),0)</f>
        <v>894625</v>
      </c>
      <c r="I24" s="385">
        <f>ROUND(IF(D24="PCFP",'2.8 Alloc of Residual Rev. YR1'!L26,'1.4 FY 2020 Revenue Received'!V20),0)</f>
        <v>0</v>
      </c>
      <c r="J24" s="375">
        <f t="shared" si="0"/>
        <v>2494764</v>
      </c>
      <c r="K24" s="8"/>
      <c r="L24" s="375">
        <f>ROUND(IF(D24="PCFP",SUM('2.1 Auxiliary Services YR1'!D24:E24),'1.4 FY 2020 Revenue Received'!W20),0)</f>
        <v>4888451</v>
      </c>
      <c r="M24" s="375">
        <f>ROUND('2.1 Auxiliary Services YR1'!F24,0)</f>
        <v>0</v>
      </c>
      <c r="N24" s="375">
        <f>ROUND(IF(D24="PCFP",SUM('2.1 Auxiliary Services YR1'!G24:H24),'1.4 FY 2020 Revenue Received'!X20),0)</f>
        <v>0</v>
      </c>
      <c r="O24" s="375"/>
      <c r="P24" s="375">
        <f t="shared" si="1"/>
        <v>4888451</v>
      </c>
      <c r="Q24" s="8"/>
      <c r="R24" s="354">
        <f>ROUND(IF(D24="PCFP",'2.8 Alloc of Residual Rev. YR1'!I26,'1.4 FY 2020 Revenue Received'!Y20),0)</f>
        <v>12987281</v>
      </c>
      <c r="S24" s="8"/>
      <c r="T24" s="394">
        <f t="shared" si="2"/>
        <v>82815443</v>
      </c>
      <c r="U24" s="8"/>
      <c r="V24" s="394">
        <f>T24-'2.9 PCFP Funding Comparison YR1'!H20</f>
        <v>25206742</v>
      </c>
      <c r="W24" s="131">
        <f>IF(D24="PCFP",'2.9 PCFP Funding Comparison YR1'!Q20,'2.9 PCFP Funding Comparison YR1'!R20)-T24</f>
        <v>0</v>
      </c>
    </row>
    <row r="25" spans="1:24" x14ac:dyDescent="0.3">
      <c r="B25" s="9" t="str">
        <f>'1.2 Budgeted Enrollment YR1'!E22</f>
        <v>Pershing</v>
      </c>
      <c r="D25" s="1284" t="str">
        <f>IF('2.9 PCFP Funding Comparison YR1'!K21="Yes","PCFP","FY 2020 Baseline")</f>
        <v>PCFP</v>
      </c>
      <c r="E25" s="375">
        <f>ROUND(IF(D25="PCFP",'2.8 Alloc of Residual Rev. YR1'!G27,('2.9 PCFP Funding Comparison YR1'!R21-SUM(J25,P25,R25))),0)</f>
        <v>9740847</v>
      </c>
      <c r="F25" s="8"/>
      <c r="G25" s="380">
        <f>ROUND(IF(D25="PCFP",'2.8 Alloc of Residual Rev. YR1'!J27,('1.4 FY 2020 Revenue Received'!S21/2)+'1.4 FY 2020 Revenue Received'!T21),0)</f>
        <v>123088</v>
      </c>
      <c r="H25" s="375">
        <f>ROUND(IF(D25="PCFP",'2.8 Alloc of Residual Rev. YR1'!K27,('1.4 FY 2020 Revenue Received'!S21/2)+'1.4 FY 2020 Revenue Received'!U21),0)</f>
        <v>92434</v>
      </c>
      <c r="I25" s="385">
        <f>ROUND(IF(D25="PCFP",'2.8 Alloc of Residual Rev. YR1'!L27,'1.4 FY 2020 Revenue Received'!V21),0)</f>
        <v>0</v>
      </c>
      <c r="J25" s="375">
        <f t="shared" si="0"/>
        <v>215522</v>
      </c>
      <c r="K25" s="8"/>
      <c r="L25" s="375">
        <f>ROUND(IF(D25="PCFP",SUM('2.1 Auxiliary Services YR1'!D25:E25),'1.4 FY 2020 Revenue Received'!W21),0)</f>
        <v>918038</v>
      </c>
      <c r="M25" s="375">
        <f>ROUND('2.1 Auxiliary Services YR1'!F25,0)</f>
        <v>0</v>
      </c>
      <c r="N25" s="375">
        <f>ROUND(IF(D25="PCFP",SUM('2.1 Auxiliary Services YR1'!G25:H25),'1.4 FY 2020 Revenue Received'!X21),0)</f>
        <v>26439</v>
      </c>
      <c r="O25" s="375"/>
      <c r="P25" s="375">
        <f t="shared" si="1"/>
        <v>944477</v>
      </c>
      <c r="Q25" s="8"/>
      <c r="R25" s="354">
        <f>ROUND(IF(D25="PCFP",'2.8 Alloc of Residual Rev. YR1'!I27,'1.4 FY 2020 Revenue Received'!Y21),0)</f>
        <v>0</v>
      </c>
      <c r="S25" s="8"/>
      <c r="T25" s="394">
        <f t="shared" si="2"/>
        <v>10900846</v>
      </c>
      <c r="U25" s="8"/>
      <c r="V25" s="394">
        <f>T25-'2.9 PCFP Funding Comparison YR1'!H21</f>
        <v>1839436</v>
      </c>
      <c r="W25" s="131">
        <f>IF(D25="PCFP",'2.9 PCFP Funding Comparison YR1'!Q21,'2.9 PCFP Funding Comparison YR1'!R21)-T25</f>
        <v>0</v>
      </c>
    </row>
    <row r="26" spans="1:24" x14ac:dyDescent="0.3">
      <c r="B26" s="9" t="str">
        <f>'1.2 Budgeted Enrollment YR1'!E23</f>
        <v>Storey</v>
      </c>
      <c r="D26" s="1284" t="str">
        <f>IF('2.9 PCFP Funding Comparison YR1'!K22="Yes","PCFP","FY 2020 Baseline")</f>
        <v>FY 2020 Baseline</v>
      </c>
      <c r="E26" s="375">
        <f>ROUND(IF(D26="PCFP",'2.8 Alloc of Residual Rev. YR1'!G28,('2.9 PCFP Funding Comparison YR1'!R22-SUM(J26,L26,N26,R26))),0)</f>
        <v>9625861</v>
      </c>
      <c r="F26" s="8"/>
      <c r="G26" s="380">
        <f>ROUND(IF(D26="PCFP",'2.8 Alloc of Residual Rev. YR1'!J28,('1.4 FY 2020 Revenue Received'!S22/2)+'1.4 FY 2020 Revenue Received'!T22),0)</f>
        <v>13800</v>
      </c>
      <c r="H26" s="375">
        <f>ROUND(IF(D26="PCFP",'2.8 Alloc of Residual Rev. YR1'!K28,('1.4 FY 2020 Revenue Received'!S22/2)+'1.4 FY 2020 Revenue Received'!U22),0)</f>
        <v>13800</v>
      </c>
      <c r="I26" s="385">
        <f>ROUND(IF(D26="PCFP",'2.8 Alloc of Residual Rev. YR1'!L28,'1.4 FY 2020 Revenue Received'!V22),0)</f>
        <v>0</v>
      </c>
      <c r="J26" s="375">
        <f t="shared" si="0"/>
        <v>27600</v>
      </c>
      <c r="K26" s="8"/>
      <c r="L26" s="375">
        <f>ROUND(IF(D26="PCFP",SUM('2.1 Auxiliary Services YR1'!D26:E26),'1.4 FY 2020 Revenue Received'!W22),0)</f>
        <v>547375</v>
      </c>
      <c r="M26" s="375">
        <f>ROUND('2.1 Auxiliary Services YR1'!F26,0)</f>
        <v>0</v>
      </c>
      <c r="N26" s="375">
        <f>ROUND(IF(D26="PCFP",SUM('2.1 Auxiliary Services YR1'!G26:H26),'1.4 FY 2020 Revenue Received'!X22),0)</f>
        <v>23002</v>
      </c>
      <c r="O26" s="375"/>
      <c r="P26" s="375">
        <f t="shared" si="1"/>
        <v>570377</v>
      </c>
      <c r="Q26" s="8"/>
      <c r="R26" s="354">
        <f>ROUND(IF(D26="PCFP",'2.8 Alloc of Residual Rev. YR1'!I28,'1.4 FY 2020 Revenue Received'!Y22),0)</f>
        <v>55048</v>
      </c>
      <c r="S26" s="8"/>
      <c r="T26" s="394">
        <f t="shared" si="2"/>
        <v>10278886</v>
      </c>
      <c r="U26" s="8"/>
      <c r="V26" s="394">
        <f>T26-'2.9 PCFP Funding Comparison YR1'!H22</f>
        <v>-1104337</v>
      </c>
      <c r="W26" s="131">
        <f>IF(D26="PCFP",'2.9 PCFP Funding Comparison YR1'!Q22,'2.9 PCFP Funding Comparison YR1'!R22)-T26</f>
        <v>0</v>
      </c>
      <c r="X26" s="10"/>
    </row>
    <row r="27" spans="1:24" x14ac:dyDescent="0.3">
      <c r="B27" s="9" t="str">
        <f>'1.2 Budgeted Enrollment YR1'!E24</f>
        <v>Washoe</v>
      </c>
      <c r="D27" s="1284" t="str">
        <f>IF('2.9 PCFP Funding Comparison YR1'!K23="Yes","PCFP","FY 2020 Baseline")</f>
        <v>PCFP</v>
      </c>
      <c r="E27" s="375">
        <f>ROUND(IF(D27="PCFP",'2.8 Alloc of Residual Rev. YR1'!G29,('2.9 PCFP Funding Comparison YR1'!R23-SUM(J27,P27,R27))),0)</f>
        <v>571971185</v>
      </c>
      <c r="F27" s="8"/>
      <c r="G27" s="380">
        <f>ROUND(IF(D27="PCFP",'2.8 Alloc of Residual Rev. YR1'!J29,('1.4 FY 2020 Revenue Received'!S23/2)+'1.4 FY 2020 Revenue Received'!T23),0)</f>
        <v>28590278</v>
      </c>
      <c r="H27" s="375">
        <f>ROUND(IF(D27="PCFP",'2.8 Alloc of Residual Rev. YR1'!K29,('1.4 FY 2020 Revenue Received'!S23/2)+'1.4 FY 2020 Revenue Received'!U23),0)</f>
        <v>14528581</v>
      </c>
      <c r="I27" s="385">
        <f>ROUND(IF(D27="PCFP",'2.8 Alloc of Residual Rev. YR1'!L29,'1.4 FY 2020 Revenue Received'!V23),0)</f>
        <v>1464601</v>
      </c>
      <c r="J27" s="375">
        <f t="shared" si="0"/>
        <v>44583460</v>
      </c>
      <c r="K27" s="8"/>
      <c r="L27" s="375">
        <f>ROUND(IF(D27="PCFP",SUM('2.1 Auxiliary Services YR1'!D27:E27),'1.4 FY 2020 Revenue Received'!W23),0)</f>
        <v>25630842</v>
      </c>
      <c r="M27" s="375">
        <f>ROUND('2.1 Auxiliary Services YR1'!F27,0)</f>
        <v>0</v>
      </c>
      <c r="N27" s="375">
        <f>ROUND(IF(D27="PCFP",SUM('2.1 Auxiliary Services YR1'!G27:H27),'1.4 FY 2020 Revenue Received'!X23),0)</f>
        <v>0</v>
      </c>
      <c r="O27" s="375"/>
      <c r="P27" s="375">
        <f t="shared" si="1"/>
        <v>25630842</v>
      </c>
      <c r="Q27" s="8"/>
      <c r="R27" s="354">
        <f>ROUND(IF(D27="PCFP",'2.8 Alloc of Residual Rev. YR1'!I29,'1.4 FY 2020 Revenue Received'!Y23),0)</f>
        <v>70479875</v>
      </c>
      <c r="S27" s="8"/>
      <c r="T27" s="394">
        <f t="shared" si="2"/>
        <v>712665362</v>
      </c>
      <c r="U27" s="8"/>
      <c r="V27" s="394">
        <f>T27-'2.9 PCFP Funding Comparison YR1'!H23</f>
        <v>178778461</v>
      </c>
      <c r="W27" s="131">
        <f>IF(D27="PCFP",'2.9 PCFP Funding Comparison YR1'!Q23,'2.9 PCFP Funding Comparison YR1'!R23)-T27</f>
        <v>0</v>
      </c>
    </row>
    <row r="28" spans="1:24" x14ac:dyDescent="0.3">
      <c r="A28" s="137"/>
      <c r="B28" s="137" t="str">
        <f>'1.2 Budgeted Enrollment YR1'!E25</f>
        <v>White Pine</v>
      </c>
      <c r="C28" s="137"/>
      <c r="D28" s="1287" t="str">
        <f>IF('2.9 PCFP Funding Comparison YR1'!K24="Yes","PCFP","FY 2020 Baseline")</f>
        <v>PCFP</v>
      </c>
      <c r="E28" s="376">
        <f>ROUND(IF(D28="PCFP",'2.8 Alloc of Residual Rev. YR1'!G30,('2.9 PCFP Funding Comparison YR1'!R24-SUM(J28,P28,R28))),0)</f>
        <v>18564061</v>
      </c>
      <c r="F28" s="8"/>
      <c r="G28" s="381">
        <f>ROUND(IF(D28="PCFP",'2.8 Alloc of Residual Rev. YR1'!J30,('1.4 FY 2020 Revenue Received'!S24/2)+'1.4 FY 2020 Revenue Received'!T24),0)</f>
        <v>63666</v>
      </c>
      <c r="H28" s="376">
        <f>ROUND(IF(D28="PCFP",'2.8 Alloc of Residual Rev. YR1'!K30,('1.4 FY 2020 Revenue Received'!S24/2)+'1.4 FY 2020 Revenue Received'!U24),0)</f>
        <v>396144</v>
      </c>
      <c r="I28" s="391">
        <f>ROUND(IF(D28="PCFP",'2.8 Alloc of Residual Rev. YR1'!L30,'1.4 FY 2020 Revenue Received'!V24),0)</f>
        <v>0</v>
      </c>
      <c r="J28" s="376">
        <f t="shared" si="0"/>
        <v>459810</v>
      </c>
      <c r="K28" s="8"/>
      <c r="L28" s="376">
        <f>ROUND(IF(D28="PCFP",SUM('2.1 Auxiliary Services YR1'!D28:E28),'1.4 FY 2020 Revenue Received'!W24),0)</f>
        <v>1312803</v>
      </c>
      <c r="M28" s="376">
        <f>ROUND('2.1 Auxiliary Services YR1'!F28,0)</f>
        <v>0</v>
      </c>
      <c r="N28" s="376">
        <f>ROUND(IF(D28="PCFP",SUM('2.1 Auxiliary Services YR1'!G28:H28),'1.4 FY 2020 Revenue Received'!X24),0)</f>
        <v>29539</v>
      </c>
      <c r="O28" s="376"/>
      <c r="P28" s="376">
        <f t="shared" si="1"/>
        <v>1342342</v>
      </c>
      <c r="Q28" s="8"/>
      <c r="R28" s="365">
        <f>ROUND(IF(D28="PCFP",'2.8 Alloc of Residual Rev. YR1'!I30,'1.4 FY 2020 Revenue Received'!Y24),0)</f>
        <v>1129956</v>
      </c>
      <c r="S28" s="8"/>
      <c r="T28" s="392">
        <f t="shared" si="2"/>
        <v>21496169</v>
      </c>
      <c r="U28" s="8"/>
      <c r="V28" s="394">
        <f>T28-'2.9 PCFP Funding Comparison YR1'!H24</f>
        <v>6265596</v>
      </c>
      <c r="W28" s="131">
        <f>IF(D28="PCFP",'2.9 PCFP Funding Comparison YR1'!Q24,'2.9 PCFP Funding Comparison YR1'!R24)-T28</f>
        <v>0</v>
      </c>
    </row>
    <row r="29" spans="1:24" x14ac:dyDescent="0.3">
      <c r="B29" s="9" t="str">
        <f>'1.2 Budgeted Enrollment YR1'!E26</f>
        <v>Charter Schools</v>
      </c>
      <c r="D29" s="1284" t="str">
        <f>IF('2.9 PCFP Funding Comparison YR1'!K25="Yes","PCFP","FY 2020 Baseline")</f>
        <v>PCFP</v>
      </c>
      <c r="E29" s="375">
        <f>E99</f>
        <v>684397184</v>
      </c>
      <c r="F29" s="8"/>
      <c r="G29" s="380">
        <f>G99</f>
        <v>27096252</v>
      </c>
      <c r="H29" s="375">
        <f>H99</f>
        <v>6625505</v>
      </c>
      <c r="I29" s="385">
        <f>I99</f>
        <v>1687574</v>
      </c>
      <c r="J29" s="375">
        <f>J99</f>
        <v>35409331</v>
      </c>
      <c r="K29" s="154"/>
      <c r="L29" s="375">
        <f>L99</f>
        <v>0</v>
      </c>
      <c r="M29" s="385">
        <f>M99</f>
        <v>0</v>
      </c>
      <c r="N29" s="375">
        <f>N99</f>
        <v>0</v>
      </c>
      <c r="O29" s="375"/>
      <c r="P29" s="375">
        <f>P99</f>
        <v>0</v>
      </c>
      <c r="Q29" s="8"/>
      <c r="R29" s="354">
        <f>R99</f>
        <v>24608056</v>
      </c>
      <c r="S29" s="8"/>
      <c r="T29" s="394">
        <f t="shared" si="2"/>
        <v>744414571</v>
      </c>
      <c r="U29" s="8"/>
      <c r="V29" s="394">
        <f>T29-'2.9 PCFP Funding Comparison YR1'!H25</f>
        <v>310608047</v>
      </c>
      <c r="W29" s="131">
        <f>IF(D29="PCFP",'2.9 PCFP Funding Comparison YR1'!Q25,'2.9 PCFP Funding Comparison YR1'!R25)-T29</f>
        <v>27000000</v>
      </c>
    </row>
    <row r="30" spans="1:24" x14ac:dyDescent="0.3">
      <c r="B30" s="9" t="str">
        <f>'1.2 Budgeted Enrollment YR1'!E27</f>
        <v>University Schools</v>
      </c>
      <c r="D30" s="1284" t="str">
        <f>IF('2.9 PCFP Funding Comparison YR1'!K26="Yes","PCFP","FY 2020 Baseline")</f>
        <v>PCFP</v>
      </c>
      <c r="E30" s="375">
        <f>E104</f>
        <v>1583485</v>
      </c>
      <c r="F30" s="8"/>
      <c r="G30" s="380">
        <f>G104</f>
        <v>0</v>
      </c>
      <c r="H30" s="375">
        <f>H104</f>
        <v>0</v>
      </c>
      <c r="I30" s="385">
        <f>I104</f>
        <v>0</v>
      </c>
      <c r="J30" s="375">
        <f>J104</f>
        <v>0</v>
      </c>
      <c r="K30" s="8"/>
      <c r="L30" s="375">
        <f>L104</f>
        <v>0</v>
      </c>
      <c r="M30" s="385">
        <f>M104</f>
        <v>0</v>
      </c>
      <c r="N30" s="375">
        <f>N104</f>
        <v>0</v>
      </c>
      <c r="O30" s="375"/>
      <c r="P30" s="375">
        <f>P104</f>
        <v>0</v>
      </c>
      <c r="Q30" s="8"/>
      <c r="R30" s="354">
        <f>R104</f>
        <v>52268</v>
      </c>
      <c r="S30" s="8"/>
      <c r="T30" s="394">
        <f t="shared" si="2"/>
        <v>1635753</v>
      </c>
      <c r="U30" s="8"/>
      <c r="V30" s="394">
        <f>T30-'2.9 PCFP Funding Comparison YR1'!H26</f>
        <v>474347</v>
      </c>
      <c r="W30" s="131">
        <f>IF(D30="PCFP",'2.9 PCFP Funding Comparison YR1'!Q26,'2.9 PCFP Funding Comparison YR1'!R26)-T30</f>
        <v>0</v>
      </c>
    </row>
    <row r="31" spans="1:24" x14ac:dyDescent="0.3">
      <c r="B31" s="9" t="str">
        <f>A106</f>
        <v>City of Henderson</v>
      </c>
      <c r="D31" s="1284" t="str">
        <f>IF('2.9 PCFP Funding Comparison YR1'!K27="Yes","PCFP","FY 2020 Baseline")</f>
        <v>PCFP</v>
      </c>
      <c r="E31" s="375">
        <f>E109</f>
        <v>0</v>
      </c>
      <c r="F31" s="8"/>
      <c r="G31" s="380">
        <f>G109</f>
        <v>0</v>
      </c>
      <c r="H31" s="375">
        <f>H109</f>
        <v>0</v>
      </c>
      <c r="I31" s="385">
        <f>I109</f>
        <v>0</v>
      </c>
      <c r="J31" s="375">
        <f>J109</f>
        <v>0</v>
      </c>
      <c r="K31" s="8"/>
      <c r="L31" s="375">
        <f>L109</f>
        <v>0</v>
      </c>
      <c r="M31" s="385">
        <f>M109</f>
        <v>0</v>
      </c>
      <c r="N31" s="375">
        <f>N109</f>
        <v>0</v>
      </c>
      <c r="O31" s="375"/>
      <c r="P31" s="375">
        <f>P109</f>
        <v>0</v>
      </c>
      <c r="Q31" s="8"/>
      <c r="R31" s="354">
        <f>R109</f>
        <v>0</v>
      </c>
      <c r="S31" s="8"/>
      <c r="T31" s="394">
        <f t="shared" si="2"/>
        <v>0</v>
      </c>
      <c r="U31" s="8"/>
      <c r="V31" s="394">
        <f>T31-'2.9 PCFP Funding Comparison YR1'!H27</f>
        <v>0</v>
      </c>
      <c r="W31" s="131"/>
    </row>
    <row r="32" spans="1:24" x14ac:dyDescent="0.3">
      <c r="A32" s="137"/>
      <c r="B32" s="137" t="str">
        <f>A111</f>
        <v>City of North Las Vegas</v>
      </c>
      <c r="C32" s="137"/>
      <c r="D32" s="390" t="str">
        <f>IF('2.9 PCFP Funding Comparison YR1'!K28="Yes","PCFP","FY 2020 Baseline")</f>
        <v>PCFP</v>
      </c>
      <c r="E32" s="376">
        <f>E114</f>
        <v>0</v>
      </c>
      <c r="F32" s="8"/>
      <c r="G32" s="381">
        <f>G114</f>
        <v>0</v>
      </c>
      <c r="H32" s="376">
        <f>H114</f>
        <v>0</v>
      </c>
      <c r="I32" s="391">
        <f>I114</f>
        <v>0</v>
      </c>
      <c r="J32" s="376">
        <f>J114</f>
        <v>0</v>
      </c>
      <c r="K32" s="8"/>
      <c r="L32" s="376">
        <f>L114</f>
        <v>0</v>
      </c>
      <c r="M32" s="391">
        <f>M114</f>
        <v>0</v>
      </c>
      <c r="N32" s="376">
        <f>N114</f>
        <v>0</v>
      </c>
      <c r="O32" s="376"/>
      <c r="P32" s="376">
        <f>P114</f>
        <v>0</v>
      </c>
      <c r="Q32" s="8"/>
      <c r="R32" s="365">
        <f>R114</f>
        <v>0</v>
      </c>
      <c r="S32" s="8"/>
      <c r="T32" s="394">
        <f t="shared" si="2"/>
        <v>0</v>
      </c>
      <c r="U32" s="8"/>
      <c r="V32" s="394">
        <f>T32-'2.9 PCFP Funding Comparison YR1'!H28</f>
        <v>0</v>
      </c>
      <c r="W32" s="131"/>
    </row>
    <row r="33" spans="1:27" x14ac:dyDescent="0.3">
      <c r="A33" s="4"/>
      <c r="B33" s="4" t="s">
        <v>1354</v>
      </c>
      <c r="C33" s="4"/>
      <c r="D33" s="4"/>
      <c r="E33" s="858">
        <f>SUM(E12:E32)</f>
        <v>4531148850</v>
      </c>
      <c r="F33" s="467"/>
      <c r="G33" s="400">
        <f>SUM(G12:G32)</f>
        <v>233088734</v>
      </c>
      <c r="H33" s="388">
        <f>SUM(H12:H32)</f>
        <v>165291372</v>
      </c>
      <c r="I33" s="1726">
        <f>SUM(I12:I32)</f>
        <v>9871908</v>
      </c>
      <c r="J33" s="388">
        <f>SUM(J12:J32)</f>
        <v>408252014</v>
      </c>
      <c r="K33" s="8"/>
      <c r="L33" s="1831">
        <f>SUM(L12:L32)</f>
        <v>192112974</v>
      </c>
      <c r="M33" s="1831">
        <f>SUM(M12:M32)</f>
        <v>0</v>
      </c>
      <c r="N33" s="1831">
        <f>SUM(N12:N32)</f>
        <v>1499704</v>
      </c>
      <c r="O33" s="1831">
        <f>SUM(O12:O32)</f>
        <v>0</v>
      </c>
      <c r="P33" s="388">
        <f>SUM(P12:P32)</f>
        <v>193612678</v>
      </c>
      <c r="Q33" s="8"/>
      <c r="R33" s="388">
        <f>SUM(R12:R32)</f>
        <v>599829442</v>
      </c>
      <c r="S33" s="8"/>
      <c r="T33" s="377">
        <f>SUM(T12:T32)</f>
        <v>5732842984</v>
      </c>
      <c r="U33" s="8"/>
    </row>
    <row r="34" spans="1:27" x14ac:dyDescent="0.3">
      <c r="B34" s="192"/>
      <c r="C34" s="191"/>
      <c r="D34" s="191"/>
      <c r="E34" s="270"/>
      <c r="F34" s="467"/>
      <c r="G34" s="269"/>
      <c r="H34" s="269"/>
      <c r="I34" s="269"/>
      <c r="J34" s="269"/>
      <c r="K34" s="269"/>
      <c r="L34" s="2325"/>
      <c r="M34" s="2325"/>
      <c r="N34" s="2325"/>
      <c r="O34" s="2325"/>
      <c r="P34" s="2324"/>
      <c r="Q34" s="269"/>
      <c r="R34" s="269"/>
      <c r="S34" s="269">
        <f t="shared" ref="S34" si="3">S33-S26-S18-S17</f>
        <v>0</v>
      </c>
      <c r="T34" s="269"/>
      <c r="U34" s="2184">
        <f>T33-'2.9 PCFP Funding Comparison YR1'!R30</f>
        <v>-27000000</v>
      </c>
      <c r="V34" s="665">
        <f>'1.3 Budgeted Revenues YR1'!C40-T33</f>
        <v>-8351825</v>
      </c>
      <c r="W34" s="9" t="s">
        <v>1647</v>
      </c>
      <c r="AA34" s="15"/>
    </row>
    <row r="35" spans="1:27" x14ac:dyDescent="0.3">
      <c r="A35" s="291"/>
      <c r="B35" s="226"/>
      <c r="C35" s="203" t="s">
        <v>1346</v>
      </c>
      <c r="D35" s="521"/>
      <c r="E35" s="619" t="s">
        <v>1648</v>
      </c>
      <c r="F35" s="467"/>
      <c r="G35" s="620" t="s">
        <v>1644</v>
      </c>
      <c r="H35" s="621" t="s">
        <v>1644</v>
      </c>
      <c r="I35" s="621" t="s">
        <v>1644</v>
      </c>
      <c r="J35" s="622" t="s">
        <v>1649</v>
      </c>
      <c r="K35" s="467"/>
      <c r="L35" s="2000" t="s">
        <v>1223</v>
      </c>
      <c r="M35" s="2000" t="s">
        <v>1636</v>
      </c>
      <c r="N35" s="2000" t="s">
        <v>1338</v>
      </c>
      <c r="O35" s="2000" t="s">
        <v>2223</v>
      </c>
      <c r="P35" s="622" t="s">
        <v>1650</v>
      </c>
      <c r="Q35" s="467"/>
      <c r="R35" s="622" t="s">
        <v>1651</v>
      </c>
      <c r="S35" s="467"/>
      <c r="T35" s="622" t="s">
        <v>1652</v>
      </c>
      <c r="V35" s="2191">
        <f>V34/T33</f>
        <v>-1.4568382604075172E-3</v>
      </c>
      <c r="W35" s="2192" t="s">
        <v>1653</v>
      </c>
    </row>
    <row r="36" spans="1:27" x14ac:dyDescent="0.3">
      <c r="A36" s="4" t="s">
        <v>1654</v>
      </c>
      <c r="D36" s="106"/>
      <c r="E36" s="2029"/>
      <c r="F36" s="467"/>
      <c r="G36" s="2029"/>
      <c r="H36" s="836"/>
      <c r="I36" s="2029"/>
      <c r="J36" s="2029"/>
      <c r="K36" s="467"/>
      <c r="L36" s="118" t="s">
        <v>1470</v>
      </c>
      <c r="M36" s="118" t="s">
        <v>1470</v>
      </c>
      <c r="N36" s="118" t="s">
        <v>1470</v>
      </c>
      <c r="O36" s="118" t="s">
        <v>1470</v>
      </c>
      <c r="P36" s="2029"/>
      <c r="Q36" s="467"/>
      <c r="R36" s="2029"/>
      <c r="S36" s="467"/>
      <c r="T36" s="623"/>
      <c r="V36" s="2193">
        <f>1+V35</f>
        <v>0.99854316173959246</v>
      </c>
      <c r="W36" s="2192" t="s">
        <v>1655</v>
      </c>
    </row>
    <row r="37" spans="1:27" x14ac:dyDescent="0.3">
      <c r="A37" s="4"/>
      <c r="B37" s="9" t="str">
        <f>'1.2 Budgeted Enrollment YR1'!E34</f>
        <v>FuturEdge (Formerly 100 Academy Of Excellence)</v>
      </c>
      <c r="D37" s="106" t="str">
        <f>IF('2.9 PCFP Funding Comparison YR1'!$K$25="Yes","PCFP","FY 2020 Baseline")</f>
        <v>PCFP</v>
      </c>
      <c r="E37" s="375">
        <f>ROUND(IF(D37="PCFP",'2.8 Alloc of Residual Rev. YR1'!G38,'1.4 FY 2020 Revenue Received'!Z32),2)</f>
        <v>2271804</v>
      </c>
      <c r="F37" s="8"/>
      <c r="G37" s="430">
        <f>ROUND(IF(D37="PCFP",'2.8 Alloc of Residual Rev. YR1'!J38,('1.4 FY 2020 Revenue Received'!S32)+'1.4 FY 2020 Revenue Received'!T32),0)</f>
        <v>114599</v>
      </c>
      <c r="H37" s="429">
        <f>ROUND(IF(D37="PCFP",'2.8 Alloc of Residual Rev. YR1'!K38,('1.4 FY 2020 Revenue Received'!S32)+'1.4 FY 2020 Revenue Received'!U32),2)</f>
        <v>260795</v>
      </c>
      <c r="I37" s="430">
        <f>ROUND(IF(D37="PCFP",'2.8 Alloc of Residual Rev. YR1'!L38,'1.4 FY 2020 Revenue Received'!V32),2)</f>
        <v>0</v>
      </c>
      <c r="J37" s="1291">
        <f>SUM(G37:I37)</f>
        <v>375394</v>
      </c>
      <c r="K37" s="467"/>
      <c r="L37" s="2059">
        <f>'2.1 Auxiliary Services YR1'!G84</f>
        <v>0</v>
      </c>
      <c r="M37" s="499">
        <v>0</v>
      </c>
      <c r="N37" s="2059">
        <v>0</v>
      </c>
      <c r="O37" s="2059"/>
      <c r="P37" s="430">
        <f>SUM(L37:N37)</f>
        <v>0</v>
      </c>
      <c r="Q37" s="467"/>
      <c r="R37" s="847">
        <f>ROUND(IF(D37="PCFP",'2.8 Alloc of Residual Rev. YR1'!I38,'1.4 FY 2020 Revenue Received'!Y32),0)</f>
        <v>190820</v>
      </c>
      <c r="S37" s="8"/>
      <c r="T37" s="375">
        <f t="shared" ref="T37:T68" si="4">E37+J37+P37+R37</f>
        <v>2838018</v>
      </c>
    </row>
    <row r="38" spans="1:27" x14ac:dyDescent="0.3">
      <c r="A38" s="4"/>
      <c r="B38" s="9" t="str">
        <f>'1.2 Budgeted Enrollment YR1'!E35</f>
        <v>Academy For Career Education</v>
      </c>
      <c r="D38" s="106" t="str">
        <f>IF('2.9 PCFP Funding Comparison YR1'!$K$25="Yes","PCFP","FY 2020 Baseline")</f>
        <v>PCFP</v>
      </c>
      <c r="E38" s="375">
        <f>ROUND(IF(D38="PCFP",'2.8 Alloc of Residual Rev. YR1'!G39,'1.4 FY 2020 Revenue Received'!Z33),2)</f>
        <v>2391754</v>
      </c>
      <c r="F38" s="8"/>
      <c r="G38" s="430">
        <f>ROUND(IF(D38="PCFP",'2.8 Alloc of Residual Rev. YR1'!J39,('1.4 FY 2020 Revenue Received'!S33)+'1.4 FY 2020 Revenue Received'!T33),0)</f>
        <v>114599</v>
      </c>
      <c r="H38" s="429">
        <f>ROUND(IF(D38="PCFP",'2.8 Alloc of Residual Rev. YR1'!K39,('1.4 FY 2020 Revenue Received'!S33)+'1.4 FY 2020 Revenue Received'!U33),2)</f>
        <v>13205</v>
      </c>
      <c r="I38" s="430">
        <f>ROUND(IF(D38="PCFP",'2.8 Alloc of Residual Rev. YR1'!L39,'1.4 FY 2020 Revenue Received'!V33),2)</f>
        <v>0</v>
      </c>
      <c r="J38" s="1291">
        <f t="shared" ref="J38:J98" si="5">SUM(G38:I38)</f>
        <v>127804</v>
      </c>
      <c r="K38" s="467"/>
      <c r="L38" s="141">
        <f>'2.1 Auxiliary Services YR1'!G85</f>
        <v>0</v>
      </c>
      <c r="M38" s="115">
        <v>0</v>
      </c>
      <c r="N38" s="141">
        <v>0</v>
      </c>
      <c r="O38" s="141"/>
      <c r="P38" s="430">
        <f t="shared" ref="P38:P98" si="6">SUM(L38:N38)</f>
        <v>0</v>
      </c>
      <c r="Q38" s="467"/>
      <c r="R38" s="847">
        <f>ROUND(IF(D38="PCFP",'2.8 Alloc of Residual Rev. YR1'!I39,'1.4 FY 2020 Revenue Received'!Y33),0)</f>
        <v>0</v>
      </c>
      <c r="S38" s="8"/>
      <c r="T38" s="375">
        <f t="shared" si="4"/>
        <v>2519558</v>
      </c>
      <c r="V38" s="2188" t="s">
        <v>2232</v>
      </c>
      <c r="W38" s="2189">
        <f>E33+J33</f>
        <v>4939400864</v>
      </c>
      <c r="X38" s="15"/>
    </row>
    <row r="39" spans="1:27" x14ac:dyDescent="0.3">
      <c r="A39" s="4"/>
      <c r="B39" s="9" t="str">
        <f>'1.2 Budgeted Enrollment YR1'!E36</f>
        <v xml:space="preserve">Alpine Academy </v>
      </c>
      <c r="D39" s="106" t="str">
        <f>IF('2.9 PCFP Funding Comparison YR1'!$K$25="Yes","PCFP","FY 2020 Baseline")</f>
        <v>PCFP</v>
      </c>
      <c r="E39" s="375">
        <f>ROUND(IF(D39="PCFP",'2.8 Alloc of Residual Rev. YR1'!G40,'1.4 FY 2020 Revenue Received'!Z34),2)</f>
        <v>1549852</v>
      </c>
      <c r="F39" s="8"/>
      <c r="G39" s="430">
        <f>ROUND(IF(D39="PCFP",'2.8 Alloc of Residual Rev. YR1'!J40,('1.4 FY 2020 Revenue Received'!S34)+'1.4 FY 2020 Revenue Received'!T34),0)</f>
        <v>21222</v>
      </c>
      <c r="H39" s="429">
        <f>ROUND(IF(D39="PCFP",'2.8 Alloc of Residual Rev. YR1'!K40,('1.4 FY 2020 Revenue Received'!S34)+'1.4 FY 2020 Revenue Received'!U34),2)</f>
        <v>26410</v>
      </c>
      <c r="I39" s="430">
        <f>ROUND(IF(D39="PCFP",'2.8 Alloc of Residual Rev. YR1'!L40,'1.4 FY 2020 Revenue Received'!V34),2)</f>
        <v>0</v>
      </c>
      <c r="J39" s="1291">
        <f t="shared" si="5"/>
        <v>47632</v>
      </c>
      <c r="K39" s="467"/>
      <c r="L39" s="141">
        <f>'2.1 Auxiliary Services YR1'!G86</f>
        <v>0</v>
      </c>
      <c r="M39" s="115">
        <v>0</v>
      </c>
      <c r="N39" s="141">
        <v>0</v>
      </c>
      <c r="O39" s="141"/>
      <c r="P39" s="430">
        <f t="shared" si="6"/>
        <v>0</v>
      </c>
      <c r="Q39" s="467"/>
      <c r="R39" s="847">
        <f>ROUND(IF(D39="PCFP",'2.8 Alloc of Residual Rev. YR1'!I40,'1.4 FY 2020 Revenue Received'!Y34),0)</f>
        <v>30681</v>
      </c>
      <c r="S39" s="8"/>
      <c r="T39" s="375">
        <f t="shared" si="4"/>
        <v>1628165</v>
      </c>
      <c r="V39" s="2188" t="s">
        <v>2233</v>
      </c>
      <c r="W39" s="2189">
        <f>ROUND(('1.3 Budgeted Revenues YR1'!C40-T33),2)</f>
        <v>-8351825</v>
      </c>
    </row>
    <row r="40" spans="1:27" x14ac:dyDescent="0.3">
      <c r="A40" s="4"/>
      <c r="B40" s="9" t="str">
        <f>'1.2 Budgeted Enrollment YR1'!E37</f>
        <v xml:space="preserve">Amplus (Formerly American Preparatory Academy) </v>
      </c>
      <c r="D40" s="106" t="str">
        <f>IF('2.9 PCFP Funding Comparison YR1'!$K$25="Yes","PCFP","FY 2020 Baseline")</f>
        <v>PCFP</v>
      </c>
      <c r="E40" s="375">
        <f>ROUND(IF(D40="PCFP",'2.8 Alloc of Residual Rev. YR1'!G41,'1.4 FY 2020 Revenue Received'!Z35),2)</f>
        <v>22343476</v>
      </c>
      <c r="F40" s="8"/>
      <c r="G40" s="430">
        <f>ROUND(IF(D40="PCFP",'2.8 Alloc of Residual Rev. YR1'!J41,('1.4 FY 2020 Revenue Received'!S35)+'1.4 FY 2020 Revenue Received'!T35),0)</f>
        <v>632416</v>
      </c>
      <c r="H40" s="429">
        <f>ROUND(IF(D40="PCFP",'2.8 Alloc of Residual Rev. YR1'!K41,('1.4 FY 2020 Revenue Received'!S35)+'1.4 FY 2020 Revenue Received'!U35),2)</f>
        <v>29711</v>
      </c>
      <c r="I40" s="430">
        <f>ROUND(IF(D40="PCFP",'2.8 Alloc of Residual Rev. YR1'!L41,'1.4 FY 2020 Revenue Received'!V35),2)</f>
        <v>66779</v>
      </c>
      <c r="J40" s="1291">
        <f t="shared" si="5"/>
        <v>728906</v>
      </c>
      <c r="K40" s="467"/>
      <c r="L40" s="141">
        <f>'2.1 Auxiliary Services YR1'!G87</f>
        <v>0</v>
      </c>
      <c r="M40" s="115">
        <v>0</v>
      </c>
      <c r="N40" s="141">
        <v>0</v>
      </c>
      <c r="O40" s="141"/>
      <c r="P40" s="430">
        <f t="shared" si="6"/>
        <v>0</v>
      </c>
      <c r="Q40" s="467"/>
      <c r="R40" s="847">
        <f>ROUND(IF(D40="PCFP",'2.8 Alloc of Residual Rev. YR1'!I41,'1.4 FY 2020 Revenue Received'!Y35),0)</f>
        <v>419964</v>
      </c>
      <c r="S40" s="8"/>
      <c r="T40" s="375">
        <f t="shared" si="4"/>
        <v>23492346</v>
      </c>
      <c r="V40" s="2188" t="s">
        <v>1653</v>
      </c>
      <c r="W40" s="2190">
        <f>W39/W38</f>
        <v>-1.6908579056360629E-3</v>
      </c>
    </row>
    <row r="41" spans="1:27" x14ac:dyDescent="0.3">
      <c r="A41" s="4"/>
      <c r="B41" s="9" t="str">
        <f>'1.2 Budgeted Enrollment YR1'!E38</f>
        <v>Bailey Charter School</v>
      </c>
      <c r="D41" s="106" t="str">
        <f>IF('2.9 PCFP Funding Comparison YR1'!$K$25="Yes","PCFP","FY 2020 Baseline")</f>
        <v>PCFP</v>
      </c>
      <c r="E41" s="375">
        <f>ROUND(IF(D41="PCFP",'2.8 Alloc of Residual Rev. YR1'!G42,'1.4 FY 2020 Revenue Received'!Z36),2)</f>
        <v>1570799</v>
      </c>
      <c r="F41" s="8"/>
      <c r="G41" s="430">
        <f>ROUND(IF(D41="PCFP",'2.8 Alloc of Residual Rev. YR1'!J42,('1.4 FY 2020 Revenue Received'!S36)+'1.4 FY 2020 Revenue Received'!T36),0)</f>
        <v>275886</v>
      </c>
      <c r="H41" s="429">
        <f>ROUND(IF(D41="PCFP",'2.8 Alloc of Residual Rev. YR1'!K42,('1.4 FY 2020 Revenue Received'!S36)+'1.4 FY 2020 Revenue Received'!U36),2)</f>
        <v>102337</v>
      </c>
      <c r="I41" s="430">
        <f>ROUND(IF(D41="PCFP",'2.8 Alloc of Residual Rev. YR1'!L42,'1.4 FY 2020 Revenue Received'!V36),2)</f>
        <v>0</v>
      </c>
      <c r="J41" s="1291">
        <f t="shared" si="5"/>
        <v>378223</v>
      </c>
      <c r="K41" s="467"/>
      <c r="L41" s="141">
        <f>'2.1 Auxiliary Services YR1'!G88</f>
        <v>0</v>
      </c>
      <c r="M41" s="115">
        <v>0</v>
      </c>
      <c r="N41" s="141">
        <v>0</v>
      </c>
      <c r="O41" s="141"/>
      <c r="P41" s="430">
        <f t="shared" si="6"/>
        <v>0</v>
      </c>
      <c r="Q41" s="467"/>
      <c r="R41" s="847">
        <f>ROUND(IF(D41="PCFP",'2.8 Alloc of Residual Rev. YR1'!I42,'1.4 FY 2020 Revenue Received'!Y36),0)</f>
        <v>33894</v>
      </c>
      <c r="S41" s="8"/>
      <c r="T41" s="375">
        <f t="shared" si="4"/>
        <v>1982916</v>
      </c>
      <c r="V41" s="4"/>
      <c r="W41" s="131"/>
    </row>
    <row r="42" spans="1:27" x14ac:dyDescent="0.3">
      <c r="A42" s="4"/>
      <c r="B42" s="9" t="str">
        <f>'1.2 Budgeted Enrollment YR1'!E39</f>
        <v>Battle Born Academy</v>
      </c>
      <c r="D42" s="106" t="str">
        <f>IF('2.9 PCFP Funding Comparison YR1'!$K$25="Yes","PCFP","FY 2020 Baseline")</f>
        <v>PCFP</v>
      </c>
      <c r="E42" s="375">
        <f>ROUND(IF(D42="PCFP",'2.8 Alloc of Residual Rev. YR1'!G43,'1.4 FY 2020 Revenue Received'!Z37),2)</f>
        <v>2551670</v>
      </c>
      <c r="F42" s="8"/>
      <c r="G42" s="430">
        <f>ROUND(IF(D42="PCFP",'2.8 Alloc of Residual Rev. YR1'!J43,('1.4 FY 2020 Revenue Received'!S37)+'1.4 FY 2020 Revenue Received'!T37),0)</f>
        <v>598460</v>
      </c>
      <c r="H42" s="429">
        <f>ROUND(IF(D42="PCFP",'2.8 Alloc of Residual Rev. YR1'!K43,('1.4 FY 2020 Revenue Received'!S37)+'1.4 FY 2020 Revenue Received'!U37),2)</f>
        <v>0</v>
      </c>
      <c r="I42" s="430">
        <f>ROUND(IF(D42="PCFP",'2.8 Alloc of Residual Rev. YR1'!L43,'1.4 FY 2020 Revenue Received'!V37),2)</f>
        <v>0</v>
      </c>
      <c r="J42" s="1291">
        <f t="shared" si="5"/>
        <v>598460</v>
      </c>
      <c r="K42" s="467"/>
      <c r="L42" s="141">
        <f>'2.1 Auxiliary Services YR1'!G89</f>
        <v>0</v>
      </c>
      <c r="M42" s="115">
        <v>0</v>
      </c>
      <c r="N42" s="141">
        <v>0</v>
      </c>
      <c r="O42" s="141"/>
      <c r="P42" s="430">
        <f t="shared" si="6"/>
        <v>0</v>
      </c>
      <c r="Q42" s="467"/>
      <c r="R42" s="847">
        <f>ROUND(IF(D42="PCFP",'2.8 Alloc of Residual Rev. YR1'!I43,'1.4 FY 2020 Revenue Received'!Y37),0)</f>
        <v>153810</v>
      </c>
      <c r="S42" s="8"/>
      <c r="T42" s="375">
        <f t="shared" si="4"/>
        <v>3303940</v>
      </c>
      <c r="W42" s="2321">
        <f>1+W40</f>
        <v>0.99830914209436394</v>
      </c>
    </row>
    <row r="43" spans="1:27" x14ac:dyDescent="0.3">
      <c r="A43" s="4"/>
      <c r="B43" s="9" t="str">
        <f>'1.2 Budgeted Enrollment YR1'!E40</f>
        <v>Beacon Academy</v>
      </c>
      <c r="D43" s="106" t="str">
        <f>IF('2.9 PCFP Funding Comparison YR1'!$K$25="Yes","PCFP","FY 2020 Baseline")</f>
        <v>PCFP</v>
      </c>
      <c r="E43" s="375">
        <f>ROUND(IF(D43="PCFP",'2.8 Alloc of Residual Rev. YR1'!G44,'1.4 FY 2020 Revenue Received'!Z38),2)</f>
        <v>8088120</v>
      </c>
      <c r="F43" s="8"/>
      <c r="G43" s="430">
        <f>ROUND(IF(D43="PCFP",'2.8 Alloc of Residual Rev. YR1'!J44,('1.4 FY 2020 Revenue Received'!S38)+'1.4 FY 2020 Revenue Received'!T38),0)</f>
        <v>522061</v>
      </c>
      <c r="H43" s="429">
        <f>ROUND(IF(D43="PCFP",'2.8 Alloc of Residual Rev. YR1'!K44,('1.4 FY 2020 Revenue Received'!S38)+'1.4 FY 2020 Revenue Received'!U38),2)</f>
        <v>861613</v>
      </c>
      <c r="I43" s="430">
        <f>ROUND(IF(D43="PCFP",'2.8 Alloc of Residual Rev. YR1'!L44,'1.4 FY 2020 Revenue Received'!V38),2)</f>
        <v>0</v>
      </c>
      <c r="J43" s="1291">
        <f t="shared" si="5"/>
        <v>1383674</v>
      </c>
      <c r="K43" s="467"/>
      <c r="L43" s="141">
        <f>'2.1 Auxiliary Services YR1'!G90</f>
        <v>0</v>
      </c>
      <c r="M43" s="115">
        <v>0</v>
      </c>
      <c r="N43" s="141">
        <v>0</v>
      </c>
      <c r="O43" s="141"/>
      <c r="P43" s="430">
        <f t="shared" si="6"/>
        <v>0</v>
      </c>
      <c r="Q43" s="467"/>
      <c r="R43" s="847">
        <f>ROUND(IF(D43="PCFP",'2.8 Alloc of Residual Rev. YR1'!I44,'1.4 FY 2020 Revenue Received'!Y38),0)</f>
        <v>801317</v>
      </c>
      <c r="S43" s="8"/>
      <c r="T43" s="375">
        <f t="shared" si="4"/>
        <v>10273111</v>
      </c>
    </row>
    <row r="44" spans="1:27" x14ac:dyDescent="0.3">
      <c r="A44" s="4"/>
      <c r="B44" s="9" t="str">
        <f>'1.2 Budgeted Enrollment YR1'!E41</f>
        <v>Cactus Park</v>
      </c>
      <c r="D44" s="106" t="str">
        <f>IF('2.9 PCFP Funding Comparison YR1'!$K$25="Yes","PCFP","FY 2020 Baseline")</f>
        <v>PCFP</v>
      </c>
      <c r="E44" s="375">
        <f>ROUND(IF(D44="PCFP",'2.8 Alloc of Residual Rev. YR1'!G45,'1.4 FY 2020 Revenue Received'!Z39),2)</f>
        <v>2844619</v>
      </c>
      <c r="F44" s="8"/>
      <c r="G44" s="430">
        <f>ROUND(IF(D44="PCFP",'2.8 Alloc of Residual Rev. YR1'!J45,('1.4 FY 2020 Revenue Received'!S39)+'1.4 FY 2020 Revenue Received'!T39),0)</f>
        <v>271642</v>
      </c>
      <c r="H44" s="429">
        <f>ROUND(IF(D44="PCFP",'2.8 Alloc of Residual Rev. YR1'!K45,('1.4 FY 2020 Revenue Received'!S39)+'1.4 FY 2020 Revenue Received'!U39),2)</f>
        <v>0</v>
      </c>
      <c r="I44" s="430">
        <f>ROUND(IF(D44="PCFP",'2.8 Alloc of Residual Rev. YR1'!L45,'1.4 FY 2020 Revenue Received'!V39),2)</f>
        <v>0</v>
      </c>
      <c r="J44" s="1291">
        <f t="shared" si="5"/>
        <v>271642</v>
      </c>
      <c r="K44" s="467"/>
      <c r="L44" s="141">
        <f>'2.1 Auxiliary Services YR1'!G91</f>
        <v>0</v>
      </c>
      <c r="M44" s="115">
        <v>0</v>
      </c>
      <c r="N44" s="141">
        <v>0</v>
      </c>
      <c r="O44" s="141"/>
      <c r="P44" s="430">
        <f t="shared" si="6"/>
        <v>0</v>
      </c>
      <c r="Q44" s="467"/>
      <c r="R44" s="847">
        <f>ROUND(IF(D44="PCFP",'2.8 Alloc of Residual Rev. YR1'!I45,'1.4 FY 2020 Revenue Received'!Y39),0)</f>
        <v>31624</v>
      </c>
      <c r="S44" s="8"/>
      <c r="T44" s="375">
        <f t="shared" si="4"/>
        <v>3147885</v>
      </c>
    </row>
    <row r="45" spans="1:27" x14ac:dyDescent="0.3">
      <c r="A45" s="4"/>
      <c r="B45" s="9" t="str">
        <f>'1.2 Budgeted Enrollment YR1'!E42</f>
        <v>Carson Montessori</v>
      </c>
      <c r="D45" s="106" t="str">
        <f>IF('2.9 PCFP Funding Comparison YR1'!$K$25="Yes","PCFP","FY 2020 Baseline")</f>
        <v>PCFP</v>
      </c>
      <c r="E45" s="375">
        <f>ROUND(IF(D45="PCFP",'2.8 Alloc of Residual Rev. YR1'!G46,'1.4 FY 2020 Revenue Received'!Z40),2)</f>
        <v>3006091</v>
      </c>
      <c r="F45" s="8"/>
      <c r="G45" s="430">
        <f>ROUND(IF(D45="PCFP",'2.8 Alloc of Residual Rev. YR1'!J46,('1.4 FY 2020 Revenue Received'!S40)+'1.4 FY 2020 Revenue Received'!T40),0)</f>
        <v>21222</v>
      </c>
      <c r="H45" s="429">
        <f>ROUND(IF(D45="PCFP",'2.8 Alloc of Residual Rev. YR1'!K46,('1.4 FY 2020 Revenue Received'!S40)+'1.4 FY 2020 Revenue Received'!U40),2)</f>
        <v>3301</v>
      </c>
      <c r="I45" s="430">
        <f>ROUND(IF(D45="PCFP",'2.8 Alloc of Residual Rev. YR1'!L46,'1.4 FY 2020 Revenue Received'!V40),2)</f>
        <v>1132</v>
      </c>
      <c r="J45" s="1291">
        <f t="shared" si="5"/>
        <v>25655</v>
      </c>
      <c r="K45" s="467"/>
      <c r="L45" s="141">
        <f>'2.1 Auxiliary Services YR1'!G92</f>
        <v>0</v>
      </c>
      <c r="M45" s="115">
        <v>0</v>
      </c>
      <c r="N45" s="141">
        <v>0</v>
      </c>
      <c r="O45" s="141"/>
      <c r="P45" s="430">
        <f t="shared" si="6"/>
        <v>0</v>
      </c>
      <c r="Q45" s="467"/>
      <c r="R45" s="847">
        <f>ROUND(IF(D45="PCFP",'2.8 Alloc of Residual Rev. YR1'!I46,'1.4 FY 2020 Revenue Received'!Y40),0)</f>
        <v>67318</v>
      </c>
      <c r="S45" s="8"/>
      <c r="T45" s="375">
        <f t="shared" si="4"/>
        <v>3099064</v>
      </c>
    </row>
    <row r="46" spans="1:27" x14ac:dyDescent="0.3">
      <c r="A46" s="4"/>
      <c r="B46" s="9" t="str">
        <f>'1.2 Budgeted Enrollment YR1'!E43</f>
        <v>CIVICA Nevada Career &amp; Collegiate Academy</v>
      </c>
      <c r="D46" s="106" t="str">
        <f>IF('2.9 PCFP Funding Comparison YR1'!$K$25="Yes","PCFP","FY 2020 Baseline")</f>
        <v>PCFP</v>
      </c>
      <c r="E46" s="375">
        <f>ROUND(IF(D46="PCFP",'2.8 Alloc of Residual Rev. YR1'!G47,'1.4 FY 2020 Revenue Received'!Z41),2)</f>
        <v>8642913</v>
      </c>
      <c r="F46" s="8"/>
      <c r="G46" s="430">
        <f>ROUND(IF(D46="PCFP",'2.8 Alloc of Residual Rev. YR1'!J47,('1.4 FY 2020 Revenue Received'!S41)+'1.4 FY 2020 Revenue Received'!T41),0)</f>
        <v>1434607</v>
      </c>
      <c r="H46" s="429">
        <f>ROUND(IF(D46="PCFP",'2.8 Alloc of Residual Rev. YR1'!K47,('1.4 FY 2020 Revenue Received'!S41)+'1.4 FY 2020 Revenue Received'!U41),2)</f>
        <v>16506</v>
      </c>
      <c r="I46" s="430">
        <f>ROUND(IF(D46="PCFP",'2.8 Alloc of Residual Rev. YR1'!L47,'1.4 FY 2020 Revenue Received'!V41),2)</f>
        <v>0</v>
      </c>
      <c r="J46" s="1291">
        <f t="shared" si="5"/>
        <v>1451113</v>
      </c>
      <c r="K46" s="467"/>
      <c r="L46" s="141">
        <f>'2.1 Auxiliary Services YR1'!G93</f>
        <v>0</v>
      </c>
      <c r="M46" s="115">
        <v>0</v>
      </c>
      <c r="N46" s="141">
        <v>0</v>
      </c>
      <c r="O46" s="141"/>
      <c r="P46" s="430">
        <f t="shared" si="6"/>
        <v>0</v>
      </c>
      <c r="Q46" s="467"/>
      <c r="R46" s="847">
        <f>ROUND(IF(D46="PCFP",'2.8 Alloc of Residual Rev. YR1'!I47,'1.4 FY 2020 Revenue Received'!Y41),0)</f>
        <v>257639</v>
      </c>
      <c r="S46" s="8"/>
      <c r="T46" s="375">
        <f t="shared" si="4"/>
        <v>10351665</v>
      </c>
    </row>
    <row r="47" spans="1:27" x14ac:dyDescent="0.3">
      <c r="A47" s="4"/>
      <c r="B47" s="9" t="str">
        <f>'1.2 Budgeted Enrollment YR1'!E44</f>
        <v>Coral Academy of Science Las Vegas</v>
      </c>
      <c r="D47" s="106" t="str">
        <f>IF('2.9 PCFP Funding Comparison YR1'!$K$25="Yes","PCFP","FY 2020 Baseline")</f>
        <v>PCFP</v>
      </c>
      <c r="E47" s="375">
        <f>ROUND(IF(D47="PCFP",'2.8 Alloc of Residual Rev. YR1'!G48,'1.4 FY 2020 Revenue Received'!Z42),2)</f>
        <v>51690250</v>
      </c>
      <c r="F47" s="8"/>
      <c r="G47" s="430">
        <f>ROUND(IF(D47="PCFP",'2.8 Alloc of Residual Rev. YR1'!J48,('1.4 FY 2020 Revenue Received'!S42)+'1.4 FY 2020 Revenue Received'!T42),0)</f>
        <v>1120522</v>
      </c>
      <c r="H47" s="429">
        <f>ROUND(IF(D47="PCFP",'2.8 Alloc of Residual Rev. YR1'!K48,('1.4 FY 2020 Revenue Received'!S42)+'1.4 FY 2020 Revenue Received'!U42),2)</f>
        <v>56120</v>
      </c>
      <c r="I47" s="430">
        <f>ROUND(IF(D47="PCFP",'2.8 Alloc of Residual Rev. YR1'!L48,'1.4 FY 2020 Revenue Received'!V42),2)</f>
        <v>69042</v>
      </c>
      <c r="J47" s="1291">
        <f t="shared" si="5"/>
        <v>1245684</v>
      </c>
      <c r="K47" s="467"/>
      <c r="L47" s="141">
        <f>'2.1 Auxiliary Services YR1'!G94</f>
        <v>0</v>
      </c>
      <c r="M47" s="115">
        <v>0</v>
      </c>
      <c r="N47" s="141">
        <v>0</v>
      </c>
      <c r="O47" s="141"/>
      <c r="P47" s="430">
        <f t="shared" si="6"/>
        <v>0</v>
      </c>
      <c r="Q47" s="467"/>
      <c r="R47" s="847">
        <f>ROUND(IF(D47="PCFP",'2.8 Alloc of Residual Rev. YR1'!I48,'1.4 FY 2020 Revenue Received'!Y42),0)</f>
        <v>620880</v>
      </c>
      <c r="S47" s="8"/>
      <c r="T47" s="375">
        <f t="shared" si="4"/>
        <v>53556814</v>
      </c>
    </row>
    <row r="48" spans="1:27" x14ac:dyDescent="0.3">
      <c r="A48" s="4"/>
      <c r="B48" s="9" t="str">
        <f>'1.2 Budgeted Enrollment YR1'!E45</f>
        <v>Coral Academy Washoe</v>
      </c>
      <c r="D48" s="106" t="str">
        <f>IF('2.9 PCFP Funding Comparison YR1'!$K$25="Yes","PCFP","FY 2020 Baseline")</f>
        <v>PCFP</v>
      </c>
      <c r="E48" s="375">
        <f>ROUND(IF(D48="PCFP",'2.8 Alloc of Residual Rev. YR1'!G49,'1.4 FY 2020 Revenue Received'!Z43),2)</f>
        <v>19128094</v>
      </c>
      <c r="F48" s="8"/>
      <c r="G48" s="430">
        <f>ROUND(IF(D48="PCFP",'2.8 Alloc of Residual Rev. YR1'!J49,('1.4 FY 2020 Revenue Received'!S43)+'1.4 FY 2020 Revenue Received'!T43),0)</f>
        <v>687593</v>
      </c>
      <c r="H48" s="429">
        <f>ROUND(IF(D48="PCFP",'2.8 Alloc of Residual Rev. YR1'!K49,('1.4 FY 2020 Revenue Received'!S43)+'1.4 FY 2020 Revenue Received'!U43),2)</f>
        <v>138650</v>
      </c>
      <c r="I48" s="430">
        <f>ROUND(IF(D48="PCFP",'2.8 Alloc of Residual Rev. YR1'!L49,'1.4 FY 2020 Revenue Received'!V43),2)</f>
        <v>1132</v>
      </c>
      <c r="J48" s="1291">
        <f t="shared" si="5"/>
        <v>827375</v>
      </c>
      <c r="K48" s="467"/>
      <c r="L48" s="141">
        <f>'2.1 Auxiliary Services YR1'!G95</f>
        <v>0</v>
      </c>
      <c r="M48" s="115">
        <v>0</v>
      </c>
      <c r="N48" s="141">
        <v>0</v>
      </c>
      <c r="O48" s="141"/>
      <c r="P48" s="430">
        <f t="shared" si="6"/>
        <v>0</v>
      </c>
      <c r="Q48" s="467"/>
      <c r="R48" s="847">
        <f>ROUND(IF(D48="PCFP",'2.8 Alloc of Residual Rev. YR1'!I49,'1.4 FY 2020 Revenue Received'!Y43),0)</f>
        <v>342530</v>
      </c>
      <c r="S48" s="8"/>
      <c r="T48" s="375">
        <f t="shared" si="4"/>
        <v>20297999</v>
      </c>
      <c r="Y48" s="12"/>
    </row>
    <row r="49" spans="1:26" x14ac:dyDescent="0.3">
      <c r="B49" s="9" t="str">
        <f>'1.2 Budgeted Enrollment YR1'!E46</f>
        <v>Delta Academy</v>
      </c>
      <c r="D49" s="106" t="str">
        <f>IF('2.9 PCFP Funding Comparison YR1'!$K$25="Yes","PCFP","FY 2020 Baseline")</f>
        <v>PCFP</v>
      </c>
      <c r="E49" s="375">
        <f>ROUND(IF(D49="PCFP",'2.8 Alloc of Residual Rev. YR1'!G50,'1.4 FY 2020 Revenue Received'!Z44),2)</f>
        <v>13252036</v>
      </c>
      <c r="F49" s="8"/>
      <c r="G49" s="430">
        <f>ROUND(IF(D49="PCFP",'2.8 Alloc of Residual Rev. YR1'!J50,('1.4 FY 2020 Revenue Received'!S44)+'1.4 FY 2020 Revenue Received'!T44),0)</f>
        <v>441418</v>
      </c>
      <c r="H49" s="429">
        <f>ROUND(IF(D49="PCFP",'2.8 Alloc of Residual Rev. YR1'!K50,('1.4 FY 2020 Revenue Received'!S44)+'1.4 FY 2020 Revenue Received'!U44),2)</f>
        <v>1039878</v>
      </c>
      <c r="I49" s="430">
        <f>ROUND(IF(D49="PCFP",'2.8 Alloc of Residual Rev. YR1'!L50,'1.4 FY 2020 Revenue Received'!V44),2)</f>
        <v>0</v>
      </c>
      <c r="J49" s="1291">
        <f t="shared" si="5"/>
        <v>1481296</v>
      </c>
      <c r="K49" s="467"/>
      <c r="L49" s="141">
        <f>'2.1 Auxiliary Services YR1'!G96</f>
        <v>0</v>
      </c>
      <c r="M49" s="115">
        <v>0</v>
      </c>
      <c r="N49" s="141">
        <v>0</v>
      </c>
      <c r="O49" s="141"/>
      <c r="P49" s="430">
        <f t="shared" si="6"/>
        <v>0</v>
      </c>
      <c r="Q49" s="467"/>
      <c r="R49" s="847">
        <f>ROUND(IF(D49="PCFP",'2.8 Alloc of Residual Rev. YR1'!I50,'1.4 FY 2020 Revenue Received'!Y44),0)</f>
        <v>423899</v>
      </c>
      <c r="S49" s="8"/>
      <c r="T49" s="375">
        <f t="shared" si="4"/>
        <v>15157231</v>
      </c>
      <c r="Y49" s="12"/>
    </row>
    <row r="50" spans="1:26" x14ac:dyDescent="0.3">
      <c r="A50" s="4"/>
      <c r="B50" s="9" t="str">
        <f>'1.2 Budgeted Enrollment YR1'!E47</f>
        <v>Democracy Prep</v>
      </c>
      <c r="D50" s="106" t="str">
        <f>IF('2.9 PCFP Funding Comparison YR1'!$K$25="Yes","PCFP","FY 2020 Baseline")</f>
        <v>PCFP</v>
      </c>
      <c r="E50" s="375">
        <f>ROUND(IF(D50="PCFP",'2.8 Alloc of Residual Rev. YR1'!G51,'1.4 FY 2020 Revenue Received'!Z45),2)</f>
        <v>12063572</v>
      </c>
      <c r="F50" s="8"/>
      <c r="G50" s="430">
        <f>ROUND(IF(D50="PCFP",'2.8 Alloc of Residual Rev. YR1'!J51,('1.4 FY 2020 Revenue Received'!S45)+'1.4 FY 2020 Revenue Received'!T45),0)</f>
        <v>441418</v>
      </c>
      <c r="H50" s="429">
        <f>ROUND(IF(D50="PCFP",'2.8 Alloc of Residual Rev. YR1'!K51,('1.4 FY 2020 Revenue Received'!S45)+'1.4 FY 2020 Revenue Received'!U45),2)</f>
        <v>584312</v>
      </c>
      <c r="I50" s="430">
        <f>ROUND(IF(D50="PCFP",'2.8 Alloc of Residual Rev. YR1'!L51,'1.4 FY 2020 Revenue Received'!V45),2)</f>
        <v>0</v>
      </c>
      <c r="J50" s="1291">
        <f t="shared" si="5"/>
        <v>1025730</v>
      </c>
      <c r="K50" s="467"/>
      <c r="L50" s="141">
        <f>'2.1 Auxiliary Services YR1'!G97</f>
        <v>0</v>
      </c>
      <c r="M50" s="115">
        <v>0</v>
      </c>
      <c r="N50" s="141">
        <v>0</v>
      </c>
      <c r="O50" s="141"/>
      <c r="P50" s="430">
        <f t="shared" si="6"/>
        <v>0</v>
      </c>
      <c r="Q50" s="467"/>
      <c r="R50" s="847">
        <f>ROUND(IF(D50="PCFP",'2.8 Alloc of Residual Rev. YR1'!I51,'1.4 FY 2020 Revenue Received'!Y45),0)</f>
        <v>0</v>
      </c>
      <c r="S50" s="8"/>
      <c r="T50" s="375">
        <f t="shared" si="4"/>
        <v>13089302</v>
      </c>
      <c r="Y50" s="15"/>
    </row>
    <row r="51" spans="1:26" x14ac:dyDescent="0.3">
      <c r="A51" s="4"/>
      <c r="B51" s="9" t="str">
        <f>'1.2 Budgeted Enrollment YR1'!E48</f>
        <v>Discovery Charter</v>
      </c>
      <c r="D51" s="106" t="str">
        <f>IF('2.9 PCFP Funding Comparison YR1'!$K$25="Yes","PCFP","FY 2020 Baseline")</f>
        <v>PCFP</v>
      </c>
      <c r="E51" s="375">
        <f>ROUND(IF(D51="PCFP",'2.8 Alloc of Residual Rev. YR1'!G52,'1.4 FY 2020 Revenue Received'!Z46),2)</f>
        <v>4714110</v>
      </c>
      <c r="F51" s="8"/>
      <c r="G51" s="430">
        <f>ROUND(IF(D51="PCFP",'2.8 Alloc of Residual Rev. YR1'!J52,('1.4 FY 2020 Revenue Received'!S46)+'1.4 FY 2020 Revenue Received'!T46),0)</f>
        <v>233442</v>
      </c>
      <c r="H51" s="429">
        <f>ROUND(IF(D51="PCFP",'2.8 Alloc of Residual Rev. YR1'!K52,('1.4 FY 2020 Revenue Received'!S46)+'1.4 FY 2020 Revenue Received'!U46),2)</f>
        <v>9904</v>
      </c>
      <c r="I51" s="430">
        <f>ROUND(IF(D51="PCFP",'2.8 Alloc of Residual Rev. YR1'!L52,'1.4 FY 2020 Revenue Received'!V46),2)</f>
        <v>0</v>
      </c>
      <c r="J51" s="1291">
        <f t="shared" si="5"/>
        <v>243346</v>
      </c>
      <c r="K51" s="467"/>
      <c r="L51" s="141">
        <f>'2.1 Auxiliary Services YR1'!G98</f>
        <v>0</v>
      </c>
      <c r="M51" s="115">
        <v>0</v>
      </c>
      <c r="N51" s="141">
        <v>0</v>
      </c>
      <c r="O51" s="141"/>
      <c r="P51" s="430">
        <f t="shared" si="6"/>
        <v>0</v>
      </c>
      <c r="Q51" s="467"/>
      <c r="R51" s="847">
        <f>ROUND(IF(D51="PCFP",'2.8 Alloc of Residual Rev. YR1'!I52,'1.4 FY 2020 Revenue Received'!Y46),0)</f>
        <v>130158</v>
      </c>
      <c r="S51" s="8"/>
      <c r="T51" s="375">
        <f t="shared" si="4"/>
        <v>5087614</v>
      </c>
      <c r="Y51" s="12"/>
      <c r="Z51" s="2187"/>
    </row>
    <row r="52" spans="1:26" x14ac:dyDescent="0.3">
      <c r="A52" s="4"/>
      <c r="B52" s="9" t="str">
        <f>'1.2 Budgeted Enrollment YR1'!E49</f>
        <v>Do and Be Academy of Excellence</v>
      </c>
      <c r="D52" s="106" t="str">
        <f>IF('2.9 PCFP Funding Comparison YR1'!$K$25="Yes","PCFP","FY 2020 Baseline")</f>
        <v>PCFP</v>
      </c>
      <c r="E52" s="375">
        <f>ROUND(IF(D52="PCFP",'2.8 Alloc of Residual Rev. YR1'!G53,'1.4 FY 2020 Revenue Received'!Z47),2)</f>
        <v>522951</v>
      </c>
      <c r="F52" s="8"/>
      <c r="G52" s="430">
        <f>ROUND(IF(D52="PCFP",'2.8 Alloc of Residual Rev. YR1'!J53,('1.4 FY 2020 Revenue Received'!S47)+'1.4 FY 2020 Revenue Received'!T47),0)</f>
        <v>0</v>
      </c>
      <c r="H52" s="429">
        <f>ROUND(IF(D52="PCFP",'2.8 Alloc of Residual Rev. YR1'!K53,('1.4 FY 2020 Revenue Received'!S47)+'1.4 FY 2020 Revenue Received'!U47),2)</f>
        <v>0</v>
      </c>
      <c r="I52" s="430">
        <f>ROUND(IF(D52="PCFP",'2.8 Alloc of Residual Rev. YR1'!L53,'1.4 FY 2020 Revenue Received'!V47),2)</f>
        <v>0</v>
      </c>
      <c r="J52" s="1291">
        <f t="shared" ref="J52" si="7">SUM(G52:I52)</f>
        <v>0</v>
      </c>
      <c r="K52" s="467"/>
      <c r="L52" s="141">
        <f>'2.1 Auxiliary Services YR1'!G99</f>
        <v>0</v>
      </c>
      <c r="M52" s="115">
        <v>0</v>
      </c>
      <c r="N52" s="141">
        <v>0</v>
      </c>
      <c r="O52" s="141"/>
      <c r="P52" s="430">
        <f t="shared" si="6"/>
        <v>0</v>
      </c>
      <c r="Q52" s="467"/>
      <c r="R52" s="847">
        <f>ROUND(IF(D52="PCFP",'2.8 Alloc of Residual Rev. YR1'!I53,'1.4 FY 2020 Revenue Received'!Y47),0)</f>
        <v>0</v>
      </c>
      <c r="S52" s="8"/>
      <c r="T52" s="375">
        <f t="shared" ref="T52" si="8">E52+J52+P52+R52</f>
        <v>522951</v>
      </c>
      <c r="U52" s="4" t="s">
        <v>370</v>
      </c>
    </row>
    <row r="53" spans="1:26" x14ac:dyDescent="0.3">
      <c r="A53" s="4"/>
      <c r="B53" s="9" t="str">
        <f>'1.2 Budgeted Enrollment YR1'!E50</f>
        <v>Doral Academy</v>
      </c>
      <c r="D53" s="106" t="str">
        <f>IF('2.9 PCFP Funding Comparison YR1'!$K$25="Yes","PCFP","FY 2020 Baseline")</f>
        <v>PCFP</v>
      </c>
      <c r="E53" s="375">
        <f>ROUND(IF(D53="PCFP",'2.8 Alloc of Residual Rev. YR1'!G54,'1.4 FY 2020 Revenue Received'!Z48),2)</f>
        <v>60965885</v>
      </c>
      <c r="F53" s="8"/>
      <c r="G53" s="430">
        <f>ROUND(IF(D53="PCFP",'2.8 Alloc of Residual Rev. YR1'!J54,('1.4 FY 2020 Revenue Received'!S48)+'1.4 FY 2020 Revenue Received'!T48),0)</f>
        <v>984701</v>
      </c>
      <c r="H53" s="429">
        <f>ROUND(IF(D53="PCFP",'2.8 Alloc of Residual Rev. YR1'!K54,('1.4 FY 2020 Revenue Received'!S48)+'1.4 FY 2020 Revenue Received'!U48),2)</f>
        <v>23108</v>
      </c>
      <c r="I53" s="430">
        <f>ROUND(IF(D53="PCFP",'2.8 Alloc of Residual Rev. YR1'!L54,'1.4 FY 2020 Revenue Received'!V48),2)</f>
        <v>373507</v>
      </c>
      <c r="J53" s="1291">
        <f t="shared" si="5"/>
        <v>1381316</v>
      </c>
      <c r="K53" s="467"/>
      <c r="L53" s="141">
        <f>'2.1 Auxiliary Services YR1'!G100</f>
        <v>0</v>
      </c>
      <c r="M53" s="115">
        <v>0</v>
      </c>
      <c r="N53" s="141">
        <v>0</v>
      </c>
      <c r="O53" s="141"/>
      <c r="P53" s="430">
        <f t="shared" si="6"/>
        <v>0</v>
      </c>
      <c r="Q53" s="467"/>
      <c r="R53" s="847">
        <f>ROUND(IF(D53="PCFP",'2.8 Alloc of Residual Rev. YR1'!I54,'1.4 FY 2020 Revenue Received'!Y48),0)</f>
        <v>2791360</v>
      </c>
      <c r="S53" s="8"/>
      <c r="T53" s="375">
        <f t="shared" si="4"/>
        <v>65138561</v>
      </c>
    </row>
    <row r="54" spans="1:26" x14ac:dyDescent="0.3">
      <c r="A54" s="4"/>
      <c r="B54" s="9" t="str">
        <f>'1.2 Budgeted Enrollment YR1'!E51</f>
        <v>Doral Academy of Northern Nevada</v>
      </c>
      <c r="D54" s="106" t="str">
        <f>IF('2.9 PCFP Funding Comparison YR1'!$K$25="Yes","PCFP","FY 2020 Baseline")</f>
        <v>PCFP</v>
      </c>
      <c r="E54" s="375">
        <f>ROUND(IF(D54="PCFP",'2.8 Alloc of Residual Rev. YR1'!G55,'1.4 FY 2020 Revenue Received'!Z49),2)</f>
        <v>9609113</v>
      </c>
      <c r="F54" s="8"/>
      <c r="G54" s="430">
        <f>ROUND(IF(D54="PCFP",'2.8 Alloc of Residual Rev. YR1'!J55,('1.4 FY 2020 Revenue Received'!S49)+'1.4 FY 2020 Revenue Received'!T49),0)</f>
        <v>42444</v>
      </c>
      <c r="H54" s="429">
        <f>ROUND(IF(D54="PCFP",'2.8 Alloc of Residual Rev. YR1'!K55,('1.4 FY 2020 Revenue Received'!S49)+'1.4 FY 2020 Revenue Received'!U49),2)</f>
        <v>0</v>
      </c>
      <c r="I54" s="430">
        <f>ROUND(IF(D54="PCFP",'2.8 Alloc of Residual Rev. YR1'!L55,'1.4 FY 2020 Revenue Received'!V49),2)</f>
        <v>89415</v>
      </c>
      <c r="J54" s="1291">
        <f t="shared" si="5"/>
        <v>131859</v>
      </c>
      <c r="K54" s="467"/>
      <c r="L54" s="141">
        <f>'2.1 Auxiliary Services YR1'!G101</f>
        <v>0</v>
      </c>
      <c r="M54" s="115">
        <v>0</v>
      </c>
      <c r="N54" s="141">
        <v>0</v>
      </c>
      <c r="O54" s="141"/>
      <c r="P54" s="430">
        <f t="shared" si="6"/>
        <v>0</v>
      </c>
      <c r="Q54" s="467"/>
      <c r="R54" s="847">
        <f>ROUND(IF(D54="PCFP",'2.8 Alloc of Residual Rev. YR1'!I55,'1.4 FY 2020 Revenue Received'!Y49),0)</f>
        <v>85050</v>
      </c>
      <c r="S54" s="8"/>
      <c r="T54" s="375">
        <f t="shared" si="4"/>
        <v>9826022</v>
      </c>
    </row>
    <row r="55" spans="1:26" x14ac:dyDescent="0.3">
      <c r="A55" s="4"/>
      <c r="B55" s="9" t="str">
        <f>'1.2 Budgeted Enrollment YR1'!E52</f>
        <v>Eagle Charter School (CLOSED)</v>
      </c>
      <c r="D55" s="106" t="str">
        <f>IF('2.9 PCFP Funding Comparison YR1'!$K$25="Yes","PCFP","FY 2020 Baseline")</f>
        <v>PCFP</v>
      </c>
      <c r="E55" s="375">
        <f>ROUND(IF(D55="PCFP",'2.8 Alloc of Residual Rev. YR1'!G56,'1.4 FY 2020 Revenue Received'!Z50),2)</f>
        <v>0</v>
      </c>
      <c r="F55" s="8"/>
      <c r="G55" s="430">
        <f>ROUND(IF(D55="PCFP",'2.8 Alloc of Residual Rev. YR1'!J56,('1.4 FY 2020 Revenue Received'!S50)+'1.4 FY 2020 Revenue Received'!T50),0)</f>
        <v>0</v>
      </c>
      <c r="H55" s="429">
        <f>ROUND(IF(D55="PCFP",'2.8 Alloc of Residual Rev. YR1'!K56,('1.4 FY 2020 Revenue Received'!S50)+'1.4 FY 2020 Revenue Received'!U50),2)</f>
        <v>0</v>
      </c>
      <c r="I55" s="430">
        <f>ROUND(IF(D55="PCFP",'2.8 Alloc of Residual Rev. YR1'!L56,'1.4 FY 2020 Revenue Received'!V50),2)</f>
        <v>0</v>
      </c>
      <c r="J55" s="1291">
        <f t="shared" si="5"/>
        <v>0</v>
      </c>
      <c r="K55" s="467"/>
      <c r="L55" s="141">
        <f>'2.1 Auxiliary Services YR1'!G102</f>
        <v>0</v>
      </c>
      <c r="M55" s="115">
        <v>0</v>
      </c>
      <c r="N55" s="141">
        <v>0</v>
      </c>
      <c r="O55" s="141"/>
      <c r="P55" s="430">
        <f t="shared" si="6"/>
        <v>0</v>
      </c>
      <c r="Q55" s="467"/>
      <c r="R55" s="847">
        <f>ROUND(IF(D55="PCFP",'2.8 Alloc of Residual Rev. YR1'!I56,'1.4 FY 2020 Revenue Received'!Y50),0)</f>
        <v>0</v>
      </c>
      <c r="S55" s="8"/>
      <c r="T55" s="375">
        <f t="shared" si="4"/>
        <v>0</v>
      </c>
    </row>
    <row r="56" spans="1:26" x14ac:dyDescent="0.3">
      <c r="A56" s="4"/>
      <c r="B56" s="9" t="str">
        <f>'1.2 Budgeted Enrollment YR1'!E53</f>
        <v>Elko Institute for Academic Achievement</v>
      </c>
      <c r="D56" s="106" t="str">
        <f>IF('2.9 PCFP Funding Comparison YR1'!$K$25="Yes","PCFP","FY 2020 Baseline")</f>
        <v>PCFP</v>
      </c>
      <c r="E56" s="375">
        <f>ROUND(IF(D56="PCFP",'2.8 Alloc of Residual Rev. YR1'!G57,'1.4 FY 2020 Revenue Received'!Z51),2)</f>
        <v>3213805</v>
      </c>
      <c r="F56" s="8"/>
      <c r="G56" s="430">
        <f>ROUND(IF(D56="PCFP",'2.8 Alloc of Residual Rev. YR1'!J57,('1.4 FY 2020 Revenue Received'!S51)+'1.4 FY 2020 Revenue Received'!T51),0)</f>
        <v>33955</v>
      </c>
      <c r="H56" s="429">
        <f>ROUND(IF(D56="PCFP",'2.8 Alloc of Residual Rev. YR1'!K57,('1.4 FY 2020 Revenue Received'!S51)+'1.4 FY 2020 Revenue Received'!U51),2)</f>
        <v>26410</v>
      </c>
      <c r="I56" s="430">
        <f>ROUND(IF(D56="PCFP",'2.8 Alloc of Residual Rev. YR1'!L57,'1.4 FY 2020 Revenue Received'!V51),2)</f>
        <v>0</v>
      </c>
      <c r="J56" s="1291">
        <f t="shared" si="5"/>
        <v>60365</v>
      </c>
      <c r="K56" s="467"/>
      <c r="L56" s="141">
        <f>'2.1 Auxiliary Services YR1'!G103</f>
        <v>0</v>
      </c>
      <c r="M56" s="115">
        <v>0</v>
      </c>
      <c r="N56" s="141">
        <v>0</v>
      </c>
      <c r="O56" s="141"/>
      <c r="P56" s="430">
        <f t="shared" si="6"/>
        <v>0</v>
      </c>
      <c r="Q56" s="467"/>
      <c r="R56" s="847">
        <f>ROUND(IF(D56="PCFP",'2.8 Alloc of Residual Rev. YR1'!I57,'1.4 FY 2020 Revenue Received'!Y51),0)</f>
        <v>140428</v>
      </c>
      <c r="S56" s="8"/>
      <c r="T56" s="375">
        <f t="shared" si="4"/>
        <v>3414598</v>
      </c>
    </row>
    <row r="57" spans="1:26" x14ac:dyDescent="0.3">
      <c r="A57" s="4"/>
      <c r="B57" s="9" t="str">
        <f>'1.2 Budgeted Enrollment YR1'!E54</f>
        <v>enCompass Academy</v>
      </c>
      <c r="D57" s="106" t="str">
        <f>IF('2.9 PCFP Funding Comparison YR1'!$K$25="Yes","PCFP","FY 2020 Baseline")</f>
        <v>PCFP</v>
      </c>
      <c r="E57" s="375">
        <f>ROUND(IF(D57="PCFP",'2.8 Alloc of Residual Rev. YR1'!G58,'1.4 FY 2020 Revenue Received'!Z52),2)</f>
        <v>1224906</v>
      </c>
      <c r="F57" s="8"/>
      <c r="G57" s="430">
        <f>ROUND(IF(D57="PCFP",'2.8 Alloc of Residual Rev. YR1'!J58,('1.4 FY 2020 Revenue Received'!S52)+'1.4 FY 2020 Revenue Received'!T52),0)</f>
        <v>63666</v>
      </c>
      <c r="H57" s="429">
        <f>ROUND(IF(D57="PCFP",'2.8 Alloc of Residual Rev. YR1'!K58,('1.4 FY 2020 Revenue Received'!S52)+'1.4 FY 2020 Revenue Received'!U52),2)</f>
        <v>33012</v>
      </c>
      <c r="I57" s="430">
        <f>ROUND(IF(D57="PCFP",'2.8 Alloc of Residual Rev. YR1'!L58,'1.4 FY 2020 Revenue Received'!V52),2)</f>
        <v>0</v>
      </c>
      <c r="J57" s="1291">
        <f t="shared" si="5"/>
        <v>96678</v>
      </c>
      <c r="K57" s="467"/>
      <c r="L57" s="141">
        <f>'2.1 Auxiliary Services YR1'!G104</f>
        <v>0</v>
      </c>
      <c r="M57" s="115">
        <v>0</v>
      </c>
      <c r="N57" s="141">
        <v>0</v>
      </c>
      <c r="O57" s="141"/>
      <c r="P57" s="430">
        <f t="shared" si="6"/>
        <v>0</v>
      </c>
      <c r="Q57" s="467"/>
      <c r="R57" s="847">
        <f>ROUND(IF(D57="PCFP",'2.8 Alloc of Residual Rev. YR1'!I58,'1.4 FY 2020 Revenue Received'!Y52),0)</f>
        <v>0</v>
      </c>
      <c r="S57" s="8"/>
      <c r="T57" s="375">
        <f t="shared" si="4"/>
        <v>1321584</v>
      </c>
    </row>
    <row r="58" spans="1:26" x14ac:dyDescent="0.3">
      <c r="A58" s="4"/>
      <c r="B58" s="9" t="str">
        <f>'1.2 Budgeted Enrollment YR1'!E55</f>
        <v>Equipo Academy</v>
      </c>
      <c r="D58" s="106" t="str">
        <f>IF('2.9 PCFP Funding Comparison YR1'!$K$25="Yes","PCFP","FY 2020 Baseline")</f>
        <v>PCFP</v>
      </c>
      <c r="E58" s="375">
        <f>ROUND(IF(D58="PCFP",'2.8 Alloc of Residual Rev. YR1'!G59,'1.4 FY 2020 Revenue Received'!Z53),2)</f>
        <v>8496032</v>
      </c>
      <c r="F58" s="8"/>
      <c r="G58" s="430">
        <f>ROUND(IF(D58="PCFP",'2.8 Alloc of Residual Rev. YR1'!J59,('1.4 FY 2020 Revenue Received'!S53)+'1.4 FY 2020 Revenue Received'!T53),0)</f>
        <v>1056856</v>
      </c>
      <c r="H58" s="429">
        <f>ROUND(IF(D58="PCFP",'2.8 Alloc of Residual Rev. YR1'!K59,('1.4 FY 2020 Revenue Received'!S53)+'1.4 FY 2020 Revenue Received'!U53),2)</f>
        <v>72626</v>
      </c>
      <c r="I58" s="430">
        <f>ROUND(IF(D58="PCFP",'2.8 Alloc of Residual Rev. YR1'!L59,'1.4 FY 2020 Revenue Received'!V53),2)</f>
        <v>0</v>
      </c>
      <c r="J58" s="1291">
        <f t="shared" si="5"/>
        <v>1129482</v>
      </c>
      <c r="K58" s="467"/>
      <c r="L58" s="141">
        <f>'2.1 Auxiliary Services YR1'!G105</f>
        <v>0</v>
      </c>
      <c r="M58" s="115">
        <v>0</v>
      </c>
      <c r="N58" s="141">
        <v>0</v>
      </c>
      <c r="O58" s="141"/>
      <c r="P58" s="430">
        <f t="shared" si="6"/>
        <v>0</v>
      </c>
      <c r="Q58" s="467"/>
      <c r="R58" s="847">
        <f>ROUND(IF(D58="PCFP",'2.8 Alloc of Residual Rev. YR1'!I59,'1.4 FY 2020 Revenue Received'!Y53),0)</f>
        <v>349906</v>
      </c>
      <c r="S58" s="8"/>
      <c r="T58" s="375">
        <f t="shared" si="4"/>
        <v>9975420</v>
      </c>
    </row>
    <row r="59" spans="1:26" x14ac:dyDescent="0.3">
      <c r="A59" s="4"/>
      <c r="B59" s="9" t="str">
        <f>'1.2 Budgeted Enrollment YR1'!E56</f>
        <v>Explore Academy</v>
      </c>
      <c r="D59" s="106" t="str">
        <f>IF('2.9 PCFP Funding Comparison YR1'!$K$25="Yes","PCFP","FY 2020 Baseline")</f>
        <v>PCFP</v>
      </c>
      <c r="E59" s="375">
        <f>ROUND(IF(D59="PCFP",'2.8 Alloc of Residual Rev. YR1'!G60,'1.4 FY 2020 Revenue Received'!Z54),2)</f>
        <v>2696750</v>
      </c>
      <c r="F59" s="8"/>
      <c r="G59" s="430">
        <f>ROUND(IF(D59="PCFP",'2.8 Alloc of Residual Rev. YR1'!J60,('1.4 FY 2020 Revenue Received'!S54)+'1.4 FY 2020 Revenue Received'!T54),0)</f>
        <v>174020</v>
      </c>
      <c r="H59" s="429">
        <f>ROUND(IF(D59="PCFP",'2.8 Alloc of Residual Rev. YR1'!K60,('1.4 FY 2020 Revenue Received'!S54)+'1.4 FY 2020 Revenue Received'!U54),2)</f>
        <v>9904</v>
      </c>
      <c r="I59" s="430">
        <f>ROUND(IF(D59="PCFP",'2.8 Alloc of Residual Rev. YR1'!L60,'1.4 FY 2020 Revenue Received'!V54),2)</f>
        <v>0</v>
      </c>
      <c r="J59" s="1291">
        <f t="shared" si="5"/>
        <v>183924</v>
      </c>
      <c r="K59" s="467"/>
      <c r="L59" s="141">
        <f>'2.1 Auxiliary Services YR1'!G106</f>
        <v>0</v>
      </c>
      <c r="M59" s="115">
        <v>0</v>
      </c>
      <c r="N59" s="141">
        <v>0</v>
      </c>
      <c r="O59" s="141"/>
      <c r="P59" s="430">
        <f t="shared" si="6"/>
        <v>0</v>
      </c>
      <c r="Q59" s="467"/>
      <c r="R59" s="847">
        <f>ROUND(IF(D59="PCFP",'2.8 Alloc of Residual Rev. YR1'!I60,'1.4 FY 2020 Revenue Received'!Y54),0)</f>
        <v>0</v>
      </c>
      <c r="S59" s="8"/>
      <c r="T59" s="375">
        <f t="shared" si="4"/>
        <v>2880674</v>
      </c>
    </row>
    <row r="60" spans="1:26" x14ac:dyDescent="0.3">
      <c r="A60" s="4"/>
      <c r="B60" s="9" t="str">
        <f>'1.2 Budgeted Enrollment YR1'!E57</f>
        <v>Explore Knowledge Academy</v>
      </c>
      <c r="D60" s="106" t="str">
        <f>IF('2.9 PCFP Funding Comparison YR1'!$K$25="Yes","PCFP","FY 2020 Baseline")</f>
        <v>PCFP</v>
      </c>
      <c r="E60" s="375">
        <f>ROUND(IF(D60="PCFP",'2.8 Alloc of Residual Rev. YR1'!G61,'1.4 FY 2020 Revenue Received'!Z55),2)</f>
        <v>6268417</v>
      </c>
      <c r="F60" s="8"/>
      <c r="G60" s="430">
        <f>ROUND(IF(D60="PCFP",'2.8 Alloc of Residual Rev. YR1'!J61,('1.4 FY 2020 Revenue Received'!S55)+'1.4 FY 2020 Revenue Received'!T55),0)</f>
        <v>199487</v>
      </c>
      <c r="H60" s="429">
        <f>ROUND(IF(D60="PCFP",'2.8 Alloc of Residual Rev. YR1'!K61,('1.4 FY 2020 Revenue Received'!S55)+'1.4 FY 2020 Revenue Received'!U55),2)</f>
        <v>69325</v>
      </c>
      <c r="I60" s="430">
        <f>ROUND(IF(D60="PCFP",'2.8 Alloc of Residual Rev. YR1'!L61,'1.4 FY 2020 Revenue Received'!V55),2)</f>
        <v>0</v>
      </c>
      <c r="J60" s="1291">
        <f t="shared" si="5"/>
        <v>268812</v>
      </c>
      <c r="K60" s="467"/>
      <c r="L60" s="141">
        <f>'2.1 Auxiliary Services YR1'!G107</f>
        <v>0</v>
      </c>
      <c r="M60" s="115">
        <v>0</v>
      </c>
      <c r="N60" s="141">
        <v>0</v>
      </c>
      <c r="O60" s="141"/>
      <c r="P60" s="430">
        <f t="shared" si="6"/>
        <v>0</v>
      </c>
      <c r="Q60" s="467"/>
      <c r="R60" s="847">
        <f>ROUND(IF(D60="PCFP",'2.8 Alloc of Residual Rev. YR1'!I61,'1.4 FY 2020 Revenue Received'!Y55),0)</f>
        <v>27133</v>
      </c>
      <c r="S60" s="8"/>
      <c r="T60" s="375">
        <f t="shared" si="4"/>
        <v>6564362</v>
      </c>
    </row>
    <row r="61" spans="1:26" x14ac:dyDescent="0.3">
      <c r="A61" s="4"/>
      <c r="B61" s="9" t="str">
        <f>'1.2 Budgeted Enrollment YR1'!E58</f>
        <v>Founders Academy of Las Vegas</v>
      </c>
      <c r="D61" s="106" t="str">
        <f>IF('2.9 PCFP Funding Comparison YR1'!$K$25="Yes","PCFP","FY 2020 Baseline")</f>
        <v>PCFP</v>
      </c>
      <c r="E61" s="375">
        <f>ROUND(IF(D61="PCFP",'2.8 Alloc of Residual Rev. YR1'!G62,'1.4 FY 2020 Revenue Received'!Z56),2)</f>
        <v>10472224</v>
      </c>
      <c r="F61" s="8"/>
      <c r="G61" s="430">
        <f>ROUND(IF(D61="PCFP",'2.8 Alloc of Residual Rev. YR1'!J62,('1.4 FY 2020 Revenue Received'!S56)+'1.4 FY 2020 Revenue Received'!T56),0)</f>
        <v>365018</v>
      </c>
      <c r="H61" s="429">
        <f>ROUND(IF(D61="PCFP",'2.8 Alloc of Residual Rev. YR1'!K62,('1.4 FY 2020 Revenue Received'!S56)+'1.4 FY 2020 Revenue Received'!U56),2)</f>
        <v>26410</v>
      </c>
      <c r="I61" s="430">
        <f>ROUND(IF(D61="PCFP",'2.8 Alloc of Residual Rev. YR1'!L62,'1.4 FY 2020 Revenue Received'!V56),2)</f>
        <v>0</v>
      </c>
      <c r="J61" s="1291">
        <f t="shared" si="5"/>
        <v>391428</v>
      </c>
      <c r="K61" s="467"/>
      <c r="L61" s="141">
        <f>'2.1 Auxiliary Services YR1'!G108</f>
        <v>0</v>
      </c>
      <c r="M61" s="115">
        <v>0</v>
      </c>
      <c r="N61" s="141">
        <v>0</v>
      </c>
      <c r="O61" s="141"/>
      <c r="P61" s="430">
        <f t="shared" si="6"/>
        <v>0</v>
      </c>
      <c r="Q61" s="467"/>
      <c r="R61" s="847">
        <f>ROUND(IF(D61="PCFP",'2.8 Alloc of Residual Rev. YR1'!I62,'1.4 FY 2020 Revenue Received'!Y56),0)</f>
        <v>168554</v>
      </c>
      <c r="S61" s="8"/>
      <c r="T61" s="375">
        <f t="shared" si="4"/>
        <v>11032206</v>
      </c>
    </row>
    <row r="62" spans="1:26" x14ac:dyDescent="0.3">
      <c r="A62" s="4"/>
      <c r="B62" s="9" t="str">
        <f>'1.2 Budgeted Enrollment YR1'!E59</f>
        <v>Freedom Classical Academy</v>
      </c>
      <c r="D62" s="106" t="str">
        <f>IF('2.9 PCFP Funding Comparison YR1'!$K$25="Yes","PCFP","FY 2020 Baseline")</f>
        <v>PCFP</v>
      </c>
      <c r="E62" s="375">
        <f>ROUND(IF(D62="PCFP",'2.8 Alloc of Residual Rev. YR1'!G63,'1.4 FY 2020 Revenue Received'!Z57),2)</f>
        <v>10136789</v>
      </c>
      <c r="F62" s="8"/>
      <c r="G62" s="430">
        <f>ROUND(IF(D62="PCFP",'2.8 Alloc of Residual Rev. YR1'!J63,('1.4 FY 2020 Revenue Received'!S57)+'1.4 FY 2020 Revenue Received'!T57),0)</f>
        <v>581483</v>
      </c>
      <c r="H62" s="429">
        <f>ROUND(IF(D62="PCFP",'2.8 Alloc of Residual Rev. YR1'!K63,('1.4 FY 2020 Revenue Received'!S57)+'1.4 FY 2020 Revenue Received'!U57),2)</f>
        <v>69325</v>
      </c>
      <c r="I62" s="430">
        <f>ROUND(IF(D62="PCFP",'2.8 Alloc of Residual Rev. YR1'!L63,'1.4 FY 2020 Revenue Received'!V57),2)</f>
        <v>54328</v>
      </c>
      <c r="J62" s="1291">
        <f t="shared" si="5"/>
        <v>705136</v>
      </c>
      <c r="K62" s="467"/>
      <c r="L62" s="141">
        <f>'2.1 Auxiliary Services YR1'!G109</f>
        <v>0</v>
      </c>
      <c r="M62" s="115">
        <v>0</v>
      </c>
      <c r="N62" s="141">
        <v>0</v>
      </c>
      <c r="O62" s="141"/>
      <c r="P62" s="430">
        <f t="shared" si="6"/>
        <v>0</v>
      </c>
      <c r="Q62" s="467"/>
      <c r="R62" s="847">
        <f>ROUND(IF(D62="PCFP",'2.8 Alloc of Residual Rev. YR1'!I63,'1.4 FY 2020 Revenue Received'!Y57),0)</f>
        <v>545399</v>
      </c>
      <c r="S62" s="8"/>
      <c r="T62" s="375">
        <f t="shared" si="4"/>
        <v>11387324</v>
      </c>
    </row>
    <row r="63" spans="1:26" x14ac:dyDescent="0.3">
      <c r="A63" s="4"/>
      <c r="B63" s="9" t="str">
        <f>'1.2 Budgeted Enrollment YR1'!E60</f>
        <v>Futuro Academy Elementary</v>
      </c>
      <c r="D63" s="106" t="str">
        <f>IF('2.9 PCFP Funding Comparison YR1'!$K$25="Yes","PCFP","FY 2020 Baseline")</f>
        <v>PCFP</v>
      </c>
      <c r="E63" s="375">
        <f>ROUND(IF(D63="PCFP",'2.8 Alloc of Residual Rev. YR1'!G64,'1.4 FY 2020 Revenue Received'!Z58),2)</f>
        <v>4413065</v>
      </c>
      <c r="F63" s="8"/>
      <c r="G63" s="430">
        <f>ROUND(IF(D63="PCFP",'2.8 Alloc of Residual Rev. YR1'!J64,('1.4 FY 2020 Revenue Received'!S58)+'1.4 FY 2020 Revenue Received'!T58),0)</f>
        <v>734281</v>
      </c>
      <c r="H63" s="429">
        <f>ROUND(IF(D63="PCFP",'2.8 Alloc of Residual Rev. YR1'!K64,('1.4 FY 2020 Revenue Received'!S58)+'1.4 FY 2020 Revenue Received'!U58),2)</f>
        <v>0</v>
      </c>
      <c r="I63" s="430">
        <f>ROUND(IF(D63="PCFP",'2.8 Alloc of Residual Rev. YR1'!L64,'1.4 FY 2020 Revenue Received'!V58),2)</f>
        <v>0</v>
      </c>
      <c r="J63" s="1291">
        <f t="shared" si="5"/>
        <v>734281</v>
      </c>
      <c r="K63" s="467"/>
      <c r="L63" s="141">
        <f>'2.1 Auxiliary Services YR1'!G110</f>
        <v>0</v>
      </c>
      <c r="M63" s="115">
        <v>0</v>
      </c>
      <c r="N63" s="141">
        <v>0</v>
      </c>
      <c r="O63" s="141"/>
      <c r="P63" s="430">
        <f t="shared" si="6"/>
        <v>0</v>
      </c>
      <c r="Q63" s="467"/>
      <c r="R63" s="847">
        <f>ROUND(IF(D63="PCFP",'2.8 Alloc of Residual Rev. YR1'!I64,'1.4 FY 2020 Revenue Received'!Y58),0)</f>
        <v>332462</v>
      </c>
      <c r="S63" s="8"/>
      <c r="T63" s="375">
        <f t="shared" si="4"/>
        <v>5479808</v>
      </c>
    </row>
    <row r="64" spans="1:26" x14ac:dyDescent="0.3">
      <c r="A64" s="4"/>
      <c r="B64" s="9" t="str">
        <f>'1.2 Budgeted Enrollment YR1'!E61</f>
        <v>High Desert Montessori</v>
      </c>
      <c r="D64" s="106" t="str">
        <f>IF('2.9 PCFP Funding Comparison YR1'!$K$25="Yes","PCFP","FY 2020 Baseline")</f>
        <v>PCFP</v>
      </c>
      <c r="E64" s="375">
        <f>ROUND(IF(D64="PCFP",'2.8 Alloc of Residual Rev. YR1'!G65,'1.4 FY 2020 Revenue Received'!Z59),2)</f>
        <v>3885466</v>
      </c>
      <c r="F64" s="8"/>
      <c r="G64" s="430">
        <f>ROUND(IF(D64="PCFP",'2.8 Alloc of Residual Rev. YR1'!J65,('1.4 FY 2020 Revenue Received'!S59)+'1.4 FY 2020 Revenue Received'!T59),0)</f>
        <v>76399</v>
      </c>
      <c r="H64" s="429">
        <f>ROUND(IF(D64="PCFP",'2.8 Alloc of Residual Rev. YR1'!K65,('1.4 FY 2020 Revenue Received'!S59)+'1.4 FY 2020 Revenue Received'!U59),2)</f>
        <v>52819</v>
      </c>
      <c r="I64" s="430">
        <f>ROUND(IF(D64="PCFP",'2.8 Alloc of Residual Rev. YR1'!L65,'1.4 FY 2020 Revenue Received'!V59),2)</f>
        <v>0</v>
      </c>
      <c r="J64" s="1291">
        <f t="shared" si="5"/>
        <v>129218</v>
      </c>
      <c r="K64" s="467"/>
      <c r="L64" s="141">
        <f>'2.1 Auxiliary Services YR1'!G111</f>
        <v>0</v>
      </c>
      <c r="M64" s="115">
        <v>0</v>
      </c>
      <c r="N64" s="141">
        <v>0</v>
      </c>
      <c r="O64" s="141"/>
      <c r="P64" s="430">
        <f t="shared" si="6"/>
        <v>0</v>
      </c>
      <c r="Q64" s="467"/>
      <c r="R64" s="847">
        <f>ROUND(IF(D64="PCFP",'2.8 Alloc of Residual Rev. YR1'!I65,'1.4 FY 2020 Revenue Received'!Y59),0)</f>
        <v>0</v>
      </c>
      <c r="S64" s="8"/>
      <c r="T64" s="375">
        <f t="shared" si="4"/>
        <v>4014684</v>
      </c>
    </row>
    <row r="65" spans="1:20" x14ac:dyDescent="0.3">
      <c r="A65" s="4"/>
      <c r="B65" s="9" t="str">
        <f>'1.2 Budgeted Enrollment YR1'!E62</f>
        <v>Honors Academy of Literature</v>
      </c>
      <c r="D65" s="106" t="str">
        <f>IF('2.9 PCFP Funding Comparison YR1'!$K$25="Yes","PCFP","FY 2020 Baseline")</f>
        <v>PCFP</v>
      </c>
      <c r="E65" s="375">
        <f>ROUND(IF(D65="PCFP",'2.8 Alloc of Residual Rev. YR1'!G66,'1.4 FY 2020 Revenue Received'!Z60),2)</f>
        <v>2067524</v>
      </c>
      <c r="F65" s="8"/>
      <c r="G65" s="430">
        <f>ROUND(IF(D65="PCFP",'2.8 Alloc of Residual Rev. YR1'!J66,('1.4 FY 2020 Revenue Received'!S60)+'1.4 FY 2020 Revenue Received'!T60),0)</f>
        <v>8489</v>
      </c>
      <c r="H65" s="429">
        <f>ROUND(IF(D65="PCFP",'2.8 Alloc of Residual Rev. YR1'!K66,('1.4 FY 2020 Revenue Received'!S60)+'1.4 FY 2020 Revenue Received'!U60),2)</f>
        <v>0</v>
      </c>
      <c r="I65" s="430">
        <f>ROUND(IF(D65="PCFP",'2.8 Alloc of Residual Rev. YR1'!L66,'1.4 FY 2020 Revenue Received'!V60),2)</f>
        <v>2264</v>
      </c>
      <c r="J65" s="1291">
        <f t="shared" si="5"/>
        <v>10753</v>
      </c>
      <c r="K65" s="467"/>
      <c r="L65" s="141">
        <f>'2.1 Auxiliary Services YR1'!G112</f>
        <v>0</v>
      </c>
      <c r="M65" s="115">
        <v>0</v>
      </c>
      <c r="N65" s="141">
        <v>0</v>
      </c>
      <c r="O65" s="141"/>
      <c r="P65" s="430">
        <f t="shared" si="6"/>
        <v>0</v>
      </c>
      <c r="Q65" s="467"/>
      <c r="R65" s="847">
        <f>ROUND(IF(D65="PCFP",'2.8 Alloc of Residual Rev. YR1'!I66,'1.4 FY 2020 Revenue Received'!Y60),0)</f>
        <v>231070</v>
      </c>
      <c r="S65" s="8"/>
      <c r="T65" s="375">
        <f t="shared" si="4"/>
        <v>2309347</v>
      </c>
    </row>
    <row r="66" spans="1:20" x14ac:dyDescent="0.3">
      <c r="A66" s="4"/>
      <c r="B66" s="9" t="str">
        <f>'1.2 Budgeted Enrollment YR1'!E63</f>
        <v>Imagine School Mountain View</v>
      </c>
      <c r="D66" s="106" t="str">
        <f>IF('2.9 PCFP Funding Comparison YR1'!$K$25="Yes","PCFP","FY 2020 Baseline")</f>
        <v>PCFP</v>
      </c>
      <c r="E66" s="375">
        <f>ROUND(IF(D66="PCFP",'2.8 Alloc of Residual Rev. YR1'!G67,'1.4 FY 2020 Revenue Received'!Z61),2)</f>
        <v>6564203</v>
      </c>
      <c r="F66" s="8"/>
      <c r="G66" s="430">
        <f>ROUND(IF(D66="PCFP",'2.8 Alloc of Residual Rev. YR1'!J67,('1.4 FY 2020 Revenue Received'!S61)+'1.4 FY 2020 Revenue Received'!T61),0)</f>
        <v>348041</v>
      </c>
      <c r="H66" s="429">
        <f>ROUND(IF(D66="PCFP",'2.8 Alloc of Residual Rev. YR1'!K67,('1.4 FY 2020 Revenue Received'!S61)+'1.4 FY 2020 Revenue Received'!U61),2)</f>
        <v>0</v>
      </c>
      <c r="I66" s="430">
        <f>ROUND(IF(D66="PCFP",'2.8 Alloc of Residual Rev. YR1'!L67,'1.4 FY 2020 Revenue Received'!V61),2)</f>
        <v>0</v>
      </c>
      <c r="J66" s="1291">
        <f t="shared" si="5"/>
        <v>348041</v>
      </c>
      <c r="K66" s="467"/>
      <c r="L66" s="141">
        <f>'2.1 Auxiliary Services YR1'!G113</f>
        <v>0</v>
      </c>
      <c r="M66" s="115">
        <v>0</v>
      </c>
      <c r="N66" s="141">
        <v>0</v>
      </c>
      <c r="O66" s="141"/>
      <c r="P66" s="430">
        <f t="shared" si="6"/>
        <v>0</v>
      </c>
      <c r="Q66" s="467"/>
      <c r="R66" s="847">
        <f>ROUND(IF(D66="PCFP",'2.8 Alloc of Residual Rev. YR1'!I67,'1.4 FY 2020 Revenue Received'!Y61),0)</f>
        <v>271262</v>
      </c>
      <c r="S66" s="8"/>
      <c r="T66" s="375">
        <f t="shared" si="4"/>
        <v>7183506</v>
      </c>
    </row>
    <row r="67" spans="1:20" x14ac:dyDescent="0.3">
      <c r="A67" s="4"/>
      <c r="B67" s="9" t="str">
        <f>'1.2 Budgeted Enrollment YR1'!E64</f>
        <v>Innovations Int'l Charter</v>
      </c>
      <c r="D67" s="106" t="str">
        <f>IF('2.9 PCFP Funding Comparison YR1'!$K$25="Yes","PCFP","FY 2020 Baseline")</f>
        <v>PCFP</v>
      </c>
      <c r="E67" s="375">
        <f>ROUND(IF(D67="PCFP",'2.8 Alloc of Residual Rev. YR1'!G68,'1.4 FY 2020 Revenue Received'!Z62),2)</f>
        <v>6433989</v>
      </c>
      <c r="F67" s="8"/>
      <c r="G67" s="430">
        <f>ROUND(IF(D67="PCFP",'2.8 Alloc of Residual Rev. YR1'!J68,('1.4 FY 2020 Revenue Received'!S62)+'1.4 FY 2020 Revenue Received'!T62),0)</f>
        <v>763992</v>
      </c>
      <c r="H67" s="429">
        <f>ROUND(IF(D67="PCFP",'2.8 Alloc of Residual Rev. YR1'!K68,('1.4 FY 2020 Revenue Received'!S62)+'1.4 FY 2020 Revenue Received'!U62),2)</f>
        <v>201373</v>
      </c>
      <c r="I67" s="430">
        <f>ROUND(IF(D67="PCFP",'2.8 Alloc of Residual Rev. YR1'!L68,'1.4 FY 2020 Revenue Received'!V62),2)</f>
        <v>0</v>
      </c>
      <c r="J67" s="1291">
        <f t="shared" si="5"/>
        <v>965365</v>
      </c>
      <c r="K67" s="467"/>
      <c r="L67" s="141">
        <f>'2.1 Auxiliary Services YR1'!G114</f>
        <v>0</v>
      </c>
      <c r="M67" s="115">
        <v>0</v>
      </c>
      <c r="N67" s="141">
        <v>0</v>
      </c>
      <c r="O67" s="141"/>
      <c r="P67" s="430">
        <f t="shared" si="6"/>
        <v>0</v>
      </c>
      <c r="Q67" s="467"/>
      <c r="R67" s="847">
        <f>ROUND(IF(D67="PCFP",'2.8 Alloc of Residual Rev. YR1'!I68,'1.4 FY 2020 Revenue Received'!Y62),0)</f>
        <v>73393</v>
      </c>
      <c r="S67" s="8"/>
      <c r="T67" s="375">
        <f t="shared" si="4"/>
        <v>7472747</v>
      </c>
    </row>
    <row r="68" spans="1:20" x14ac:dyDescent="0.3">
      <c r="A68" s="4"/>
      <c r="B68" s="9" t="str">
        <f>'1.2 Budgeted Enrollment YR1'!E65</f>
        <v>Leadership Academy of Nevada</v>
      </c>
      <c r="D68" s="106" t="str">
        <f>IF('2.9 PCFP Funding Comparison YR1'!$K$25="Yes","PCFP","FY 2020 Baseline")</f>
        <v>PCFP</v>
      </c>
      <c r="E68" s="375">
        <f>ROUND(IF(D68="PCFP",'2.8 Alloc of Residual Rev. YR1'!G69,'1.4 FY 2020 Revenue Received'!Z63),2)</f>
        <v>2710822</v>
      </c>
      <c r="F68" s="8"/>
      <c r="G68" s="430">
        <f>ROUND(IF(D68="PCFP",'2.8 Alloc of Residual Rev. YR1'!J69,('1.4 FY 2020 Revenue Received'!S63)+'1.4 FY 2020 Revenue Received'!T63),0)</f>
        <v>21222</v>
      </c>
      <c r="H68" s="429">
        <f>ROUND(IF(D68="PCFP",'2.8 Alloc of Residual Rev. YR1'!K69,('1.4 FY 2020 Revenue Received'!S63)+'1.4 FY 2020 Revenue Received'!U63),2)</f>
        <v>23108</v>
      </c>
      <c r="I68" s="430">
        <f>ROUND(IF(D68="PCFP",'2.8 Alloc of Residual Rev. YR1'!L69,'1.4 FY 2020 Revenue Received'!V63),2)</f>
        <v>0</v>
      </c>
      <c r="J68" s="1291">
        <f t="shared" si="5"/>
        <v>44330</v>
      </c>
      <c r="K68" s="467"/>
      <c r="L68" s="141">
        <f>'2.1 Auxiliary Services YR1'!G115</f>
        <v>0</v>
      </c>
      <c r="M68" s="115">
        <v>0</v>
      </c>
      <c r="N68" s="141">
        <v>0</v>
      </c>
      <c r="O68" s="141"/>
      <c r="P68" s="430">
        <f t="shared" si="6"/>
        <v>0</v>
      </c>
      <c r="Q68" s="467"/>
      <c r="R68" s="847">
        <f>ROUND(IF(D68="PCFP",'2.8 Alloc of Residual Rev. YR1'!I69,'1.4 FY 2020 Revenue Received'!Y63),0)</f>
        <v>210794</v>
      </c>
      <c r="S68" s="8"/>
      <c r="T68" s="375">
        <f t="shared" si="4"/>
        <v>2965946</v>
      </c>
    </row>
    <row r="69" spans="1:20" x14ac:dyDescent="0.3">
      <c r="A69" s="4"/>
      <c r="B69" s="9" t="str">
        <f>'1.2 Budgeted Enrollment YR1'!E66</f>
        <v>Learning Bridge</v>
      </c>
      <c r="D69" s="106" t="str">
        <f>IF('2.9 PCFP Funding Comparison YR1'!$K$25="Yes","PCFP","FY 2020 Baseline")</f>
        <v>PCFP</v>
      </c>
      <c r="E69" s="375">
        <f>ROUND(IF(D69="PCFP",'2.8 Alloc of Residual Rev. YR1'!G70,'1.4 FY 2020 Revenue Received'!Z64),2)</f>
        <v>2351740</v>
      </c>
      <c r="F69" s="8"/>
      <c r="G69" s="430">
        <f>ROUND(IF(D69="PCFP",'2.8 Alloc of Residual Rev. YR1'!J70,('1.4 FY 2020 Revenue Received'!S64)+'1.4 FY 2020 Revenue Received'!T64),0)</f>
        <v>0</v>
      </c>
      <c r="H69" s="429">
        <f>ROUND(IF(D69="PCFP",'2.8 Alloc of Residual Rev. YR1'!K70,('1.4 FY 2020 Revenue Received'!S64)+'1.4 FY 2020 Revenue Received'!U64),2)</f>
        <v>0</v>
      </c>
      <c r="I69" s="430">
        <f>ROUND(IF(D69="PCFP",'2.8 Alloc of Residual Rev. YR1'!L70,'1.4 FY 2020 Revenue Received'!V64),2)</f>
        <v>0</v>
      </c>
      <c r="J69" s="1291">
        <f t="shared" si="5"/>
        <v>0</v>
      </c>
      <c r="K69" s="467"/>
      <c r="L69" s="141">
        <f>'2.1 Auxiliary Services YR1'!G116</f>
        <v>0</v>
      </c>
      <c r="M69" s="115">
        <v>0</v>
      </c>
      <c r="N69" s="141">
        <v>0</v>
      </c>
      <c r="O69" s="141"/>
      <c r="P69" s="430">
        <f t="shared" si="6"/>
        <v>0</v>
      </c>
      <c r="Q69" s="467"/>
      <c r="R69" s="847">
        <f>ROUND(IF(D69="PCFP",'2.8 Alloc of Residual Rev. YR1'!I70,'1.4 FY 2020 Revenue Received'!Y64),0)</f>
        <v>0</v>
      </c>
      <c r="S69" s="8"/>
      <c r="T69" s="375">
        <f t="shared" ref="T69:T98" si="9">E69+J69+P69+R69</f>
        <v>2351740</v>
      </c>
    </row>
    <row r="70" spans="1:20" x14ac:dyDescent="0.3">
      <c r="A70" s="4"/>
      <c r="B70" s="9" t="str">
        <f>'1.2 Budgeted Enrollment YR1'!E67</f>
        <v>Legacy Traditional Schools</v>
      </c>
      <c r="D70" s="106" t="str">
        <f>IF('2.9 PCFP Funding Comparison YR1'!$K$25="Yes","PCFP","FY 2020 Baseline")</f>
        <v>PCFP</v>
      </c>
      <c r="E70" s="375">
        <f>ROUND(IF(D70="PCFP",'2.8 Alloc of Residual Rev. YR1'!G71,'1.4 FY 2020 Revenue Received'!Z65),2)</f>
        <v>38908395</v>
      </c>
      <c r="F70" s="8"/>
      <c r="G70" s="430">
        <f>ROUND(IF(D70="PCFP",'2.8 Alloc of Residual Rev. YR1'!J71,('1.4 FY 2020 Revenue Received'!S65)+'1.4 FY 2020 Revenue Received'!T65),0)</f>
        <v>1188432</v>
      </c>
      <c r="H70" s="429">
        <f>ROUND(IF(D70="PCFP",'2.8 Alloc of Residual Rev. YR1'!K71,('1.4 FY 2020 Revenue Received'!S65)+'1.4 FY 2020 Revenue Received'!U65),2)</f>
        <v>118843</v>
      </c>
      <c r="I70" s="430">
        <f>ROUND(IF(D70="PCFP",'2.8 Alloc of Residual Rev. YR1'!L71,'1.4 FY 2020 Revenue Received'!V65),2)</f>
        <v>236555</v>
      </c>
      <c r="J70" s="1291">
        <f t="shared" si="5"/>
        <v>1543830</v>
      </c>
      <c r="K70" s="467"/>
      <c r="L70" s="141">
        <f>'2.1 Auxiliary Services YR1'!G117</f>
        <v>0</v>
      </c>
      <c r="M70" s="115">
        <v>0</v>
      </c>
      <c r="N70" s="141">
        <v>0</v>
      </c>
      <c r="O70" s="141"/>
      <c r="P70" s="430">
        <f t="shared" si="6"/>
        <v>0</v>
      </c>
      <c r="Q70" s="467"/>
      <c r="R70" s="847">
        <f>ROUND(IF(D70="PCFP",'2.8 Alloc of Residual Rev. YR1'!I71,'1.4 FY 2020 Revenue Received'!Y65),0)</f>
        <v>1929178</v>
      </c>
      <c r="S70" s="8"/>
      <c r="T70" s="375">
        <f t="shared" si="9"/>
        <v>42381403</v>
      </c>
    </row>
    <row r="71" spans="1:20" x14ac:dyDescent="0.3">
      <c r="A71" s="4"/>
      <c r="B71" s="9" t="str">
        <f>'1.2 Budgeted Enrollment YR1'!E68</f>
        <v xml:space="preserve">Mariposa Language and Learning Academy </v>
      </c>
      <c r="D71" s="106" t="str">
        <f>IF('2.9 PCFP Funding Comparison YR1'!$K$25="Yes","PCFP","FY 2020 Baseline")</f>
        <v>PCFP</v>
      </c>
      <c r="E71" s="375">
        <f>ROUND(IF(D71="PCFP",'2.8 Alloc of Residual Rev. YR1'!G72,'1.4 FY 2020 Revenue Received'!Z66),2)</f>
        <v>1550568</v>
      </c>
      <c r="F71" s="8"/>
      <c r="G71" s="430">
        <f>ROUND(IF(D71="PCFP",'2.8 Alloc of Residual Rev. YR1'!J72,('1.4 FY 2020 Revenue Received'!S66)+'1.4 FY 2020 Revenue Received'!T66),0)</f>
        <v>195242</v>
      </c>
      <c r="H71" s="429">
        <f>ROUND(IF(D71="PCFP",'2.8 Alloc of Residual Rev. YR1'!K72,('1.4 FY 2020 Revenue Received'!S66)+'1.4 FY 2020 Revenue Received'!U66),2)</f>
        <v>0</v>
      </c>
      <c r="I71" s="430">
        <f>ROUND(IF(D71="PCFP",'2.8 Alloc of Residual Rev. YR1'!L72,'1.4 FY 2020 Revenue Received'!V66),2)</f>
        <v>0</v>
      </c>
      <c r="J71" s="1291">
        <f t="shared" si="5"/>
        <v>195242</v>
      </c>
      <c r="K71" s="467"/>
      <c r="L71" s="141">
        <f>'2.1 Auxiliary Services YR1'!G118</f>
        <v>0</v>
      </c>
      <c r="M71" s="115">
        <v>0</v>
      </c>
      <c r="N71" s="141">
        <v>0</v>
      </c>
      <c r="O71" s="141"/>
      <c r="P71" s="430">
        <f t="shared" si="6"/>
        <v>0</v>
      </c>
      <c r="Q71" s="467"/>
      <c r="R71" s="847">
        <f>ROUND(IF(D71="PCFP",'2.8 Alloc of Residual Rev. YR1'!I72,'1.4 FY 2020 Revenue Received'!Y66),0)</f>
        <v>60742</v>
      </c>
      <c r="S71" s="8"/>
      <c r="T71" s="375">
        <f t="shared" si="9"/>
        <v>1806552</v>
      </c>
    </row>
    <row r="72" spans="1:20" x14ac:dyDescent="0.3">
      <c r="A72" s="4"/>
      <c r="B72" s="9" t="str">
        <f>'1.2 Budgeted Enrollment YR1'!E69</f>
        <v>Mater Academy</v>
      </c>
      <c r="D72" s="106" t="str">
        <f>IF('2.9 PCFP Funding Comparison YR1'!$K$25="Yes","PCFP","FY 2020 Baseline")</f>
        <v>PCFP</v>
      </c>
      <c r="E72" s="375">
        <f>ROUND(IF(D72="PCFP",'2.8 Alloc of Residual Rev. YR1'!G73,'1.4 FY 2020 Revenue Received'!Z67),2)</f>
        <v>42349072</v>
      </c>
      <c r="F72" s="8"/>
      <c r="G72" s="430">
        <f>ROUND(IF(D72="PCFP",'2.8 Alloc of Residual Rev. YR1'!J73,('1.4 FY 2020 Revenue Received'!S67)+'1.4 FY 2020 Revenue Received'!T67),0)</f>
        <v>6192580</v>
      </c>
      <c r="H72" s="429">
        <f>ROUND(IF(D72="PCFP",'2.8 Alloc of Residual Rev. YR1'!K73,('1.4 FY 2020 Revenue Received'!S67)+'1.4 FY 2020 Revenue Received'!U67),2)</f>
        <v>16506</v>
      </c>
      <c r="I72" s="430">
        <f>ROUND(IF(D72="PCFP",'2.8 Alloc of Residual Rev. YR1'!L73,'1.4 FY 2020 Revenue Received'!V67),2)</f>
        <v>0</v>
      </c>
      <c r="J72" s="1291">
        <f t="shared" si="5"/>
        <v>6209086</v>
      </c>
      <c r="K72" s="467"/>
      <c r="L72" s="141">
        <f>'2.1 Auxiliary Services YR1'!G119</f>
        <v>0</v>
      </c>
      <c r="M72" s="115">
        <v>0</v>
      </c>
      <c r="N72" s="141">
        <v>0</v>
      </c>
      <c r="O72" s="141"/>
      <c r="P72" s="430">
        <f t="shared" si="6"/>
        <v>0</v>
      </c>
      <c r="Q72" s="467"/>
      <c r="R72" s="847">
        <f>ROUND(IF(D72="PCFP",'2.8 Alloc of Residual Rev. YR1'!I73,'1.4 FY 2020 Revenue Received'!Y67),0)</f>
        <v>1865315</v>
      </c>
      <c r="S72" s="8"/>
      <c r="T72" s="375">
        <f t="shared" si="9"/>
        <v>50423473</v>
      </c>
    </row>
    <row r="73" spans="1:20" x14ac:dyDescent="0.3">
      <c r="A73" s="4"/>
      <c r="B73" s="9" t="str">
        <f>'1.2 Budgeted Enrollment YR1'!E70</f>
        <v>Mater Academy of Northern Nevada</v>
      </c>
      <c r="D73" s="106" t="str">
        <f>IF('2.9 PCFP Funding Comparison YR1'!$K$25="Yes","PCFP","FY 2020 Baseline")</f>
        <v>PCFP</v>
      </c>
      <c r="E73" s="375">
        <f>ROUND(IF(D73="PCFP",'2.8 Alloc of Residual Rev. YR1'!G74,'1.4 FY 2020 Revenue Received'!Z68),2)</f>
        <v>4742911</v>
      </c>
      <c r="F73" s="8"/>
      <c r="G73" s="430">
        <f>ROUND(IF(D73="PCFP",'2.8 Alloc of Residual Rev. YR1'!J74,('1.4 FY 2020 Revenue Received'!S68)+'1.4 FY 2020 Revenue Received'!T68),0)</f>
        <v>564505</v>
      </c>
      <c r="H73" s="429">
        <f>ROUND(IF(D73="PCFP",'2.8 Alloc of Residual Rev. YR1'!K74,('1.4 FY 2020 Revenue Received'!S68)+'1.4 FY 2020 Revenue Received'!U68),2)</f>
        <v>6602</v>
      </c>
      <c r="I73" s="430">
        <f>ROUND(IF(D73="PCFP",'2.8 Alloc of Residual Rev. YR1'!L74,'1.4 FY 2020 Revenue Received'!V68),2)</f>
        <v>0</v>
      </c>
      <c r="J73" s="1291">
        <f t="shared" si="5"/>
        <v>571107</v>
      </c>
      <c r="K73" s="467"/>
      <c r="L73" s="141">
        <f>'2.1 Auxiliary Services YR1'!G120</f>
        <v>0</v>
      </c>
      <c r="M73" s="115">
        <v>0</v>
      </c>
      <c r="N73" s="141">
        <v>0</v>
      </c>
      <c r="O73" s="141"/>
      <c r="P73" s="430">
        <f t="shared" si="6"/>
        <v>0</v>
      </c>
      <c r="Q73" s="467"/>
      <c r="R73" s="847">
        <f>ROUND(IF(D73="PCFP",'2.8 Alloc of Residual Rev. YR1'!I74,'1.4 FY 2020 Revenue Received'!Y68),0)</f>
        <v>53862</v>
      </c>
      <c r="S73" s="8"/>
      <c r="T73" s="375">
        <f t="shared" si="9"/>
        <v>5367880</v>
      </c>
    </row>
    <row r="74" spans="1:20" x14ac:dyDescent="0.3">
      <c r="A74" s="4"/>
      <c r="B74" s="9" t="str">
        <f>'1.2 Budgeted Enrollment YR1'!E71</f>
        <v>Nevada Connections Academy</v>
      </c>
      <c r="D74" s="106" t="str">
        <f>IF('2.9 PCFP Funding Comparison YR1'!$K$25="Yes","PCFP","FY 2020 Baseline")</f>
        <v>PCFP</v>
      </c>
      <c r="E74" s="375">
        <f>ROUND(IF(D74="PCFP",'2.8 Alloc of Residual Rev. YR1'!G75,'1.4 FY 2020 Revenue Received'!Z69),2)</f>
        <v>11326008</v>
      </c>
      <c r="F74" s="8"/>
      <c r="G74" s="430">
        <f>ROUND(IF(D74="PCFP",'2.8 Alloc of Residual Rev. YR1'!J75,('1.4 FY 2020 Revenue Received'!S69)+'1.4 FY 2020 Revenue Received'!T69),0)</f>
        <v>161287</v>
      </c>
      <c r="H74" s="429">
        <f>ROUND(IF(D74="PCFP",'2.8 Alloc of Residual Rev. YR1'!K75,('1.4 FY 2020 Revenue Received'!S69)+'1.4 FY 2020 Revenue Received'!U69),2)</f>
        <v>99036</v>
      </c>
      <c r="I74" s="430">
        <f>ROUND(IF(D74="PCFP",'2.8 Alloc of Residual Rev. YR1'!L75,'1.4 FY 2020 Revenue Received'!V69),2)</f>
        <v>0</v>
      </c>
      <c r="J74" s="1291">
        <f t="shared" si="5"/>
        <v>260323</v>
      </c>
      <c r="K74" s="467"/>
      <c r="L74" s="141">
        <f>'2.1 Auxiliary Services YR1'!G121</f>
        <v>0</v>
      </c>
      <c r="M74" s="115">
        <v>0</v>
      </c>
      <c r="N74" s="141">
        <v>0</v>
      </c>
      <c r="O74" s="141"/>
      <c r="P74" s="430">
        <f t="shared" si="6"/>
        <v>0</v>
      </c>
      <c r="Q74" s="467"/>
      <c r="R74" s="847">
        <f>ROUND(IF(D74="PCFP",'2.8 Alloc of Residual Rev. YR1'!I75,'1.4 FY 2020 Revenue Received'!Y69),0)</f>
        <v>0</v>
      </c>
      <c r="S74" s="8"/>
      <c r="T74" s="375">
        <f t="shared" si="9"/>
        <v>11586331</v>
      </c>
    </row>
    <row r="75" spans="1:20" x14ac:dyDescent="0.3">
      <c r="A75" s="4"/>
      <c r="B75" s="9" t="str">
        <f>'1.2 Budgeted Enrollment YR1'!E72</f>
        <v>Nevada Prep</v>
      </c>
      <c r="D75" s="106" t="str">
        <f>IF('2.9 PCFP Funding Comparison YR1'!$K$25="Yes","PCFP","FY 2020 Baseline")</f>
        <v>PCFP</v>
      </c>
      <c r="E75" s="375">
        <f>ROUND(IF(D75="PCFP",'2.8 Alloc of Residual Rev. YR1'!G76,'1.4 FY 2020 Revenue Received'!Z70),2)</f>
        <v>2879008</v>
      </c>
      <c r="F75" s="8"/>
      <c r="G75" s="430">
        <f>ROUND(IF(D75="PCFP",'2.8 Alloc of Residual Rev. YR1'!J76,('1.4 FY 2020 Revenue Received'!S70)+'1.4 FY 2020 Revenue Received'!T70),0)</f>
        <v>314086</v>
      </c>
      <c r="H75" s="429">
        <f>ROUND(IF(D75="PCFP",'2.8 Alloc of Residual Rev. YR1'!K76,('1.4 FY 2020 Revenue Received'!S70)+'1.4 FY 2020 Revenue Received'!U70),2)</f>
        <v>92434</v>
      </c>
      <c r="I75" s="430">
        <f>ROUND(IF(D75="PCFP",'2.8 Alloc of Residual Rev. YR1'!L76,'1.4 FY 2020 Revenue Received'!V70),2)</f>
        <v>0</v>
      </c>
      <c r="J75" s="1291">
        <f t="shared" si="5"/>
        <v>406520</v>
      </c>
      <c r="K75" s="467"/>
      <c r="L75" s="141">
        <f>'2.1 Auxiliary Services YR1'!G122</f>
        <v>0</v>
      </c>
      <c r="M75" s="115">
        <v>0</v>
      </c>
      <c r="N75" s="141">
        <v>0</v>
      </c>
      <c r="O75" s="141"/>
      <c r="P75" s="430">
        <f t="shared" si="6"/>
        <v>0</v>
      </c>
      <c r="Q75" s="467"/>
      <c r="R75" s="847">
        <f>ROUND(IF(D75="PCFP",'2.8 Alloc of Residual Rev. YR1'!I76,'1.4 FY 2020 Revenue Received'!Y70),0)</f>
        <v>180975</v>
      </c>
      <c r="S75" s="8"/>
      <c r="T75" s="375">
        <f t="shared" si="9"/>
        <v>3466503</v>
      </c>
    </row>
    <row r="76" spans="1:20" x14ac:dyDescent="0.3">
      <c r="A76" s="4"/>
      <c r="B76" s="9" t="str">
        <f>'1.2 Budgeted Enrollment YR1'!E73</f>
        <v xml:space="preserve">Nevada Rise </v>
      </c>
      <c r="D76" s="106" t="str">
        <f>IF('2.9 PCFP Funding Comparison YR1'!$K$25="Yes","PCFP","FY 2020 Baseline")</f>
        <v>PCFP</v>
      </c>
      <c r="E76" s="375">
        <f>ROUND(IF(D76="PCFP",'2.8 Alloc of Residual Rev. YR1'!G77,'1.4 FY 2020 Revenue Received'!Z71),2)</f>
        <v>3514132</v>
      </c>
      <c r="F76" s="8"/>
      <c r="G76" s="430">
        <f>ROUND(IF(D76="PCFP",'2.8 Alloc of Residual Rev. YR1'!J77,('1.4 FY 2020 Revenue Received'!S71)+'1.4 FY 2020 Revenue Received'!T71),0)</f>
        <v>148554</v>
      </c>
      <c r="H76" s="429">
        <f>ROUND(IF(D76="PCFP",'2.8 Alloc of Residual Rev. YR1'!K77,('1.4 FY 2020 Revenue Received'!S71)+'1.4 FY 2020 Revenue Received'!U71),2)</f>
        <v>3301</v>
      </c>
      <c r="I76" s="430">
        <f>ROUND(IF(D76="PCFP",'2.8 Alloc of Residual Rev. YR1'!L77,'1.4 FY 2020 Revenue Received'!V71),2)</f>
        <v>0</v>
      </c>
      <c r="J76" s="1291">
        <f t="shared" si="5"/>
        <v>151855</v>
      </c>
      <c r="K76" s="467"/>
      <c r="L76" s="141">
        <f>'2.1 Auxiliary Services YR1'!G123</f>
        <v>0</v>
      </c>
      <c r="M76" s="115">
        <v>0</v>
      </c>
      <c r="N76" s="141">
        <v>0</v>
      </c>
      <c r="O76" s="141"/>
      <c r="P76" s="430">
        <f t="shared" si="6"/>
        <v>0</v>
      </c>
      <c r="Q76" s="467"/>
      <c r="R76" s="847">
        <f>ROUND(IF(D76="PCFP",'2.8 Alloc of Residual Rev. YR1'!I77,'1.4 FY 2020 Revenue Received'!Y71),0)</f>
        <v>334053</v>
      </c>
      <c r="S76" s="8"/>
      <c r="T76" s="375">
        <f t="shared" si="9"/>
        <v>4000040</v>
      </c>
    </row>
    <row r="77" spans="1:20" x14ac:dyDescent="0.3">
      <c r="A77" s="4"/>
      <c r="B77" s="9" t="str">
        <f>'1.2 Budgeted Enrollment YR1'!E74</f>
        <v>Nevada State High School</v>
      </c>
      <c r="D77" s="106" t="str">
        <f>IF('2.9 PCFP Funding Comparison YR1'!$K$25="Yes","PCFP","FY 2020 Baseline")</f>
        <v>PCFP</v>
      </c>
      <c r="E77" s="375">
        <f>ROUND(IF(D77="PCFP",'2.8 Alloc of Residual Rev. YR1'!G78,'1.4 FY 2020 Revenue Received'!Z72),2)</f>
        <v>8613986</v>
      </c>
      <c r="F77" s="8"/>
      <c r="G77" s="430">
        <f>ROUND(IF(D77="PCFP",'2.8 Alloc of Residual Rev. YR1'!J78,('1.4 FY 2020 Revenue Received'!S72)+'1.4 FY 2020 Revenue Received'!T72),0)</f>
        <v>101866</v>
      </c>
      <c r="H77" s="429">
        <f>ROUND(IF(D77="PCFP",'2.8 Alloc of Residual Rev. YR1'!K78,('1.4 FY 2020 Revenue Received'!S72)+'1.4 FY 2020 Revenue Received'!U72),2)</f>
        <v>3301</v>
      </c>
      <c r="I77" s="430">
        <f>ROUND(IF(D77="PCFP",'2.8 Alloc of Residual Rev. YR1'!L78,'1.4 FY 2020 Revenue Received'!V72),2)</f>
        <v>0</v>
      </c>
      <c r="J77" s="1291">
        <f t="shared" si="5"/>
        <v>105167</v>
      </c>
      <c r="K77" s="467"/>
      <c r="L77" s="141">
        <f>'2.1 Auxiliary Services YR1'!G124</f>
        <v>0</v>
      </c>
      <c r="M77" s="115">
        <v>0</v>
      </c>
      <c r="N77" s="141">
        <v>0</v>
      </c>
      <c r="O77" s="141"/>
      <c r="P77" s="430">
        <f t="shared" si="6"/>
        <v>0</v>
      </c>
      <c r="Q77" s="467"/>
      <c r="R77" s="847">
        <f>ROUND(IF(D77="PCFP",'2.8 Alloc of Residual Rev. YR1'!I78,'1.4 FY 2020 Revenue Received'!Y72),0)</f>
        <v>9728</v>
      </c>
      <c r="S77" s="8"/>
      <c r="T77" s="375">
        <f t="shared" si="9"/>
        <v>8728881</v>
      </c>
    </row>
    <row r="78" spans="1:20" x14ac:dyDescent="0.3">
      <c r="A78" s="4"/>
      <c r="B78" s="9" t="str">
        <f>'1.2 Budgeted Enrollment YR1'!E75</f>
        <v>Nevada State High School-Meadowwood</v>
      </c>
      <c r="D78" s="106" t="str">
        <f>IF('2.9 PCFP Funding Comparison YR1'!$K$25="Yes","PCFP","FY 2020 Baseline")</f>
        <v>PCFP</v>
      </c>
      <c r="E78" s="375">
        <f>ROUND(IF(D78="PCFP",'2.8 Alloc of Residual Rev. YR1'!G79,'1.4 FY 2020 Revenue Received'!Z73),2)</f>
        <v>284814</v>
      </c>
      <c r="F78" s="8"/>
      <c r="G78" s="430">
        <f>ROUND(IF(D78="PCFP",'2.8 Alloc of Residual Rev. YR1'!J79,('1.4 FY 2020 Revenue Received'!S73)+'1.4 FY 2020 Revenue Received'!T73),0)</f>
        <v>0</v>
      </c>
      <c r="H78" s="429">
        <f>ROUND(IF(D78="PCFP",'2.8 Alloc of Residual Rev. YR1'!K79,('1.4 FY 2020 Revenue Received'!S73)+'1.4 FY 2020 Revenue Received'!U73),2)</f>
        <v>0</v>
      </c>
      <c r="I78" s="430">
        <f>ROUND(IF(D78="PCFP",'2.8 Alloc of Residual Rev. YR1'!L79,'1.4 FY 2020 Revenue Received'!V73),2)</f>
        <v>0</v>
      </c>
      <c r="J78" s="1291">
        <f t="shared" si="5"/>
        <v>0</v>
      </c>
      <c r="K78" s="467"/>
      <c r="L78" s="141">
        <f>'2.1 Auxiliary Services YR1'!G125</f>
        <v>0</v>
      </c>
      <c r="M78" s="115">
        <v>0</v>
      </c>
      <c r="N78" s="141">
        <v>0</v>
      </c>
      <c r="O78" s="141"/>
      <c r="P78" s="430">
        <f t="shared" si="6"/>
        <v>0</v>
      </c>
      <c r="Q78" s="467"/>
      <c r="R78" s="847">
        <f>ROUND(IF(D78="PCFP",'2.8 Alloc of Residual Rev. YR1'!I79,'1.4 FY 2020 Revenue Received'!Y73),0)</f>
        <v>0</v>
      </c>
      <c r="S78" s="8"/>
      <c r="T78" s="375">
        <f t="shared" si="9"/>
        <v>284814</v>
      </c>
    </row>
    <row r="79" spans="1:20" x14ac:dyDescent="0.3">
      <c r="A79" s="4"/>
      <c r="B79" s="9" t="str">
        <f>'1.2 Budgeted Enrollment YR1'!E76</f>
        <v>Nevada Virtual Academy</v>
      </c>
      <c r="D79" s="106" t="str">
        <f>IF('2.9 PCFP Funding Comparison YR1'!$K$25="Yes","PCFP","FY 2020 Baseline")</f>
        <v>PCFP</v>
      </c>
      <c r="E79" s="375">
        <f>ROUND(IF(D79="PCFP",'2.8 Alloc of Residual Rev. YR1'!G80,'1.4 FY 2020 Revenue Received'!Z74),2)</f>
        <v>17165964</v>
      </c>
      <c r="F79" s="8"/>
      <c r="G79" s="430">
        <f>ROUND(IF(D79="PCFP",'2.8 Alloc of Residual Rev. YR1'!J80,('1.4 FY 2020 Revenue Received'!S74)+'1.4 FY 2020 Revenue Received'!T74),0)</f>
        <v>335308</v>
      </c>
      <c r="H79" s="429">
        <f>ROUND(IF(D79="PCFP",'2.8 Alloc of Residual Rev. YR1'!K80,('1.4 FY 2020 Revenue Received'!S74)+'1.4 FY 2020 Revenue Received'!U74),2)</f>
        <v>257494</v>
      </c>
      <c r="I79" s="430">
        <f>ROUND(IF(D79="PCFP",'2.8 Alloc of Residual Rev. YR1'!L80,'1.4 FY 2020 Revenue Received'!V74),2)</f>
        <v>0</v>
      </c>
      <c r="J79" s="1291">
        <f t="shared" si="5"/>
        <v>592802</v>
      </c>
      <c r="K79" s="467"/>
      <c r="L79" s="141">
        <f>'2.1 Auxiliary Services YR1'!G126</f>
        <v>0</v>
      </c>
      <c r="M79" s="115">
        <v>0</v>
      </c>
      <c r="N79" s="141">
        <v>0</v>
      </c>
      <c r="O79" s="141"/>
      <c r="P79" s="430">
        <f t="shared" si="6"/>
        <v>0</v>
      </c>
      <c r="Q79" s="467"/>
      <c r="R79" s="847">
        <f>ROUND(IF(D79="PCFP",'2.8 Alloc of Residual Rev. YR1'!I80,'1.4 FY 2020 Revenue Received'!Y74),0)</f>
        <v>513939</v>
      </c>
      <c r="S79" s="8"/>
      <c r="T79" s="375">
        <f t="shared" si="9"/>
        <v>18272705</v>
      </c>
    </row>
    <row r="80" spans="1:20" x14ac:dyDescent="0.3">
      <c r="A80" s="4"/>
      <c r="B80" s="9" t="str">
        <f>'1.2 Budgeted Enrollment YR1'!E77</f>
        <v>Oasis Academy</v>
      </c>
      <c r="D80" s="106" t="str">
        <f>IF('2.9 PCFP Funding Comparison YR1'!$K$25="Yes","PCFP","FY 2020 Baseline")</f>
        <v>PCFP</v>
      </c>
      <c r="E80" s="375">
        <f>ROUND(IF(D80="PCFP",'2.8 Alloc of Residual Rev. YR1'!G81,'1.4 FY 2020 Revenue Received'!Z75),2)</f>
        <v>8472366</v>
      </c>
      <c r="F80" s="8"/>
      <c r="G80" s="430">
        <f>ROUND(IF(D80="PCFP",'2.8 Alloc of Residual Rev. YR1'!J81,('1.4 FY 2020 Revenue Received'!S75)+'1.4 FY 2020 Revenue Received'!T75),0)</f>
        <v>84888</v>
      </c>
      <c r="H80" s="429">
        <f>ROUND(IF(D80="PCFP",'2.8 Alloc of Residual Rev. YR1'!K81,('1.4 FY 2020 Revenue Received'!S75)+'1.4 FY 2020 Revenue Received'!U75),2)</f>
        <v>0</v>
      </c>
      <c r="I80" s="430">
        <f>ROUND(IF(D80="PCFP",'2.8 Alloc of Residual Rev. YR1'!L81,'1.4 FY 2020 Revenue Received'!V75),2)</f>
        <v>0</v>
      </c>
      <c r="J80" s="1291">
        <f t="shared" si="5"/>
        <v>84888</v>
      </c>
      <c r="K80" s="467"/>
      <c r="L80" s="141">
        <f>'2.1 Auxiliary Services YR1'!G127</f>
        <v>0</v>
      </c>
      <c r="M80" s="115">
        <v>0</v>
      </c>
      <c r="N80" s="141">
        <v>0</v>
      </c>
      <c r="O80" s="141"/>
      <c r="P80" s="430">
        <f t="shared" si="6"/>
        <v>0</v>
      </c>
      <c r="Q80" s="467"/>
      <c r="R80" s="847">
        <f>ROUND(IF(D80="PCFP",'2.8 Alloc of Residual Rev. YR1'!I81,'1.4 FY 2020 Revenue Received'!Y75),0)</f>
        <v>573004</v>
      </c>
      <c r="S80" s="8"/>
      <c r="T80" s="375">
        <f t="shared" si="9"/>
        <v>9130258</v>
      </c>
    </row>
    <row r="81" spans="1:21" x14ac:dyDescent="0.3">
      <c r="A81" s="4"/>
      <c r="B81" s="9" t="str">
        <f>'1.2 Budgeted Enrollment YR1'!E78</f>
        <v>Odyssey Charter Schools</v>
      </c>
      <c r="D81" s="106" t="str">
        <f>IF('2.9 PCFP Funding Comparison YR1'!$K$25="Yes","PCFP","FY 2020 Baseline")</f>
        <v>PCFP</v>
      </c>
      <c r="E81" s="375">
        <f>ROUND(IF(D81="PCFP",'2.8 Alloc of Residual Rev. YR1'!G82,'1.4 FY 2020 Revenue Received'!Z76),2)</f>
        <v>22644250</v>
      </c>
      <c r="F81" s="8"/>
      <c r="G81" s="430">
        <f>ROUND(IF(D81="PCFP",'2.8 Alloc of Residual Rev. YR1'!J82,('1.4 FY 2020 Revenue Received'!S76)+'1.4 FY 2020 Revenue Received'!T76),0)</f>
        <v>471128</v>
      </c>
      <c r="H81" s="429">
        <f>ROUND(IF(D81="PCFP",'2.8 Alloc of Residual Rev. YR1'!K82,('1.4 FY 2020 Revenue Received'!S76)+'1.4 FY 2020 Revenue Received'!U76),2)</f>
        <v>927637</v>
      </c>
      <c r="I81" s="430">
        <f>ROUND(IF(D81="PCFP",'2.8 Alloc of Residual Rev. YR1'!L82,'1.4 FY 2020 Revenue Received'!V76),2)</f>
        <v>0</v>
      </c>
      <c r="J81" s="1291">
        <f t="shared" si="5"/>
        <v>1398765</v>
      </c>
      <c r="K81" s="467"/>
      <c r="L81" s="141">
        <f>'2.1 Auxiliary Services YR1'!G128</f>
        <v>0</v>
      </c>
      <c r="M81" s="115">
        <v>0</v>
      </c>
      <c r="N81" s="141">
        <v>0</v>
      </c>
      <c r="O81" s="141"/>
      <c r="P81" s="430">
        <f t="shared" si="6"/>
        <v>0</v>
      </c>
      <c r="Q81" s="467"/>
      <c r="R81" s="847">
        <f>ROUND(IF(D81="PCFP",'2.8 Alloc of Residual Rev. YR1'!I82,'1.4 FY 2020 Revenue Received'!Y76),0)</f>
        <v>2396373</v>
      </c>
      <c r="S81" s="8"/>
      <c r="T81" s="375">
        <f t="shared" si="9"/>
        <v>26439388</v>
      </c>
    </row>
    <row r="82" spans="1:21" x14ac:dyDescent="0.3">
      <c r="A82" s="4"/>
      <c r="B82" s="9" t="str">
        <f>'1.2 Budgeted Enrollment YR1'!E79</f>
        <v>Pinecrest Academy of Northern Nevada</v>
      </c>
      <c r="D82" s="106" t="str">
        <f>IF('2.9 PCFP Funding Comparison YR1'!$K$25="Yes","PCFP","FY 2020 Baseline")</f>
        <v>PCFP</v>
      </c>
      <c r="E82" s="375">
        <f>ROUND(IF(D82="PCFP",'2.8 Alloc of Residual Rev. YR1'!G83,'1.4 FY 2020 Revenue Received'!Z77),2)</f>
        <v>9643201</v>
      </c>
      <c r="F82" s="8"/>
      <c r="G82" s="430">
        <f>ROUND(IF(D82="PCFP",'2.8 Alloc of Residual Rev. YR1'!J83,('1.4 FY 2020 Revenue Received'!S77)+'1.4 FY 2020 Revenue Received'!T77),0)</f>
        <v>76399</v>
      </c>
      <c r="H82" s="429">
        <f>ROUND(IF(D82="PCFP",'2.8 Alloc of Residual Rev. YR1'!K83,('1.4 FY 2020 Revenue Received'!S77)+'1.4 FY 2020 Revenue Received'!U77),2)</f>
        <v>0</v>
      </c>
      <c r="I82" s="430">
        <f>ROUND(IF(D82="PCFP",'2.8 Alloc of Residual Rev. YR1'!L83,'1.4 FY 2020 Revenue Received'!V77),2)</f>
        <v>70174</v>
      </c>
      <c r="J82" s="1291">
        <f t="shared" si="5"/>
        <v>146573</v>
      </c>
      <c r="K82" s="467"/>
      <c r="L82" s="141">
        <f>'2.1 Auxiliary Services YR1'!G129</f>
        <v>0</v>
      </c>
      <c r="M82" s="115">
        <v>0</v>
      </c>
      <c r="N82" s="141">
        <v>0</v>
      </c>
      <c r="O82" s="141"/>
      <c r="P82" s="430">
        <f t="shared" si="6"/>
        <v>0</v>
      </c>
      <c r="Q82" s="467"/>
      <c r="R82" s="847">
        <f>ROUND(IF(D82="PCFP",'2.8 Alloc of Residual Rev. YR1'!I83,'1.4 FY 2020 Revenue Received'!Y77),0)</f>
        <v>1248935</v>
      </c>
      <c r="S82" s="8"/>
      <c r="T82" s="375">
        <f t="shared" si="9"/>
        <v>11038709</v>
      </c>
    </row>
    <row r="83" spans="1:21" x14ac:dyDescent="0.3">
      <c r="A83" s="4"/>
      <c r="B83" s="9" t="str">
        <f>'1.2 Budgeted Enrollment YR1'!E80</f>
        <v>Pinecrest Academy of Nevada</v>
      </c>
      <c r="D83" s="106" t="str">
        <f>IF('2.9 PCFP Funding Comparison YR1'!$K$25="Yes","PCFP","FY 2020 Baseline")</f>
        <v>PCFP</v>
      </c>
      <c r="E83" s="375">
        <f>ROUND(IF(D83="PCFP",'2.8 Alloc of Residual Rev. YR1'!G84,'1.4 FY 2020 Revenue Received'!Z78),2)</f>
        <v>75973360</v>
      </c>
      <c r="F83" s="8"/>
      <c r="G83" s="430">
        <f>ROUND(IF(D83="PCFP",'2.8 Alloc of Residual Rev. YR1'!J84,('1.4 FY 2020 Revenue Received'!S78)+'1.4 FY 2020 Revenue Received'!T78),0)</f>
        <v>827658</v>
      </c>
      <c r="H83" s="429">
        <f>ROUND(IF(D83="PCFP",'2.8 Alloc of Residual Rev. YR1'!K84,('1.4 FY 2020 Revenue Received'!S78)+'1.4 FY 2020 Revenue Received'!U78),2)</f>
        <v>419252</v>
      </c>
      <c r="I83" s="430">
        <f>ROUND(IF(D83="PCFP",'2.8 Alloc of Residual Rev. YR1'!L84,'1.4 FY 2020 Revenue Received'!V78),2)</f>
        <v>448209</v>
      </c>
      <c r="J83" s="1291">
        <f t="shared" si="5"/>
        <v>1695119</v>
      </c>
      <c r="K83" s="467"/>
      <c r="L83" s="141">
        <f>'2.1 Auxiliary Services YR1'!G130</f>
        <v>0</v>
      </c>
      <c r="M83" s="115">
        <v>0</v>
      </c>
      <c r="N83" s="141">
        <v>0</v>
      </c>
      <c r="O83" s="141"/>
      <c r="P83" s="430">
        <f t="shared" si="6"/>
        <v>0</v>
      </c>
      <c r="Q83" s="467"/>
      <c r="R83" s="847">
        <f>ROUND(IF(D83="PCFP",'2.8 Alloc of Residual Rev. YR1'!I84,'1.4 FY 2020 Revenue Received'!Y78),0)</f>
        <v>143895</v>
      </c>
      <c r="S83" s="8"/>
      <c r="T83" s="375">
        <f t="shared" si="9"/>
        <v>77812374</v>
      </c>
    </row>
    <row r="84" spans="1:21" x14ac:dyDescent="0.3">
      <c r="A84" s="4"/>
      <c r="B84" s="9" t="str">
        <f>'1.2 Budgeted Enrollment YR1'!E81</f>
        <v>Pioneer Technical Arts Academy</v>
      </c>
      <c r="D84" s="106" t="str">
        <f>IF('2.9 PCFP Funding Comparison YR1'!$K$25="Yes","PCFP","FY 2020 Baseline")</f>
        <v>PCFP</v>
      </c>
      <c r="E84" s="375">
        <f>ROUND(IF(D84="PCFP",'2.8 Alloc of Residual Rev. YR1'!G85,'1.4 FY 2020 Revenue Received'!Z80),2)</f>
        <v>2488858</v>
      </c>
      <c r="F84" s="8"/>
      <c r="G84" s="430">
        <f>ROUND(IF(D84="PCFP",'2.8 Alloc of Residual Rev. YR1'!J85,('1.4 FY 2020 Revenue Received'!S79)+'1.4 FY 2020 Revenue Received'!T79),0)</f>
        <v>0</v>
      </c>
      <c r="H84" s="429">
        <f>ROUND(IF(D84="PCFP",'2.8 Alloc of Residual Rev. YR1'!K85,('1.4 FY 2020 Revenue Received'!S79)+'1.4 FY 2020 Revenue Received'!U79),2)</f>
        <v>0</v>
      </c>
      <c r="I84" s="430">
        <f>ROUND(IF(D84="PCFP",'2.8 Alloc of Residual Rev. YR1'!L85,'1.4 FY 2020 Revenue Received'!V79),2)</f>
        <v>0</v>
      </c>
      <c r="J84" s="1291">
        <f t="shared" ref="J84" si="10">SUM(G84:I84)</f>
        <v>0</v>
      </c>
      <c r="K84" s="467"/>
      <c r="L84" s="141">
        <f>'2.1 Auxiliary Services YR1'!G131</f>
        <v>0</v>
      </c>
      <c r="M84" s="115">
        <v>0</v>
      </c>
      <c r="N84" s="141">
        <v>0</v>
      </c>
      <c r="O84" s="141"/>
      <c r="P84" s="430">
        <f t="shared" si="6"/>
        <v>0</v>
      </c>
      <c r="Q84" s="467"/>
      <c r="R84" s="847">
        <f>ROUND(IF(D84="PCFP",'2.8 Alloc of Residual Rev. YR1'!I85,'1.4 FY 2020 Revenue Received'!Y79),0)</f>
        <v>0</v>
      </c>
      <c r="S84" s="8"/>
      <c r="T84" s="375">
        <f t="shared" ref="T84" si="11">E84+J84+P84+R84</f>
        <v>2488858</v>
      </c>
      <c r="U84" s="4" t="s">
        <v>370</v>
      </c>
    </row>
    <row r="85" spans="1:21" x14ac:dyDescent="0.3">
      <c r="A85" s="4"/>
      <c r="B85" s="9" t="str">
        <f>'1.2 Budgeted Enrollment YR1'!E82</f>
        <v>Quest Academy</v>
      </c>
      <c r="D85" s="106" t="str">
        <f>IF('2.9 PCFP Funding Comparison YR1'!$K$25="Yes","PCFP","FY 2020 Baseline")</f>
        <v>PCFP</v>
      </c>
      <c r="E85" s="375">
        <f>ROUND(IF(D85="PCFP",'2.8 Alloc of Residual Rev. YR1'!G86,'1.4 FY 2020 Revenue Received'!Z81),2)</f>
        <v>4296970</v>
      </c>
      <c r="F85" s="8"/>
      <c r="G85" s="430">
        <f>ROUND(IF(D85="PCFP",'2.8 Alloc of Residual Rev. YR1'!J86,('1.4 FY 2020 Revenue Received'!S80)+'1.4 FY 2020 Revenue Received'!T80),0)</f>
        <v>203731</v>
      </c>
      <c r="H85" s="429">
        <f>ROUND(IF(D85="PCFP",'2.8 Alloc of Residual Rev. YR1'!K86,('1.4 FY 2020 Revenue Received'!S80)+'1.4 FY 2020 Revenue Received'!U80),2)</f>
        <v>52819</v>
      </c>
      <c r="I85" s="430">
        <f>ROUND(IF(D85="PCFP",'2.8 Alloc of Residual Rev. YR1'!L86,'1.4 FY 2020 Revenue Received'!V80),2)</f>
        <v>0</v>
      </c>
      <c r="J85" s="1291">
        <f t="shared" si="5"/>
        <v>256550</v>
      </c>
      <c r="K85" s="467"/>
      <c r="L85" s="141">
        <f>'2.1 Auxiliary Services YR1'!G132</f>
        <v>0</v>
      </c>
      <c r="M85" s="115">
        <v>0</v>
      </c>
      <c r="N85" s="141">
        <v>0</v>
      </c>
      <c r="O85" s="141"/>
      <c r="P85" s="430">
        <f t="shared" si="6"/>
        <v>0</v>
      </c>
      <c r="Q85" s="467"/>
      <c r="R85" s="847">
        <f>ROUND(IF(D85="PCFP",'2.8 Alloc of Residual Rev. YR1'!I86,'1.4 FY 2020 Revenue Received'!Y80),0)</f>
        <v>46203</v>
      </c>
      <c r="S85" s="8"/>
      <c r="T85" s="375">
        <f t="shared" si="9"/>
        <v>4599723</v>
      </c>
    </row>
    <row r="86" spans="1:21" x14ac:dyDescent="0.3">
      <c r="A86" s="4"/>
      <c r="B86" s="9" t="str">
        <f>'1.2 Budgeted Enrollment YR1'!E83</f>
        <v>Rainbow Dreams Academy</v>
      </c>
      <c r="D86" s="106" t="str">
        <f>IF('2.9 PCFP Funding Comparison YR1'!$K$25="Yes","PCFP","FY 2020 Baseline")</f>
        <v>PCFP</v>
      </c>
      <c r="E86" s="375">
        <f>ROUND(IF(D86="PCFP",'2.8 Alloc of Residual Rev. YR1'!G87,'1.4 FY 2020 Revenue Received'!Z82),2)</f>
        <v>597830</v>
      </c>
      <c r="F86" s="8"/>
      <c r="G86" s="430">
        <f>ROUND(IF(D86="PCFP",'2.8 Alloc of Residual Rev. YR1'!J87,('1.4 FY 2020 Revenue Received'!S81)+'1.4 FY 2020 Revenue Received'!T81),0)</f>
        <v>25466</v>
      </c>
      <c r="H86" s="429">
        <f>ROUND(IF(D86="PCFP",'2.8 Alloc of Residual Rev. YR1'!K87,('1.4 FY 2020 Revenue Received'!S81)+'1.4 FY 2020 Revenue Received'!U81),2)</f>
        <v>16506</v>
      </c>
      <c r="I86" s="430">
        <f>ROUND(IF(D86="PCFP",'2.8 Alloc of Residual Rev. YR1'!L87,'1.4 FY 2020 Revenue Received'!V81),2)</f>
        <v>0</v>
      </c>
      <c r="J86" s="1291">
        <f t="shared" si="5"/>
        <v>41972</v>
      </c>
      <c r="K86" s="467"/>
      <c r="L86" s="141">
        <f>'2.1 Auxiliary Services YR1'!G133</f>
        <v>0</v>
      </c>
      <c r="M86" s="115">
        <v>0</v>
      </c>
      <c r="N86" s="141">
        <v>0</v>
      </c>
      <c r="O86" s="141"/>
      <c r="P86" s="430">
        <f t="shared" si="6"/>
        <v>0</v>
      </c>
      <c r="Q86" s="467"/>
      <c r="R86" s="847">
        <f>ROUND(IF(D86="PCFP",'2.8 Alloc of Residual Rev. YR1'!I87,'1.4 FY 2020 Revenue Received'!Y81),0)</f>
        <v>40634</v>
      </c>
      <c r="S86" s="8"/>
      <c r="T86" s="375">
        <f t="shared" si="9"/>
        <v>680436</v>
      </c>
    </row>
    <row r="87" spans="1:21" x14ac:dyDescent="0.3">
      <c r="A87" s="4"/>
      <c r="B87" s="9" t="str">
        <f>'1.2 Budgeted Enrollment YR1'!E84</f>
        <v>Rooted Charter School</v>
      </c>
      <c r="D87" s="106" t="str">
        <f>IF('2.9 PCFP Funding Comparison YR1'!$K$25="Yes","PCFP","FY 2020 Baseline")</f>
        <v>PCFP</v>
      </c>
      <c r="E87" s="375">
        <f>ROUND(IF(D87="PCFP",'2.8 Alloc of Residual Rev. YR1'!G88,'1.4 FY 2020 Revenue Received'!Z83),2)</f>
        <v>222738</v>
      </c>
      <c r="F87" s="8"/>
      <c r="G87" s="430">
        <f>ROUND(IF(D87="PCFP",'2.8 Alloc of Residual Rev. YR1'!J88,('1.4 FY 2020 Revenue Received'!S82)+'1.4 FY 2020 Revenue Received'!T82),0)</f>
        <v>0</v>
      </c>
      <c r="H87" s="429">
        <f>ROUND(IF(D87="PCFP",'2.8 Alloc of Residual Rev. YR1'!K88,('1.4 FY 2020 Revenue Received'!S82)+'1.4 FY 2020 Revenue Received'!U82),2)</f>
        <v>0</v>
      </c>
      <c r="I87" s="430">
        <f>ROUND(IF(D87="PCFP",'2.8 Alloc of Residual Rev. YR1'!L88,'1.4 FY 2020 Revenue Received'!V82),2)</f>
        <v>0</v>
      </c>
      <c r="J87" s="1291">
        <f t="shared" ref="J87" si="12">SUM(G87:I87)</f>
        <v>0</v>
      </c>
      <c r="K87" s="467"/>
      <c r="L87" s="141">
        <f>'2.1 Auxiliary Services YR1'!G134</f>
        <v>0</v>
      </c>
      <c r="M87" s="115">
        <v>0</v>
      </c>
      <c r="N87" s="141">
        <v>0</v>
      </c>
      <c r="O87" s="141"/>
      <c r="P87" s="430">
        <f t="shared" si="6"/>
        <v>0</v>
      </c>
      <c r="Q87" s="467"/>
      <c r="R87" s="847">
        <f>ROUND(IF(D87="PCFP",'2.8 Alloc of Residual Rev. YR1'!I88,'1.4 FY 2020 Revenue Received'!Y82),0)</f>
        <v>0</v>
      </c>
      <c r="S87" s="8"/>
      <c r="T87" s="375">
        <f t="shared" ref="T87" si="13">E87+J87+P87+R87</f>
        <v>222738</v>
      </c>
    </row>
    <row r="88" spans="1:21" x14ac:dyDescent="0.3">
      <c r="A88" s="4"/>
      <c r="B88" s="9" t="str">
        <f>'1.2 Budgeted Enrollment YR1'!E85</f>
        <v>Sage Collegiate Academy</v>
      </c>
      <c r="D88" s="106" t="str">
        <f>IF('2.9 PCFP Funding Comparison YR1'!$K$25="Yes","PCFP","FY 2020 Baseline")</f>
        <v>PCFP</v>
      </c>
      <c r="E88" s="375">
        <f>ROUND(IF(D88="PCFP",'2.8 Alloc of Residual Rev. YR1'!G89,'1.4 FY 2020 Revenue Received'!Z84),2)</f>
        <v>2227189</v>
      </c>
      <c r="F88" s="8"/>
      <c r="G88" s="430">
        <f>ROUND(IF(D88="PCFP",'2.8 Alloc of Residual Rev. YR1'!J89,('1.4 FY 2020 Revenue Received'!S83)+'1.4 FY 2020 Revenue Received'!T83),0)</f>
        <v>292864</v>
      </c>
      <c r="H88" s="429">
        <f>ROUND(IF(D88="PCFP",'2.8 Alloc of Residual Rev. YR1'!K89,('1.4 FY 2020 Revenue Received'!S83)+'1.4 FY 2020 Revenue Received'!U83),2)</f>
        <v>0</v>
      </c>
      <c r="I88" s="430">
        <f>ROUND(IF(D88="PCFP",'2.8 Alloc of Residual Rev. YR1'!L89,'1.4 FY 2020 Revenue Received'!V83),2)</f>
        <v>0</v>
      </c>
      <c r="J88" s="1291">
        <f t="shared" si="5"/>
        <v>292864</v>
      </c>
      <c r="K88" s="467"/>
      <c r="L88" s="141">
        <f>'2.1 Auxiliary Services YR1'!G135</f>
        <v>0</v>
      </c>
      <c r="M88" s="115">
        <v>0</v>
      </c>
      <c r="N88" s="141">
        <v>0</v>
      </c>
      <c r="O88" s="141"/>
      <c r="P88" s="430">
        <f t="shared" si="6"/>
        <v>0</v>
      </c>
      <c r="Q88" s="467"/>
      <c r="R88" s="847">
        <f>ROUND(IF(D88="PCFP",'2.8 Alloc of Residual Rev. YR1'!I89,'1.4 FY 2020 Revenue Received'!Y83),0)</f>
        <v>93023</v>
      </c>
      <c r="S88" s="8"/>
      <c r="T88" s="375">
        <f t="shared" si="9"/>
        <v>2613076</v>
      </c>
    </row>
    <row r="89" spans="1:21" x14ac:dyDescent="0.3">
      <c r="A89" s="4"/>
      <c r="B89" s="9" t="str">
        <f>'1.2 Budgeted Enrollment YR1'!E86</f>
        <v>Sierra Nevada Academy Charter</v>
      </c>
      <c r="D89" s="106" t="str">
        <f>IF('2.9 PCFP Funding Comparison YR1'!$K$25="Yes","PCFP","FY 2020 Baseline")</f>
        <v>PCFP</v>
      </c>
      <c r="E89" s="375">
        <f>ROUND(IF(D89="PCFP",'2.8 Alloc of Residual Rev. YR1'!G90,'1.4 FY 2020 Revenue Received'!Z85),2)</f>
        <v>2698290</v>
      </c>
      <c r="F89" s="8"/>
      <c r="G89" s="430">
        <f>ROUND(IF(D89="PCFP",'2.8 Alloc of Residual Rev. YR1'!J90,('1.4 FY 2020 Revenue Received'!S84)+'1.4 FY 2020 Revenue Received'!T84),0)</f>
        <v>93377</v>
      </c>
      <c r="H89" s="429">
        <f>ROUND(IF(D89="PCFP",'2.8 Alloc of Residual Rev. YR1'!K90,('1.4 FY 2020 Revenue Received'!S84)+'1.4 FY 2020 Revenue Received'!U84),2)</f>
        <v>99036</v>
      </c>
      <c r="I89" s="430">
        <f>ROUND(IF(D89="PCFP",'2.8 Alloc of Residual Rev. YR1'!L90,'1.4 FY 2020 Revenue Received'!V84),2)</f>
        <v>0</v>
      </c>
      <c r="J89" s="1291">
        <f t="shared" si="5"/>
        <v>192413</v>
      </c>
      <c r="K89" s="467"/>
      <c r="L89" s="141">
        <f>'2.1 Auxiliary Services YR1'!G136</f>
        <v>0</v>
      </c>
      <c r="M89" s="115">
        <v>0</v>
      </c>
      <c r="N89" s="141">
        <v>0</v>
      </c>
      <c r="O89" s="141"/>
      <c r="P89" s="430">
        <f t="shared" si="6"/>
        <v>0</v>
      </c>
      <c r="Q89" s="467"/>
      <c r="R89" s="847">
        <f>ROUND(IF(D89="PCFP",'2.8 Alloc of Residual Rev. YR1'!I90,'1.4 FY 2020 Revenue Received'!Y84),0)</f>
        <v>265057</v>
      </c>
      <c r="S89" s="8"/>
      <c r="T89" s="375">
        <f t="shared" si="9"/>
        <v>3155760</v>
      </c>
    </row>
    <row r="90" spans="1:21" x14ac:dyDescent="0.3">
      <c r="A90" s="4"/>
      <c r="B90" s="9" t="str">
        <f>'1.2 Budgeted Enrollment YR1'!E87</f>
        <v>Signature Preparatory</v>
      </c>
      <c r="D90" s="106" t="str">
        <f>IF('2.9 PCFP Funding Comparison YR1'!$K$25="Yes","PCFP","FY 2020 Baseline")</f>
        <v>PCFP</v>
      </c>
      <c r="E90" s="375">
        <f>ROUND(IF(D90="PCFP",'2.8 Alloc of Residual Rev. YR1'!G91,'1.4 FY 2020 Revenue Received'!Z86),2)</f>
        <v>9388554</v>
      </c>
      <c r="F90" s="8"/>
      <c r="G90" s="430">
        <f>ROUND(IF(D90="PCFP",'2.8 Alloc of Residual Rev. YR1'!J91,('1.4 FY 2020 Revenue Received'!S85)+'1.4 FY 2020 Revenue Received'!T85),0)</f>
        <v>284375</v>
      </c>
      <c r="H90" s="429">
        <f>ROUND(IF(D90="PCFP",'2.8 Alloc of Residual Rev. YR1'!K91,('1.4 FY 2020 Revenue Received'!S85)+'1.4 FY 2020 Revenue Received'!U85),2)</f>
        <v>56120</v>
      </c>
      <c r="I90" s="430">
        <f>ROUND(IF(D90="PCFP",'2.8 Alloc of Residual Rev. YR1'!L91,'1.4 FY 2020 Revenue Received'!V85),2)</f>
        <v>0</v>
      </c>
      <c r="J90" s="1291">
        <f t="shared" si="5"/>
        <v>340495</v>
      </c>
      <c r="K90" s="467"/>
      <c r="L90" s="141">
        <f>'2.1 Auxiliary Services YR1'!G137</f>
        <v>0</v>
      </c>
      <c r="M90" s="115">
        <v>0</v>
      </c>
      <c r="N90" s="141">
        <v>0</v>
      </c>
      <c r="O90" s="141"/>
      <c r="P90" s="430">
        <f t="shared" si="6"/>
        <v>0</v>
      </c>
      <c r="Q90" s="467"/>
      <c r="R90" s="847">
        <f>ROUND(IF(D90="PCFP",'2.8 Alloc of Residual Rev. YR1'!I91,'1.4 FY 2020 Revenue Received'!Y85),0)</f>
        <v>281852</v>
      </c>
      <c r="S90" s="8"/>
      <c r="T90" s="375">
        <f t="shared" si="9"/>
        <v>10010901</v>
      </c>
    </row>
    <row r="91" spans="1:21" x14ac:dyDescent="0.3">
      <c r="A91" s="4"/>
      <c r="B91" s="9" t="str">
        <f>'1.2 Budgeted Enrollment YR1'!E88</f>
        <v>Silver Sands Montessori</v>
      </c>
      <c r="D91" s="106" t="str">
        <f>IF('2.9 PCFP Funding Comparison YR1'!$K$25="Yes","PCFP","FY 2020 Baseline")</f>
        <v>PCFP</v>
      </c>
      <c r="E91" s="375">
        <f>ROUND(IF(D91="PCFP",'2.8 Alloc of Residual Rev. YR1'!G92,'1.4 FY 2020 Revenue Received'!Z87),2)</f>
        <v>2261452</v>
      </c>
      <c r="F91" s="8"/>
      <c r="G91" s="430">
        <f>ROUND(IF(D91="PCFP",'2.8 Alloc of Residual Rev. YR1'!J92,('1.4 FY 2020 Revenue Received'!S86)+'1.4 FY 2020 Revenue Received'!T86),0)</f>
        <v>101866</v>
      </c>
      <c r="H91" s="429">
        <f>ROUND(IF(D91="PCFP",'2.8 Alloc of Residual Rev. YR1'!K92,('1.4 FY 2020 Revenue Received'!S86)+'1.4 FY 2020 Revenue Received'!U86),2)</f>
        <v>0</v>
      </c>
      <c r="I91" s="430">
        <f>ROUND(IF(D91="PCFP",'2.8 Alloc of Residual Rev. YR1'!L92,'1.4 FY 2020 Revenue Received'!V86),2)</f>
        <v>0</v>
      </c>
      <c r="J91" s="1291">
        <f t="shared" si="5"/>
        <v>101866</v>
      </c>
      <c r="K91" s="467"/>
      <c r="L91" s="141">
        <f>'2.1 Auxiliary Services YR1'!G138</f>
        <v>0</v>
      </c>
      <c r="M91" s="115">
        <v>0</v>
      </c>
      <c r="N91" s="141">
        <v>0</v>
      </c>
      <c r="O91" s="141"/>
      <c r="P91" s="430">
        <f t="shared" si="6"/>
        <v>0</v>
      </c>
      <c r="Q91" s="467"/>
      <c r="R91" s="847">
        <f>ROUND(IF(D91="PCFP",'2.8 Alloc of Residual Rev. YR1'!I92,'1.4 FY 2020 Revenue Received'!Y86),0)</f>
        <v>0</v>
      </c>
      <c r="S91" s="8"/>
      <c r="T91" s="375">
        <f t="shared" si="9"/>
        <v>2363318</v>
      </c>
    </row>
    <row r="92" spans="1:21" x14ac:dyDescent="0.3">
      <c r="A92" s="4"/>
      <c r="B92" s="9" t="str">
        <f>'1.2 Budgeted Enrollment YR1'!E89</f>
        <v>Somerset Academy</v>
      </c>
      <c r="D92" s="106" t="str">
        <f>IF('2.9 PCFP Funding Comparison YR1'!$K$25="Yes","PCFP","FY 2020 Baseline")</f>
        <v>PCFP</v>
      </c>
      <c r="E92" s="375">
        <f>ROUND(IF(D92="PCFP",'2.8 Alloc of Residual Rev. YR1'!G93,'1.4 FY 2020 Revenue Received'!Z88),2)</f>
        <v>90670221</v>
      </c>
      <c r="F92" s="8"/>
      <c r="G92" s="430">
        <f>ROUND(IF(D92="PCFP",'2.8 Alloc of Residual Rev. YR1'!J93,('1.4 FY 2020 Revenue Received'!S87)+'1.4 FY 2020 Revenue Received'!T87),0)</f>
        <v>1468562</v>
      </c>
      <c r="H92" s="429">
        <f>ROUND(IF(D92="PCFP",'2.8 Alloc of Residual Rev. YR1'!K93,('1.4 FY 2020 Revenue Received'!S87)+'1.4 FY 2020 Revenue Received'!U87),2)</f>
        <v>359831</v>
      </c>
      <c r="I92" s="430">
        <f>ROUND(IF(D92="PCFP",'2.8 Alloc of Residual Rev. YR1'!L93,'1.4 FY 2020 Revenue Received'!V87),2)</f>
        <v>275037</v>
      </c>
      <c r="J92" s="1291">
        <f t="shared" si="5"/>
        <v>2103430</v>
      </c>
      <c r="K92" s="467"/>
      <c r="L92" s="141">
        <f>'2.1 Auxiliary Services YR1'!G139</f>
        <v>0</v>
      </c>
      <c r="M92" s="115">
        <v>0</v>
      </c>
      <c r="N92" s="141">
        <v>0</v>
      </c>
      <c r="O92" s="141"/>
      <c r="P92" s="430">
        <f t="shared" si="6"/>
        <v>0</v>
      </c>
      <c r="Q92" s="467"/>
      <c r="R92" s="847">
        <f>ROUND(IF(D92="PCFP",'2.8 Alloc of Residual Rev. YR1'!I93,'1.4 FY 2020 Revenue Received'!Y87),0)</f>
        <v>4081801</v>
      </c>
      <c r="S92" s="8"/>
      <c r="T92" s="375">
        <f t="shared" si="9"/>
        <v>96855452</v>
      </c>
    </row>
    <row r="93" spans="1:21" x14ac:dyDescent="0.3">
      <c r="A93" s="4"/>
      <c r="B93" s="9" t="str">
        <f>'1.2 Budgeted Enrollment YR1'!E90</f>
        <v>Southern Nevada Trade High School</v>
      </c>
      <c r="D93" s="106" t="str">
        <f>IF('2.9 PCFP Funding Comparison YR1'!$K$25="Yes","PCFP","FY 2020 Baseline")</f>
        <v>PCFP</v>
      </c>
      <c r="E93" s="375">
        <f>ROUND(IF(D93="PCFP",'2.8 Alloc of Residual Rev. YR1'!G94,'1.4 FY 2020 Revenue Received'!Z89),2)</f>
        <v>764777</v>
      </c>
      <c r="F93" s="8"/>
      <c r="G93" s="430">
        <f>ROUND(IF(D93="PCFP",'2.8 Alloc of Residual Rev. YR1'!J94,('1.4 FY 2020 Revenue Received'!S88)+'1.4 FY 2020 Revenue Received'!T88),0)</f>
        <v>106110</v>
      </c>
      <c r="H93" s="429">
        <f>ROUND(IF(D93="PCFP",'2.8 Alloc of Residual Rev. YR1'!K94,('1.4 FY 2020 Revenue Received'!S88)+'1.4 FY 2020 Revenue Received'!U88),2)</f>
        <v>105638</v>
      </c>
      <c r="I93" s="430">
        <f>ROUND(IF(D93="PCFP",'2.8 Alloc of Residual Rev. YR1'!L94,'1.4 FY 2020 Revenue Received'!V88),2)</f>
        <v>0</v>
      </c>
      <c r="J93" s="1291">
        <f t="shared" ref="J93" si="14">SUM(G93:I93)</f>
        <v>211748</v>
      </c>
      <c r="K93" s="467"/>
      <c r="L93" s="141">
        <f>'2.1 Auxiliary Services YR1'!G140</f>
        <v>0</v>
      </c>
      <c r="M93" s="115">
        <v>0</v>
      </c>
      <c r="N93" s="141">
        <v>0</v>
      </c>
      <c r="O93" s="141"/>
      <c r="P93" s="430">
        <f t="shared" si="6"/>
        <v>0</v>
      </c>
      <c r="Q93" s="467"/>
      <c r="R93" s="847">
        <f>ROUND(IF(D93="PCFP",'2.8 Alloc of Residual Rev. YR1'!I94,'1.4 FY 2020 Revenue Received'!Y88),0)</f>
        <v>0</v>
      </c>
      <c r="S93" s="8"/>
      <c r="T93" s="375">
        <f t="shared" ref="T93" si="15">E93+J93+P93+R93</f>
        <v>976525</v>
      </c>
    </row>
    <row r="94" spans="1:21" x14ac:dyDescent="0.3">
      <c r="A94" s="4"/>
      <c r="B94" s="9" t="str">
        <f>'1.2 Budgeted Enrollment YR1'!E91</f>
        <v>Sports Leadership and Management Academy</v>
      </c>
      <c r="D94" s="106" t="str">
        <f>IF('2.9 PCFP Funding Comparison YR1'!$K$25="Yes","PCFP","FY 2020 Baseline")</f>
        <v>PCFP</v>
      </c>
      <c r="E94" s="375">
        <f>ROUND(IF(D94="PCFP",'2.8 Alloc of Residual Rev. YR1'!G95,'1.4 FY 2020 Revenue Received'!Z90),2)</f>
        <v>17626131</v>
      </c>
      <c r="F94" s="8"/>
      <c r="G94" s="430">
        <f>ROUND(IF(D94="PCFP",'2.8 Alloc of Residual Rev. YR1'!J95,('1.4 FY 2020 Revenue Received'!S89)+'1.4 FY 2020 Revenue Received'!T89),0)</f>
        <v>823414</v>
      </c>
      <c r="H94" s="429">
        <f>ROUND(IF(D94="PCFP",'2.8 Alloc of Residual Rev. YR1'!K95,('1.4 FY 2020 Revenue Received'!S89)+'1.4 FY 2020 Revenue Received'!U89),2)</f>
        <v>72626</v>
      </c>
      <c r="I94" s="430">
        <f>ROUND(IF(D94="PCFP",'2.8 Alloc of Residual Rev. YR1'!L95,'1.4 FY 2020 Revenue Received'!V89),2)</f>
        <v>0</v>
      </c>
      <c r="J94" s="1291">
        <f t="shared" si="5"/>
        <v>896040</v>
      </c>
      <c r="K94" s="467"/>
      <c r="L94" s="141">
        <f>'2.1 Auxiliary Services YR1'!G141</f>
        <v>0</v>
      </c>
      <c r="M94" s="115">
        <v>0</v>
      </c>
      <c r="N94" s="141">
        <v>0</v>
      </c>
      <c r="O94" s="141"/>
      <c r="P94" s="430">
        <f t="shared" si="6"/>
        <v>0</v>
      </c>
      <c r="Q94" s="467"/>
      <c r="R94" s="847">
        <f>ROUND(IF(D94="PCFP",'2.8 Alloc of Residual Rev. YR1'!I95,'1.4 FY 2020 Revenue Received'!Y89),0)</f>
        <v>1415450</v>
      </c>
      <c r="S94" s="8"/>
      <c r="T94" s="375">
        <f t="shared" si="9"/>
        <v>19937621</v>
      </c>
    </row>
    <row r="95" spans="1:21" x14ac:dyDescent="0.3">
      <c r="A95" s="4"/>
      <c r="B95" s="9" t="str">
        <f>'1.2 Budgeted Enrollment YR1'!E92</f>
        <v>Strong Start Academy</v>
      </c>
      <c r="D95" s="106" t="str">
        <f>IF('2.9 PCFP Funding Comparison YR1'!$K$25="Yes","PCFP","FY 2020 Baseline")</f>
        <v>PCFP</v>
      </c>
      <c r="E95" s="375">
        <f>ROUND(IF(D95="PCFP",'2.8 Alloc of Residual Rev. YR1'!G96,'1.4 FY 2020 Revenue Received'!Z91),2)</f>
        <v>1391436</v>
      </c>
      <c r="F95" s="8"/>
      <c r="G95" s="430">
        <f>ROUND(IF(D95="PCFP",'2.8 Alloc of Residual Rev. YR1'!J96,('1.4 FY 2020 Revenue Received'!S90)+'1.4 FY 2020 Revenue Received'!T90),0)</f>
        <v>237686</v>
      </c>
      <c r="H95" s="429">
        <f>ROUND(IF(D95="PCFP",'2.8 Alloc of Residual Rev. YR1'!K96,('1.4 FY 2020 Revenue Received'!S90)+'1.4 FY 2020 Revenue Received'!U90),2)</f>
        <v>0</v>
      </c>
      <c r="I95" s="430">
        <f>ROUND(IF(D95="PCFP",'2.8 Alloc of Residual Rev. YR1'!L96,'1.4 FY 2020 Revenue Received'!V90),2)</f>
        <v>0</v>
      </c>
      <c r="J95" s="1291">
        <f t="shared" si="5"/>
        <v>237686</v>
      </c>
      <c r="K95" s="467"/>
      <c r="L95" s="141">
        <f>'2.1 Auxiliary Services YR1'!G142</f>
        <v>0</v>
      </c>
      <c r="M95" s="115">
        <v>0</v>
      </c>
      <c r="N95" s="141">
        <v>0</v>
      </c>
      <c r="O95" s="141"/>
      <c r="P95" s="430">
        <f t="shared" si="6"/>
        <v>0</v>
      </c>
      <c r="Q95" s="467"/>
      <c r="R95" s="847">
        <f>ROUND(IF(D95="PCFP",'2.8 Alloc of Residual Rev. YR1'!I96,'1.4 FY 2020 Revenue Received'!Y90),0)</f>
        <v>219797</v>
      </c>
      <c r="S95" s="8"/>
      <c r="T95" s="375">
        <f t="shared" si="9"/>
        <v>1848919</v>
      </c>
    </row>
    <row r="96" spans="1:21" x14ac:dyDescent="0.3">
      <c r="A96" s="4"/>
      <c r="B96" s="9" t="str">
        <f>'1.2 Budgeted Enrollment YR1'!E93</f>
        <v>ThrivePoint</v>
      </c>
      <c r="C96" s="112"/>
      <c r="D96" s="106" t="str">
        <f>IF('2.9 PCFP Funding Comparison YR1'!$K$25="Yes","PCFP","FY 2020 Baseline")</f>
        <v>PCFP</v>
      </c>
      <c r="E96" s="375">
        <f>ROUND(IF(D96="PCFP",'2.8 Alloc of Residual Rev. YR1'!G97,'1.4 FY 2020 Revenue Received'!Z92),2)</f>
        <v>1442957</v>
      </c>
      <c r="F96" s="8"/>
      <c r="G96" s="430">
        <f>ROUND(IF(D96="PCFP",'2.8 Alloc of Residual Rev. YR1'!J97,('1.4 FY 2020 Revenue Received'!#REF!)+'1.4 FY 2020 Revenue Received'!#REF!),0)</f>
        <v>178265</v>
      </c>
      <c r="H96" s="429">
        <f>ROUND(IF(D96="PCFP",'2.8 Alloc of Residual Rev. YR1'!K97,('1.4 FY 2020 Revenue Received'!#REF!)+'1.4 FY 2020 Revenue Received'!#REF!),2)</f>
        <v>161759</v>
      </c>
      <c r="I96" s="430">
        <f>ROUND(IF(D96="PCFP",'2.8 Alloc of Residual Rev. YR1'!L97,'1.4 FY 2020 Revenue Received'!#REF!),2)</f>
        <v>0</v>
      </c>
      <c r="J96" s="1291">
        <f t="shared" si="5"/>
        <v>340024</v>
      </c>
      <c r="K96" s="467"/>
      <c r="L96" s="141">
        <f>'2.1 Auxiliary Services YR1'!G143</f>
        <v>0</v>
      </c>
      <c r="M96" s="115">
        <v>0</v>
      </c>
      <c r="N96" s="141">
        <v>0</v>
      </c>
      <c r="O96" s="141"/>
      <c r="P96" s="430">
        <f t="shared" si="6"/>
        <v>0</v>
      </c>
      <c r="Q96" s="467"/>
      <c r="R96" s="847">
        <f>ROUND(IF(D96="PCFP",'2.8 Alloc of Residual Rev. YR1'!I97,'1.4 FY 2020 Revenue Received'!#REF!),0)</f>
        <v>0</v>
      </c>
      <c r="S96" s="8"/>
      <c r="T96" s="375">
        <f t="shared" si="9"/>
        <v>1782981</v>
      </c>
      <c r="U96" s="4" t="s">
        <v>370</v>
      </c>
    </row>
    <row r="97" spans="1:22" x14ac:dyDescent="0.3">
      <c r="A97" s="4"/>
      <c r="B97" s="9" t="str">
        <f>'1.2 Budgeted Enrollment YR1'!E94</f>
        <v>Vegas Vista Academy</v>
      </c>
      <c r="D97" s="102" t="str">
        <f>IF('2.9 PCFP Funding Comparison YR1'!$K$25="Yes","PCFP","FY 2020 Baseline")</f>
        <v>PCFP</v>
      </c>
      <c r="E97" s="375">
        <f>ROUND(IF(D97="PCFP",'2.8 Alloc of Residual Rev. YR1'!G98,'1.4 FY 2020 Revenue Received'!Z93),2)</f>
        <v>987796</v>
      </c>
      <c r="F97" s="8"/>
      <c r="G97" s="430">
        <f>ROUND(IF(D97="PCFP",'2.8 Alloc of Residual Rev. YR1'!J98,('1.4 FY 2020 Revenue Received'!S92)+'1.4 FY 2020 Revenue Received'!T92),0)</f>
        <v>152798</v>
      </c>
      <c r="H97" s="429">
        <f>ROUND(IF(D97="PCFP",'2.8 Alloc of Residual Rev. YR1'!K98,('1.4 FY 2020 Revenue Received'!S92)+'1.4 FY 2020 Revenue Received'!U92),2)</f>
        <v>0</v>
      </c>
      <c r="I97" s="430">
        <f>ROUND(IF(D97="PCFP",'2.8 Alloc of Residual Rev. YR1'!L98,'1.4 FY 2020 Revenue Received'!V92),2)</f>
        <v>0</v>
      </c>
      <c r="J97" s="1291">
        <f t="shared" ref="J97" si="16">SUM(G97:I97)</f>
        <v>152798</v>
      </c>
      <c r="K97" s="467"/>
      <c r="L97" s="141">
        <f>'2.1 Auxiliary Services YR1'!G144</f>
        <v>0</v>
      </c>
      <c r="M97" s="115">
        <v>0</v>
      </c>
      <c r="N97" s="141">
        <v>0</v>
      </c>
      <c r="O97" s="141"/>
      <c r="P97" s="430">
        <f t="shared" si="6"/>
        <v>0</v>
      </c>
      <c r="Q97" s="467"/>
      <c r="R97" s="847">
        <f>ROUND(IF(D97="PCFP",'2.8 Alloc of Residual Rev. YR1'!I98,'1.4 FY 2020 Revenue Received'!Y92),0)</f>
        <v>0</v>
      </c>
      <c r="S97" s="8"/>
      <c r="T97" s="375">
        <f t="shared" ref="T97" si="17">E97+J97+P97+R97</f>
        <v>1140594</v>
      </c>
      <c r="U97" s="4" t="s">
        <v>370</v>
      </c>
    </row>
    <row r="98" spans="1:22" x14ac:dyDescent="0.3">
      <c r="A98" s="135"/>
      <c r="B98" s="137" t="str">
        <f>'1.2 Budgeted Enrollment YR1'!E95</f>
        <v>Young Women's Leadership Academy</v>
      </c>
      <c r="C98" s="128"/>
      <c r="D98" s="142" t="str">
        <f>IF('2.9 PCFP Funding Comparison YR1'!$K$25="Yes","PCFP","FY 2020 Baseline")</f>
        <v>PCFP</v>
      </c>
      <c r="E98" s="376">
        <f>ROUND(IF(D98="PCFP",'2.8 Alloc of Residual Rev. YR1'!G99,'1.4 FY 2020 Revenue Received'!Z94),2)</f>
        <v>1121109</v>
      </c>
      <c r="F98" s="8"/>
      <c r="G98" s="856">
        <f>ROUND(IF(D98="PCFP",'2.8 Alloc of Residual Rev. YR1'!J99,('1.4 FY 2020 Revenue Received'!S93)+'1.4 FY 2020 Revenue Received'!T93),0)</f>
        <v>80644</v>
      </c>
      <c r="H98" s="1247">
        <f>ROUND(IF(D98="PCFP",'2.8 Alloc of Residual Rev. YR1'!K99,('1.4 FY 2020 Revenue Received'!S93)+'1.4 FY 2020 Revenue Received'!U93),2)</f>
        <v>6602</v>
      </c>
      <c r="I98" s="856">
        <f>ROUND(IF(D98="PCFP",'2.8 Alloc of Residual Rev. YR1'!L99,'1.4 FY 2020 Revenue Received'!V93),2)</f>
        <v>0</v>
      </c>
      <c r="J98" s="1292">
        <f t="shared" si="5"/>
        <v>87246</v>
      </c>
      <c r="K98" s="467"/>
      <c r="L98" s="1246">
        <f>'2.1 Auxiliary Services YR1'!G145</f>
        <v>0</v>
      </c>
      <c r="M98" s="509">
        <v>0</v>
      </c>
      <c r="N98" s="1246">
        <v>0</v>
      </c>
      <c r="O98" s="1246"/>
      <c r="P98" s="856">
        <f t="shared" si="6"/>
        <v>0</v>
      </c>
      <c r="Q98" s="467"/>
      <c r="R98" s="855">
        <f>ROUND(IF(D98="PCFP",'2.8 Alloc of Residual Rev. YR1'!I99,'1.4 FY 2020 Revenue Received'!Y93),0)</f>
        <v>122895</v>
      </c>
      <c r="S98" s="8"/>
      <c r="T98" s="375">
        <f t="shared" si="9"/>
        <v>1331250</v>
      </c>
    </row>
    <row r="99" spans="1:22" s="4" customFormat="1" x14ac:dyDescent="0.3">
      <c r="B99" s="4" t="str">
        <f>'1.2 Budgeted Enrollment YR1'!E96</f>
        <v>Total Charter Schools</v>
      </c>
      <c r="E99" s="379">
        <f>ROUND(SUM(E37:E98),2)</f>
        <v>684397184</v>
      </c>
      <c r="F99" s="8"/>
      <c r="G99" s="1294">
        <f>ROUND(SUM(G37:G98),0)</f>
        <v>27096252</v>
      </c>
      <c r="H99" s="1295">
        <f>SUM(H37:H98)</f>
        <v>6625505</v>
      </c>
      <c r="I99" s="1295">
        <f>SUM(I37:I98)</f>
        <v>1687574</v>
      </c>
      <c r="J99" s="1293">
        <f>SUM(J37:J98)</f>
        <v>35409331</v>
      </c>
      <c r="K99" s="467"/>
      <c r="L99" s="1296">
        <v>0</v>
      </c>
      <c r="M99" s="1296">
        <f>SUM(M37:M98)</f>
        <v>0</v>
      </c>
      <c r="N99" s="1296">
        <f>SUM(N37:N98)</f>
        <v>0</v>
      </c>
      <c r="O99" s="1296">
        <f>'2.1 Auxiliary Services YR1'!I29</f>
        <v>0</v>
      </c>
      <c r="P99" s="1293">
        <f>L99+M99+N99+O99</f>
        <v>0</v>
      </c>
      <c r="Q99" s="467"/>
      <c r="R99" s="1239">
        <f>SUM(R37:R98)</f>
        <v>24608056</v>
      </c>
      <c r="S99" s="8"/>
      <c r="T99" s="377">
        <f>E99+J99+P99+R99</f>
        <v>744414571</v>
      </c>
      <c r="V99" s="149"/>
    </row>
    <row r="100" spans="1:22" ht="15.75" customHeight="1" x14ac:dyDescent="0.3">
      <c r="E100" s="12">
        <f>E99-E29</f>
        <v>0</v>
      </c>
      <c r="F100" s="12"/>
      <c r="G100" s="15">
        <f>G99-G29</f>
        <v>0</v>
      </c>
      <c r="H100" s="15">
        <f>H99-H29</f>
        <v>0</v>
      </c>
      <c r="I100" s="15">
        <f>I99-I29</f>
        <v>0</v>
      </c>
      <c r="J100" s="15">
        <f>J99-J29</f>
        <v>0</v>
      </c>
      <c r="K100" s="467"/>
      <c r="L100" s="15">
        <f>L99-L29</f>
        <v>0</v>
      </c>
      <c r="M100" s="15">
        <f>M99-M29</f>
        <v>0</v>
      </c>
      <c r="N100" s="15">
        <f>N99-N29</f>
        <v>0</v>
      </c>
      <c r="O100" s="15"/>
      <c r="P100" s="15">
        <f>P99-P29</f>
        <v>0</v>
      </c>
      <c r="Q100" s="467"/>
      <c r="R100" s="15">
        <f>R99-R29</f>
        <v>0</v>
      </c>
      <c r="S100" s="8"/>
      <c r="T100" s="12">
        <f>T99-T29</f>
        <v>0</v>
      </c>
    </row>
    <row r="101" spans="1:22" ht="15.75" customHeight="1" x14ac:dyDescent="0.3">
      <c r="A101" s="4" t="str">
        <f>'2.3 Statewide Base Funding YR1'!A102</f>
        <v>University Schools</v>
      </c>
      <c r="E101" s="12"/>
      <c r="F101" s="12"/>
      <c r="G101" s="457"/>
      <c r="H101" s="457"/>
      <c r="I101" s="457"/>
      <c r="J101" s="457"/>
      <c r="K101" s="467"/>
      <c r="L101" s="457"/>
      <c r="M101" s="457"/>
      <c r="N101" s="457"/>
      <c r="O101" s="457"/>
      <c r="P101" s="457"/>
      <c r="Q101" s="467"/>
      <c r="R101" s="457"/>
      <c r="S101" s="467"/>
      <c r="T101" s="457"/>
    </row>
    <row r="102" spans="1:22" x14ac:dyDescent="0.3">
      <c r="A102" s="4"/>
      <c r="B102" s="455" t="str">
        <f>'1.2 Budgeted Enrollment YR1'!E100</f>
        <v>Davidson Academy</v>
      </c>
      <c r="C102" s="207"/>
      <c r="D102" s="445" t="str">
        <f>IF('2.9 PCFP Funding Comparison YR1'!$K$26="Yes","PCFP","FY 2020 Baseline")</f>
        <v>PCFP</v>
      </c>
      <c r="E102" s="2011">
        <f>ROUND(IF(D102="PCFP",'2.8 Alloc of Residual Rev. YR1'!G103,'1.4 FY 2020 Revenue Received'!Z97),2)</f>
        <v>1583485</v>
      </c>
      <c r="F102" s="8"/>
      <c r="G102" s="859">
        <f>IF(D102="PCFP",'2.8 Alloc of Residual Rev. YR1'!J103,('1.4 FY 2020 Revenue Received'!S98*0.5)+'1.4 FY 2020 Revenue Received'!T98)</f>
        <v>0</v>
      </c>
      <c r="H102" s="429">
        <f>IF(D102="PCFP",'2.8 Alloc of Residual Rev. YR1'!K103,('1.4 FY 2020 Revenue Received'!S98*0.5)+'1.4 FY 2020 Revenue Received'!U98)</f>
        <v>0</v>
      </c>
      <c r="I102" s="429">
        <f>IF(D102="PCFP",'2.8 Alloc of Residual Rev. YR1'!L103,'1.4 FY 2020 Revenue Received'!V98)</f>
        <v>0</v>
      </c>
      <c r="J102" s="1291">
        <f>SUM(G102:I102)</f>
        <v>0</v>
      </c>
      <c r="K102" s="467"/>
      <c r="L102" s="141">
        <v>0</v>
      </c>
      <c r="M102" s="141">
        <v>0</v>
      </c>
      <c r="N102" s="141">
        <v>0</v>
      </c>
      <c r="O102" s="141"/>
      <c r="P102" s="430">
        <f>SUM(L102:N102)</f>
        <v>0</v>
      </c>
      <c r="Q102" s="467"/>
      <c r="R102" s="847">
        <f>IF(D102="PCFP",'2.8 Alloc of Residual Rev. YR1'!I103,'1.4 FY 2020 Revenue Received'!Y98)</f>
        <v>52268</v>
      </c>
      <c r="S102" s="8"/>
      <c r="T102" s="375">
        <f>E102+J102+P102+R102</f>
        <v>1635753</v>
      </c>
    </row>
    <row r="103" spans="1:22" x14ac:dyDescent="0.3">
      <c r="A103" s="4"/>
      <c r="B103" s="142" t="str">
        <f>'1.2 Budgeted Enrollment YR1'!E101</f>
        <v>TBD</v>
      </c>
      <c r="C103" s="137"/>
      <c r="D103" s="128" t="str">
        <f>IF('2.9 PCFP Funding Comparison YR1'!$K$26="Yes","PCFP","FY 2020 Baseline")</f>
        <v>PCFP</v>
      </c>
      <c r="E103" s="376">
        <f>IF(D103="PCFP",'2.8 Alloc of Residual Rev. YR1'!G104,'1.4 FY 2020 Revenue Received'!Z98)</f>
        <v>0</v>
      </c>
      <c r="F103" s="8"/>
      <c r="G103" s="1251">
        <f>IF(D103="PCFP",'2.8 Alloc of Residual Rev. YR1'!J104,('1.4 FY 2020 Revenue Received'!S99*0.5)+'1.4 FY 2020 Revenue Received'!T99)</f>
        <v>0</v>
      </c>
      <c r="H103" s="1247">
        <f>IF(D103="PCFP",'2.8 Alloc of Residual Rev. YR1'!K104,('1.4 FY 2020 Revenue Received'!S99*0.5)+'1.4 FY 2020 Revenue Received'!U99)</f>
        <v>0</v>
      </c>
      <c r="I103" s="1247">
        <f>IF(D103="PCFP",'2.8 Alloc of Residual Rev. YR1'!L104,'1.4 FY 2020 Revenue Received'!V99)</f>
        <v>0</v>
      </c>
      <c r="J103" s="1292">
        <f>SUM(G103:I103)</f>
        <v>0</v>
      </c>
      <c r="K103" s="467"/>
      <c r="L103" s="1246">
        <v>0</v>
      </c>
      <c r="M103" s="1246">
        <v>0</v>
      </c>
      <c r="N103" s="1246">
        <v>0</v>
      </c>
      <c r="O103" s="1246"/>
      <c r="P103" s="856">
        <f>SUM(L103:N103)</f>
        <v>0</v>
      </c>
      <c r="Q103" s="467"/>
      <c r="R103" s="847">
        <f>'2.2 Spec Ed Local YR1'!L100</f>
        <v>0</v>
      </c>
      <c r="S103" s="8"/>
      <c r="T103" s="375">
        <f>P103+J103+E103+R103</f>
        <v>0</v>
      </c>
    </row>
    <row r="104" spans="1:22" s="4" customFormat="1" x14ac:dyDescent="0.3">
      <c r="B104" s="4" t="str">
        <f>'1.2 Budgeted Enrollment YR1'!E119</f>
        <v>Al Seeliger Elementary</v>
      </c>
      <c r="E104" s="388">
        <f>SUM(E102:E103)</f>
        <v>1583485</v>
      </c>
      <c r="F104" s="8"/>
      <c r="G104" s="1294">
        <f>SUM(G102:G103)</f>
        <v>0</v>
      </c>
      <c r="H104" s="1295">
        <f>SUM(H102:H103)</f>
        <v>0</v>
      </c>
      <c r="I104" s="1295">
        <f>SUM(I102:I103)</f>
        <v>0</v>
      </c>
      <c r="J104" s="1293">
        <f>SUM(J102:J103)</f>
        <v>0</v>
      </c>
      <c r="K104" s="467"/>
      <c r="L104" s="1296">
        <f>SUM(L102:L103)</f>
        <v>0</v>
      </c>
      <c r="M104" s="1296">
        <f>SUM(M102:M103)</f>
        <v>0</v>
      </c>
      <c r="N104" s="1296">
        <f>SUM(N102:N103)</f>
        <v>0</v>
      </c>
      <c r="O104" s="1296"/>
      <c r="P104" s="1293">
        <f>SUM(P102:P103)</f>
        <v>0</v>
      </c>
      <c r="Q104" s="467"/>
      <c r="R104" s="1239">
        <f>SUM(R102:R103)</f>
        <v>52268</v>
      </c>
      <c r="S104" s="8"/>
      <c r="T104" s="377">
        <f>SUM(T102:T103)</f>
        <v>1635753</v>
      </c>
      <c r="V104" s="149"/>
    </row>
    <row r="105" spans="1:22" x14ac:dyDescent="0.3">
      <c r="E105" s="12"/>
      <c r="F105" s="8"/>
      <c r="G105" s="15"/>
      <c r="H105" s="15"/>
      <c r="I105" s="15"/>
      <c r="J105" s="15"/>
      <c r="K105" s="467"/>
      <c r="L105" s="15"/>
      <c r="M105" s="15"/>
      <c r="N105" s="15"/>
      <c r="O105" s="15"/>
      <c r="P105" s="15"/>
      <c r="Q105" s="467"/>
      <c r="R105" s="15"/>
    </row>
    <row r="106" spans="1:22" ht="15.75" customHeight="1" x14ac:dyDescent="0.3">
      <c r="A106" s="4" t="str">
        <f>'2.3 Statewide Base Funding YR1'!A107</f>
        <v>City of Henderson</v>
      </c>
      <c r="E106" s="12"/>
      <c r="F106" s="12"/>
      <c r="G106" s="457"/>
      <c r="H106" s="457"/>
      <c r="I106" s="457"/>
      <c r="J106" s="457"/>
      <c r="K106" s="467"/>
      <c r="L106" s="457"/>
      <c r="M106" s="457"/>
      <c r="N106" s="457"/>
      <c r="O106" s="457"/>
      <c r="P106" s="457"/>
      <c r="Q106" s="467"/>
      <c r="R106" s="457"/>
      <c r="S106" s="467"/>
      <c r="T106" s="457"/>
    </row>
    <row r="107" spans="1:22" x14ac:dyDescent="0.3">
      <c r="A107" s="4"/>
      <c r="B107" s="455" t="str">
        <f>'1.2 Budgeted Enrollment YR1'!E107</f>
        <v>TBD</v>
      </c>
      <c r="C107" s="207"/>
      <c r="D107" s="445" t="str">
        <f>IF('2.9 PCFP Funding Comparison YR1'!$K$27="Yes","PCFP","FY 2020 Baseline")</f>
        <v>PCFP</v>
      </c>
      <c r="E107" s="2011">
        <f>ROUND(IF(D107="PCFP",'2.8 Alloc of Residual Rev. YR1'!G108,'1.4 FY 2020 Revenue Received'!Z102),2)</f>
        <v>0</v>
      </c>
      <c r="F107" s="8"/>
      <c r="G107" s="859">
        <f>IF(D107="PCFP",'2.8 Alloc of Residual Rev. YR1'!J108,('1.4 FY 2020 Revenue Received'!S103*0.5)+'1.4 FY 2020 Revenue Received'!T103)</f>
        <v>0</v>
      </c>
      <c r="H107" s="429">
        <f>IF(D107="PCFP",'2.8 Alloc of Residual Rev. YR1'!K108,('1.4 FY 2020 Revenue Received'!S103*0.5)+'1.4 FY 2020 Revenue Received'!U103)</f>
        <v>0</v>
      </c>
      <c r="I107" s="429">
        <f>IF(D107="PCFP",'2.8 Alloc of Residual Rev. YR1'!L108,'1.4 FY 2020 Revenue Received'!V103)</f>
        <v>0</v>
      </c>
      <c r="J107" s="1291">
        <f>SUM(G107:I107)</f>
        <v>0</v>
      </c>
      <c r="K107" s="467"/>
      <c r="L107" s="141">
        <v>0</v>
      </c>
      <c r="M107" s="141">
        <v>0</v>
      </c>
      <c r="N107" s="141">
        <v>0</v>
      </c>
      <c r="O107" s="141"/>
      <c r="P107" s="430">
        <f>SUM(L107:N107)</f>
        <v>0</v>
      </c>
      <c r="Q107" s="467"/>
      <c r="R107" s="847">
        <f>IF(D107="PCFP",'2.8 Alloc of Residual Rev. YR1'!I108,'1.4 FY 2020 Revenue Received'!Y103)</f>
        <v>0</v>
      </c>
      <c r="S107" s="8"/>
      <c r="T107" s="375">
        <f>E107+J107+P107+R107</f>
        <v>0</v>
      </c>
    </row>
    <row r="108" spans="1:22" x14ac:dyDescent="0.3">
      <c r="A108" s="4"/>
      <c r="B108" s="142" t="str">
        <f>'1.2 Budgeted Enrollment YR1'!E108</f>
        <v>TBD</v>
      </c>
      <c r="C108" s="137"/>
      <c r="D108" s="128" t="str">
        <f>IF('2.9 PCFP Funding Comparison YR1'!$K$27="Yes","PCFP","FY 2020 Baseline")</f>
        <v>PCFP</v>
      </c>
      <c r="E108" s="376">
        <f>IF(D108="PCFP",'2.8 Alloc of Residual Rev. YR1'!G109,'1.4 FY 2020 Revenue Received'!Z103)</f>
        <v>0</v>
      </c>
      <c r="F108" s="8"/>
      <c r="G108" s="1251">
        <f>IF(D108="PCFP",'2.8 Alloc of Residual Rev. YR1'!J109,('1.4 FY 2020 Revenue Received'!S104*0.5)+'1.4 FY 2020 Revenue Received'!T104)</f>
        <v>0</v>
      </c>
      <c r="H108" s="1247">
        <f>IF(D108="PCFP",'2.8 Alloc of Residual Rev. YR1'!K109,('1.4 FY 2020 Revenue Received'!S104*0.5)+'1.4 FY 2020 Revenue Received'!U104)</f>
        <v>0</v>
      </c>
      <c r="I108" s="1247">
        <f>IF(D108="PCFP",'2.8 Alloc of Residual Rev. YR1'!L109,'1.4 FY 2020 Revenue Received'!V104)</f>
        <v>0</v>
      </c>
      <c r="J108" s="1292">
        <f>SUM(G108:I108)</f>
        <v>0</v>
      </c>
      <c r="K108" s="467"/>
      <c r="L108" s="1246">
        <v>0</v>
      </c>
      <c r="M108" s="1246">
        <v>0</v>
      </c>
      <c r="N108" s="1246">
        <v>0</v>
      </c>
      <c r="O108" s="1246"/>
      <c r="P108" s="856">
        <f>SUM(L108:N108)</f>
        <v>0</v>
      </c>
      <c r="Q108" s="467"/>
      <c r="R108" s="847">
        <f>'2.2 Spec Ed Local YR1'!L104</f>
        <v>0</v>
      </c>
      <c r="S108" s="8"/>
      <c r="T108" s="375">
        <f>P108+J108+E108+R108</f>
        <v>0</v>
      </c>
    </row>
    <row r="109" spans="1:22" s="4" customFormat="1" x14ac:dyDescent="0.3">
      <c r="B109" s="4" t="str">
        <f>'1.2 Budgeted Enrollment YR1'!E124</f>
        <v>Early Childhood Center</v>
      </c>
      <c r="E109" s="388">
        <f>SUM(E107:E108)</f>
        <v>0</v>
      </c>
      <c r="F109" s="8"/>
      <c r="G109" s="1294">
        <f>SUM(G107:G108)</f>
        <v>0</v>
      </c>
      <c r="H109" s="1295">
        <f>SUM(H107:H108)</f>
        <v>0</v>
      </c>
      <c r="I109" s="1295">
        <f>SUM(I107:I108)</f>
        <v>0</v>
      </c>
      <c r="J109" s="1293">
        <f>SUM(J107:J108)</f>
        <v>0</v>
      </c>
      <c r="K109" s="467"/>
      <c r="L109" s="1296">
        <f>SUM(L107:L108)</f>
        <v>0</v>
      </c>
      <c r="M109" s="1296">
        <f>SUM(M107:M108)</f>
        <v>0</v>
      </c>
      <c r="N109" s="1296">
        <f>SUM(N107:N108)</f>
        <v>0</v>
      </c>
      <c r="O109" s="1296"/>
      <c r="P109" s="1293">
        <f>SUM(P107:P108)</f>
        <v>0</v>
      </c>
      <c r="Q109" s="467"/>
      <c r="R109" s="1239">
        <f>SUM(R107:R108)</f>
        <v>0</v>
      </c>
      <c r="S109" s="8"/>
      <c r="T109" s="377">
        <f>SUM(T107:T108)</f>
        <v>0</v>
      </c>
      <c r="V109" s="149"/>
    </row>
    <row r="110" spans="1:22" x14ac:dyDescent="0.3">
      <c r="E110" s="12"/>
      <c r="F110" s="8"/>
      <c r="G110" s="15"/>
      <c r="H110" s="15"/>
      <c r="I110" s="15"/>
      <c r="J110" s="15"/>
      <c r="K110" s="467"/>
      <c r="L110" s="15"/>
      <c r="M110" s="15"/>
      <c r="N110" s="15"/>
      <c r="O110" s="15"/>
      <c r="P110" s="15"/>
      <c r="Q110" s="467"/>
      <c r="R110" s="15"/>
    </row>
    <row r="111" spans="1:22" ht="15.75" customHeight="1" x14ac:dyDescent="0.3">
      <c r="A111" s="4" t="str">
        <f>'2.3 Statewide Base Funding YR1'!A112</f>
        <v>City of North Las Vegas</v>
      </c>
      <c r="E111" s="12"/>
      <c r="F111" s="12"/>
      <c r="G111" s="457"/>
      <c r="H111" s="457"/>
      <c r="I111" s="457"/>
      <c r="J111" s="457"/>
      <c r="K111" s="467"/>
      <c r="L111" s="457"/>
      <c r="M111" s="457"/>
      <c r="N111" s="457"/>
      <c r="O111" s="457"/>
      <c r="P111" s="457"/>
      <c r="Q111" s="467"/>
      <c r="R111" s="457"/>
      <c r="S111" s="467"/>
      <c r="T111" s="457"/>
    </row>
    <row r="112" spans="1:22" x14ac:dyDescent="0.3">
      <c r="A112" s="4"/>
      <c r="B112" s="455" t="str">
        <f>'1.2 Budgeted Enrollment YR1'!E113</f>
        <v>TBD</v>
      </c>
      <c r="C112" s="207"/>
      <c r="D112" s="445" t="str">
        <f>IF('2.9 PCFP Funding Comparison YR1'!$K$28="Yes","PCFP","FY 2020 Baseline")</f>
        <v>PCFP</v>
      </c>
      <c r="E112" s="2011">
        <f>ROUND(IF(D112="PCFP",'2.8 Alloc of Residual Rev. YR1'!G113,'1.4 FY 2020 Revenue Received'!Z107),2)</f>
        <v>0</v>
      </c>
      <c r="F112" s="8"/>
      <c r="G112" s="859">
        <f>IF(D112="PCFP",'2.8 Alloc of Residual Rev. YR1'!J113,('1.4 FY 2020 Revenue Received'!S108*0.5)+'1.4 FY 2020 Revenue Received'!T108)</f>
        <v>0</v>
      </c>
      <c r="H112" s="429">
        <f>IF(D112="PCFP",'2.8 Alloc of Residual Rev. YR1'!K113,('1.4 FY 2020 Revenue Received'!S108*0.5)+'1.4 FY 2020 Revenue Received'!U108)</f>
        <v>0</v>
      </c>
      <c r="I112" s="429">
        <f>IF(D112="PCFP",'2.8 Alloc of Residual Rev. YR1'!L113,'1.4 FY 2020 Revenue Received'!V108)</f>
        <v>0</v>
      </c>
      <c r="J112" s="1291">
        <f>SUM(G112:I112)</f>
        <v>0</v>
      </c>
      <c r="K112" s="467"/>
      <c r="L112" s="141">
        <v>0</v>
      </c>
      <c r="M112" s="141">
        <v>0</v>
      </c>
      <c r="N112" s="141">
        <v>0</v>
      </c>
      <c r="O112" s="141"/>
      <c r="P112" s="430">
        <f>SUM(L112:N112)</f>
        <v>0</v>
      </c>
      <c r="Q112" s="467"/>
      <c r="R112" s="847">
        <f>IF(D112="PCFP",'2.8 Alloc of Residual Rev. YR1'!I113,'1.4 FY 2020 Revenue Received'!Y108)</f>
        <v>0</v>
      </c>
      <c r="S112" s="8"/>
      <c r="T112" s="375">
        <f>E112+J112+P112+R112</f>
        <v>0</v>
      </c>
    </row>
    <row r="113" spans="1:22" x14ac:dyDescent="0.3">
      <c r="A113" s="4"/>
      <c r="B113" s="142" t="str">
        <f>'1.2 Budgeted Enrollment YR1'!E114</f>
        <v>TBD</v>
      </c>
      <c r="C113" s="137"/>
      <c r="D113" s="128" t="str">
        <f>IF('2.9 PCFP Funding Comparison YR1'!$K$28="Yes","PCFP","FY 2020 Baseline")</f>
        <v>PCFP</v>
      </c>
      <c r="E113" s="376">
        <f>IF(D113="PCFP",'2.8 Alloc of Residual Rev. YR1'!G114,'1.4 FY 2020 Revenue Received'!Z108)</f>
        <v>0</v>
      </c>
      <c r="F113" s="8"/>
      <c r="G113" s="1251">
        <f>IF(D113="PCFP",'2.8 Alloc of Residual Rev. YR1'!J114,('1.4 FY 2020 Revenue Received'!S109*0.5)+'1.4 FY 2020 Revenue Received'!T109)</f>
        <v>0</v>
      </c>
      <c r="H113" s="1247">
        <f>IF(D113="PCFP",'2.8 Alloc of Residual Rev. YR1'!K114,('1.4 FY 2020 Revenue Received'!S109*0.5)+'1.4 FY 2020 Revenue Received'!U109)</f>
        <v>0</v>
      </c>
      <c r="I113" s="1247">
        <f>IF(D113="PCFP",'2.8 Alloc of Residual Rev. YR1'!L114,'1.4 FY 2020 Revenue Received'!V109)</f>
        <v>0</v>
      </c>
      <c r="J113" s="1292">
        <f>SUM(G113:I113)</f>
        <v>0</v>
      </c>
      <c r="K113" s="467"/>
      <c r="L113" s="1246">
        <v>0</v>
      </c>
      <c r="M113" s="1246">
        <v>0</v>
      </c>
      <c r="N113" s="1246">
        <v>0</v>
      </c>
      <c r="O113" s="1246"/>
      <c r="P113" s="856">
        <f>SUM(L113:N113)</f>
        <v>0</v>
      </c>
      <c r="Q113" s="467"/>
      <c r="R113" s="847">
        <f>'2.2 Spec Ed Local YR1'!L109</f>
        <v>0</v>
      </c>
      <c r="S113" s="8"/>
      <c r="T113" s="375">
        <f>P113+J113+E113+R113</f>
        <v>0</v>
      </c>
    </row>
    <row r="114" spans="1:22" s="4" customFormat="1" x14ac:dyDescent="0.3">
      <c r="B114" s="4" t="str">
        <f>'1.2 Budgeted Enrollment YR1'!E129</f>
        <v>Pioneer Academy</v>
      </c>
      <c r="E114" s="388">
        <f>SUM(E112:E113)</f>
        <v>0</v>
      </c>
      <c r="F114" s="8"/>
      <c r="G114" s="1294">
        <f>SUM(G112:G113)</f>
        <v>0</v>
      </c>
      <c r="H114" s="1295">
        <f>SUM(H112:H113)</f>
        <v>0</v>
      </c>
      <c r="I114" s="1295">
        <f>SUM(I112:I113)</f>
        <v>0</v>
      </c>
      <c r="J114" s="1293">
        <f>SUM(J112:J113)</f>
        <v>0</v>
      </c>
      <c r="K114" s="467"/>
      <c r="L114" s="1296">
        <f>SUM(L112:L113)</f>
        <v>0</v>
      </c>
      <c r="M114" s="1296">
        <f>SUM(M112:M113)</f>
        <v>0</v>
      </c>
      <c r="N114" s="1296">
        <f>SUM(N112:N113)</f>
        <v>0</v>
      </c>
      <c r="O114" s="1296"/>
      <c r="P114" s="1293">
        <f>SUM(P112:P113)</f>
        <v>0</v>
      </c>
      <c r="Q114" s="467"/>
      <c r="R114" s="1239">
        <f>SUM(R112:R113)</f>
        <v>0</v>
      </c>
      <c r="S114" s="8"/>
      <c r="T114" s="377">
        <f>SUM(T112:T113)</f>
        <v>0</v>
      </c>
      <c r="V114" s="149"/>
    </row>
  </sheetData>
  <pageMargins left="0.7" right="0.7" top="0.75" bottom="0.75" header="0.3" footer="0.3"/>
  <pageSetup paperSize="3" scale="61" fitToHeight="0" orientation="landscape" r:id="rId1"/>
  <headerFooter>
    <oddHeader>&amp;R&amp;"Arial Narrow,Regular"&amp;10&amp;A
&amp;P</oddHeader>
  </headerFooter>
  <rowBreaks count="2" manualBreakCount="2">
    <brk id="34" max="16383" man="1"/>
    <brk id="82" max="15"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3DB4-5B97-4F53-80AA-371CD334A947}">
  <sheetPr>
    <tabColor theme="3"/>
    <pageSetUpPr autoPageBreaks="0" fitToPage="1"/>
  </sheetPr>
  <dimension ref="A1:AD113"/>
  <sheetViews>
    <sheetView showGridLines="0" zoomScale="85" zoomScaleNormal="85" workbookViewId="0">
      <selection activeCell="P32" sqref="N32:P32"/>
    </sheetView>
  </sheetViews>
  <sheetFormatPr defaultColWidth="9" defaultRowHeight="16.5" x14ac:dyDescent="0.3"/>
  <cols>
    <col min="1" max="1" width="7.140625" style="9" customWidth="1"/>
    <col min="2" max="2" width="38.42578125" style="9" bestFit="1" customWidth="1"/>
    <col min="3" max="3" width="2.7109375" style="9" customWidth="1"/>
    <col min="4" max="4" width="19.140625" style="9" hidden="1" customWidth="1"/>
    <col min="5" max="5" width="15" style="9" bestFit="1" customWidth="1"/>
    <col min="6" max="6" width="19.140625" style="9" bestFit="1" customWidth="1"/>
    <col min="7" max="7" width="13.140625" style="9" bestFit="1" customWidth="1"/>
    <col min="8" max="8" width="2" style="1298" customWidth="1"/>
    <col min="9" max="9" width="17.7109375" style="9" bestFit="1" customWidth="1"/>
    <col min="10" max="10" width="20.5703125" style="9" bestFit="1" customWidth="1"/>
    <col min="11" max="11" width="15.7109375" style="9" bestFit="1" customWidth="1"/>
    <col min="12" max="12" width="17.7109375" style="9" bestFit="1" customWidth="1"/>
    <col min="13" max="13" width="1.85546875" style="4" customWidth="1"/>
    <col min="14" max="14" width="17.7109375" style="9" bestFit="1" customWidth="1"/>
    <col min="15" max="15" width="14.5703125" style="9" bestFit="1" customWidth="1"/>
    <col min="16" max="16" width="13.5703125" style="9" customWidth="1"/>
    <col min="17" max="17" width="15.7109375" style="9" customWidth="1"/>
    <col min="18" max="18" width="17.7109375" style="9" bestFit="1" customWidth="1"/>
    <col min="19" max="19" width="2.42578125" style="9" customWidth="1"/>
    <col min="20" max="20" width="22.140625" style="9" bestFit="1" customWidth="1"/>
    <col min="21" max="21" width="2.7109375" style="4" customWidth="1"/>
    <col min="22" max="22" width="19.140625" style="9" bestFit="1" customWidth="1"/>
    <col min="23" max="23" width="2.7109375" style="9" customWidth="1"/>
    <col min="24" max="24" width="22.140625" style="9" bestFit="1" customWidth="1"/>
    <col min="25" max="25" width="5.140625" style="9" bestFit="1" customWidth="1"/>
    <col min="26" max="26" width="20.7109375" style="9" bestFit="1" customWidth="1"/>
    <col min="27" max="27" width="19" style="9" bestFit="1" customWidth="1"/>
    <col min="28" max="28" width="15" style="9" bestFit="1" customWidth="1"/>
    <col min="29" max="29" width="19.7109375" style="9" customWidth="1"/>
    <col min="30" max="16384" width="9" style="9"/>
  </cols>
  <sheetData>
    <row r="1" spans="1:30" s="4" customFormat="1" x14ac:dyDescent="0.3">
      <c r="A1" s="4" t="s">
        <v>15</v>
      </c>
      <c r="H1" s="1298"/>
      <c r="J1" s="13" t="s">
        <v>1656</v>
      </c>
      <c r="K1" s="28">
        <v>1</v>
      </c>
    </row>
    <row r="2" spans="1:30" ht="17.25" thickBot="1" x14ac:dyDescent="0.35">
      <c r="A2" s="9" t="str">
        <f>CONCATENATE("Pupil Center Funding Plan | FY",'1.1 Assumption Control YR1'!D5)</f>
        <v>Pupil Center Funding Plan | FY2026</v>
      </c>
      <c r="J2" s="13" t="s">
        <v>1657</v>
      </c>
      <c r="K2" s="1308">
        <f>'3.1a Initial Allocations YR1'!W40</f>
        <v>-1.6908579056360629E-3</v>
      </c>
    </row>
    <row r="3" spans="1:30" ht="17.25" thickBot="1" x14ac:dyDescent="0.35">
      <c r="A3" s="9" t="s">
        <v>69</v>
      </c>
      <c r="G3" s="15"/>
      <c r="J3" s="13" t="s">
        <v>1658</v>
      </c>
      <c r="K3" s="212">
        <f>SUM(K1:K2)</f>
        <v>0.99830914209436394</v>
      </c>
      <c r="M3" s="16"/>
      <c r="N3" s="162"/>
      <c r="T3" s="15"/>
    </row>
    <row r="4" spans="1:30" x14ac:dyDescent="0.3">
      <c r="R4" s="15"/>
    </row>
    <row r="5" spans="1:30" s="4" customFormat="1" ht="18.75" x14ac:dyDescent="0.3">
      <c r="A5" s="225"/>
      <c r="B5" s="129"/>
      <c r="C5" s="129"/>
      <c r="D5" s="129"/>
      <c r="E5" s="766" t="s">
        <v>1659</v>
      </c>
      <c r="F5" s="766" t="s">
        <v>1660</v>
      </c>
      <c r="G5" s="636"/>
      <c r="H5" s="1299"/>
      <c r="I5" s="767" t="s">
        <v>1661</v>
      </c>
      <c r="J5" s="767" t="s">
        <v>1662</v>
      </c>
      <c r="K5" s="767" t="s">
        <v>1663</v>
      </c>
      <c r="L5" s="636"/>
      <c r="M5" s="637"/>
      <c r="N5" s="767" t="s">
        <v>1664</v>
      </c>
      <c r="O5" s="636"/>
      <c r="P5" s="767" t="s">
        <v>1665</v>
      </c>
      <c r="Q5" s="767"/>
      <c r="R5" s="636"/>
      <c r="S5" s="636"/>
      <c r="T5" s="767" t="s">
        <v>1666</v>
      </c>
      <c r="U5" s="637"/>
      <c r="V5" s="638"/>
      <c r="W5" s="129"/>
      <c r="X5" s="129"/>
    </row>
    <row r="6" spans="1:30" s="4" customFormat="1" x14ac:dyDescent="0.3">
      <c r="A6" s="300"/>
      <c r="B6" s="297"/>
      <c r="C6" s="297"/>
      <c r="D6" s="249" t="s">
        <v>1630</v>
      </c>
      <c r="E6" s="205">
        <f>'1.1 Assumption Control YR1'!D5</f>
        <v>2026</v>
      </c>
      <c r="F6" s="2000" t="s">
        <v>1631</v>
      </c>
      <c r="G6" s="2000">
        <f>E6</f>
        <v>2026</v>
      </c>
      <c r="H6" s="1298"/>
      <c r="I6" s="249" t="s">
        <v>1581</v>
      </c>
      <c r="J6" s="242"/>
      <c r="K6" s="242" t="s">
        <v>1632</v>
      </c>
      <c r="L6" s="2000" t="s">
        <v>156</v>
      </c>
      <c r="N6" s="2000" t="s">
        <v>156</v>
      </c>
      <c r="O6" s="2000" t="s">
        <v>1667</v>
      </c>
      <c r="P6" s="2000" t="s">
        <v>156</v>
      </c>
      <c r="Q6" s="2000" t="s">
        <v>156</v>
      </c>
      <c r="R6" s="2000" t="s">
        <v>156</v>
      </c>
      <c r="S6" s="636"/>
      <c r="T6" s="2000" t="s">
        <v>156</v>
      </c>
      <c r="V6" s="2000" t="s">
        <v>156</v>
      </c>
      <c r="W6" s="129"/>
      <c r="X6" s="2000" t="s">
        <v>1668</v>
      </c>
      <c r="Z6" s="2000" t="s">
        <v>1669</v>
      </c>
      <c r="AA6" s="2000" t="s">
        <v>1633</v>
      </c>
      <c r="AB6" s="1995" t="s">
        <v>1670</v>
      </c>
      <c r="AC6" s="2030" t="s">
        <v>1633</v>
      </c>
    </row>
    <row r="7" spans="1:30" s="4" customFormat="1" x14ac:dyDescent="0.3">
      <c r="A7" s="156"/>
      <c r="D7" s="97" t="s">
        <v>1634</v>
      </c>
      <c r="E7" s="98" t="s">
        <v>1671</v>
      </c>
      <c r="F7" s="118" t="s">
        <v>1393</v>
      </c>
      <c r="G7" s="118" t="s">
        <v>1672</v>
      </c>
      <c r="H7" s="1298"/>
      <c r="I7" s="97" t="s">
        <v>1585</v>
      </c>
      <c r="J7" s="17" t="s">
        <v>1586</v>
      </c>
      <c r="K7" s="17" t="s">
        <v>1587</v>
      </c>
      <c r="L7" s="118" t="s">
        <v>1635</v>
      </c>
      <c r="N7" s="118" t="s">
        <v>1223</v>
      </c>
      <c r="O7" s="118" t="s">
        <v>1223</v>
      </c>
      <c r="P7" s="118" t="s">
        <v>1338</v>
      </c>
      <c r="Q7" s="118" t="s">
        <v>2223</v>
      </c>
      <c r="R7" s="118" t="s">
        <v>1637</v>
      </c>
      <c r="S7" s="17"/>
      <c r="T7" s="118" t="s">
        <v>1638</v>
      </c>
      <c r="V7" s="118" t="s">
        <v>1639</v>
      </c>
      <c r="W7" s="17"/>
      <c r="X7" s="118" t="s">
        <v>1673</v>
      </c>
      <c r="Z7" s="228" t="s">
        <v>1674</v>
      </c>
      <c r="AA7" s="118" t="s">
        <v>1640</v>
      </c>
      <c r="AB7" s="136" t="s">
        <v>1675</v>
      </c>
      <c r="AC7" s="353" t="s">
        <v>1676</v>
      </c>
    </row>
    <row r="8" spans="1:30" s="4" customFormat="1" x14ac:dyDescent="0.3">
      <c r="A8" s="156"/>
      <c r="D8" s="97" t="s">
        <v>1641</v>
      </c>
      <c r="E8" s="98" t="s">
        <v>1677</v>
      </c>
      <c r="F8" s="118" t="s">
        <v>139</v>
      </c>
      <c r="G8" s="118" t="s">
        <v>1152</v>
      </c>
      <c r="H8" s="1298"/>
      <c r="I8" s="97" t="s">
        <v>139</v>
      </c>
      <c r="J8" s="17" t="s">
        <v>139</v>
      </c>
      <c r="K8" s="17" t="s">
        <v>139</v>
      </c>
      <c r="L8" s="118" t="s">
        <v>139</v>
      </c>
      <c r="N8" s="118" t="s">
        <v>1470</v>
      </c>
      <c r="O8" s="118" t="s">
        <v>1470</v>
      </c>
      <c r="P8" s="118" t="s">
        <v>1470</v>
      </c>
      <c r="Q8" s="118" t="s">
        <v>1470</v>
      </c>
      <c r="R8" s="118" t="s">
        <v>1470</v>
      </c>
      <c r="S8" s="17"/>
      <c r="T8" s="118" t="s">
        <v>1470</v>
      </c>
      <c r="V8" s="118" t="s">
        <v>1470</v>
      </c>
      <c r="W8" s="17"/>
      <c r="X8" s="118" t="s">
        <v>1678</v>
      </c>
      <c r="Z8" s="118" t="s">
        <v>1677</v>
      </c>
      <c r="AA8" s="118" t="s">
        <v>1642</v>
      </c>
      <c r="AB8" s="136" t="s">
        <v>213</v>
      </c>
      <c r="AC8" s="353" t="s">
        <v>1679</v>
      </c>
    </row>
    <row r="9" spans="1:30" s="4" customFormat="1" x14ac:dyDescent="0.3">
      <c r="A9" s="289"/>
      <c r="B9" s="291"/>
      <c r="C9" s="203" t="s">
        <v>1346</v>
      </c>
      <c r="D9" s="203"/>
      <c r="E9" s="203"/>
      <c r="F9" s="290" t="s">
        <v>2237</v>
      </c>
      <c r="G9" s="290" t="s">
        <v>2238</v>
      </c>
      <c r="H9" s="1298"/>
      <c r="I9" s="290" t="s">
        <v>2237</v>
      </c>
      <c r="J9" s="290" t="s">
        <v>2237</v>
      </c>
      <c r="K9" s="290" t="s">
        <v>2237</v>
      </c>
      <c r="L9" s="290" t="s">
        <v>2237</v>
      </c>
      <c r="N9" s="2183" t="s">
        <v>222</v>
      </c>
      <c r="O9" s="2183" t="s">
        <v>222</v>
      </c>
      <c r="P9" s="2183" t="s">
        <v>222</v>
      </c>
      <c r="Q9" s="2183" t="s">
        <v>222</v>
      </c>
      <c r="R9" s="2183" t="s">
        <v>222</v>
      </c>
      <c r="S9" s="194"/>
      <c r="T9" s="2183" t="s">
        <v>222</v>
      </c>
      <c r="V9" s="524" t="s">
        <v>1682</v>
      </c>
      <c r="W9" s="194"/>
      <c r="X9" s="524" t="s">
        <v>1683</v>
      </c>
      <c r="Z9" s="478"/>
      <c r="AA9" s="629" t="s">
        <v>1684</v>
      </c>
      <c r="AB9" s="478" t="s">
        <v>1685</v>
      </c>
      <c r="AC9" s="698" t="s">
        <v>1686</v>
      </c>
    </row>
    <row r="10" spans="1:30" x14ac:dyDescent="0.3">
      <c r="A10" s="156" t="s">
        <v>1228</v>
      </c>
      <c r="F10" s="102"/>
      <c r="G10" s="102"/>
      <c r="H10" s="1300"/>
      <c r="I10" s="106"/>
      <c r="L10" s="102"/>
      <c r="N10" s="102"/>
      <c r="O10" s="102"/>
      <c r="P10" s="102"/>
      <c r="Q10" s="102"/>
      <c r="R10" s="102"/>
      <c r="T10" s="102"/>
      <c r="V10" s="102"/>
      <c r="X10" s="102"/>
      <c r="Z10" s="102"/>
      <c r="AA10" s="229"/>
      <c r="AB10" s="102"/>
      <c r="AC10" s="102"/>
    </row>
    <row r="11" spans="1:30" x14ac:dyDescent="0.3">
      <c r="A11" s="106"/>
      <c r="B11" s="9" t="str">
        <f>'1.2 Budgeted Enrollment YR1'!E9</f>
        <v>Carson City</v>
      </c>
      <c r="D11" s="9" t="str">
        <f>IF('2.9 PCFP Funding Comparison YR1'!K8="Yes","PCFP","Hold Harmless")</f>
        <v>PCFP</v>
      </c>
      <c r="E11" s="471" t="str">
        <f>'3.1a Initial Allocations YR1'!D12</f>
        <v>PCFP</v>
      </c>
      <c r="F11" s="375">
        <f>ROUND(('3.1a Initial Allocations YR1'!E12)*$K$3+H11,0)</f>
        <v>70537760</v>
      </c>
      <c r="G11" s="375">
        <f>ROUND(F11/'2.9 PCFP Funding Comparison YR1'!D8,0)</f>
        <v>10119</v>
      </c>
      <c r="H11" s="1301"/>
      <c r="I11" s="380">
        <f>ROUND(('3.1a Initial Allocations YR1'!G12*'3.1b Allocation Adj. YR1 '!$K$3),0)</f>
        <v>3305034</v>
      </c>
      <c r="J11" s="375">
        <f>ROUND('3.1a Initial Allocations YR1'!H12*'3.1b Allocation Adj. YR1 '!$K$3,0)</f>
        <v>728331</v>
      </c>
      <c r="K11" s="375">
        <f>ROUND('3.1a Initial Allocations YR1'!I12*'3.1b Allocation Adj. YR1 '!$K$3,0)</f>
        <v>322029</v>
      </c>
      <c r="L11" s="375">
        <f>ROUND(SUM(I11:K11),0)</f>
        <v>4355394</v>
      </c>
      <c r="M11" s="8"/>
      <c r="N11" s="380">
        <f>ROUND('3.1a Initial Allocations YR1'!L12,0)</f>
        <v>2868747</v>
      </c>
      <c r="O11" s="380">
        <f>ROUND('3.1a Initial Allocations YR1'!M12,0)</f>
        <v>0</v>
      </c>
      <c r="P11" s="380">
        <f>ROUND('3.1a Initial Allocations YR1'!N12,0)</f>
        <v>334457</v>
      </c>
      <c r="Q11" s="380">
        <f>ROUND('3.1a Initial Allocations YR1'!O12,1)</f>
        <v>0</v>
      </c>
      <c r="R11" s="375">
        <f>ROUND(SUM(N11:Q11),0)</f>
        <v>3203204</v>
      </c>
      <c r="S11" s="89"/>
      <c r="T11" s="375">
        <f>ROUND('3.1a Initial Allocations YR1'!R12,2)</f>
        <v>6741119</v>
      </c>
      <c r="U11" s="8"/>
      <c r="V11" s="394">
        <f>ROUND(F11+L11+R11+T11,0)</f>
        <v>84837477</v>
      </c>
      <c r="W11" s="12"/>
      <c r="X11" s="104">
        <f>ROUND(V11/'2.9 PCFP Funding Comparison YR1'!D8,0)</f>
        <v>12171</v>
      </c>
      <c r="Y11" s="195"/>
      <c r="Z11" s="102" t="str">
        <f>'2.9 PCFP Funding Comparison YR1'!T8</f>
        <v>PCFP</v>
      </c>
      <c r="AA11" s="798">
        <f>V11-'2.9 PCFP Funding Comparison YR1'!H8</f>
        <v>12003300</v>
      </c>
      <c r="AB11" s="661" t="str">
        <f>IF('2.9 PCFP Funding Comparison YR1'!K8="Yes","PCFP","FY 2020 Baseline")</f>
        <v>PCFP</v>
      </c>
      <c r="AC11" s="800">
        <f>V11-'Biennial Comparison'!D7</f>
        <v>12863068.185817733</v>
      </c>
      <c r="AD11" s="12"/>
    </row>
    <row r="12" spans="1:30" x14ac:dyDescent="0.3">
      <c r="A12" s="106"/>
      <c r="B12" s="9" t="str">
        <f>'1.2 Budgeted Enrollment YR1'!E10</f>
        <v>Churchill</v>
      </c>
      <c r="D12" s="9" t="str">
        <f>IF('2.9 PCFP Funding Comparison YR1'!K9="Yes","PCFP","Hold Harmless")</f>
        <v>PCFP</v>
      </c>
      <c r="E12" s="471" t="str">
        <f>'3.1a Initial Allocations YR1'!D13</f>
        <v>PCFP</v>
      </c>
      <c r="F12" s="375">
        <f>ROUND(('3.1a Initial Allocations YR1'!E13)*$K$3+H12,0)</f>
        <v>33095776</v>
      </c>
      <c r="G12" s="375">
        <f>ROUND(F12/'2.9 PCFP Funding Comparison YR1'!D9,0)</f>
        <v>10766</v>
      </c>
      <c r="H12" s="1301"/>
      <c r="I12" s="380">
        <f>ROUND(('3.1a Initial Allocations YR1'!G13*'3.1b Allocation Adj. YR1 '!$K$3),0)</f>
        <v>483044</v>
      </c>
      <c r="J12" s="375">
        <f>ROUND('3.1a Initial Allocations YR1'!H13*'3.1b Allocation Adj. YR1 '!$K$3,0)</f>
        <v>286718</v>
      </c>
      <c r="K12" s="375">
        <f>ROUND('3.1a Initial Allocations YR1'!I13*'3.1b Allocation Adj. YR1 '!$K$3,0)</f>
        <v>0</v>
      </c>
      <c r="L12" s="375">
        <f t="shared" ref="L12:L31" si="0">ROUND(SUM(I12:K12),0)</f>
        <v>769762</v>
      </c>
      <c r="M12" s="8"/>
      <c r="N12" s="380">
        <f>ROUND('3.1a Initial Allocations YR1'!L13,0)</f>
        <v>1665797</v>
      </c>
      <c r="O12" s="380">
        <f>ROUND('3.1a Initial Allocations YR1'!M13,0)</f>
        <v>0</v>
      </c>
      <c r="P12" s="380">
        <f>ROUND('3.1a Initial Allocations YR1'!N13,0)</f>
        <v>0</v>
      </c>
      <c r="Q12" s="380">
        <f>ROUND('3.1a Initial Allocations YR1'!O13,1)</f>
        <v>0</v>
      </c>
      <c r="R12" s="375">
        <f t="shared" ref="R12:R27" si="1">ROUND(SUM(N12:Q12),0)</f>
        <v>1665797</v>
      </c>
      <c r="S12" s="89"/>
      <c r="T12" s="375">
        <f>ROUND('3.1a Initial Allocations YR1'!R13,2)</f>
        <v>2215685</v>
      </c>
      <c r="U12" s="8"/>
      <c r="V12" s="394">
        <f t="shared" ref="V12:V31" si="2">ROUND(F12+L12+R12+T12,0)</f>
        <v>37747020</v>
      </c>
      <c r="W12" s="12"/>
      <c r="X12" s="104">
        <f>ROUND(V12/'2.9 PCFP Funding Comparison YR1'!D9,0)</f>
        <v>12279</v>
      </c>
      <c r="Y12" s="195"/>
      <c r="Z12" s="102" t="str">
        <f>'2.9 PCFP Funding Comparison YR1'!T9</f>
        <v>PCFP</v>
      </c>
      <c r="AA12" s="798">
        <f>V12-'2.9 PCFP Funding Comparison YR1'!H9</f>
        <v>8354141</v>
      </c>
      <c r="AB12" s="661" t="str">
        <f>IF('2.9 PCFP Funding Comparison YR1'!K9="Yes","PCFP","FY 2020 Baseline")</f>
        <v>PCFP</v>
      </c>
      <c r="AC12" s="800">
        <f>V12-'Biennial Comparison'!D8</f>
        <v>6688552.2800339162</v>
      </c>
      <c r="AD12" s="12"/>
    </row>
    <row r="13" spans="1:30" x14ac:dyDescent="0.3">
      <c r="A13" s="106"/>
      <c r="B13" s="9" t="str">
        <f>'1.2 Budgeted Enrollment YR1'!E11</f>
        <v>Clark</v>
      </c>
      <c r="D13" s="9" t="str">
        <f>IF('2.9 PCFP Funding Comparison YR1'!K10="Yes","PCFP","Hold Harmless")</f>
        <v>PCFP</v>
      </c>
      <c r="E13" s="471" t="str">
        <f>'3.1a Initial Allocations YR1'!D14</f>
        <v>PCFP</v>
      </c>
      <c r="F13" s="375">
        <f>ROUND(('3.1a Initial Allocations YR1'!E14)*$K$3+H13,0)</f>
        <v>2716066306</v>
      </c>
      <c r="G13" s="375">
        <f>ROUND(F13/'2.9 PCFP Funding Comparison YR1'!D10,0)</f>
        <v>9501</v>
      </c>
      <c r="H13" s="1301"/>
      <c r="I13" s="380">
        <f>ROUND(('3.1a Initial Allocations YR1'!G14*'3.1b Allocation Adj. YR1 '!$K$3),0)</f>
        <v>164522907</v>
      </c>
      <c r="J13" s="375">
        <f>ROUND('3.1a Initial Allocations YR1'!H14*'3.1b Allocation Adj. YR1 '!$K$3,0)</f>
        <v>137341591</v>
      </c>
      <c r="K13" s="375">
        <f>ROUND('3.1a Initial Allocations YR1'!I14*'3.1b Allocation Adj. YR1 '!$K$3,0)</f>
        <v>6142279</v>
      </c>
      <c r="L13" s="375">
        <f>ROUND(SUM(I13:K13),0)</f>
        <v>308006777</v>
      </c>
      <c r="M13" s="8"/>
      <c r="N13" s="380">
        <f>ROUND('3.1a Initial Allocations YR1'!L14,0)</f>
        <v>135130854</v>
      </c>
      <c r="O13" s="380">
        <f>ROUND('3.1a Initial Allocations YR1'!M14,0)</f>
        <v>0</v>
      </c>
      <c r="P13" s="380">
        <f>ROUND('3.1a Initial Allocations YR1'!N14,0)</f>
        <v>0</v>
      </c>
      <c r="Q13" s="380">
        <f>ROUND('3.1a Initial Allocations YR1'!O14,1)</f>
        <v>0</v>
      </c>
      <c r="R13" s="375">
        <f>ROUND(SUM(N13:Q13),0)</f>
        <v>135130854</v>
      </c>
      <c r="S13" s="89"/>
      <c r="T13" s="375">
        <f>ROUND('3.1a Initial Allocations YR1'!R14,2)</f>
        <v>453025801</v>
      </c>
      <c r="U13" s="8"/>
      <c r="V13" s="394">
        <f>ROUND(F13+L13+R13+T13,0)</f>
        <v>3612229738</v>
      </c>
      <c r="W13" s="12"/>
      <c r="X13" s="104">
        <f>ROUND(V13/'2.9 PCFP Funding Comparison YR1'!D10,0)</f>
        <v>12636</v>
      </c>
      <c r="Y13" s="195"/>
      <c r="Z13" s="102" t="str">
        <f>'2.9 PCFP Funding Comparison YR1'!T10</f>
        <v>PCFP</v>
      </c>
      <c r="AA13" s="798">
        <f>V13-'2.9 PCFP Funding Comparison YR1'!H10</f>
        <v>1027742238</v>
      </c>
      <c r="AB13" s="661" t="str">
        <f>IF('2.9 PCFP Funding Comparison YR1'!K10="Yes","PCFP","FY 2020 Baseline")</f>
        <v>PCFP</v>
      </c>
      <c r="AC13" s="800">
        <f>V13-'Biennial Comparison'!D9</f>
        <v>727448840.3060236</v>
      </c>
      <c r="AD13" s="12"/>
    </row>
    <row r="14" spans="1:30" x14ac:dyDescent="0.3">
      <c r="A14" s="106"/>
      <c r="B14" s="9" t="str">
        <f>'1.2 Budgeted Enrollment YR1'!E12</f>
        <v>Douglas</v>
      </c>
      <c r="D14" s="9" t="str">
        <f>IF('2.9 PCFP Funding Comparison YR1'!K11="Yes","PCFP","Hold Harmless")</f>
        <v>PCFP</v>
      </c>
      <c r="E14" s="471" t="str">
        <f>'3.1a Initial Allocations YR1'!D15</f>
        <v>PCFP</v>
      </c>
      <c r="F14" s="375">
        <f>ROUND(('3.1a Initial Allocations YR1'!E15)*$K$3+H14,0)</f>
        <v>50883540</v>
      </c>
      <c r="G14" s="375">
        <f>ROUND(F14/'2.9 PCFP Funding Comparison YR1'!D11,0)</f>
        <v>10622</v>
      </c>
      <c r="H14" s="1301"/>
      <c r="I14" s="380">
        <f>ROUND(('3.1a Initial Allocations YR1'!G15*'3.1b Allocation Adj. YR1 '!$K$3),0)</f>
        <v>682193</v>
      </c>
      <c r="J14" s="375">
        <f>ROUND('3.1a Initial Allocations YR1'!H15*'3.1b Allocation Adj. YR1 '!$K$3,0)</f>
        <v>474569</v>
      </c>
      <c r="K14" s="375">
        <f>ROUND('3.1a Initial Allocations YR1'!I15*'3.1b Allocation Adj. YR1 '!$K$3,0)</f>
        <v>133331</v>
      </c>
      <c r="L14" s="375">
        <f t="shared" si="0"/>
        <v>1290093</v>
      </c>
      <c r="M14" s="8"/>
      <c r="N14" s="380">
        <f>ROUND('3.1a Initial Allocations YR1'!L15,0)</f>
        <v>3977265</v>
      </c>
      <c r="O14" s="380">
        <f>ROUND('3.1a Initial Allocations YR1'!M15,0)</f>
        <v>0</v>
      </c>
      <c r="P14" s="380">
        <f>ROUND('3.1a Initial Allocations YR1'!N15,0)</f>
        <v>0</v>
      </c>
      <c r="Q14" s="380">
        <f>ROUND('3.1a Initial Allocations YR1'!O15,1)</f>
        <v>0</v>
      </c>
      <c r="R14" s="375">
        <f t="shared" si="1"/>
        <v>3977265</v>
      </c>
      <c r="S14" s="89"/>
      <c r="T14" s="375">
        <f>ROUND('3.1a Initial Allocations YR1'!R15,2)</f>
        <v>5428400</v>
      </c>
      <c r="U14" s="8"/>
      <c r="V14" s="394">
        <f t="shared" si="2"/>
        <v>61579298</v>
      </c>
      <c r="W14" s="12"/>
      <c r="X14" s="104">
        <f>ROUND(V14/'2.9 PCFP Funding Comparison YR1'!D11,0)</f>
        <v>12854</v>
      </c>
      <c r="Y14" s="195"/>
      <c r="Z14" s="102" t="str">
        <f>'2.9 PCFP Funding Comparison YR1'!T11</f>
        <v>PCFP</v>
      </c>
      <c r="AA14" s="798">
        <f>V14-'2.9 PCFP Funding Comparison YR1'!H11</f>
        <v>4833272</v>
      </c>
      <c r="AB14" s="661" t="str">
        <f>IF('2.9 PCFP Funding Comparison YR1'!K11="Yes","PCFP","FY 2020 Baseline")</f>
        <v>PCFP</v>
      </c>
      <c r="AC14" s="800">
        <f>V14-'Biennial Comparison'!D10</f>
        <v>3975278.6706231236</v>
      </c>
      <c r="AD14" s="12"/>
    </row>
    <row r="15" spans="1:30" x14ac:dyDescent="0.3">
      <c r="A15" s="106"/>
      <c r="B15" s="9" t="str">
        <f>'1.2 Budgeted Enrollment YR1'!E13</f>
        <v>Elko</v>
      </c>
      <c r="D15" s="9" t="str">
        <f>IF('2.9 PCFP Funding Comparison YR1'!K12="Yes","PCFP","Hold Harmless")</f>
        <v>PCFP</v>
      </c>
      <c r="E15" s="471" t="str">
        <f>'3.1a Initial Allocations YR1'!D16</f>
        <v>PCFP</v>
      </c>
      <c r="F15" s="375">
        <f>ROUND(('3.1a Initial Allocations YR1'!E16)*$K$3+H15,0)</f>
        <v>107655372</v>
      </c>
      <c r="G15" s="375">
        <f>ROUND(F15/'2.9 PCFP Funding Comparison YR1'!D12,0)</f>
        <v>11658</v>
      </c>
      <c r="H15" s="1301"/>
      <c r="I15" s="380">
        <f>ROUND(('3.1a Initial Allocations YR1'!G16*'3.1b Allocation Adj. YR1 '!$K$3),0)</f>
        <v>2834703</v>
      </c>
      <c r="J15" s="375">
        <f>ROUND('3.1a Initial Allocations YR1'!H16*'3.1b Allocation Adj. YR1 '!$K$3,0)</f>
        <v>1489619</v>
      </c>
      <c r="K15" s="375">
        <f>ROUND('3.1a Initial Allocations YR1'!I16*'3.1b Allocation Adj. YR1 '!$K$3,0)</f>
        <v>42937</v>
      </c>
      <c r="L15" s="375">
        <f t="shared" si="0"/>
        <v>4367259</v>
      </c>
      <c r="M15" s="8"/>
      <c r="N15" s="380">
        <f>ROUND('3.1a Initial Allocations YR1'!L16,0)</f>
        <v>5601775</v>
      </c>
      <c r="O15" s="380">
        <f>ROUND('3.1a Initial Allocations YR1'!M16,0)</f>
        <v>0</v>
      </c>
      <c r="P15" s="380">
        <f>ROUND('3.1a Initial Allocations YR1'!N16,0)</f>
        <v>350372</v>
      </c>
      <c r="Q15" s="380">
        <f>ROUND('3.1a Initial Allocations YR1'!O16,1)</f>
        <v>0</v>
      </c>
      <c r="R15" s="375">
        <f t="shared" si="1"/>
        <v>5952147</v>
      </c>
      <c r="S15" s="89"/>
      <c r="T15" s="375">
        <f>ROUND('3.1a Initial Allocations YR1'!R16,2)</f>
        <v>6815778</v>
      </c>
      <c r="U15" s="8"/>
      <c r="V15" s="394">
        <f t="shared" si="2"/>
        <v>124790556</v>
      </c>
      <c r="W15" s="12"/>
      <c r="X15" s="104">
        <f>ROUND(V15/'2.9 PCFP Funding Comparison YR1'!D12,0)</f>
        <v>13514</v>
      </c>
      <c r="Y15" s="195"/>
      <c r="Z15" s="102" t="str">
        <f>'2.9 PCFP Funding Comparison YR1'!T12</f>
        <v>PCFP</v>
      </c>
      <c r="AA15" s="798">
        <f>V15-'2.9 PCFP Funding Comparison YR1'!H12</f>
        <v>22456610</v>
      </c>
      <c r="AB15" s="661" t="str">
        <f>IF('2.9 PCFP Funding Comparison YR1'!K12="Yes","PCFP","FY 2020 Baseline")</f>
        <v>PCFP</v>
      </c>
      <c r="AC15" s="800">
        <f>V15-'Biennial Comparison'!D11</f>
        <v>22633245.352724597</v>
      </c>
      <c r="AD15" s="12"/>
    </row>
    <row r="16" spans="1:30" x14ac:dyDescent="0.3">
      <c r="A16" s="106"/>
      <c r="B16" s="9" t="str">
        <f>'1.2 Budgeted Enrollment YR1'!E14</f>
        <v>Esmeralda</v>
      </c>
      <c r="D16" s="9" t="str">
        <f>IF('2.9 PCFP Funding Comparison YR1'!K13="Yes","PCFP","Hold Harmless")</f>
        <v>Hold Harmless</v>
      </c>
      <c r="E16" s="471" t="str">
        <f>'3.1a Initial Allocations YR1'!D17</f>
        <v>FY 2020 Baseline</v>
      </c>
      <c r="F16" s="2178">
        <f>ROUND(('3.1a Initial Allocations YR1'!E17)*$K$3+H16,0)</f>
        <v>2535248</v>
      </c>
      <c r="G16" s="2178">
        <f>ROUND(F16/'2.9 PCFP Funding Comparison YR1'!D13,0)</f>
        <v>31441</v>
      </c>
      <c r="H16" s="1301"/>
      <c r="I16" s="2181">
        <f>ROUND(('3.1a Initial Allocations YR1'!G17*'3.1b Allocation Adj. YR1 '!$K$3),0)</f>
        <v>17401</v>
      </c>
      <c r="J16" s="2178">
        <f>ROUND('3.1a Initial Allocations YR1'!H17*'3.1b Allocation Adj. YR1 '!$K$3,0)</f>
        <v>8386</v>
      </c>
      <c r="K16" s="2178">
        <f>ROUND('3.1a Initial Allocations YR1'!I17*'3.1b Allocation Adj. YR1 '!$K$3,0)</f>
        <v>0</v>
      </c>
      <c r="L16" s="2178">
        <f t="shared" si="0"/>
        <v>25787</v>
      </c>
      <c r="M16" s="8"/>
      <c r="N16" s="2181">
        <f>ROUND('3.1a Initial Allocations YR1'!L17,0)</f>
        <v>328550</v>
      </c>
      <c r="O16" s="2181">
        <f>ROUND('3.1a Initial Allocations YR1'!M17,0)</f>
        <v>0</v>
      </c>
      <c r="P16" s="2181">
        <f>ROUND('3.1a Initial Allocations YR1'!N17,0)</f>
        <v>49284</v>
      </c>
      <c r="Q16" s="2181">
        <f>ROUND('3.1a Initial Allocations YR1'!O17,1)</f>
        <v>0</v>
      </c>
      <c r="R16" s="2178">
        <f t="shared" si="1"/>
        <v>377834</v>
      </c>
      <c r="S16" s="89"/>
      <c r="T16" s="2178">
        <f>ROUND('3.1a Initial Allocations YR1'!R17,2)</f>
        <v>44620</v>
      </c>
      <c r="U16" s="8"/>
      <c r="V16" s="394">
        <f t="shared" si="2"/>
        <v>2983489</v>
      </c>
      <c r="W16" s="12"/>
      <c r="X16" s="104">
        <f>ROUND(V16/'2.9 PCFP Funding Comparison YR1'!D13,0)</f>
        <v>37000</v>
      </c>
      <c r="Y16" s="195"/>
      <c r="Z16" s="102" t="str">
        <f>'2.9 PCFP Funding Comparison YR1'!T13</f>
        <v>FY 2020 Baseline</v>
      </c>
      <c r="AA16" s="798">
        <f>V16-'2.9 PCFP Funding Comparison YR1'!H13</f>
        <v>363561</v>
      </c>
      <c r="AB16" s="661" t="str">
        <f>IF('2.9 PCFP Funding Comparison YR1'!K13="Yes","PCFP","FY 2020 Baseline")</f>
        <v>FY 2020 Baseline</v>
      </c>
      <c r="AC16" s="800">
        <f>V16-'Biennial Comparison'!D12</f>
        <v>415622.00005141646</v>
      </c>
      <c r="AD16" s="12"/>
    </row>
    <row r="17" spans="1:30" x14ac:dyDescent="0.3">
      <c r="A17" s="106"/>
      <c r="B17" s="9" t="str">
        <f>'1.2 Budgeted Enrollment YR1'!E15</f>
        <v>Eureka</v>
      </c>
      <c r="D17" s="9" t="str">
        <f>IF('2.9 PCFP Funding Comparison YR1'!K14="Yes","PCFP","Hold Harmless")</f>
        <v>Hold Harmless</v>
      </c>
      <c r="E17" s="471" t="str">
        <f>'3.1a Initial Allocations YR1'!D18</f>
        <v>FY 2020 Baseline</v>
      </c>
      <c r="F17" s="2178">
        <f>ROUND(('3.1a Initial Allocations YR1'!E18)*$K$3+H17,0)</f>
        <v>10642760</v>
      </c>
      <c r="G17" s="2178">
        <f>ROUND(F17/'2.9 PCFP Funding Comparison YR1'!D14,0)</f>
        <v>35764</v>
      </c>
      <c r="H17" s="1301"/>
      <c r="I17" s="2181">
        <f>ROUND(('3.1a Initial Allocations YR1'!G18*'3.1b Allocation Adj. YR1 '!$K$3),0)</f>
        <v>10213</v>
      </c>
      <c r="J17" s="2178">
        <f>ROUND('3.1a Initial Allocations YR1'!H18*'3.1b Allocation Adj. YR1 '!$K$3,0)</f>
        <v>1198</v>
      </c>
      <c r="K17" s="2178">
        <f>ROUND('3.1a Initial Allocations YR1'!I18*'3.1b Allocation Adj. YR1 '!$K$3,0)</f>
        <v>0</v>
      </c>
      <c r="L17" s="2178">
        <f t="shared" si="0"/>
        <v>11411</v>
      </c>
      <c r="M17" s="8"/>
      <c r="N17" s="2181">
        <f>ROUND('3.1a Initial Allocations YR1'!L18,0)</f>
        <v>434259</v>
      </c>
      <c r="O17" s="2181">
        <f>ROUND('3.1a Initial Allocations YR1'!M18,0)</f>
        <v>0</v>
      </c>
      <c r="P17" s="2181">
        <f>ROUND('3.1a Initial Allocations YR1'!N18,0)</f>
        <v>399223</v>
      </c>
      <c r="Q17" s="2181">
        <f>ROUND('3.1a Initial Allocations YR1'!O18,1)</f>
        <v>0</v>
      </c>
      <c r="R17" s="2178">
        <f t="shared" si="1"/>
        <v>833482</v>
      </c>
      <c r="S17" s="89"/>
      <c r="T17" s="2178">
        <f>ROUND('3.1a Initial Allocations YR1'!R18,2)</f>
        <v>200000</v>
      </c>
      <c r="U17" s="8"/>
      <c r="V17" s="394">
        <f t="shared" si="2"/>
        <v>11687653</v>
      </c>
      <c r="W17" s="12"/>
      <c r="X17" s="104">
        <f>ROUND(V17/'2.9 PCFP Funding Comparison YR1'!D14,0)</f>
        <v>39275</v>
      </c>
      <c r="Y17" s="195"/>
      <c r="Z17" s="102" t="str">
        <f>'2.9 PCFP Funding Comparison YR1'!T14</f>
        <v>FY 2020 Baseline</v>
      </c>
      <c r="AA17" s="798">
        <f>V17-'2.9 PCFP Funding Comparison YR1'!H14</f>
        <v>-357042</v>
      </c>
      <c r="AB17" s="661" t="str">
        <f>IF('2.9 PCFP Funding Comparison YR1'!K14="Yes","PCFP","FY 2020 Baseline")</f>
        <v>FY 2020 Baseline</v>
      </c>
      <c r="AC17" s="800">
        <f>V17-'Biennial Comparison'!D13</f>
        <v>-284083.74663439021</v>
      </c>
      <c r="AD17" s="12"/>
    </row>
    <row r="18" spans="1:30" x14ac:dyDescent="0.3">
      <c r="A18" s="106"/>
      <c r="B18" s="9" t="str">
        <f>'1.2 Budgeted Enrollment YR1'!E16</f>
        <v>Humboldt</v>
      </c>
      <c r="D18" s="9" t="str">
        <f>IF('2.9 PCFP Funding Comparison YR1'!K15="Yes","PCFP","Hold Harmless")</f>
        <v>PCFP</v>
      </c>
      <c r="E18" s="471" t="str">
        <f>'3.1a Initial Allocations YR1'!D19</f>
        <v>PCFP</v>
      </c>
      <c r="F18" s="375">
        <f>ROUND(('3.1a Initial Allocations YR1'!E19)*$K$3+H18,0)</f>
        <v>36363526</v>
      </c>
      <c r="G18" s="375">
        <f>ROUND(F18/'2.9 PCFP Funding Comparison YR1'!D15,0)</f>
        <v>11596</v>
      </c>
      <c r="H18" s="1301"/>
      <c r="I18" s="380">
        <f>ROUND(('3.1a Initial Allocations YR1'!G19*'3.1b Allocation Adj. YR1 '!$K$3),0)</f>
        <v>834733</v>
      </c>
      <c r="J18" s="375">
        <f>ROUND('3.1a Initial Allocations YR1'!H19*'3.1b Allocation Adj. YR1 '!$K$3,0)</f>
        <v>349335</v>
      </c>
      <c r="K18" s="375">
        <f>ROUND('3.1a Initial Allocations YR1'!I19*'3.1b Allocation Adj. YR1 '!$K$3,0)</f>
        <v>0</v>
      </c>
      <c r="L18" s="375">
        <f t="shared" si="0"/>
        <v>1184068</v>
      </c>
      <c r="M18" s="8"/>
      <c r="N18" s="380">
        <f>ROUND('3.1a Initial Allocations YR1'!L19,0)</f>
        <v>2016344</v>
      </c>
      <c r="O18" s="380">
        <f>ROUND('3.1a Initial Allocations YR1'!M19,0)</f>
        <v>0</v>
      </c>
      <c r="P18" s="380">
        <f>ROUND('3.1a Initial Allocations YR1'!N19,0)</f>
        <v>4765</v>
      </c>
      <c r="Q18" s="380">
        <f>ROUND('3.1a Initial Allocations YR1'!O19,1)</f>
        <v>0</v>
      </c>
      <c r="R18" s="375">
        <f t="shared" si="1"/>
        <v>2021109</v>
      </c>
      <c r="S18" s="89"/>
      <c r="T18" s="375">
        <f>ROUND('3.1a Initial Allocations YR1'!R19,2)</f>
        <v>3147883</v>
      </c>
      <c r="U18" s="8"/>
      <c r="V18" s="394">
        <f t="shared" si="2"/>
        <v>42716586</v>
      </c>
      <c r="W18" s="12"/>
      <c r="X18" s="104">
        <f>ROUND(V18/'2.9 PCFP Funding Comparison YR1'!D15,0)</f>
        <v>13622</v>
      </c>
      <c r="Y18" s="195"/>
      <c r="Z18" s="102" t="str">
        <f>'2.9 PCFP Funding Comparison YR1'!T15</f>
        <v>PCFP</v>
      </c>
      <c r="AA18" s="798">
        <f>V18-'2.9 PCFP Funding Comparison YR1'!H15</f>
        <v>4613095</v>
      </c>
      <c r="AB18" s="661" t="str">
        <f>IF('2.9 PCFP Funding Comparison YR1'!K15="Yes","PCFP","FY 2020 Baseline")</f>
        <v>PCFP</v>
      </c>
      <c r="AC18" s="800">
        <f>V18-'Biennial Comparison'!D14</f>
        <v>5794518.1708133966</v>
      </c>
      <c r="AD18" s="12"/>
    </row>
    <row r="19" spans="1:30" x14ac:dyDescent="0.3">
      <c r="A19" s="106"/>
      <c r="B19" s="9" t="str">
        <f>'1.2 Budgeted Enrollment YR1'!E17</f>
        <v>Lander</v>
      </c>
      <c r="D19" s="9" t="str">
        <f>IF('2.9 PCFP Funding Comparison YR1'!K16="Yes","PCFP","Hold Harmless")</f>
        <v>PCFP</v>
      </c>
      <c r="E19" s="471" t="str">
        <f>'3.1a Initial Allocations YR1'!D20</f>
        <v>PCFP</v>
      </c>
      <c r="F19" s="375">
        <f>ROUND(('3.1a Initial Allocations YR1'!E20)*$K$3+H19,0)</f>
        <v>13681211</v>
      </c>
      <c r="G19" s="375">
        <f>ROUND(F19/'2.9 PCFP Funding Comparison YR1'!D16,0)</f>
        <v>14100</v>
      </c>
      <c r="H19" s="1301"/>
      <c r="I19" s="380">
        <f>ROUND(('3.1a Initial Allocations YR1'!G20*'3.1b Allocation Adj. YR1 '!$K$3),0)</f>
        <v>165252</v>
      </c>
      <c r="J19" s="375">
        <f>ROUND('3.1a Initial Allocations YR1'!H20*'3.1b Allocation Adj. YR1 '!$K$3,0)</f>
        <v>260354</v>
      </c>
      <c r="K19" s="375">
        <f>ROUND('3.1a Initial Allocations YR1'!I20*'3.1b Allocation Adj. YR1 '!$K$3,0)</f>
        <v>0</v>
      </c>
      <c r="L19" s="375">
        <f t="shared" si="0"/>
        <v>425606</v>
      </c>
      <c r="M19" s="8"/>
      <c r="N19" s="380">
        <f>ROUND('3.1a Initial Allocations YR1'!L20,0)</f>
        <v>400471</v>
      </c>
      <c r="O19" s="380">
        <f>ROUND('3.1a Initial Allocations YR1'!M20,0)</f>
        <v>0</v>
      </c>
      <c r="P19" s="380">
        <f>ROUND('3.1a Initial Allocations YR1'!N20,0)</f>
        <v>15558</v>
      </c>
      <c r="Q19" s="380">
        <f>ROUND('3.1a Initial Allocations YR1'!O20,1)</f>
        <v>0</v>
      </c>
      <c r="R19" s="375">
        <f t="shared" si="1"/>
        <v>416029</v>
      </c>
      <c r="S19" s="89"/>
      <c r="T19" s="375">
        <f>ROUND('3.1a Initial Allocations YR1'!R20,2)</f>
        <v>828068</v>
      </c>
      <c r="U19" s="8"/>
      <c r="V19" s="394">
        <f t="shared" si="2"/>
        <v>15350914</v>
      </c>
      <c r="W19" s="12"/>
      <c r="X19" s="104">
        <f>ROUND(V19/'2.9 PCFP Funding Comparison YR1'!D16,0)</f>
        <v>15821</v>
      </c>
      <c r="Y19" s="195"/>
      <c r="Z19" s="102" t="str">
        <f>'2.9 PCFP Funding Comparison YR1'!T16</f>
        <v>PCFP</v>
      </c>
      <c r="AA19" s="798">
        <f>V19-'2.9 PCFP Funding Comparison YR1'!H16</f>
        <v>3522694</v>
      </c>
      <c r="AB19" s="661" t="str">
        <f>IF('2.9 PCFP Funding Comparison YR1'!K16="Yes","PCFP","FY 2020 Baseline")</f>
        <v>PCFP</v>
      </c>
      <c r="AC19" s="800">
        <f>V19-'Biennial Comparison'!D15</f>
        <v>3137295.416235216</v>
      </c>
      <c r="AD19" s="12"/>
    </row>
    <row r="20" spans="1:30" x14ac:dyDescent="0.3">
      <c r="A20" s="106"/>
      <c r="B20" s="9" t="str">
        <f>'1.2 Budgeted Enrollment YR1'!E18</f>
        <v>Lincoln</v>
      </c>
      <c r="D20" s="9" t="str">
        <f>IF('2.9 PCFP Funding Comparison YR1'!K17="Yes","PCFP","Hold Harmless")</f>
        <v>PCFP</v>
      </c>
      <c r="E20" s="471" t="str">
        <f>'3.1a Initial Allocations YR1'!D21</f>
        <v>PCFP</v>
      </c>
      <c r="F20" s="375">
        <f>ROUND(('3.1a Initial Allocations YR1'!E21)*$K$3+H20,0)</f>
        <v>14935036</v>
      </c>
      <c r="G20" s="375">
        <f>ROUND(F20/'2.9 PCFP Funding Comparison YR1'!D17,0)</f>
        <v>17166</v>
      </c>
      <c r="H20" s="1301"/>
      <c r="I20" s="380">
        <f>ROUND(('3.1a Initial Allocations YR1'!G21*'3.1b Allocation Adj. YR1 '!$K$3),0)</f>
        <v>33898</v>
      </c>
      <c r="J20" s="375">
        <f>ROUND('3.1a Initial Allocations YR1'!H21*'3.1b Allocation Adj. YR1 '!$K$3,0)</f>
        <v>135120</v>
      </c>
      <c r="K20" s="375">
        <f>ROUND('3.1a Initial Allocations YR1'!I21*'3.1b Allocation Adj. YR1 '!$K$3,0)</f>
        <v>0</v>
      </c>
      <c r="L20" s="375">
        <f t="shared" si="0"/>
        <v>169018</v>
      </c>
      <c r="M20" s="8"/>
      <c r="N20" s="380">
        <f>ROUND('3.1a Initial Allocations YR1'!L21,0)</f>
        <v>635350</v>
      </c>
      <c r="O20" s="380">
        <f>ROUND('3.1a Initial Allocations YR1'!M21,0)</f>
        <v>0</v>
      </c>
      <c r="P20" s="380">
        <f>ROUND('3.1a Initial Allocations YR1'!N21,0)</f>
        <v>66961</v>
      </c>
      <c r="Q20" s="380">
        <f>ROUND('3.1a Initial Allocations YR1'!O21,1)</f>
        <v>0</v>
      </c>
      <c r="R20" s="375">
        <f t="shared" si="1"/>
        <v>702311</v>
      </c>
      <c r="S20" s="89"/>
      <c r="T20" s="375">
        <f>ROUND('3.1a Initial Allocations YR1'!R21,2)</f>
        <v>0</v>
      </c>
      <c r="U20" s="8"/>
      <c r="V20" s="394">
        <f t="shared" si="2"/>
        <v>15806365</v>
      </c>
      <c r="W20" s="12"/>
      <c r="X20" s="104">
        <f>ROUND(V20/'2.9 PCFP Funding Comparison YR1'!D17,0)</f>
        <v>18168</v>
      </c>
      <c r="Y20" s="195"/>
      <c r="Z20" s="102" t="str">
        <f>'2.9 PCFP Funding Comparison YR1'!T17</f>
        <v>PCFP</v>
      </c>
      <c r="AA20" s="798">
        <f>V20-'2.9 PCFP Funding Comparison YR1'!H17</f>
        <v>3084627</v>
      </c>
      <c r="AB20" s="661" t="str">
        <f>IF('2.9 PCFP Funding Comparison YR1'!K17="Yes","PCFP","FY 2020 Baseline")</f>
        <v>PCFP</v>
      </c>
      <c r="AC20" s="800">
        <f>V20-'Biennial Comparison'!D16</f>
        <v>3188858.9012485184</v>
      </c>
      <c r="AD20" s="12"/>
    </row>
    <row r="21" spans="1:30" x14ac:dyDescent="0.3">
      <c r="A21" s="106"/>
      <c r="B21" s="9" t="str">
        <f>'1.2 Budgeted Enrollment YR1'!E19</f>
        <v>Lyon</v>
      </c>
      <c r="D21" s="9" t="str">
        <f>IF('2.9 PCFP Funding Comparison YR1'!K18="Yes","PCFP","Hold Harmless")</f>
        <v>PCFP</v>
      </c>
      <c r="E21" s="471" t="str">
        <f>'3.1a Initial Allocations YR1'!D22</f>
        <v>PCFP</v>
      </c>
      <c r="F21" s="375">
        <f>ROUND(('3.1a Initial Allocations YR1'!E22)*$K$3+H21,0)</f>
        <v>102661176</v>
      </c>
      <c r="G21" s="375">
        <f>ROUND(F21/'2.9 PCFP Funding Comparison YR1'!D18,0)</f>
        <v>11491</v>
      </c>
      <c r="H21" s="1301"/>
      <c r="I21" s="380">
        <f>ROUND(('3.1a Initial Allocations YR1'!G22*'3.1b Allocation Adj. YR1 '!$K$3),0)</f>
        <v>2271151</v>
      </c>
      <c r="J21" s="375">
        <f>ROUND('3.1a Initial Allocations YR1'!H22*'3.1b Allocation Adj. YR1 '!$K$3,0)</f>
        <v>1281996</v>
      </c>
      <c r="K21" s="375">
        <f>ROUND('3.1a Initial Allocations YR1'!I22*'3.1b Allocation Adj. YR1 '!$K$3,0)</f>
        <v>67795</v>
      </c>
      <c r="L21" s="375">
        <f t="shared" si="0"/>
        <v>3620942</v>
      </c>
      <c r="M21" s="8"/>
      <c r="N21" s="380">
        <f>ROUND('3.1a Initial Allocations YR1'!L22,0)</f>
        <v>5367830</v>
      </c>
      <c r="O21" s="380">
        <f>ROUND('3.1a Initial Allocations YR1'!M22,0)</f>
        <v>0</v>
      </c>
      <c r="P21" s="380">
        <f>ROUND('3.1a Initial Allocations YR1'!N22,0)</f>
        <v>0</v>
      </c>
      <c r="Q21" s="380">
        <f>ROUND('3.1a Initial Allocations YR1'!O22,1)</f>
        <v>0</v>
      </c>
      <c r="R21" s="375">
        <f t="shared" si="1"/>
        <v>5367830</v>
      </c>
      <c r="S21" s="89"/>
      <c r="T21" s="375">
        <f>ROUND('3.1a Initial Allocations YR1'!R22,2)</f>
        <v>11959030</v>
      </c>
      <c r="U21" s="8"/>
      <c r="V21" s="394">
        <f t="shared" si="2"/>
        <v>123608978</v>
      </c>
      <c r="W21" s="12"/>
      <c r="X21" s="104">
        <f>ROUND(V21/'2.9 PCFP Funding Comparison YR1'!D18,0)</f>
        <v>13836</v>
      </c>
      <c r="Y21" s="195"/>
      <c r="Z21" s="102" t="str">
        <f>'2.9 PCFP Funding Comparison YR1'!T18</f>
        <v>PCFP</v>
      </c>
      <c r="AA21" s="798">
        <f>V21-'2.9 PCFP Funding Comparison YR1'!H18</f>
        <v>39232855</v>
      </c>
      <c r="AB21" s="661" t="str">
        <f>IF('2.9 PCFP Funding Comparison YR1'!K18="Yes","PCFP","FY 2020 Baseline")</f>
        <v>PCFP</v>
      </c>
      <c r="AC21" s="800">
        <f>V21-'Biennial Comparison'!D17</f>
        <v>31211499.507377848</v>
      </c>
      <c r="AD21" s="12"/>
    </row>
    <row r="22" spans="1:30" x14ac:dyDescent="0.3">
      <c r="A22" s="106"/>
      <c r="B22" s="9" t="str">
        <f>'1.2 Budgeted Enrollment YR1'!E20</f>
        <v>Mineral</v>
      </c>
      <c r="D22" s="9" t="str">
        <f>IF('2.9 PCFP Funding Comparison YR1'!K19="Yes","PCFP","Hold Harmless")</f>
        <v>PCFP</v>
      </c>
      <c r="E22" s="471" t="str">
        <f>'3.1a Initial Allocations YR1'!D23</f>
        <v>PCFP</v>
      </c>
      <c r="F22" s="375">
        <f>ROUND(('3.1a Initial Allocations YR1'!E23)*$K$3+H22,0)</f>
        <v>8398779</v>
      </c>
      <c r="G22" s="375">
        <f>ROUND(F22/'2.9 PCFP Funding Comparison YR1'!D19,0)</f>
        <v>16481</v>
      </c>
      <c r="H22" s="1301"/>
      <c r="I22" s="380">
        <f>ROUND(('3.1a Initial Allocations YR1'!G23*'3.1b Allocation Adj. YR1 '!$K$3),0)</f>
        <v>144066</v>
      </c>
      <c r="J22" s="375">
        <f>ROUND('3.1a Initial Allocations YR1'!H23*'3.1b Allocation Adj. YR1 '!$K$3,0)</f>
        <v>141712</v>
      </c>
      <c r="K22" s="375">
        <f>ROUND('3.1a Initial Allocations YR1'!I23*'3.1b Allocation Adj. YR1 '!$K$3,0)</f>
        <v>0</v>
      </c>
      <c r="L22" s="375">
        <f t="shared" si="0"/>
        <v>285778</v>
      </c>
      <c r="M22" s="8"/>
      <c r="N22" s="380">
        <f>ROUND('3.1a Initial Allocations YR1'!L23,0)</f>
        <v>388223</v>
      </c>
      <c r="O22" s="380">
        <f>ROUND('3.1a Initial Allocations YR1'!M23,0)</f>
        <v>0</v>
      </c>
      <c r="P22" s="380">
        <f>ROUND('3.1a Initial Allocations YR1'!N23,0)</f>
        <v>200104</v>
      </c>
      <c r="Q22" s="380">
        <f>ROUND('3.1a Initial Allocations YR1'!O23,1)</f>
        <v>0</v>
      </c>
      <c r="R22" s="375">
        <f t="shared" si="1"/>
        <v>588327</v>
      </c>
      <c r="S22" s="89"/>
      <c r="T22" s="375">
        <f>ROUND('3.1a Initial Allocations YR1'!R23,2)</f>
        <v>110574</v>
      </c>
      <c r="U22" s="8"/>
      <c r="V22" s="394">
        <f t="shared" si="2"/>
        <v>9383458</v>
      </c>
      <c r="W22" s="12"/>
      <c r="X22" s="104">
        <f>ROUND(V22/'2.9 PCFP Funding Comparison YR1'!D19,0)</f>
        <v>18413</v>
      </c>
      <c r="Y22" s="195"/>
      <c r="Z22" s="102" t="str">
        <f>'2.9 PCFP Funding Comparison YR1'!T19</f>
        <v>PCFP</v>
      </c>
      <c r="AA22" s="798">
        <f>V22-'2.9 PCFP Funding Comparison YR1'!H19</f>
        <v>1862198</v>
      </c>
      <c r="AB22" s="661" t="str">
        <f>IF('2.9 PCFP Funding Comparison YR1'!K19="Yes","PCFP","FY 2020 Baseline")</f>
        <v>PCFP</v>
      </c>
      <c r="AC22" s="800">
        <f>V22-'Biennial Comparison'!D18</f>
        <v>1667511.79807318</v>
      </c>
      <c r="AD22" s="12"/>
    </row>
    <row r="23" spans="1:30" x14ac:dyDescent="0.3">
      <c r="A23" s="106"/>
      <c r="B23" s="9" t="str">
        <f>'1.2 Budgeted Enrollment YR1'!E21</f>
        <v>Nye</v>
      </c>
      <c r="D23" s="9" t="str">
        <f>IF('2.9 PCFP Funding Comparison YR1'!K20="Yes","PCFP","Hold Harmless")</f>
        <v>PCFP</v>
      </c>
      <c r="E23" s="471" t="str">
        <f>'3.1a Initial Allocations YR1'!D24</f>
        <v>PCFP</v>
      </c>
      <c r="F23" s="375">
        <f>ROUND(('3.1a Initial Allocations YR1'!E24)*$K$3+H23,0)</f>
        <v>62339361</v>
      </c>
      <c r="G23" s="375">
        <f>ROUND(F23/'2.9 PCFP Funding Comparison YR1'!D20,0)</f>
        <v>11424</v>
      </c>
      <c r="H23" s="1301"/>
      <c r="I23" s="380">
        <f>ROUND(('3.1a Initial Allocations YR1'!G24*'3.1b Allocation Adj. YR1 '!$K$3),0)</f>
        <v>1597433</v>
      </c>
      <c r="J23" s="375">
        <f>ROUND('3.1a Initial Allocations YR1'!H24*'3.1b Allocation Adj. YR1 '!$K$3,0)</f>
        <v>893112</v>
      </c>
      <c r="K23" s="375">
        <f>ROUND('3.1a Initial Allocations YR1'!I24*'3.1b Allocation Adj. YR1 '!$K$3,0)</f>
        <v>0</v>
      </c>
      <c r="L23" s="375">
        <f t="shared" si="0"/>
        <v>2490545</v>
      </c>
      <c r="M23" s="8"/>
      <c r="N23" s="380">
        <f>ROUND('3.1a Initial Allocations YR1'!L24,0)</f>
        <v>4888451</v>
      </c>
      <c r="O23" s="380">
        <f>ROUND('3.1a Initial Allocations YR1'!M24,0)</f>
        <v>0</v>
      </c>
      <c r="P23" s="380">
        <f>ROUND('3.1a Initial Allocations YR1'!N24,0)</f>
        <v>0</v>
      </c>
      <c r="Q23" s="380">
        <f>ROUND('3.1a Initial Allocations YR1'!O24,1)</f>
        <v>0</v>
      </c>
      <c r="R23" s="375">
        <f t="shared" si="1"/>
        <v>4888451</v>
      </c>
      <c r="S23" s="89"/>
      <c r="T23" s="375">
        <f>ROUND('3.1a Initial Allocations YR1'!R24,2)</f>
        <v>12987281</v>
      </c>
      <c r="U23" s="8"/>
      <c r="V23" s="394">
        <f t="shared" si="2"/>
        <v>82705638</v>
      </c>
      <c r="W23" s="12"/>
      <c r="X23" s="104">
        <f>ROUND(V23/'2.9 PCFP Funding Comparison YR1'!D20,0)</f>
        <v>15156</v>
      </c>
      <c r="Y23" s="195"/>
      <c r="Z23" s="102" t="str">
        <f>'2.9 PCFP Funding Comparison YR1'!T20</f>
        <v>PCFP</v>
      </c>
      <c r="AA23" s="798">
        <f>V23-'2.9 PCFP Funding Comparison YR1'!H20</f>
        <v>25096937</v>
      </c>
      <c r="AB23" s="661" t="str">
        <f>IF('2.9 PCFP Funding Comparison YR1'!K20="Yes","PCFP","FY 2020 Baseline")</f>
        <v>PCFP</v>
      </c>
      <c r="AC23" s="800">
        <f>V23-'Biennial Comparison'!D19</f>
        <v>22297629.259723119</v>
      </c>
      <c r="AD23" s="12"/>
    </row>
    <row r="24" spans="1:30" x14ac:dyDescent="0.3">
      <c r="A24" s="106"/>
      <c r="B24" s="9" t="str">
        <f>'1.2 Budgeted Enrollment YR1'!E22</f>
        <v>Pershing</v>
      </c>
      <c r="D24" s="9" t="str">
        <f>IF('2.9 PCFP Funding Comparison YR1'!K21="Yes","PCFP","Hold Harmless")</f>
        <v>PCFP</v>
      </c>
      <c r="E24" s="471" t="str">
        <f>'3.1a Initial Allocations YR1'!D25</f>
        <v>PCFP</v>
      </c>
      <c r="F24" s="375">
        <f>ROUND(('3.1a Initial Allocations YR1'!E25)*$K$3+H24,0)</f>
        <v>9724377</v>
      </c>
      <c r="G24" s="375">
        <f>ROUND(F24/'2.9 PCFP Funding Comparison YR1'!D21,0)</f>
        <v>15293</v>
      </c>
      <c r="H24" s="1301"/>
      <c r="I24" s="380">
        <f>ROUND(('3.1a Initial Allocations YR1'!G25*'3.1b Allocation Adj. YR1 '!$K$3),0)</f>
        <v>122880</v>
      </c>
      <c r="J24" s="375">
        <f>ROUND('3.1a Initial Allocations YR1'!H25*'3.1b Allocation Adj. YR1 '!$K$3,0)</f>
        <v>92278</v>
      </c>
      <c r="K24" s="375">
        <f>ROUND('3.1a Initial Allocations YR1'!I25*'3.1b Allocation Adj. YR1 '!$K$3,0)</f>
        <v>0</v>
      </c>
      <c r="L24" s="375">
        <f t="shared" si="0"/>
        <v>215158</v>
      </c>
      <c r="M24" s="8"/>
      <c r="N24" s="380">
        <f>ROUND('3.1a Initial Allocations YR1'!L25,0)</f>
        <v>918038</v>
      </c>
      <c r="O24" s="380">
        <f>ROUND('3.1a Initial Allocations YR1'!M25,0)</f>
        <v>0</v>
      </c>
      <c r="P24" s="380">
        <f>ROUND('3.1a Initial Allocations YR1'!N25,0)</f>
        <v>26439</v>
      </c>
      <c r="Q24" s="380">
        <f>ROUND('3.1a Initial Allocations YR1'!O25,1)</f>
        <v>0</v>
      </c>
      <c r="R24" s="375">
        <f t="shared" si="1"/>
        <v>944477</v>
      </c>
      <c r="S24" s="89"/>
      <c r="T24" s="375">
        <f>ROUND('3.1a Initial Allocations YR1'!R25,2)</f>
        <v>0</v>
      </c>
      <c r="U24" s="8"/>
      <c r="V24" s="394">
        <f t="shared" si="2"/>
        <v>10884012</v>
      </c>
      <c r="W24" s="12"/>
      <c r="X24" s="104">
        <f>ROUND(V24/'2.9 PCFP Funding Comparison YR1'!D21,0)</f>
        <v>17117</v>
      </c>
      <c r="Y24" s="195"/>
      <c r="Z24" s="102" t="str">
        <f>'2.9 PCFP Funding Comparison YR1'!T21</f>
        <v>PCFP</v>
      </c>
      <c r="AA24" s="798">
        <f>V24-'2.9 PCFP Funding Comparison YR1'!H21</f>
        <v>1822602</v>
      </c>
      <c r="AB24" s="661" t="str">
        <f>IF('2.9 PCFP Funding Comparison YR1'!K21="Yes","PCFP","FY 2020 Baseline")</f>
        <v>PCFP</v>
      </c>
      <c r="AC24" s="800">
        <f>V24-'Biennial Comparison'!D20</f>
        <v>1815602.5274799708</v>
      </c>
      <c r="AD24" s="12"/>
    </row>
    <row r="25" spans="1:30" x14ac:dyDescent="0.3">
      <c r="A25" s="106"/>
      <c r="B25" s="9" t="str">
        <f>'1.2 Budgeted Enrollment YR1'!E23</f>
        <v>Storey</v>
      </c>
      <c r="D25" s="9" t="str">
        <f>IF('2.9 PCFP Funding Comparison YR1'!K22="Yes","PCFP","Hold Harmless")</f>
        <v>Hold Harmless</v>
      </c>
      <c r="E25" s="471" t="str">
        <f>'3.1a Initial Allocations YR1'!D26</f>
        <v>FY 2020 Baseline</v>
      </c>
      <c r="F25" s="2178">
        <f>ROUND(('3.1a Initial Allocations YR1'!E26)*$K$3+H25,0)</f>
        <v>9609585</v>
      </c>
      <c r="G25" s="2178">
        <f>ROUND(F25/'2.9 PCFP Funding Comparison YR1'!D22,0)</f>
        <v>24307</v>
      </c>
      <c r="H25" s="1301"/>
      <c r="I25" s="2181">
        <f>ROUND(('3.1a Initial Allocations YR1'!G26*'3.1b Allocation Adj. YR1 '!$K$3),0)</f>
        <v>13777</v>
      </c>
      <c r="J25" s="2178">
        <f>ROUND('3.1a Initial Allocations YR1'!H26*'3.1b Allocation Adj. YR1 '!$K$3,0)</f>
        <v>13777</v>
      </c>
      <c r="K25" s="2178">
        <f>ROUND('3.1a Initial Allocations YR1'!I26*'3.1b Allocation Adj. YR1 '!$K$3,0)</f>
        <v>0</v>
      </c>
      <c r="L25" s="2178">
        <f t="shared" si="0"/>
        <v>27554</v>
      </c>
      <c r="M25" s="8"/>
      <c r="N25" s="2181">
        <f>ROUND('3.1a Initial Allocations YR1'!L26,0)</f>
        <v>547375</v>
      </c>
      <c r="O25" s="2181">
        <f>ROUND('3.1a Initial Allocations YR1'!M26,0)</f>
        <v>0</v>
      </c>
      <c r="P25" s="2181">
        <f>ROUND('3.1a Initial Allocations YR1'!N26,0)</f>
        <v>23002</v>
      </c>
      <c r="Q25" s="2181">
        <f>ROUND('3.1a Initial Allocations YR1'!O26,1)</f>
        <v>0</v>
      </c>
      <c r="R25" s="2178">
        <f t="shared" si="1"/>
        <v>570377</v>
      </c>
      <c r="S25" s="89"/>
      <c r="T25" s="2178">
        <f>ROUND('3.1a Initial Allocations YR1'!R26,2)</f>
        <v>55048</v>
      </c>
      <c r="U25" s="8"/>
      <c r="V25" s="394">
        <f t="shared" si="2"/>
        <v>10262564</v>
      </c>
      <c r="W25" s="12"/>
      <c r="X25" s="104">
        <f>ROUND(V25/'2.9 PCFP Funding Comparison YR1'!D22,0)</f>
        <v>25959</v>
      </c>
      <c r="Y25" s="195"/>
      <c r="Z25" s="102" t="str">
        <f>'2.9 PCFP Funding Comparison YR1'!T22</f>
        <v>FY 2020 Baseline</v>
      </c>
      <c r="AA25" s="798">
        <f>V25-'2.9 PCFP Funding Comparison YR1'!H22</f>
        <v>-1120659</v>
      </c>
      <c r="AB25" s="661" t="str">
        <f>IF('2.9 PCFP Funding Comparison YR1'!K22="Yes","PCFP","FY 2020 Baseline")</f>
        <v>FY 2020 Baseline</v>
      </c>
      <c r="AC25" s="800">
        <f>V25-'Biennial Comparison'!D21</f>
        <v>-1051707.5881363284</v>
      </c>
      <c r="AD25" s="12"/>
    </row>
    <row r="26" spans="1:30" x14ac:dyDescent="0.3">
      <c r="A26" s="106"/>
      <c r="B26" s="9" t="str">
        <f>'1.2 Budgeted Enrollment YR1'!E24</f>
        <v>Washoe</v>
      </c>
      <c r="D26" s="9" t="str">
        <f>IF('2.9 PCFP Funding Comparison YR1'!K23="Yes","PCFP","Hold Harmless")</f>
        <v>PCFP</v>
      </c>
      <c r="E26" s="471" t="str">
        <f>'3.1a Initial Allocations YR1'!D27</f>
        <v>PCFP</v>
      </c>
      <c r="F26" s="375">
        <f>ROUND(('3.1a Initial Allocations YR1'!E27)*$K$3+H26,0)</f>
        <v>571004063</v>
      </c>
      <c r="G26" s="375">
        <f>ROUND(F26/'2.9 PCFP Funding Comparison YR1'!D23,0)</f>
        <v>9708</v>
      </c>
      <c r="H26" s="1301"/>
      <c r="I26" s="380">
        <f>ROUND(('3.1a Initial Allocations YR1'!G27*'3.1b Allocation Adj. YR1 '!$K$3),0)</f>
        <v>28541936</v>
      </c>
      <c r="J26" s="375">
        <f>ROUND('3.1a Initial Allocations YR1'!H27*'3.1b Allocation Adj. YR1 '!$K$3,0)</f>
        <v>14504015</v>
      </c>
      <c r="K26" s="375">
        <f>ROUND('3.1a Initial Allocations YR1'!I27*'3.1b Allocation Adj. YR1 '!$K$3,0)</f>
        <v>1462125</v>
      </c>
      <c r="L26" s="375">
        <f t="shared" si="0"/>
        <v>44508076</v>
      </c>
      <c r="M26" s="8"/>
      <c r="N26" s="380">
        <f>ROUND('3.1a Initial Allocations YR1'!L27,0)</f>
        <v>25630842</v>
      </c>
      <c r="O26" s="380">
        <f>ROUND('3.1a Initial Allocations YR1'!M27,0)</f>
        <v>0</v>
      </c>
      <c r="P26" s="380">
        <f>ROUND('3.1a Initial Allocations YR1'!N27,0)</f>
        <v>0</v>
      </c>
      <c r="Q26" s="380">
        <f>ROUND('3.1a Initial Allocations YR1'!O27,1)</f>
        <v>0</v>
      </c>
      <c r="R26" s="375">
        <f t="shared" si="1"/>
        <v>25630842</v>
      </c>
      <c r="S26" s="89"/>
      <c r="T26" s="375">
        <f>ROUND('3.1a Initial Allocations YR1'!R27,2)</f>
        <v>70479875</v>
      </c>
      <c r="U26" s="8"/>
      <c r="V26" s="394">
        <f t="shared" si="2"/>
        <v>711622856</v>
      </c>
      <c r="W26" s="12"/>
      <c r="X26" s="104">
        <f>ROUND(V26/'2.9 PCFP Funding Comparison YR1'!D23,0)</f>
        <v>12099</v>
      </c>
      <c r="Y26" s="195"/>
      <c r="Z26" s="102" t="str">
        <f>'2.9 PCFP Funding Comparison YR1'!T23</f>
        <v>PCFP</v>
      </c>
      <c r="AA26" s="798">
        <f>V26-'2.9 PCFP Funding Comparison YR1'!H23</f>
        <v>177735955</v>
      </c>
      <c r="AB26" s="661" t="str">
        <f>IF('2.9 PCFP Funding Comparison YR1'!K23="Yes","PCFP","FY 2020 Baseline")</f>
        <v>PCFP</v>
      </c>
      <c r="AC26" s="800">
        <f>V26-'Biennial Comparison'!D22</f>
        <v>161128057.38395596</v>
      </c>
      <c r="AD26" s="12"/>
    </row>
    <row r="27" spans="1:30" x14ac:dyDescent="0.3">
      <c r="A27" s="142"/>
      <c r="B27" s="137" t="str">
        <f>'1.2 Budgeted Enrollment YR1'!E25</f>
        <v>White Pine</v>
      </c>
      <c r="C27" s="137"/>
      <c r="D27" s="137" t="str">
        <f>IF('2.9 PCFP Funding Comparison YR1'!K23="Yes","PCFP","Hold Harmless")</f>
        <v>PCFP</v>
      </c>
      <c r="E27" s="384" t="str">
        <f>'3.1a Initial Allocations YR1'!D28</f>
        <v>PCFP</v>
      </c>
      <c r="F27" s="376">
        <f>ROUND(('3.1a Initial Allocations YR1'!E28)*$K$3+H27,0)</f>
        <v>18532672</v>
      </c>
      <c r="G27" s="375">
        <f>ROUND(F27/'2.9 PCFP Funding Comparison YR1'!D24,0)</f>
        <v>15055</v>
      </c>
      <c r="H27" s="1301"/>
      <c r="I27" s="380">
        <f>ROUND(('3.1a Initial Allocations YR1'!G28*'3.1b Allocation Adj. YR1 '!$K$3),0)</f>
        <v>63558</v>
      </c>
      <c r="J27" s="375">
        <f>ROUND('3.1a Initial Allocations YR1'!H28*'3.1b Allocation Adj. YR1 '!$K$3,0)</f>
        <v>395474</v>
      </c>
      <c r="K27" s="375">
        <f>ROUND('3.1a Initial Allocations YR1'!I28*'3.1b Allocation Adj. YR1 '!$K$3,0)</f>
        <v>0</v>
      </c>
      <c r="L27" s="375">
        <f>ROUND(SUM(I27:K27),0)</f>
        <v>459032</v>
      </c>
      <c r="M27" s="8"/>
      <c r="N27" s="380">
        <f>ROUND('3.1a Initial Allocations YR1'!L28,0)</f>
        <v>1312803</v>
      </c>
      <c r="O27" s="380">
        <f>ROUND('3.1a Initial Allocations YR1'!M28,0)</f>
        <v>0</v>
      </c>
      <c r="P27" s="380">
        <f>ROUND('3.1a Initial Allocations YR1'!N28,0)</f>
        <v>29539</v>
      </c>
      <c r="Q27" s="380">
        <f>ROUND('3.1a Initial Allocations YR1'!O28,1)</f>
        <v>0</v>
      </c>
      <c r="R27" s="375">
        <f t="shared" si="1"/>
        <v>1342342</v>
      </c>
      <c r="S27" s="127"/>
      <c r="T27" s="375">
        <f>ROUND('3.1a Initial Allocations YR1'!R28,2)</f>
        <v>1129956</v>
      </c>
      <c r="U27" s="8"/>
      <c r="V27" s="392">
        <f t="shared" si="2"/>
        <v>21464002</v>
      </c>
      <c r="W27" s="12"/>
      <c r="X27" s="163">
        <f>ROUND(V27/'2.9 PCFP Funding Comparison YR1'!D24,0)</f>
        <v>17436</v>
      </c>
      <c r="Y27" s="195"/>
      <c r="Z27" s="143" t="str">
        <f>'2.9 PCFP Funding Comparison YR1'!T24</f>
        <v>PCFP</v>
      </c>
      <c r="AA27" s="799">
        <f>V27-'2.9 PCFP Funding Comparison YR1'!H24</f>
        <v>6233429</v>
      </c>
      <c r="AB27" s="662" t="str">
        <f>IF('2.9 PCFP Funding Comparison YR1'!K24="Yes","PCFP","FY 2020 Baseline")</f>
        <v>PCFP</v>
      </c>
      <c r="AC27" s="801">
        <f>V27-'Biennial Comparison'!D23</f>
        <v>5483084.8150211833</v>
      </c>
      <c r="AD27" s="12"/>
    </row>
    <row r="28" spans="1:30" x14ac:dyDescent="0.3">
      <c r="A28" s="106"/>
      <c r="B28" s="9" t="str">
        <f>'1.2 Budgeted Enrollment YR1'!E26</f>
        <v>Charter Schools</v>
      </c>
      <c r="D28" s="9" t="str">
        <f>IF('2.9 PCFP Funding Comparison YR1'!K24="Yes","PCFP","Hold Harmless")</f>
        <v>PCFP</v>
      </c>
      <c r="E28" s="471" t="str">
        <f>'3.1a Initial Allocations YR1'!D29</f>
        <v>PCFP</v>
      </c>
      <c r="F28" s="380">
        <f>F98</f>
        <v>683239962</v>
      </c>
      <c r="G28" s="2011">
        <f>ROUND(F28/'2.9 PCFP Funding Comparison YR1'!D25,0)</f>
        <v>9450</v>
      </c>
      <c r="H28" s="1301"/>
      <c r="I28" s="2011">
        <f>I98</f>
        <v>27050440</v>
      </c>
      <c r="J28" s="2011">
        <f>J98</f>
        <v>6614302</v>
      </c>
      <c r="K28" s="2011">
        <f>K98</f>
        <v>1684719</v>
      </c>
      <c r="L28" s="2011">
        <f>ROUND(SUM(I28:K28),0)</f>
        <v>35349461</v>
      </c>
      <c r="M28" s="8"/>
      <c r="N28" s="2011">
        <f>ROUND('3.1a Initial Allocations YR1'!L29,0)</f>
        <v>0</v>
      </c>
      <c r="O28" s="2011">
        <f>ROUND('3.1a Initial Allocations YR1'!M29,0)</f>
        <v>0</v>
      </c>
      <c r="P28" s="2011">
        <f>ROUND('3.1a Initial Allocations YR1'!N29,0)</f>
        <v>0</v>
      </c>
      <c r="Q28" s="2011">
        <f>ROUND('3.1a Initial Allocations YR1'!O29,0)</f>
        <v>0</v>
      </c>
      <c r="R28" s="2011">
        <f>ROUND(SUM(N28:Q28),0)</f>
        <v>0</v>
      </c>
      <c r="S28" s="89"/>
      <c r="T28" s="2011">
        <f>T98</f>
        <v>24608056</v>
      </c>
      <c r="U28" s="8"/>
      <c r="V28" s="394">
        <f t="shared" si="2"/>
        <v>743197479</v>
      </c>
      <c r="W28" s="12"/>
      <c r="X28" s="104">
        <f>ROUND(V28/'2.9 PCFP Funding Comparison YR1'!D25,0)</f>
        <v>10279</v>
      </c>
      <c r="Y28" s="195"/>
      <c r="Z28" s="2027" t="str">
        <f>'2.9 PCFP Funding Comparison YR1'!T25</f>
        <v>PCFP</v>
      </c>
      <c r="AA28" s="2031">
        <f>V28-'2.9 PCFP Funding Comparison YR1'!H25</f>
        <v>309390955</v>
      </c>
      <c r="AB28" s="2032" t="str">
        <f>IF('2.9 PCFP Funding Comparison YR1'!K25="Yes","PCFP","FY 2020 Baseline")</f>
        <v>PCFP</v>
      </c>
      <c r="AC28" s="2086">
        <f>V28-'Biennial Comparison'!D24</f>
        <v>252309977.73884052</v>
      </c>
      <c r="AD28" s="12"/>
    </row>
    <row r="29" spans="1:30" x14ac:dyDescent="0.3">
      <c r="A29" s="106"/>
      <c r="B29" s="9" t="str">
        <f>'1.2 Budgeted Enrollment YR1'!E27</f>
        <v>University Schools</v>
      </c>
      <c r="D29" s="9" t="str">
        <f>IF('2.9 PCFP Funding Comparison YR1'!K25="Yes","PCFP","Hold Harmless")</f>
        <v>PCFP</v>
      </c>
      <c r="E29" s="471" t="str">
        <f>'3.1a Initial Allocations YR1'!D30</f>
        <v>PCFP</v>
      </c>
      <c r="F29" s="380">
        <f>F103</f>
        <v>1580808</v>
      </c>
      <c r="G29" s="375">
        <f>ROUND(F29/'2.9 PCFP Funding Comparison YR1'!D26,0)</f>
        <v>9416</v>
      </c>
      <c r="H29" s="1301"/>
      <c r="I29" s="375">
        <f>I103</f>
        <v>0</v>
      </c>
      <c r="J29" s="375">
        <f>J103</f>
        <v>0</v>
      </c>
      <c r="K29" s="375">
        <f>K103</f>
        <v>0</v>
      </c>
      <c r="L29" s="375">
        <f t="shared" si="0"/>
        <v>0</v>
      </c>
      <c r="M29" s="8"/>
      <c r="N29" s="375">
        <f>ROUND('3.1a Initial Allocations YR1'!L30,2)</f>
        <v>0</v>
      </c>
      <c r="O29" s="375">
        <f>ROUND('3.1a Initial Allocations YR1'!M30,0)</f>
        <v>0</v>
      </c>
      <c r="P29" s="375">
        <f>ROUND('3.1a Initial Allocations YR1'!N30,0)</f>
        <v>0</v>
      </c>
      <c r="Q29" s="375">
        <f>ROUND('3.1a Initial Allocations YR1'!O30,0)</f>
        <v>0</v>
      </c>
      <c r="R29" s="375">
        <f t="shared" ref="R29:R31" si="3">ROUND(SUM(N29:Q29),0)</f>
        <v>0</v>
      </c>
      <c r="S29" s="89"/>
      <c r="T29" s="375">
        <f>T103</f>
        <v>52268</v>
      </c>
      <c r="U29" s="8"/>
      <c r="V29" s="394">
        <f t="shared" si="2"/>
        <v>1633076</v>
      </c>
      <c r="W29" s="12"/>
      <c r="X29" s="104">
        <f>ROUND(V29/'2.9 PCFP Funding Comparison YR1'!D26,0)</f>
        <v>9727</v>
      </c>
      <c r="Y29" s="195"/>
      <c r="Z29" s="102" t="str">
        <f>'2.9 PCFP Funding Comparison YR1'!T26</f>
        <v>PCFP</v>
      </c>
      <c r="AA29" s="798">
        <f>V29-'2.9 PCFP Funding Comparison YR1'!H26</f>
        <v>471670</v>
      </c>
      <c r="AB29" s="661" t="str">
        <f>IF('2.9 PCFP Funding Comparison YR1'!K26="Yes","PCFP","FY 2020 Baseline")</f>
        <v>PCFP</v>
      </c>
      <c r="AC29" s="198">
        <f>V29-'Biennial Comparison'!D25</f>
        <v>404028.02072744351</v>
      </c>
      <c r="AD29" s="12"/>
    </row>
    <row r="30" spans="1:30" x14ac:dyDescent="0.3">
      <c r="B30" s="9" t="str">
        <f>'1.2 Budgeted Enrollment YR1'!E28</f>
        <v>City of Henderson</v>
      </c>
      <c r="E30" s="471" t="str">
        <f>'3.1a Initial Allocations YR1'!D31</f>
        <v>PCFP</v>
      </c>
      <c r="F30" s="385">
        <f>F108</f>
        <v>0</v>
      </c>
      <c r="G30" s="375">
        <f>IF(F30=0,0,ROUND(F30/'2.9 PCFP Funding Comparison YR1'!D27,0))</f>
        <v>0</v>
      </c>
      <c r="H30" s="1301"/>
      <c r="I30" s="375">
        <f>I108</f>
        <v>0</v>
      </c>
      <c r="J30" s="375">
        <f>J108</f>
        <v>0</v>
      </c>
      <c r="K30" s="375">
        <f>K108</f>
        <v>0</v>
      </c>
      <c r="L30" s="375">
        <f t="shared" si="0"/>
        <v>0</v>
      </c>
      <c r="M30" s="8"/>
      <c r="N30" s="375">
        <f>ROUND('3.1a Initial Allocations YR1'!L31,2)</f>
        <v>0</v>
      </c>
      <c r="O30" s="375">
        <f>ROUND('3.1a Initial Allocations YR1'!M31,0)</f>
        <v>0</v>
      </c>
      <c r="P30" s="375">
        <f>ROUND('3.1a Initial Allocations YR1'!N31,0)</f>
        <v>0</v>
      </c>
      <c r="Q30" s="375">
        <f>ROUND('3.1a Initial Allocations YR1'!O31,0)</f>
        <v>0</v>
      </c>
      <c r="R30" s="375">
        <f t="shared" si="3"/>
        <v>0</v>
      </c>
      <c r="S30" s="89"/>
      <c r="T30" s="375">
        <f>ROUND('3.1a Initial Allocations YR1'!R31,2)</f>
        <v>0</v>
      </c>
      <c r="U30" s="8"/>
      <c r="V30" s="394">
        <f t="shared" si="2"/>
        <v>0</v>
      </c>
      <c r="W30" s="12"/>
      <c r="X30" s="104">
        <f>IF(V30=0,0,ROUND(V30/'2.9 PCFP Funding Comparison YR1'!D27,0))</f>
        <v>0</v>
      </c>
      <c r="Y30" s="195"/>
      <c r="Z30" s="102" t="str">
        <f>'2.9 PCFP Funding Comparison YR1'!T27</f>
        <v>PCFP</v>
      </c>
      <c r="AA30" s="798">
        <f>V30-'2.9 PCFP Funding Comparison YR1'!H27</f>
        <v>0</v>
      </c>
      <c r="AB30" s="661" t="str">
        <f>IF('2.9 PCFP Funding Comparison YR1'!K27="Yes","PCFP","FY 2020 Baseline")</f>
        <v>PCFP</v>
      </c>
      <c r="AC30" s="198">
        <f>V30-'Biennial Comparison'!D26</f>
        <v>-4463364280</v>
      </c>
      <c r="AD30" s="12"/>
    </row>
    <row r="31" spans="1:30" x14ac:dyDescent="0.3">
      <c r="B31" s="9" t="str">
        <f>'1.2 Budgeted Enrollment YR1'!E29</f>
        <v>City of North Las Vegas</v>
      </c>
      <c r="E31" s="384" t="str">
        <f>'3.1a Initial Allocations YR1'!D32</f>
        <v>PCFP</v>
      </c>
      <c r="F31" s="391">
        <f>F113</f>
        <v>0</v>
      </c>
      <c r="G31" s="376">
        <f>IF(F31=0,0,ROUND(F31/'2.9 PCFP Funding Comparison YR1'!D28,0))</f>
        <v>0</v>
      </c>
      <c r="H31" s="1301"/>
      <c r="I31" s="376">
        <f>I113</f>
        <v>0</v>
      </c>
      <c r="J31" s="376">
        <f>J113</f>
        <v>0</v>
      </c>
      <c r="K31" s="376">
        <f>K113</f>
        <v>0</v>
      </c>
      <c r="L31" s="376">
        <f t="shared" si="0"/>
        <v>0</v>
      </c>
      <c r="M31" s="8"/>
      <c r="N31" s="376">
        <f>ROUND('3.1a Initial Allocations YR1'!L32,2)</f>
        <v>0</v>
      </c>
      <c r="O31" s="376">
        <f>ROUND('3.1a Initial Allocations YR1'!M32,0)</f>
        <v>0</v>
      </c>
      <c r="P31" s="376">
        <f>ROUND('3.1a Initial Allocations YR1'!N32,0)</f>
        <v>0</v>
      </c>
      <c r="Q31" s="376">
        <f>ROUND('3.1a Initial Allocations YR1'!O32,0)</f>
        <v>0</v>
      </c>
      <c r="R31" s="376">
        <f t="shared" si="3"/>
        <v>0</v>
      </c>
      <c r="S31" s="89"/>
      <c r="T31" s="376">
        <f>ROUND('3.1a Initial Allocations YR1'!R32,2)</f>
        <v>0</v>
      </c>
      <c r="U31" s="8"/>
      <c r="V31" s="392">
        <f t="shared" si="2"/>
        <v>0</v>
      </c>
      <c r="W31" s="12"/>
      <c r="X31" s="104">
        <f>IF(V31=0,0,ROUND(V31/'2.9 PCFP Funding Comparison YR1'!D28,0))</f>
        <v>0</v>
      </c>
      <c r="Y31" s="195"/>
      <c r="Z31" s="143" t="str">
        <f>'2.9 PCFP Funding Comparison YR1'!T28</f>
        <v>PCFP</v>
      </c>
      <c r="AA31" s="799">
        <f>V31-'2.9 PCFP Funding Comparison YR1'!H28</f>
        <v>0</v>
      </c>
      <c r="AB31" s="662" t="str">
        <f>IF('2.9 PCFP Funding Comparison YR1'!K28="Yes","PCFP","FY 2020 Baseline")</f>
        <v>PCFP</v>
      </c>
      <c r="AC31" s="2087">
        <f>V31-'Biennial Comparison'!D27</f>
        <v>0</v>
      </c>
      <c r="AD31" s="12"/>
    </row>
    <row r="32" spans="1:30" ht="17.25" thickBot="1" x14ac:dyDescent="0.35">
      <c r="A32" s="204"/>
      <c r="B32" s="135" t="s">
        <v>1354</v>
      </c>
      <c r="C32" s="135"/>
      <c r="D32" s="135"/>
      <c r="E32" s="817">
        <f>F32-4552283626</f>
        <v>-28796308</v>
      </c>
      <c r="F32" s="1288">
        <f>ROUND(SUM(F11:F31),2)</f>
        <v>4523487318</v>
      </c>
      <c r="G32" s="1302">
        <f>ROUND(F32/'2.9 PCFP Funding Comparison YR1'!D29,0)</f>
        <v>9754</v>
      </c>
      <c r="H32" s="1301"/>
      <c r="I32" s="1289">
        <f>ROUND(SUM(I11:I31),0)</f>
        <v>232694619</v>
      </c>
      <c r="J32" s="1288">
        <f>ROUND(SUM(J11:J31),0)</f>
        <v>165011887</v>
      </c>
      <c r="K32" s="1290">
        <f>ROUND(SUM(K11:K31),0)</f>
        <v>9855215</v>
      </c>
      <c r="L32" s="1288">
        <f>ROUND(SUM(L11:L31),0)</f>
        <v>407561721</v>
      </c>
      <c r="M32" s="8"/>
      <c r="N32" s="1288">
        <f>ROUND(SUM(N11:N31),0)</f>
        <v>192112974</v>
      </c>
      <c r="O32" s="1288">
        <f>ROUND(SUM(O11:O31),0)</f>
        <v>0</v>
      </c>
      <c r="P32" s="1288">
        <f>ROUND(SUM(P11:P31),0)</f>
        <v>1499704</v>
      </c>
      <c r="Q32" s="1288">
        <f>ROUND(SUM(Q11:Q31),0)</f>
        <v>0</v>
      </c>
      <c r="R32" s="1288">
        <f>ROUND(SUM(N32:Q32),0)</f>
        <v>193612678</v>
      </c>
      <c r="S32" s="96"/>
      <c r="T32" s="1288">
        <f>ROUND(SUM(T11:T31),0)</f>
        <v>599829442</v>
      </c>
      <c r="U32" s="8"/>
      <c r="V32" s="1288">
        <f>ROUND(F32+L32+R32+T32,0)</f>
        <v>5724491159</v>
      </c>
      <c r="W32" s="817"/>
      <c r="X32" s="293">
        <f>ROUND(V32/'2.9 PCFP Funding Comparison YR1'!D29,0)</f>
        <v>12344</v>
      </c>
      <c r="AA32" s="802">
        <f>SUM(AA11:AA31)</f>
        <v>1647342438</v>
      </c>
      <c r="AB32" s="4"/>
      <c r="AC32" s="802">
        <f>SUM(AC11:AC27)</f>
        <v>1008412873.2404321</v>
      </c>
    </row>
    <row r="33" spans="1:28" ht="17.25" thickBot="1" x14ac:dyDescent="0.35">
      <c r="B33" s="2186">
        <f>F33+L33</f>
        <v>4523487318</v>
      </c>
      <c r="C33" s="191"/>
      <c r="D33" s="191"/>
      <c r="E33" s="191"/>
      <c r="F33" s="346">
        <f>F32+Q32</f>
        <v>4523487318</v>
      </c>
      <c r="G33" s="346"/>
      <c r="H33" s="1301"/>
      <c r="I33" s="626"/>
      <c r="J33" s="626"/>
      <c r="K33" s="626"/>
      <c r="L33" s="2326"/>
      <c r="M33" s="8"/>
      <c r="N33" s="346">
        <f>N32-'3.1a Initial Allocations YR1'!L33</f>
        <v>0</v>
      </c>
      <c r="O33" s="346">
        <f>O32-'3.1a Initial Allocations YR1'!M33</f>
        <v>0</v>
      </c>
      <c r="P33" s="346">
        <f>P32-'3.1a Initial Allocations YR1'!N33</f>
        <v>0</v>
      </c>
      <c r="Q33" s="346">
        <f>Q32-'3.1a Initial Allocations YR1'!O33</f>
        <v>0</v>
      </c>
      <c r="R33" s="346">
        <f>R32-'3.1a Initial Allocations YR1'!P33</f>
        <v>0</v>
      </c>
      <c r="S33" s="627"/>
      <c r="T33" s="626">
        <f>T32-'3.1a Initial Allocations YR1'!R33</f>
        <v>0</v>
      </c>
      <c r="U33" s="8"/>
      <c r="V33" s="1297">
        <f>V32-'1.3 Budgeted Revenues YR1'!C40</f>
        <v>0</v>
      </c>
      <c r="W33" s="628"/>
      <c r="X33" s="17" t="s">
        <v>1687</v>
      </c>
      <c r="Y33" s="1428">
        <v>2</v>
      </c>
    </row>
    <row r="34" spans="1:28" x14ac:dyDescent="0.3">
      <c r="A34" s="289"/>
      <c r="B34" s="294"/>
      <c r="C34" s="203" t="s">
        <v>1346</v>
      </c>
      <c r="D34" s="203"/>
      <c r="E34" s="203"/>
      <c r="F34" s="347" t="s">
        <v>1680</v>
      </c>
      <c r="G34" s="347" t="s">
        <v>1681</v>
      </c>
      <c r="H34" s="1301"/>
      <c r="I34" s="1303" t="s">
        <v>1680</v>
      </c>
      <c r="J34" s="1304" t="s">
        <v>1680</v>
      </c>
      <c r="K34" s="1303" t="s">
        <v>1680</v>
      </c>
      <c r="L34" s="1305" t="s">
        <v>1680</v>
      </c>
      <c r="M34" s="8"/>
      <c r="N34" s="2198" t="s">
        <v>2236</v>
      </c>
      <c r="O34" s="2199" t="s">
        <v>2235</v>
      </c>
      <c r="P34" s="2198" t="s">
        <v>2235</v>
      </c>
      <c r="Q34" s="2198"/>
      <c r="R34" s="2198" t="s">
        <v>2235</v>
      </c>
      <c r="S34" s="1306"/>
      <c r="T34" s="2198" t="s">
        <v>2235</v>
      </c>
      <c r="U34" s="8"/>
      <c r="V34" s="1307"/>
      <c r="W34" s="624"/>
      <c r="X34" s="625"/>
      <c r="Y34" s="211"/>
      <c r="Z34" s="195" t="s">
        <v>1688</v>
      </c>
      <c r="AA34" s="370">
        <f>V32-'3.1a Initial Allocations YR1'!T33</f>
        <v>-8351825</v>
      </c>
    </row>
    <row r="35" spans="1:28" x14ac:dyDescent="0.3">
      <c r="A35" s="4" t="s">
        <v>1654</v>
      </c>
      <c r="B35" s="106"/>
      <c r="F35" s="2013"/>
      <c r="G35" s="2013"/>
      <c r="H35" s="1301"/>
      <c r="I35" s="2012"/>
      <c r="J35" s="12"/>
      <c r="K35" s="117"/>
      <c r="L35" s="2012"/>
      <c r="M35" s="8"/>
      <c r="N35" s="117"/>
      <c r="O35" s="12"/>
      <c r="P35" s="2012"/>
      <c r="Q35" s="2012"/>
      <c r="R35" s="2012"/>
      <c r="S35" s="12"/>
      <c r="T35" s="2012"/>
      <c r="U35" s="8"/>
      <c r="V35" s="2012"/>
      <c r="W35" s="15"/>
      <c r="X35" s="2029"/>
      <c r="Y35" s="215"/>
      <c r="Z35" s="9" t="s">
        <v>1689</v>
      </c>
      <c r="AA35" s="2182">
        <f>AA34/V32</f>
        <v>-1.4589637345966246E-3</v>
      </c>
    </row>
    <row r="36" spans="1:28" x14ac:dyDescent="0.3">
      <c r="A36" s="4"/>
      <c r="B36" s="106" t="str">
        <f>'1.2 Budgeted Enrollment YR1'!E34</f>
        <v>FuturEdge (Formerly 100 Academy Of Excellence)</v>
      </c>
      <c r="D36" s="9" t="str">
        <f>$D$29</f>
        <v>PCFP</v>
      </c>
      <c r="E36" s="9" t="str">
        <f>$E$28</f>
        <v>PCFP</v>
      </c>
      <c r="F36" s="375">
        <f>ROUND(('3.1a Initial Allocations YR1'!E37)*$K$3+H36,0)</f>
        <v>2267963</v>
      </c>
      <c r="G36" s="375">
        <f>ROUND(IF(F36=0,0,F36/'2.9 PCFP Funding Comparison YR1'!D32),0)</f>
        <v>9416</v>
      </c>
      <c r="H36" s="1301">
        <f>$Y$33*'2.8 Alloc of Residual Rev. YR1'!D39</f>
        <v>1.0577425686654452E-3</v>
      </c>
      <c r="I36" s="375">
        <f>ROUND('3.1a Initial Allocations YR1'!G37*'3.1b Allocation Adj. YR1 '!$K$3,0)</f>
        <v>114405</v>
      </c>
      <c r="J36" s="385">
        <f>ROUND('3.1a Initial Allocations YR1'!H37*'3.1b Allocation Adj. YR1 '!$K$3,0)</f>
        <v>260354</v>
      </c>
      <c r="K36" s="375">
        <f>ROUND('3.1a Initial Allocations YR1'!I37*'3.1b Allocation Adj. YR1 '!$K$3,0)</f>
        <v>0</v>
      </c>
      <c r="L36" s="375">
        <f>I36+J36+K36</f>
        <v>374759</v>
      </c>
      <c r="M36" s="8"/>
      <c r="N36" s="104">
        <f>ROUND('3.1a Initial Allocations YR1'!L37*'3.1b Allocation Adj. YR1 '!$K$3,0)</f>
        <v>0</v>
      </c>
      <c r="O36" s="89">
        <v>0</v>
      </c>
      <c r="P36" s="104">
        <v>0</v>
      </c>
      <c r="Q36" s="104"/>
      <c r="R36" s="375">
        <f>SUM(N36:Q36)</f>
        <v>0</v>
      </c>
      <c r="S36" s="89"/>
      <c r="T36" s="2178">
        <f>ROUND('3.1a Initial Allocations YR1'!R37,0)</f>
        <v>190820</v>
      </c>
      <c r="U36" s="8"/>
      <c r="V36" s="375">
        <f>ROUND(R36+L36+F36+T36,0)</f>
        <v>2833542</v>
      </c>
      <c r="W36" s="115"/>
      <c r="X36" s="375">
        <f>ROUND(IF(F36=0,0,IF(V36=0,0,V36/'2.9 PCFP Funding Comparison YR1'!D32)),0)</f>
        <v>11764</v>
      </c>
      <c r="Y36" s="215"/>
      <c r="AA36" s="215"/>
    </row>
    <row r="37" spans="1:28" x14ac:dyDescent="0.3">
      <c r="A37" s="4"/>
      <c r="B37" s="106" t="str">
        <f>'1.2 Budgeted Enrollment YR1'!E35</f>
        <v>Academy For Career Education</v>
      </c>
      <c r="D37" s="9" t="str">
        <f t="shared" ref="D37:D94" si="4">$D$29</f>
        <v>PCFP</v>
      </c>
      <c r="E37" s="9" t="str">
        <f t="shared" ref="E37:E94" si="5">$E$28</f>
        <v>PCFP</v>
      </c>
      <c r="F37" s="375">
        <f>ROUND(('3.1a Initial Allocations YR1'!E38)*$K$3+H37,0)</f>
        <v>2387710</v>
      </c>
      <c r="G37" s="375">
        <f>ROUND(IF(F37=0,0,F37/'2.9 PCFP Funding Comparison YR1'!D33),0)</f>
        <v>9416</v>
      </c>
      <c r="H37" s="1301">
        <f>$Y$33*'2.8 Alloc of Residual Rev. YR1'!D40</f>
        <v>6.8541515370363249E-4</v>
      </c>
      <c r="I37" s="375">
        <f>ROUND('3.1a Initial Allocations YR1'!G38*'3.1b Allocation Adj. YR1 '!$K$3,0)</f>
        <v>114405</v>
      </c>
      <c r="J37" s="385">
        <f>ROUND('3.1a Initial Allocations YR1'!H38*'3.1b Allocation Adj. YR1 '!$K$3,0)</f>
        <v>13183</v>
      </c>
      <c r="K37" s="375">
        <f>ROUND('3.1a Initial Allocations YR1'!I38*'3.1b Allocation Adj. YR1 '!$K$3,0)</f>
        <v>0</v>
      </c>
      <c r="L37" s="375">
        <f t="shared" ref="L37:L97" si="6">I37+J37+K37</f>
        <v>127588</v>
      </c>
      <c r="M37" s="8"/>
      <c r="N37" s="104">
        <f>ROUND('3.1a Initial Allocations YR1'!L38*'3.1b Allocation Adj. YR1 '!$K$3,0)</f>
        <v>0</v>
      </c>
      <c r="O37" s="89">
        <v>0</v>
      </c>
      <c r="P37" s="104">
        <v>0</v>
      </c>
      <c r="Q37" s="104"/>
      <c r="R37" s="375">
        <f t="shared" ref="R37:R97" si="7">SUM(N37:Q37)</f>
        <v>0</v>
      </c>
      <c r="S37" s="89"/>
      <c r="T37" s="2178">
        <f>ROUND('3.1a Initial Allocations YR1'!R38,0)</f>
        <v>0</v>
      </c>
      <c r="U37" s="8"/>
      <c r="V37" s="375">
        <f t="shared" ref="V37:V67" si="8">ROUND(R37+L37+F37+T37,0)</f>
        <v>2515298</v>
      </c>
      <c r="W37" s="115"/>
      <c r="X37" s="375">
        <f>ROUND(IF(F37=0,0,IF(V37=0,0,V37/'2.9 PCFP Funding Comparison YR1'!D33)),0)</f>
        <v>9919</v>
      </c>
      <c r="AA37" s="15"/>
    </row>
    <row r="38" spans="1:28" x14ac:dyDescent="0.3">
      <c r="A38" s="4"/>
      <c r="B38" s="106" t="str">
        <f>'1.2 Budgeted Enrollment YR1'!E36</f>
        <v xml:space="preserve">Alpine Academy </v>
      </c>
      <c r="D38" s="9" t="str">
        <f t="shared" si="4"/>
        <v>PCFP</v>
      </c>
      <c r="E38" s="9" t="str">
        <f t="shared" si="5"/>
        <v>PCFP</v>
      </c>
      <c r="F38" s="375">
        <f>ROUND(('3.1a Initial Allocations YR1'!E39)*$K$3+H38,0)</f>
        <v>1547231</v>
      </c>
      <c r="G38" s="375">
        <f>ROUND(IF(F38=0,0,F38/'2.9 PCFP Funding Comparison YR1'!D34),0)</f>
        <v>9416</v>
      </c>
      <c r="H38" s="1301">
        <f>$Y$33*'2.8 Alloc of Residual Rev. YR1'!D41</f>
        <v>9.881302883638839E-3</v>
      </c>
      <c r="I38" s="375">
        <f>ROUND('3.1a Initial Allocations YR1'!G39*'3.1b Allocation Adj. YR1 '!$K$3,0)</f>
        <v>21186</v>
      </c>
      <c r="J38" s="385">
        <f>ROUND('3.1a Initial Allocations YR1'!H39*'3.1b Allocation Adj. YR1 '!$K$3,0)</f>
        <v>26365</v>
      </c>
      <c r="K38" s="375">
        <f>ROUND('3.1a Initial Allocations YR1'!I39*'3.1b Allocation Adj. YR1 '!$K$3,0)</f>
        <v>0</v>
      </c>
      <c r="L38" s="375">
        <f t="shared" si="6"/>
        <v>47551</v>
      </c>
      <c r="M38" s="8"/>
      <c r="N38" s="104">
        <f>ROUND('3.1a Initial Allocations YR1'!L39*'3.1b Allocation Adj. YR1 '!$K$3,0)</f>
        <v>0</v>
      </c>
      <c r="O38" s="89">
        <v>0</v>
      </c>
      <c r="P38" s="104">
        <v>0</v>
      </c>
      <c r="Q38" s="104"/>
      <c r="R38" s="375">
        <f t="shared" si="7"/>
        <v>0</v>
      </c>
      <c r="S38" s="89"/>
      <c r="T38" s="2178">
        <f>ROUND('3.1a Initial Allocations YR1'!R39,0)</f>
        <v>30681</v>
      </c>
      <c r="U38" s="8"/>
      <c r="V38" s="375">
        <f t="shared" si="8"/>
        <v>1625463</v>
      </c>
      <c r="W38" s="115"/>
      <c r="X38" s="375">
        <f>ROUND(IF(F38=0,0,IF(V38=0,0,V38/'2.9 PCFP Funding Comparison YR1'!D34)),0)</f>
        <v>9892</v>
      </c>
    </row>
    <row r="39" spans="1:28" x14ac:dyDescent="0.3">
      <c r="A39" s="4"/>
      <c r="B39" s="106" t="str">
        <f>'1.2 Budgeted Enrollment YR1'!E37</f>
        <v xml:space="preserve">Amplus (Formerly American Preparatory Academy) </v>
      </c>
      <c r="D39" s="9" t="str">
        <f t="shared" si="4"/>
        <v>PCFP</v>
      </c>
      <c r="E39" s="9" t="str">
        <f t="shared" si="5"/>
        <v>PCFP</v>
      </c>
      <c r="F39" s="375">
        <f>ROUND(('3.1a Initial Allocations YR1'!E40)*$K$3+H39,0)</f>
        <v>22305696</v>
      </c>
      <c r="G39" s="375">
        <f>ROUND(IF(F39=0,0,F39/'2.9 PCFP Funding Comparison YR1'!D35),0)</f>
        <v>9416</v>
      </c>
      <c r="H39" s="1301">
        <f>$Y$33*'2.8 Alloc of Residual Rev. YR1'!D42</f>
        <v>6.9467887128739532E-4</v>
      </c>
      <c r="I39" s="375">
        <f>ROUND('3.1a Initial Allocations YR1'!G40*'3.1b Allocation Adj. YR1 '!$K$3,0)</f>
        <v>631347</v>
      </c>
      <c r="J39" s="385">
        <f>ROUND('3.1a Initial Allocations YR1'!H40*'3.1b Allocation Adj. YR1 '!$K$3,0)</f>
        <v>29661</v>
      </c>
      <c r="K39" s="375">
        <f>ROUND('3.1a Initial Allocations YR1'!I40*'3.1b Allocation Adj. YR1 '!$K$3,0)</f>
        <v>66666</v>
      </c>
      <c r="L39" s="375">
        <f t="shared" si="6"/>
        <v>727674</v>
      </c>
      <c r="M39" s="8"/>
      <c r="N39" s="104">
        <f>ROUND('3.1a Initial Allocations YR1'!L40*'3.1b Allocation Adj. YR1 '!$K$3,0)</f>
        <v>0</v>
      </c>
      <c r="O39" s="89">
        <v>0</v>
      </c>
      <c r="P39" s="104">
        <v>0</v>
      </c>
      <c r="Q39" s="104"/>
      <c r="R39" s="375">
        <f t="shared" si="7"/>
        <v>0</v>
      </c>
      <c r="S39" s="89"/>
      <c r="T39" s="2178">
        <f>ROUND('3.1a Initial Allocations YR1'!R40,0)</f>
        <v>419964</v>
      </c>
      <c r="U39" s="8"/>
      <c r="V39" s="375">
        <f t="shared" si="8"/>
        <v>23453334</v>
      </c>
      <c r="W39" s="115"/>
      <c r="X39" s="375">
        <f>ROUND(IF(F39=0,0,IF(V39=0,0,V39/'2.9 PCFP Funding Comparison YR1'!D35)),0)</f>
        <v>9901</v>
      </c>
      <c r="Z39" s="12"/>
    </row>
    <row r="40" spans="1:28" x14ac:dyDescent="0.3">
      <c r="A40" s="4"/>
      <c r="B40" s="106" t="str">
        <f>'1.2 Budgeted Enrollment YR1'!E38</f>
        <v>Bailey Charter School</v>
      </c>
      <c r="D40" s="9" t="str">
        <f t="shared" si="4"/>
        <v>PCFP</v>
      </c>
      <c r="E40" s="9" t="str">
        <f t="shared" si="5"/>
        <v>PCFP</v>
      </c>
      <c r="F40" s="375">
        <f>ROUND(('3.1a Initial Allocations YR1'!E41)*$K$3+H40,0)</f>
        <v>1568143</v>
      </c>
      <c r="G40" s="375">
        <f>ROUND(IF(F40=0,0,F40/'2.9 PCFP Funding Comparison YR1'!D36),0)</f>
        <v>9416</v>
      </c>
      <c r="H40" s="1301">
        <f>$Y$33*'2.8 Alloc of Residual Rev. YR1'!D43</f>
        <v>1.1284647084050269E-3</v>
      </c>
      <c r="I40" s="375">
        <f>ROUND('3.1a Initial Allocations YR1'!G41*'3.1b Allocation Adj. YR1 '!$K$3,0)</f>
        <v>275420</v>
      </c>
      <c r="J40" s="385">
        <f>ROUND('3.1a Initial Allocations YR1'!H41*'3.1b Allocation Adj. YR1 '!$K$3,0)</f>
        <v>102164</v>
      </c>
      <c r="K40" s="375">
        <f>ROUND('3.1a Initial Allocations YR1'!I41*'3.1b Allocation Adj. YR1 '!$K$3,0)</f>
        <v>0</v>
      </c>
      <c r="L40" s="375">
        <f t="shared" si="6"/>
        <v>377584</v>
      </c>
      <c r="M40" s="8"/>
      <c r="N40" s="104">
        <f>ROUND('3.1a Initial Allocations YR1'!L41*'3.1b Allocation Adj. YR1 '!$K$3,0)</f>
        <v>0</v>
      </c>
      <c r="O40" s="89">
        <v>0</v>
      </c>
      <c r="P40" s="104">
        <v>0</v>
      </c>
      <c r="Q40" s="104"/>
      <c r="R40" s="375">
        <f t="shared" si="7"/>
        <v>0</v>
      </c>
      <c r="S40" s="89"/>
      <c r="T40" s="2178">
        <f>ROUND('3.1a Initial Allocations YR1'!R41,0)</f>
        <v>33894</v>
      </c>
      <c r="U40" s="8"/>
      <c r="V40" s="375">
        <f t="shared" si="8"/>
        <v>1979621</v>
      </c>
      <c r="W40" s="115"/>
      <c r="X40" s="375">
        <f>ROUND(IF(F40=0,0,IF(V40=0,0,V40/'2.9 PCFP Funding Comparison YR1'!D36)),0)</f>
        <v>11887</v>
      </c>
      <c r="Z40" s="12"/>
    </row>
    <row r="41" spans="1:28" x14ac:dyDescent="0.3">
      <c r="A41" s="4"/>
      <c r="B41" s="106" t="str">
        <f>'1.2 Budgeted Enrollment YR1'!E39</f>
        <v>Battle Born Academy</v>
      </c>
      <c r="D41" s="9" t="str">
        <f t="shared" si="4"/>
        <v>PCFP</v>
      </c>
      <c r="E41" s="9" t="str">
        <f t="shared" si="5"/>
        <v>PCFP</v>
      </c>
      <c r="F41" s="375">
        <f>ROUND(('3.1a Initial Allocations YR1'!E42)*$K$3+H41,0)</f>
        <v>2547355</v>
      </c>
      <c r="G41" s="375">
        <f>ROUND(IF(F41=0,0,F41/'2.9 PCFP Funding Comparison YR1'!D37),0)</f>
        <v>9416</v>
      </c>
      <c r="H41" s="1301">
        <f>$Y$33*'2.8 Alloc of Residual Rev. YR1'!D44</f>
        <v>3.576935096366249E-3</v>
      </c>
      <c r="I41" s="375">
        <f>ROUND('3.1a Initial Allocations YR1'!G42*'3.1b Allocation Adj. YR1 '!$K$3,0)</f>
        <v>597448</v>
      </c>
      <c r="J41" s="385">
        <f>ROUND('3.1a Initial Allocations YR1'!H42*'3.1b Allocation Adj. YR1 '!$K$3,0)</f>
        <v>0</v>
      </c>
      <c r="K41" s="375">
        <f>ROUND('3.1a Initial Allocations YR1'!I42*'3.1b Allocation Adj. YR1 '!$K$3,0)</f>
        <v>0</v>
      </c>
      <c r="L41" s="375">
        <f t="shared" si="6"/>
        <v>597448</v>
      </c>
      <c r="M41" s="8"/>
      <c r="N41" s="104">
        <f>ROUND('3.1a Initial Allocations YR1'!L42*'3.1b Allocation Adj. YR1 '!$K$3,0)</f>
        <v>0</v>
      </c>
      <c r="O41" s="89">
        <v>0</v>
      </c>
      <c r="P41" s="104">
        <v>0</v>
      </c>
      <c r="Q41" s="104"/>
      <c r="R41" s="375">
        <f t="shared" si="7"/>
        <v>0</v>
      </c>
      <c r="S41" s="89"/>
      <c r="T41" s="2178">
        <f>ROUND('3.1a Initial Allocations YR1'!R42,0)</f>
        <v>153810</v>
      </c>
      <c r="U41" s="8"/>
      <c r="V41" s="375">
        <f t="shared" si="8"/>
        <v>3298613</v>
      </c>
      <c r="W41" s="115"/>
      <c r="X41" s="375">
        <f>ROUND(IF(F41=0,0,IF(V41=0,0,V41/'2.9 PCFP Funding Comparison YR1'!D37)),0)</f>
        <v>12193</v>
      </c>
      <c r="Z41" s="12"/>
    </row>
    <row r="42" spans="1:28" x14ac:dyDescent="0.3">
      <c r="A42" s="4"/>
      <c r="B42" s="106" t="str">
        <f>'1.2 Budgeted Enrollment YR1'!E40</f>
        <v>Beacon Academy</v>
      </c>
      <c r="D42" s="9" t="str">
        <f t="shared" si="4"/>
        <v>PCFP</v>
      </c>
      <c r="E42" s="9" t="str">
        <f t="shared" si="5"/>
        <v>PCFP</v>
      </c>
      <c r="F42" s="375">
        <f>ROUND(('3.1a Initial Allocations YR1'!E43)*$K$3+H42,0)</f>
        <v>8074444</v>
      </c>
      <c r="G42" s="375">
        <f>ROUND(IF(F42=0,0,F42/'2.9 PCFP Funding Comparison YR1'!D38),0)</f>
        <v>9416</v>
      </c>
      <c r="H42" s="1301">
        <f>$Y$33*'2.8 Alloc of Residual Rev. YR1'!D45</f>
        <v>1.2580201007020497E-3</v>
      </c>
      <c r="I42" s="375">
        <f>ROUND('3.1a Initial Allocations YR1'!G43*'3.1b Allocation Adj. YR1 '!$K$3,0)</f>
        <v>521178</v>
      </c>
      <c r="J42" s="385">
        <f>ROUND('3.1a Initial Allocations YR1'!H43*'3.1b Allocation Adj. YR1 '!$K$3,0)</f>
        <v>860156</v>
      </c>
      <c r="K42" s="375">
        <f>ROUND('3.1a Initial Allocations YR1'!I43*'3.1b Allocation Adj. YR1 '!$K$3,0)</f>
        <v>0</v>
      </c>
      <c r="L42" s="375">
        <f t="shared" si="6"/>
        <v>1381334</v>
      </c>
      <c r="M42" s="8"/>
      <c r="N42" s="104">
        <f>ROUND('3.1a Initial Allocations YR1'!L43*'3.1b Allocation Adj. YR1 '!$K$3,0)</f>
        <v>0</v>
      </c>
      <c r="O42" s="89">
        <v>0</v>
      </c>
      <c r="P42" s="104">
        <v>0</v>
      </c>
      <c r="Q42" s="104"/>
      <c r="R42" s="375">
        <f t="shared" si="7"/>
        <v>0</v>
      </c>
      <c r="S42" s="89"/>
      <c r="T42" s="2178">
        <f>ROUND('3.1a Initial Allocations YR1'!R43,0)</f>
        <v>801317</v>
      </c>
      <c r="U42" s="8"/>
      <c r="V42" s="375">
        <f t="shared" si="8"/>
        <v>10257095</v>
      </c>
      <c r="W42" s="115"/>
      <c r="X42" s="375">
        <f>ROUND(IF(F42=0,0,IF(V42=0,0,V42/'2.9 PCFP Funding Comparison YR1'!D38)),0)</f>
        <v>11961</v>
      </c>
      <c r="Z42" s="12"/>
      <c r="AB42" s="12"/>
    </row>
    <row r="43" spans="1:28" x14ac:dyDescent="0.3">
      <c r="A43" s="4"/>
      <c r="B43" s="106" t="str">
        <f>'1.2 Budgeted Enrollment YR1'!E41</f>
        <v>Cactus Park</v>
      </c>
      <c r="D43" s="9" t="str">
        <f t="shared" si="4"/>
        <v>PCFP</v>
      </c>
      <c r="E43" s="9" t="str">
        <f t="shared" si="5"/>
        <v>PCFP</v>
      </c>
      <c r="F43" s="375">
        <f>ROUND(('3.1a Initial Allocations YR1'!E44)*$K$3+H43,0)</f>
        <v>2839809</v>
      </c>
      <c r="G43" s="375">
        <f>ROUND(IF(F43=0,0,F43/'2.9 PCFP Funding Comparison YR1'!D39),0)</f>
        <v>9416</v>
      </c>
      <c r="H43" s="1301">
        <f>$Y$33*'2.8 Alloc of Residual Rev. YR1'!D46</f>
        <v>1.3294303745209905E-3</v>
      </c>
      <c r="I43" s="375">
        <f>ROUND('3.1a Initial Allocations YR1'!G44*'3.1b Allocation Adj. YR1 '!$K$3,0)</f>
        <v>271183</v>
      </c>
      <c r="J43" s="385">
        <f>ROUND('3.1a Initial Allocations YR1'!H44*'3.1b Allocation Adj. YR1 '!$K$3,0)</f>
        <v>0</v>
      </c>
      <c r="K43" s="375">
        <f>ROUND('3.1a Initial Allocations YR1'!I44*'3.1b Allocation Adj. YR1 '!$K$3,0)</f>
        <v>0</v>
      </c>
      <c r="L43" s="375">
        <f t="shared" si="6"/>
        <v>271183</v>
      </c>
      <c r="M43" s="8"/>
      <c r="N43" s="104">
        <f>ROUND('3.1a Initial Allocations YR1'!L44*'3.1b Allocation Adj. YR1 '!$K$3,0)</f>
        <v>0</v>
      </c>
      <c r="O43" s="89">
        <v>0</v>
      </c>
      <c r="P43" s="104">
        <v>0</v>
      </c>
      <c r="Q43" s="104"/>
      <c r="R43" s="375">
        <f t="shared" si="7"/>
        <v>0</v>
      </c>
      <c r="S43" s="89"/>
      <c r="T43" s="2178">
        <f>ROUND('3.1a Initial Allocations YR1'!R44,0)</f>
        <v>31624</v>
      </c>
      <c r="U43" s="8"/>
      <c r="V43" s="375">
        <f t="shared" si="8"/>
        <v>3142616</v>
      </c>
      <c r="W43" s="115"/>
      <c r="X43" s="375">
        <f>ROUND(IF(F43=0,0,IF(V43=0,0,V43/'2.9 PCFP Funding Comparison YR1'!D39)),0)</f>
        <v>10420</v>
      </c>
      <c r="Z43" s="12"/>
      <c r="AB43" s="12"/>
    </row>
    <row r="44" spans="1:28" x14ac:dyDescent="0.3">
      <c r="A44" s="4"/>
      <c r="B44" s="106" t="str">
        <f>'1.2 Budgeted Enrollment YR1'!E42</f>
        <v>Carson Montessori</v>
      </c>
      <c r="D44" s="9" t="str">
        <f t="shared" si="4"/>
        <v>PCFP</v>
      </c>
      <c r="E44" s="9" t="str">
        <f t="shared" si="5"/>
        <v>PCFP</v>
      </c>
      <c r="F44" s="375">
        <f>ROUND(('3.1a Initial Allocations YR1'!E45)*$K$3+H44,0)</f>
        <v>3001008</v>
      </c>
      <c r="G44" s="375">
        <f>ROUND(IF(F44=0,0,F44/'2.9 PCFP Funding Comparison YR1'!D40),0)</f>
        <v>10119</v>
      </c>
      <c r="H44" s="1301">
        <f>$Y$33*'2.8 Alloc of Residual Rev. YR1'!D47</f>
        <v>3.8222898330563969E-3</v>
      </c>
      <c r="I44" s="375">
        <f>ROUND('3.1a Initial Allocations YR1'!G45*'3.1b Allocation Adj. YR1 '!$K$3,0)</f>
        <v>21186</v>
      </c>
      <c r="J44" s="385">
        <f>ROUND('3.1a Initial Allocations YR1'!H45*'3.1b Allocation Adj. YR1 '!$K$3,0)</f>
        <v>3295</v>
      </c>
      <c r="K44" s="375">
        <f>ROUND('3.1a Initial Allocations YR1'!I45*'3.1b Allocation Adj. YR1 '!$K$3,0)</f>
        <v>1130</v>
      </c>
      <c r="L44" s="375">
        <f t="shared" si="6"/>
        <v>25611</v>
      </c>
      <c r="M44" s="8"/>
      <c r="N44" s="104">
        <f>ROUND('3.1a Initial Allocations YR1'!L45*'3.1b Allocation Adj. YR1 '!$K$3,0)</f>
        <v>0</v>
      </c>
      <c r="O44" s="89">
        <v>0</v>
      </c>
      <c r="P44" s="104">
        <v>0</v>
      </c>
      <c r="Q44" s="104"/>
      <c r="R44" s="375">
        <f t="shared" si="7"/>
        <v>0</v>
      </c>
      <c r="S44" s="89"/>
      <c r="T44" s="2178">
        <f>ROUND('3.1a Initial Allocations YR1'!R45,0)</f>
        <v>67318</v>
      </c>
      <c r="U44" s="8"/>
      <c r="V44" s="375">
        <f t="shared" si="8"/>
        <v>3093937</v>
      </c>
      <c r="W44" s="115"/>
      <c r="X44" s="375">
        <f>ROUND(IF(F44=0,0,IF(V44=0,0,V44/'2.9 PCFP Funding Comparison YR1'!D40)),0)</f>
        <v>10433</v>
      </c>
      <c r="Z44" s="12"/>
    </row>
    <row r="45" spans="1:28" x14ac:dyDescent="0.3">
      <c r="A45" s="4"/>
      <c r="B45" s="106" t="str">
        <f>'1.2 Budgeted Enrollment YR1'!E43</f>
        <v>CIVICA Nevada Career &amp; Collegiate Academy</v>
      </c>
      <c r="D45" s="9" t="str">
        <f t="shared" si="4"/>
        <v>PCFP</v>
      </c>
      <c r="E45" s="9" t="str">
        <f t="shared" si="5"/>
        <v>PCFP</v>
      </c>
      <c r="F45" s="375">
        <f>ROUND(('3.1a Initial Allocations YR1'!E46)*$K$3+H45,0)</f>
        <v>8628299</v>
      </c>
      <c r="G45" s="375">
        <f>ROUND(IF(F45=0,0,F45/'2.9 PCFP Funding Comparison YR1'!D41),0)</f>
        <v>9416</v>
      </c>
      <c r="H45" s="1301">
        <f>$Y$33*'2.8 Alloc of Residual Rev. YR1'!D48</f>
        <v>2.2859783159120475E-2</v>
      </c>
      <c r="I45" s="375">
        <f>ROUND('3.1a Initial Allocations YR1'!G46*'3.1b Allocation Adj. YR1 '!$K$3,0)</f>
        <v>1432181</v>
      </c>
      <c r="J45" s="385">
        <f>ROUND('3.1a Initial Allocations YR1'!H46*'3.1b Allocation Adj. YR1 '!$K$3,0)</f>
        <v>16478</v>
      </c>
      <c r="K45" s="375">
        <f>ROUND('3.1a Initial Allocations YR1'!I46*'3.1b Allocation Adj. YR1 '!$K$3,0)</f>
        <v>0</v>
      </c>
      <c r="L45" s="375">
        <f t="shared" si="6"/>
        <v>1448659</v>
      </c>
      <c r="M45" s="8"/>
      <c r="N45" s="104">
        <f>ROUND('3.1a Initial Allocations YR1'!L46*'3.1b Allocation Adj. YR1 '!$K$3,0)</f>
        <v>0</v>
      </c>
      <c r="O45" s="89">
        <v>0</v>
      </c>
      <c r="P45" s="104">
        <v>0</v>
      </c>
      <c r="Q45" s="104"/>
      <c r="R45" s="375">
        <f t="shared" si="7"/>
        <v>0</v>
      </c>
      <c r="S45" s="89"/>
      <c r="T45" s="2178">
        <f>ROUND('3.1a Initial Allocations YR1'!R46,0)</f>
        <v>257639</v>
      </c>
      <c r="U45" s="8"/>
      <c r="V45" s="375">
        <f t="shared" si="8"/>
        <v>10334597</v>
      </c>
      <c r="W45" s="115"/>
      <c r="X45" s="375">
        <f>ROUND(IF(F45=0,0,IF(V45=0,0,V45/'2.9 PCFP Funding Comparison YR1'!D41)),0)</f>
        <v>11278</v>
      </c>
      <c r="Z45" s="12"/>
    </row>
    <row r="46" spans="1:28" x14ac:dyDescent="0.3">
      <c r="A46" s="4"/>
      <c r="B46" s="106" t="str">
        <f>'1.2 Budgeted Enrollment YR1'!E44</f>
        <v>Coral Academy of Science Las Vegas</v>
      </c>
      <c r="D46" s="9" t="str">
        <f t="shared" si="4"/>
        <v>PCFP</v>
      </c>
      <c r="E46" s="9" t="str">
        <f t="shared" si="5"/>
        <v>PCFP</v>
      </c>
      <c r="F46" s="375">
        <f>ROUND(('3.1a Initial Allocations YR1'!E47)*$K$3+H46,0)</f>
        <v>51602849</v>
      </c>
      <c r="G46" s="375">
        <f>ROUND(IF(F46=0,0,F46/'2.9 PCFP Funding Comparison YR1'!D42),0)</f>
        <v>9416</v>
      </c>
      <c r="H46" s="1301">
        <f>$Y$33*'2.8 Alloc of Residual Rev. YR1'!D49</f>
        <v>8.4593144952340802E-3</v>
      </c>
      <c r="I46" s="375">
        <f>ROUND('3.1a Initial Allocations YR1'!G47*'3.1b Allocation Adj. YR1 '!$K$3,0)</f>
        <v>1118627</v>
      </c>
      <c r="J46" s="385">
        <f>ROUND('3.1a Initial Allocations YR1'!H47*'3.1b Allocation Adj. YR1 '!$K$3,0)</f>
        <v>56025</v>
      </c>
      <c r="K46" s="375">
        <f>ROUND('3.1a Initial Allocations YR1'!I47*'3.1b Allocation Adj. YR1 '!$K$3,0)</f>
        <v>68925</v>
      </c>
      <c r="L46" s="375">
        <f t="shared" si="6"/>
        <v>1243577</v>
      </c>
      <c r="M46" s="8"/>
      <c r="N46" s="104">
        <f>ROUND('3.1a Initial Allocations YR1'!L47*'3.1b Allocation Adj. YR1 '!$K$3,0)</f>
        <v>0</v>
      </c>
      <c r="O46" s="89">
        <v>0</v>
      </c>
      <c r="P46" s="104">
        <v>0</v>
      </c>
      <c r="Q46" s="104"/>
      <c r="R46" s="375">
        <f t="shared" si="7"/>
        <v>0</v>
      </c>
      <c r="S46" s="89"/>
      <c r="T46" s="2178">
        <f>ROUND('3.1a Initial Allocations YR1'!R47,0)</f>
        <v>620880</v>
      </c>
      <c r="U46" s="8"/>
      <c r="V46" s="375">
        <f t="shared" si="8"/>
        <v>53467306</v>
      </c>
      <c r="W46" s="115"/>
      <c r="X46" s="375">
        <f>ROUND(IF(F46=0,0,IF(V46=0,0,V46/'2.9 PCFP Funding Comparison YR1'!D42)),0)</f>
        <v>9756</v>
      </c>
      <c r="Z46" s="12"/>
    </row>
    <row r="47" spans="1:28" ht="15.75" customHeight="1" x14ac:dyDescent="0.3">
      <c r="A47" s="4"/>
      <c r="B47" s="106" t="str">
        <f>'1.2 Budgeted Enrollment YR1'!E45</f>
        <v>Coral Academy Washoe</v>
      </c>
      <c r="D47" s="9" t="str">
        <f t="shared" si="4"/>
        <v>PCFP</v>
      </c>
      <c r="E47" s="9" t="str">
        <f t="shared" si="5"/>
        <v>PCFP</v>
      </c>
      <c r="F47" s="375">
        <f>ROUND(('3.1a Initial Allocations YR1'!E48)*$K$3+H47,0)</f>
        <v>19095751</v>
      </c>
      <c r="G47" s="375">
        <f>ROUND(IF(F47=0,0,F47/'2.9 PCFP Funding Comparison YR1'!D43),0)</f>
        <v>9416</v>
      </c>
      <c r="H47" s="1301">
        <f>$Y$33*'2.8 Alloc of Residual Rev. YR1'!D50</f>
        <v>5.8606539797516604E-3</v>
      </c>
      <c r="I47" s="375">
        <f>ROUND('3.1a Initial Allocations YR1'!G48*'3.1b Allocation Adj. YR1 '!$K$3,0)</f>
        <v>686430</v>
      </c>
      <c r="J47" s="385">
        <f>ROUND('3.1a Initial Allocations YR1'!H48*'3.1b Allocation Adj. YR1 '!$K$3,0)</f>
        <v>138416</v>
      </c>
      <c r="K47" s="375">
        <f>ROUND('3.1a Initial Allocations YR1'!I48*'3.1b Allocation Adj. YR1 '!$K$3,0)</f>
        <v>1130</v>
      </c>
      <c r="L47" s="375">
        <f t="shared" si="6"/>
        <v>825976</v>
      </c>
      <c r="M47" s="8"/>
      <c r="N47" s="104">
        <f>ROUND('3.1a Initial Allocations YR1'!L48*'3.1b Allocation Adj. YR1 '!$K$3,0)</f>
        <v>0</v>
      </c>
      <c r="O47" s="89">
        <v>0</v>
      </c>
      <c r="P47" s="104">
        <v>0</v>
      </c>
      <c r="Q47" s="104"/>
      <c r="R47" s="375">
        <f t="shared" si="7"/>
        <v>0</v>
      </c>
      <c r="S47" s="89"/>
      <c r="T47" s="2178">
        <f>ROUND('3.1a Initial Allocations YR1'!R48,0)</f>
        <v>342530</v>
      </c>
      <c r="U47" s="8"/>
      <c r="V47" s="375">
        <f t="shared" si="8"/>
        <v>20264257</v>
      </c>
      <c r="W47" s="115"/>
      <c r="X47" s="375">
        <f>ROUND(IF(F47=0,0,IF(V47=0,0,V47/'2.9 PCFP Funding Comparison YR1'!D43)),0)</f>
        <v>9992</v>
      </c>
      <c r="Z47" s="12"/>
    </row>
    <row r="48" spans="1:28" x14ac:dyDescent="0.3">
      <c r="B48" s="106" t="str">
        <f>'1.2 Budgeted Enrollment YR1'!E46</f>
        <v>Delta Academy</v>
      </c>
      <c r="D48" s="9" t="str">
        <f t="shared" si="4"/>
        <v>PCFP</v>
      </c>
      <c r="E48" s="9" t="str">
        <f t="shared" si="5"/>
        <v>PCFP</v>
      </c>
      <c r="F48" s="375">
        <f>ROUND(('3.1a Initial Allocations YR1'!E49)*$K$3+H48,0)</f>
        <v>13229629</v>
      </c>
      <c r="G48" s="375">
        <f>ROUND(IF(F48=0,0,F48/'2.9 PCFP Funding Comparison YR1'!D44),0)</f>
        <v>9416</v>
      </c>
      <c r="H48" s="1301">
        <f>$Y$33*'2.8 Alloc of Residual Rev. YR1'!D51</f>
        <v>5.3350610616980437E-3</v>
      </c>
      <c r="I48" s="375">
        <f>ROUND('3.1a Initial Allocations YR1'!G49*'3.1b Allocation Adj. YR1 '!$K$3,0)</f>
        <v>440672</v>
      </c>
      <c r="J48" s="385">
        <f>ROUND('3.1a Initial Allocations YR1'!H49*'3.1b Allocation Adj. YR1 '!$K$3,0)</f>
        <v>1038120</v>
      </c>
      <c r="K48" s="375">
        <f>ROUND('3.1a Initial Allocations YR1'!I49*'3.1b Allocation Adj. YR1 '!$K$3,0)</f>
        <v>0</v>
      </c>
      <c r="L48" s="375">
        <f t="shared" si="6"/>
        <v>1478792</v>
      </c>
      <c r="M48" s="8"/>
      <c r="N48" s="104">
        <f>ROUND('3.1a Initial Allocations YR1'!L49*'3.1b Allocation Adj. YR1 '!$K$3,0)</f>
        <v>0</v>
      </c>
      <c r="O48" s="89">
        <v>0</v>
      </c>
      <c r="P48" s="104">
        <v>0</v>
      </c>
      <c r="Q48" s="104"/>
      <c r="R48" s="375">
        <f t="shared" si="7"/>
        <v>0</v>
      </c>
      <c r="S48" s="12"/>
      <c r="T48" s="2178">
        <f>ROUND('3.1a Initial Allocations YR1'!R49,0)</f>
        <v>423899</v>
      </c>
      <c r="U48" s="8"/>
      <c r="V48" s="375">
        <f t="shared" si="8"/>
        <v>15132320</v>
      </c>
      <c r="W48" s="115"/>
      <c r="X48" s="375">
        <f>ROUND(IF(F48=0,0,IF(V48=0,0,V48/'2.9 PCFP Funding Comparison YR1'!D44)),0)</f>
        <v>10770</v>
      </c>
    </row>
    <row r="49" spans="1:26" x14ac:dyDescent="0.3">
      <c r="A49" s="4"/>
      <c r="B49" s="106" t="str">
        <f>'1.2 Budgeted Enrollment YR1'!E47</f>
        <v>Democracy Prep</v>
      </c>
      <c r="D49" s="9" t="str">
        <f t="shared" si="4"/>
        <v>PCFP</v>
      </c>
      <c r="E49" s="9" t="str">
        <f t="shared" si="5"/>
        <v>PCFP</v>
      </c>
      <c r="F49" s="375">
        <f>ROUND(('3.1a Initial Allocations YR1'!E50)*$K$3+H49,0)</f>
        <v>12043174</v>
      </c>
      <c r="G49" s="375">
        <f>ROUND(IF(F49=0,0,F49/'2.9 PCFP Funding Comparison YR1'!D45),0)</f>
        <v>9416</v>
      </c>
      <c r="H49" s="1301">
        <f>$Y$33*'2.8 Alloc of Residual Rev. YR1'!D52</f>
        <v>2.0847941804932541E-3</v>
      </c>
      <c r="I49" s="375">
        <f>ROUND('3.1a Initial Allocations YR1'!G50*'3.1b Allocation Adj. YR1 '!$K$3,0)</f>
        <v>440672</v>
      </c>
      <c r="J49" s="385">
        <f>ROUND('3.1a Initial Allocations YR1'!H50*'3.1b Allocation Adj. YR1 '!$K$3,0)</f>
        <v>583324</v>
      </c>
      <c r="K49" s="375">
        <f>ROUND('3.1a Initial Allocations YR1'!I50*'3.1b Allocation Adj. YR1 '!$K$3,0)</f>
        <v>0</v>
      </c>
      <c r="L49" s="375">
        <f t="shared" si="6"/>
        <v>1023996</v>
      </c>
      <c r="M49" s="8"/>
      <c r="N49" s="104">
        <f>ROUND('3.1a Initial Allocations YR1'!L50*'3.1b Allocation Adj. YR1 '!$K$3,0)</f>
        <v>0</v>
      </c>
      <c r="O49" s="89">
        <v>0</v>
      </c>
      <c r="P49" s="104">
        <v>0</v>
      </c>
      <c r="Q49" s="104"/>
      <c r="R49" s="375">
        <f t="shared" si="7"/>
        <v>0</v>
      </c>
      <c r="S49" s="89"/>
      <c r="T49" s="2178">
        <f>ROUND('3.1a Initial Allocations YR1'!R50,0)</f>
        <v>0</v>
      </c>
      <c r="U49" s="8"/>
      <c r="V49" s="375">
        <f t="shared" si="8"/>
        <v>13067170</v>
      </c>
      <c r="W49" s="115"/>
      <c r="X49" s="375">
        <f>ROUND(IF(F49=0,0,IF(V49=0,0,V49/'2.9 PCFP Funding Comparison YR1'!D45)),0)</f>
        <v>10217</v>
      </c>
    </row>
    <row r="50" spans="1:26" x14ac:dyDescent="0.3">
      <c r="A50" s="4"/>
      <c r="B50" s="106" t="str">
        <f>'1.2 Budgeted Enrollment YR1'!E48</f>
        <v>Discovery Charter</v>
      </c>
      <c r="D50" s="9" t="str">
        <f t="shared" si="4"/>
        <v>PCFP</v>
      </c>
      <c r="E50" s="9" t="str">
        <f t="shared" si="5"/>
        <v>PCFP</v>
      </c>
      <c r="F50" s="375">
        <f>ROUND(('3.1a Initial Allocations YR1'!E51)*$K$3+H50,0)</f>
        <v>4706139</v>
      </c>
      <c r="G50" s="375">
        <f>ROUND(IF(F50=0,0,F50/'2.9 PCFP Funding Comparison YR1'!D46),0)</f>
        <v>9416</v>
      </c>
      <c r="H50" s="1301">
        <f>$Y$33*'2.8 Alloc of Residual Rev. YR1'!D53</f>
        <v>2.3127275381421469E-4</v>
      </c>
      <c r="I50" s="375">
        <f>ROUND('3.1a Initial Allocations YR1'!G51*'3.1b Allocation Adj. YR1 '!$K$3,0)</f>
        <v>233047</v>
      </c>
      <c r="J50" s="385">
        <f>ROUND('3.1a Initial Allocations YR1'!H51*'3.1b Allocation Adj. YR1 '!$K$3,0)</f>
        <v>9887</v>
      </c>
      <c r="K50" s="375">
        <f>ROUND('3.1a Initial Allocations YR1'!I51*'3.1b Allocation Adj. YR1 '!$K$3,0)</f>
        <v>0</v>
      </c>
      <c r="L50" s="375">
        <f t="shared" si="6"/>
        <v>242934</v>
      </c>
      <c r="M50" s="8"/>
      <c r="N50" s="104">
        <f>ROUND('3.1a Initial Allocations YR1'!L51*'3.1b Allocation Adj. YR1 '!$K$3,0)</f>
        <v>0</v>
      </c>
      <c r="O50" s="89">
        <v>0</v>
      </c>
      <c r="P50" s="104">
        <v>0</v>
      </c>
      <c r="Q50" s="104"/>
      <c r="R50" s="375">
        <f t="shared" si="7"/>
        <v>0</v>
      </c>
      <c r="S50" s="89"/>
      <c r="T50" s="2178">
        <f>ROUND('3.1a Initial Allocations YR1'!R51,0)</f>
        <v>130158</v>
      </c>
      <c r="U50" s="8"/>
      <c r="V50" s="375">
        <f t="shared" si="8"/>
        <v>5079231</v>
      </c>
      <c r="W50" s="115"/>
      <c r="X50" s="375">
        <f>ROUND(IF(F50=0,0,IF(V50=0,0,V50/'2.9 PCFP Funding Comparison YR1'!D46)),0)</f>
        <v>10163</v>
      </c>
    </row>
    <row r="51" spans="1:26" x14ac:dyDescent="0.3">
      <c r="A51" s="4"/>
      <c r="B51" s="106" t="str">
        <f>'1.2 Budgeted Enrollment YR1'!E49</f>
        <v>Do and Be Academy of Excellence</v>
      </c>
      <c r="D51" s="9" t="str">
        <f t="shared" si="4"/>
        <v>PCFP</v>
      </c>
      <c r="E51" s="9" t="str">
        <f t="shared" si="5"/>
        <v>PCFP</v>
      </c>
      <c r="F51" s="375">
        <f>ROUND(('3.1a Initial Allocations YR1'!E52)*$K$3+H51,0)</f>
        <v>522067</v>
      </c>
      <c r="G51" s="375">
        <f>ROUND(IF(F51=0,0,F51/'2.9 PCFP Funding Comparison YR1'!D47),0)</f>
        <v>9416</v>
      </c>
      <c r="H51" s="1301">
        <f>$Y$33*'2.8 Alloc of Residual Rev. YR1'!D54</f>
        <v>2.696189148251122E-2</v>
      </c>
      <c r="I51" s="375">
        <f>ROUND('3.1a Initial Allocations YR1'!G52*'3.1b Allocation Adj. YR1 '!$K$3,0)</f>
        <v>0</v>
      </c>
      <c r="J51" s="385">
        <f>ROUND('3.1a Initial Allocations YR1'!H52*'3.1b Allocation Adj. YR1 '!$K$3,0)</f>
        <v>0</v>
      </c>
      <c r="K51" s="375">
        <f>ROUND('3.1a Initial Allocations YR1'!I52*'3.1b Allocation Adj. YR1 '!$K$3,0)</f>
        <v>0</v>
      </c>
      <c r="L51" s="375">
        <f t="shared" si="6"/>
        <v>0</v>
      </c>
      <c r="M51" s="8"/>
      <c r="N51" s="104">
        <f>ROUND('3.1a Initial Allocations YR1'!L52*'3.1b Allocation Adj. YR1 '!$K$3,0)</f>
        <v>0</v>
      </c>
      <c r="O51" s="89">
        <v>0</v>
      </c>
      <c r="P51" s="104">
        <v>0</v>
      </c>
      <c r="Q51" s="104"/>
      <c r="R51" s="375">
        <f t="shared" si="7"/>
        <v>0</v>
      </c>
      <c r="S51" s="89"/>
      <c r="T51" s="2178">
        <f>ROUND('3.1a Initial Allocations YR1'!R52,0)</f>
        <v>0</v>
      </c>
      <c r="U51" s="8"/>
      <c r="V51" s="375">
        <f t="shared" si="8"/>
        <v>522067</v>
      </c>
      <c r="W51" s="115"/>
      <c r="X51" s="375">
        <f>ROUND(IF(F51=0,0,IF(V51=0,0,V51/'2.9 PCFP Funding Comparison YR1'!D47)),0)</f>
        <v>9416</v>
      </c>
      <c r="Z51" s="9" t="s">
        <v>370</v>
      </c>
    </row>
    <row r="52" spans="1:26" x14ac:dyDescent="0.3">
      <c r="A52" s="4"/>
      <c r="B52" s="106" t="str">
        <f>'1.2 Budgeted Enrollment YR1'!E50</f>
        <v>Doral Academy</v>
      </c>
      <c r="D52" s="9" t="str">
        <f t="shared" si="4"/>
        <v>PCFP</v>
      </c>
      <c r="E52" s="9" t="str">
        <f t="shared" si="5"/>
        <v>PCFP</v>
      </c>
      <c r="F52" s="375">
        <f>ROUND(('3.1a Initial Allocations YR1'!E53)*$K$3+H52,0)</f>
        <v>60862800</v>
      </c>
      <c r="G52" s="375">
        <f>ROUND(IF(F52=0,0,F52/'2.9 PCFP Funding Comparison YR1'!D48),0)</f>
        <v>9416</v>
      </c>
      <c r="H52" s="1301">
        <f>$Y$33*'2.8 Alloc of Residual Rev. YR1'!D55</f>
        <v>4.2495874856764209E-3</v>
      </c>
      <c r="I52" s="375">
        <f>ROUND('3.1a Initial Allocations YR1'!G53*'3.1b Allocation Adj. YR1 '!$K$3,0)</f>
        <v>983036</v>
      </c>
      <c r="J52" s="385">
        <f>ROUND('3.1a Initial Allocations YR1'!H53*'3.1b Allocation Adj. YR1 '!$K$3,0)</f>
        <v>23069</v>
      </c>
      <c r="K52" s="375">
        <f>ROUND('3.1a Initial Allocations YR1'!I53*'3.1b Allocation Adj. YR1 '!$K$3,0)</f>
        <v>372875</v>
      </c>
      <c r="L52" s="375">
        <f t="shared" si="6"/>
        <v>1378980</v>
      </c>
      <c r="M52" s="8"/>
      <c r="N52" s="104">
        <f>ROUND('3.1a Initial Allocations YR1'!L53*'3.1b Allocation Adj. YR1 '!$K$3,0)</f>
        <v>0</v>
      </c>
      <c r="O52" s="89">
        <v>0</v>
      </c>
      <c r="P52" s="104">
        <v>0</v>
      </c>
      <c r="Q52" s="104"/>
      <c r="R52" s="375">
        <f t="shared" si="7"/>
        <v>0</v>
      </c>
      <c r="S52" s="89"/>
      <c r="T52" s="2178">
        <f>ROUND('3.1a Initial Allocations YR1'!R53,0)</f>
        <v>2791360</v>
      </c>
      <c r="U52" s="8"/>
      <c r="V52" s="375">
        <f t="shared" si="8"/>
        <v>65033140</v>
      </c>
      <c r="W52" s="115"/>
      <c r="X52" s="375">
        <f>ROUND(IF(F52=0,0,IF(V52=0,0,V52/'2.9 PCFP Funding Comparison YR1'!D48)),0)</f>
        <v>10061</v>
      </c>
    </row>
    <row r="53" spans="1:26" x14ac:dyDescent="0.3">
      <c r="A53" s="4"/>
      <c r="B53" s="106" t="str">
        <f>'1.2 Budgeted Enrollment YR1'!E51</f>
        <v>Doral Academy of Northern Nevada</v>
      </c>
      <c r="D53" s="9" t="str">
        <f t="shared" si="4"/>
        <v>PCFP</v>
      </c>
      <c r="E53" s="9" t="str">
        <f t="shared" si="5"/>
        <v>PCFP</v>
      </c>
      <c r="F53" s="375">
        <f>ROUND(('3.1a Initial Allocations YR1'!E54)*$K$3+H53,0)</f>
        <v>9592865</v>
      </c>
      <c r="G53" s="375">
        <f>ROUND(IF(F53=0,0,F53/'2.9 PCFP Funding Comparison YR1'!D49),0)</f>
        <v>9416</v>
      </c>
      <c r="H53" s="1301">
        <f>$Y$33*'2.8 Alloc of Residual Rev. YR1'!D56</f>
        <v>0</v>
      </c>
      <c r="I53" s="375">
        <f>ROUND('3.1a Initial Allocations YR1'!G54*'3.1b Allocation Adj. YR1 '!$K$3,0)</f>
        <v>42372</v>
      </c>
      <c r="J53" s="385">
        <f>ROUND('3.1a Initial Allocations YR1'!H54*'3.1b Allocation Adj. YR1 '!$K$3,0)</f>
        <v>0</v>
      </c>
      <c r="K53" s="375">
        <f>ROUND('3.1a Initial Allocations YR1'!I54*'3.1b Allocation Adj. YR1 '!$K$3,0)</f>
        <v>89264</v>
      </c>
      <c r="L53" s="375">
        <f t="shared" si="6"/>
        <v>131636</v>
      </c>
      <c r="M53" s="8"/>
      <c r="N53" s="104">
        <f>ROUND('3.1a Initial Allocations YR1'!L54*'3.1b Allocation Adj. YR1 '!$K$3,0)</f>
        <v>0</v>
      </c>
      <c r="O53" s="89">
        <v>0</v>
      </c>
      <c r="P53" s="104">
        <v>0</v>
      </c>
      <c r="Q53" s="104"/>
      <c r="R53" s="375">
        <f t="shared" si="7"/>
        <v>0</v>
      </c>
      <c r="S53" s="89"/>
      <c r="T53" s="2178">
        <f>ROUND('3.1a Initial Allocations YR1'!R54,0)</f>
        <v>85050</v>
      </c>
      <c r="U53" s="8"/>
      <c r="V53" s="375">
        <f t="shared" si="8"/>
        <v>9809551</v>
      </c>
      <c r="W53" s="115"/>
      <c r="X53" s="375">
        <f>ROUND(IF(F53=0,0,IF(V53=0,0,V53/'2.9 PCFP Funding Comparison YR1'!D49)),0)</f>
        <v>9629</v>
      </c>
    </row>
    <row r="54" spans="1:26" x14ac:dyDescent="0.3">
      <c r="A54" s="4"/>
      <c r="B54" s="106" t="str">
        <f>'1.2 Budgeted Enrollment YR1'!E52</f>
        <v>Eagle Charter School (CLOSED)</v>
      </c>
      <c r="D54" s="9" t="str">
        <f t="shared" si="4"/>
        <v>PCFP</v>
      </c>
      <c r="E54" s="9" t="str">
        <f t="shared" si="5"/>
        <v>PCFP</v>
      </c>
      <c r="F54" s="375">
        <f>ROUND(('3.1a Initial Allocations YR1'!E55)*$K$3+H54,0)</f>
        <v>0</v>
      </c>
      <c r="G54" s="375">
        <f>ROUND(IF(F54=0,0,F54/'2.9 PCFP Funding Comparison YR1'!D50),0)</f>
        <v>0</v>
      </c>
      <c r="H54" s="1301">
        <f>$Y$33*'2.8 Alloc of Residual Rev. YR1'!D57</f>
        <v>1.4212909671688023E-3</v>
      </c>
      <c r="I54" s="375">
        <f>ROUND('3.1a Initial Allocations YR1'!G55*'3.1b Allocation Adj. YR1 '!$K$3,0)</f>
        <v>0</v>
      </c>
      <c r="J54" s="385">
        <f>ROUND('3.1a Initial Allocations YR1'!H55*'3.1b Allocation Adj. YR1 '!$K$3,0)</f>
        <v>0</v>
      </c>
      <c r="K54" s="375">
        <f>ROUND('3.1a Initial Allocations YR1'!I55*'3.1b Allocation Adj. YR1 '!$K$3,0)</f>
        <v>0</v>
      </c>
      <c r="L54" s="375">
        <f t="shared" si="6"/>
        <v>0</v>
      </c>
      <c r="M54" s="8"/>
      <c r="N54" s="104">
        <f>ROUND('3.1a Initial Allocations YR1'!L55*'3.1b Allocation Adj. YR1 '!$K$3,0)</f>
        <v>0</v>
      </c>
      <c r="O54" s="89">
        <v>0</v>
      </c>
      <c r="P54" s="104">
        <v>0</v>
      </c>
      <c r="Q54" s="104"/>
      <c r="R54" s="375">
        <f t="shared" si="7"/>
        <v>0</v>
      </c>
      <c r="S54" s="89"/>
      <c r="T54" s="2178">
        <f>ROUND('3.1a Initial Allocations YR1'!R55,0)</f>
        <v>0</v>
      </c>
      <c r="U54" s="8"/>
      <c r="V54" s="375">
        <f t="shared" si="8"/>
        <v>0</v>
      </c>
      <c r="W54" s="115"/>
      <c r="X54" s="375">
        <f>ROUND(IF(F54=0,0,IF(V54=0,0,V54/'2.9 PCFP Funding Comparison YR1'!D50)),0)</f>
        <v>0</v>
      </c>
    </row>
    <row r="55" spans="1:26" x14ac:dyDescent="0.3">
      <c r="A55" s="4"/>
      <c r="B55" s="106" t="str">
        <f>'1.2 Budgeted Enrollment YR1'!E53</f>
        <v>Elko Institute for Academic Achievement</v>
      </c>
      <c r="D55" s="9" t="str">
        <f t="shared" si="4"/>
        <v>PCFP</v>
      </c>
      <c r="E55" s="9" t="str">
        <f t="shared" si="5"/>
        <v>PCFP</v>
      </c>
      <c r="F55" s="375">
        <f>ROUND(('3.1a Initial Allocations YR1'!E56)*$K$3+H55,0)</f>
        <v>3208371</v>
      </c>
      <c r="G55" s="375">
        <f>ROUND(IF(F55=0,0,F55/'2.9 PCFP Funding Comparison YR1'!D51),0)</f>
        <v>10162</v>
      </c>
      <c r="H55" s="1301">
        <f>$Y$33*'2.8 Alloc of Residual Rev. YR1'!D58</f>
        <v>5.4170923047007177E-4</v>
      </c>
      <c r="I55" s="375">
        <f>ROUND('3.1a Initial Allocations YR1'!G56*'3.1b Allocation Adj. YR1 '!$K$3,0)</f>
        <v>33898</v>
      </c>
      <c r="J55" s="385">
        <f>ROUND('3.1a Initial Allocations YR1'!H56*'3.1b Allocation Adj. YR1 '!$K$3,0)</f>
        <v>26365</v>
      </c>
      <c r="K55" s="375">
        <f>ROUND('3.1a Initial Allocations YR1'!I56*'3.1b Allocation Adj. YR1 '!$K$3,0)</f>
        <v>0</v>
      </c>
      <c r="L55" s="375">
        <f t="shared" si="6"/>
        <v>60263</v>
      </c>
      <c r="M55" s="8"/>
      <c r="N55" s="104">
        <f>ROUND('3.1a Initial Allocations YR1'!L56*'3.1b Allocation Adj. YR1 '!$K$3,0)</f>
        <v>0</v>
      </c>
      <c r="O55" s="89">
        <v>0</v>
      </c>
      <c r="P55" s="104">
        <v>0</v>
      </c>
      <c r="Q55" s="104"/>
      <c r="R55" s="375">
        <f t="shared" si="7"/>
        <v>0</v>
      </c>
      <c r="S55" s="89"/>
      <c r="T55" s="2178">
        <f>ROUND('3.1a Initial Allocations YR1'!R56,0)</f>
        <v>140428</v>
      </c>
      <c r="U55" s="8"/>
      <c r="V55" s="375">
        <f t="shared" si="8"/>
        <v>3409062</v>
      </c>
      <c r="W55" s="115"/>
      <c r="X55" s="375">
        <f>ROUND(IF(F55=0,0,IF(V55=0,0,V55/'2.9 PCFP Funding Comparison YR1'!D51)),0)</f>
        <v>10797</v>
      </c>
    </row>
    <row r="56" spans="1:26" x14ac:dyDescent="0.3">
      <c r="A56" s="4"/>
      <c r="B56" s="106" t="str">
        <f>'1.2 Budgeted Enrollment YR1'!E54</f>
        <v>enCompass Academy</v>
      </c>
      <c r="D56" s="9" t="str">
        <f t="shared" si="4"/>
        <v>PCFP</v>
      </c>
      <c r="E56" s="9" t="str">
        <f t="shared" si="5"/>
        <v>PCFP</v>
      </c>
      <c r="F56" s="375">
        <f>ROUND(('3.1a Initial Allocations YR1'!E57)*$K$3+H56,0)</f>
        <v>1222835</v>
      </c>
      <c r="G56" s="375">
        <f>ROUND(IF(F56=0,0,F56/'2.9 PCFP Funding Comparison YR1'!D52),0)</f>
        <v>9416</v>
      </c>
      <c r="H56" s="1301">
        <f>$Y$33*'2.8 Alloc of Residual Rev. YR1'!D59</f>
        <v>3.7573323640908807E-3</v>
      </c>
      <c r="I56" s="375">
        <f>ROUND('3.1a Initial Allocations YR1'!G57*'3.1b Allocation Adj. YR1 '!$K$3,0)</f>
        <v>63558</v>
      </c>
      <c r="J56" s="385">
        <f>ROUND('3.1a Initial Allocations YR1'!H57*'3.1b Allocation Adj. YR1 '!$K$3,0)</f>
        <v>32956</v>
      </c>
      <c r="K56" s="375">
        <f>ROUND('3.1a Initial Allocations YR1'!I57*'3.1b Allocation Adj. YR1 '!$K$3,0)</f>
        <v>0</v>
      </c>
      <c r="L56" s="375">
        <f t="shared" si="6"/>
        <v>96514</v>
      </c>
      <c r="M56" s="8"/>
      <c r="N56" s="104">
        <f>ROUND('3.1a Initial Allocations YR1'!L57*'3.1b Allocation Adj. YR1 '!$K$3,0)</f>
        <v>0</v>
      </c>
      <c r="O56" s="89">
        <v>0</v>
      </c>
      <c r="P56" s="104">
        <v>0</v>
      </c>
      <c r="Q56" s="104"/>
      <c r="R56" s="375">
        <f t="shared" si="7"/>
        <v>0</v>
      </c>
      <c r="S56" s="89"/>
      <c r="T56" s="2178">
        <f>ROUND('3.1a Initial Allocations YR1'!R57,0)</f>
        <v>0</v>
      </c>
      <c r="U56" s="8"/>
      <c r="V56" s="375">
        <f t="shared" si="8"/>
        <v>1319349</v>
      </c>
      <c r="W56" s="115"/>
      <c r="X56" s="375">
        <f>ROUND(IF(F56=0,0,IF(V56=0,0,V56/'2.9 PCFP Funding Comparison YR1'!D52)),0)</f>
        <v>10159</v>
      </c>
    </row>
    <row r="57" spans="1:26" x14ac:dyDescent="0.3">
      <c r="A57" s="4"/>
      <c r="B57" s="106" t="str">
        <f>'1.2 Budgeted Enrollment YR1'!E55</f>
        <v>Equipo Academy</v>
      </c>
      <c r="D57" s="9" t="str">
        <f t="shared" si="4"/>
        <v>PCFP</v>
      </c>
      <c r="E57" s="9" t="str">
        <f t="shared" si="5"/>
        <v>PCFP</v>
      </c>
      <c r="F57" s="375">
        <f>ROUND(('3.1a Initial Allocations YR1'!E58)*$K$3+H57,0)</f>
        <v>8481666</v>
      </c>
      <c r="G57" s="375">
        <f>ROUND(IF(F57=0,0,F57/'2.9 PCFP Funding Comparison YR1'!D53),0)</f>
        <v>9416</v>
      </c>
      <c r="H57" s="1301">
        <f>$Y$33*'2.8 Alloc of Residual Rev. YR1'!D60</f>
        <v>1.1926256931308736E-3</v>
      </c>
      <c r="I57" s="375">
        <f>ROUND('3.1a Initial Allocations YR1'!G58*'3.1b Allocation Adj. YR1 '!$K$3,0)</f>
        <v>1055069</v>
      </c>
      <c r="J57" s="385">
        <f>ROUND('3.1a Initial Allocations YR1'!H58*'3.1b Allocation Adj. YR1 '!$K$3,0)</f>
        <v>72503</v>
      </c>
      <c r="K57" s="375">
        <f>ROUND('3.1a Initial Allocations YR1'!I58*'3.1b Allocation Adj. YR1 '!$K$3,0)</f>
        <v>0</v>
      </c>
      <c r="L57" s="375">
        <f t="shared" si="6"/>
        <v>1127572</v>
      </c>
      <c r="M57" s="8"/>
      <c r="N57" s="104">
        <f>ROUND('3.1a Initial Allocations YR1'!L58*'3.1b Allocation Adj. YR1 '!$K$3,0)</f>
        <v>0</v>
      </c>
      <c r="O57" s="89">
        <v>0</v>
      </c>
      <c r="P57" s="104">
        <v>0</v>
      </c>
      <c r="Q57" s="104"/>
      <c r="R57" s="375">
        <f t="shared" si="7"/>
        <v>0</v>
      </c>
      <c r="S57" s="89"/>
      <c r="T57" s="2178">
        <f>ROUND('3.1a Initial Allocations YR1'!R58,0)</f>
        <v>349906</v>
      </c>
      <c r="U57" s="8"/>
      <c r="V57" s="375">
        <f t="shared" si="8"/>
        <v>9959144</v>
      </c>
      <c r="W57" s="115"/>
      <c r="X57" s="375">
        <f>ROUND(IF(F57=0,0,IF(V57=0,0,V57/'2.9 PCFP Funding Comparison YR1'!D53)),0)</f>
        <v>11056</v>
      </c>
    </row>
    <row r="58" spans="1:26" x14ac:dyDescent="0.3">
      <c r="A58" s="4"/>
      <c r="B58" s="106" t="str">
        <f>'1.2 Budgeted Enrollment YR1'!E56</f>
        <v>Explore Academy</v>
      </c>
      <c r="D58" s="9" t="str">
        <f t="shared" si="4"/>
        <v>PCFP</v>
      </c>
      <c r="E58" s="9" t="str">
        <f t="shared" si="5"/>
        <v>PCFP</v>
      </c>
      <c r="F58" s="375">
        <f>ROUND(('3.1a Initial Allocations YR1'!E59)*$K$3+H58,0)</f>
        <v>2692190</v>
      </c>
      <c r="G58" s="375">
        <f>ROUND(IF(F58=0,0,F58/'2.9 PCFP Funding Comparison YR1'!D54),0)</f>
        <v>9416</v>
      </c>
      <c r="H58" s="1301">
        <f>$Y$33*'2.8 Alloc of Residual Rev. YR1'!D61</f>
        <v>2.7721795381323265E-3</v>
      </c>
      <c r="I58" s="375">
        <f>ROUND('3.1a Initial Allocations YR1'!G59*'3.1b Allocation Adj. YR1 '!$K$3,0)</f>
        <v>173726</v>
      </c>
      <c r="J58" s="385">
        <f>ROUND('3.1a Initial Allocations YR1'!H59*'3.1b Allocation Adj. YR1 '!$K$3,0)</f>
        <v>9887</v>
      </c>
      <c r="K58" s="375">
        <f>ROUND('3.1a Initial Allocations YR1'!I59*'3.1b Allocation Adj. YR1 '!$K$3,0)</f>
        <v>0</v>
      </c>
      <c r="L58" s="375">
        <f t="shared" si="6"/>
        <v>183613</v>
      </c>
      <c r="M58" s="8"/>
      <c r="N58" s="104">
        <f>ROUND('3.1a Initial Allocations YR1'!L59*'3.1b Allocation Adj. YR1 '!$K$3,0)</f>
        <v>0</v>
      </c>
      <c r="O58" s="89">
        <v>0</v>
      </c>
      <c r="P58" s="104">
        <v>0</v>
      </c>
      <c r="Q58" s="104"/>
      <c r="R58" s="375">
        <f t="shared" si="7"/>
        <v>0</v>
      </c>
      <c r="S58" s="89"/>
      <c r="T58" s="2178">
        <f>ROUND('3.1a Initial Allocations YR1'!R59,0)</f>
        <v>0</v>
      </c>
      <c r="U58" s="8"/>
      <c r="V58" s="375">
        <f t="shared" si="8"/>
        <v>2875803</v>
      </c>
      <c r="W58" s="115"/>
      <c r="X58" s="375">
        <f>ROUND(IF(F58=0,0,IF(V58=0,0,V58/'2.9 PCFP Funding Comparison YR1'!D54)),0)</f>
        <v>10058</v>
      </c>
    </row>
    <row r="59" spans="1:26" x14ac:dyDescent="0.3">
      <c r="A59" s="4"/>
      <c r="B59" s="106" t="str">
        <f>'1.2 Budgeted Enrollment YR1'!E57</f>
        <v>Explore Knowledge Academy</v>
      </c>
      <c r="D59" s="9" t="str">
        <f t="shared" si="4"/>
        <v>PCFP</v>
      </c>
      <c r="E59" s="9" t="str">
        <f t="shared" si="5"/>
        <v>PCFP</v>
      </c>
      <c r="F59" s="375">
        <f>ROUND(('3.1a Initial Allocations YR1'!E60)*$K$3+H59,0)</f>
        <v>6257818</v>
      </c>
      <c r="G59" s="375">
        <f>ROUND(IF(F59=0,0,F59/'2.9 PCFP Funding Comparison YR1'!D55),0)</f>
        <v>9416</v>
      </c>
      <c r="H59" s="1301">
        <f>$Y$33*'2.8 Alloc of Residual Rev. YR1'!D62</f>
        <v>4.6312944865566962E-3</v>
      </c>
      <c r="I59" s="375">
        <f>ROUND('3.1a Initial Allocations YR1'!G60*'3.1b Allocation Adj. YR1 '!$K$3,0)</f>
        <v>199150</v>
      </c>
      <c r="J59" s="385">
        <f>ROUND('3.1a Initial Allocations YR1'!H60*'3.1b Allocation Adj. YR1 '!$K$3,0)</f>
        <v>69208</v>
      </c>
      <c r="K59" s="375">
        <f>ROUND('3.1a Initial Allocations YR1'!I60*'3.1b Allocation Adj. YR1 '!$K$3,0)</f>
        <v>0</v>
      </c>
      <c r="L59" s="375">
        <f t="shared" si="6"/>
        <v>268358</v>
      </c>
      <c r="M59" s="8"/>
      <c r="N59" s="104">
        <f>ROUND('3.1a Initial Allocations YR1'!L60*'3.1b Allocation Adj. YR1 '!$K$3,0)</f>
        <v>0</v>
      </c>
      <c r="O59" s="89">
        <v>0</v>
      </c>
      <c r="P59" s="104">
        <v>0</v>
      </c>
      <c r="Q59" s="104"/>
      <c r="R59" s="375">
        <f t="shared" si="7"/>
        <v>0</v>
      </c>
      <c r="S59" s="89"/>
      <c r="T59" s="2178">
        <f>ROUND('3.1a Initial Allocations YR1'!R60,0)</f>
        <v>27133</v>
      </c>
      <c r="U59" s="8"/>
      <c r="V59" s="375">
        <f t="shared" si="8"/>
        <v>6553309</v>
      </c>
      <c r="W59" s="115"/>
      <c r="X59" s="375">
        <f>ROUND(IF(F59=0,0,IF(V59=0,0,V59/'2.9 PCFP Funding Comparison YR1'!D55)),0)</f>
        <v>9861</v>
      </c>
    </row>
    <row r="60" spans="1:26" x14ac:dyDescent="0.3">
      <c r="A60" s="4"/>
      <c r="B60" s="106" t="str">
        <f>'1.2 Budgeted Enrollment YR1'!E58</f>
        <v>Founders Academy of Las Vegas</v>
      </c>
      <c r="D60" s="9" t="str">
        <f t="shared" si="4"/>
        <v>PCFP</v>
      </c>
      <c r="E60" s="9" t="str">
        <f t="shared" si="5"/>
        <v>PCFP</v>
      </c>
      <c r="F60" s="375">
        <f>ROUND(('3.1a Initial Allocations YR1'!E61)*$K$3+H60,0)</f>
        <v>10454517</v>
      </c>
      <c r="G60" s="375">
        <f>ROUND(IF(F60=0,0,F60/'2.9 PCFP Funding Comparison YR1'!D56),0)</f>
        <v>9416</v>
      </c>
      <c r="H60" s="1301">
        <f>$Y$33*'2.8 Alloc of Residual Rev. YR1'!D63</f>
        <v>4.4829498497251938E-3</v>
      </c>
      <c r="I60" s="375">
        <f>ROUND('3.1a Initial Allocations YR1'!G61*'3.1b Allocation Adj. YR1 '!$K$3,0)</f>
        <v>364401</v>
      </c>
      <c r="J60" s="385">
        <f>ROUND('3.1a Initial Allocations YR1'!H61*'3.1b Allocation Adj. YR1 '!$K$3,0)</f>
        <v>26365</v>
      </c>
      <c r="K60" s="375">
        <f>ROUND('3.1a Initial Allocations YR1'!I61*'3.1b Allocation Adj. YR1 '!$K$3,0)</f>
        <v>0</v>
      </c>
      <c r="L60" s="375">
        <f t="shared" si="6"/>
        <v>390766</v>
      </c>
      <c r="M60" s="8"/>
      <c r="N60" s="104">
        <f>ROUND('3.1a Initial Allocations YR1'!L61*'3.1b Allocation Adj. YR1 '!$K$3,0)</f>
        <v>0</v>
      </c>
      <c r="O60" s="89">
        <v>0</v>
      </c>
      <c r="P60" s="104">
        <v>0</v>
      </c>
      <c r="Q60" s="104"/>
      <c r="R60" s="375">
        <f t="shared" si="7"/>
        <v>0</v>
      </c>
      <c r="S60" s="89"/>
      <c r="T60" s="2178">
        <f>ROUND('3.1a Initial Allocations YR1'!R61,0)</f>
        <v>168554</v>
      </c>
      <c r="U60" s="8"/>
      <c r="V60" s="375">
        <f t="shared" si="8"/>
        <v>11013837</v>
      </c>
      <c r="W60" s="115"/>
      <c r="X60" s="375">
        <f>ROUND(IF(F60=0,0,IF(V60=0,0,V60/'2.9 PCFP Funding Comparison YR1'!D56)),0)</f>
        <v>9920</v>
      </c>
    </row>
    <row r="61" spans="1:26" x14ac:dyDescent="0.3">
      <c r="A61" s="4"/>
      <c r="B61" s="106" t="str">
        <f>'1.2 Budgeted Enrollment YR1'!E59</f>
        <v>Freedom Classical Academy</v>
      </c>
      <c r="D61" s="9" t="str">
        <f t="shared" si="4"/>
        <v>PCFP</v>
      </c>
      <c r="E61" s="9" t="str">
        <f t="shared" si="5"/>
        <v>PCFP</v>
      </c>
      <c r="F61" s="375">
        <f>ROUND(('3.1a Initial Allocations YR1'!E62)*$K$3+H61,0)</f>
        <v>10119649</v>
      </c>
      <c r="G61" s="375">
        <f>ROUND(IF(F61=0,0,F61/'2.9 PCFP Funding Comparison YR1'!D57),0)</f>
        <v>9416</v>
      </c>
      <c r="H61" s="1301">
        <f>$Y$33*'2.8 Alloc of Residual Rev. YR1'!D64</f>
        <v>1.951658368204913E-3</v>
      </c>
      <c r="I61" s="375">
        <f>ROUND('3.1a Initial Allocations YR1'!G62*'3.1b Allocation Adj. YR1 '!$K$3,0)</f>
        <v>580500</v>
      </c>
      <c r="J61" s="385">
        <f>ROUND('3.1a Initial Allocations YR1'!H62*'3.1b Allocation Adj. YR1 '!$K$3,0)</f>
        <v>69208</v>
      </c>
      <c r="K61" s="375">
        <f>ROUND('3.1a Initial Allocations YR1'!I62*'3.1b Allocation Adj. YR1 '!$K$3,0)</f>
        <v>54236</v>
      </c>
      <c r="L61" s="375">
        <f t="shared" si="6"/>
        <v>703944</v>
      </c>
      <c r="M61" s="8"/>
      <c r="N61" s="104">
        <f>ROUND('3.1a Initial Allocations YR1'!L62*'3.1b Allocation Adj. YR1 '!$K$3,0)</f>
        <v>0</v>
      </c>
      <c r="O61" s="89">
        <v>0</v>
      </c>
      <c r="P61" s="104">
        <v>0</v>
      </c>
      <c r="Q61" s="104"/>
      <c r="R61" s="375">
        <f t="shared" si="7"/>
        <v>0</v>
      </c>
      <c r="S61" s="89"/>
      <c r="T61" s="2178">
        <f>ROUND('3.1a Initial Allocations YR1'!R62,0)</f>
        <v>545399</v>
      </c>
      <c r="U61" s="8"/>
      <c r="V61" s="375">
        <f t="shared" si="8"/>
        <v>11368992</v>
      </c>
      <c r="W61" s="115"/>
      <c r="X61" s="375">
        <f>ROUND(IF(F61=0,0,IF(V61=0,0,V61/'2.9 PCFP Funding Comparison YR1'!D57)),0)</f>
        <v>10579</v>
      </c>
    </row>
    <row r="62" spans="1:26" x14ac:dyDescent="0.3">
      <c r="A62" s="4"/>
      <c r="B62" s="106" t="str">
        <f>'1.2 Budgeted Enrollment YR1'!E60</f>
        <v>Futuro Academy Elementary</v>
      </c>
      <c r="D62" s="9" t="str">
        <f t="shared" si="4"/>
        <v>PCFP</v>
      </c>
      <c r="E62" s="9" t="str">
        <f t="shared" si="5"/>
        <v>PCFP</v>
      </c>
      <c r="F62" s="375">
        <f>ROUND(('3.1a Initial Allocations YR1'!E63)*$K$3+H62,0)</f>
        <v>4405603</v>
      </c>
      <c r="G62" s="375">
        <f>ROUND(IF(F62=0,0,F62/'2.9 PCFP Funding Comparison YR1'!D58),0)</f>
        <v>9416</v>
      </c>
      <c r="H62" s="1301">
        <f>$Y$33*'2.8 Alloc of Residual Rev. YR1'!D65</f>
        <v>1.7183300570636666E-3</v>
      </c>
      <c r="I62" s="375">
        <f>ROUND('3.1a Initial Allocations YR1'!G63*'3.1b Allocation Adj. YR1 '!$K$3,0)</f>
        <v>733039</v>
      </c>
      <c r="J62" s="385">
        <f>ROUND('3.1a Initial Allocations YR1'!H63*'3.1b Allocation Adj. YR1 '!$K$3,0)</f>
        <v>0</v>
      </c>
      <c r="K62" s="375">
        <f>ROUND('3.1a Initial Allocations YR1'!I63*'3.1b Allocation Adj. YR1 '!$K$3,0)</f>
        <v>0</v>
      </c>
      <c r="L62" s="375">
        <f t="shared" si="6"/>
        <v>733039</v>
      </c>
      <c r="M62" s="8"/>
      <c r="N62" s="104">
        <f>ROUND('3.1a Initial Allocations YR1'!L63*'3.1b Allocation Adj. YR1 '!$K$3,0)</f>
        <v>0</v>
      </c>
      <c r="O62" s="89">
        <v>0</v>
      </c>
      <c r="P62" s="104">
        <v>0</v>
      </c>
      <c r="Q62" s="104"/>
      <c r="R62" s="375">
        <f t="shared" si="7"/>
        <v>0</v>
      </c>
      <c r="S62" s="89"/>
      <c r="T62" s="2178">
        <f>ROUND('3.1a Initial Allocations YR1'!R63,0)</f>
        <v>332462</v>
      </c>
      <c r="U62" s="8"/>
      <c r="V62" s="375">
        <f t="shared" si="8"/>
        <v>5471104</v>
      </c>
      <c r="W62" s="115"/>
      <c r="X62" s="375">
        <f>ROUND(IF(F62=0,0,IF(V62=0,0,V62/'2.9 PCFP Funding Comparison YR1'!D58)),0)</f>
        <v>11693</v>
      </c>
    </row>
    <row r="63" spans="1:26" x14ac:dyDescent="0.3">
      <c r="A63" s="4"/>
      <c r="B63" s="106" t="str">
        <f>'1.2 Budgeted Enrollment YR1'!E61</f>
        <v>High Desert Montessori</v>
      </c>
      <c r="D63" s="9" t="str">
        <f t="shared" si="4"/>
        <v>PCFP</v>
      </c>
      <c r="E63" s="9" t="str">
        <f t="shared" si="5"/>
        <v>PCFP</v>
      </c>
      <c r="F63" s="375">
        <f>ROUND(('3.1a Initial Allocations YR1'!E64)*$K$3+H63,0)</f>
        <v>3878896</v>
      </c>
      <c r="G63" s="375">
        <f>ROUND(IF(F63=0,0,F63/'2.9 PCFP Funding Comparison YR1'!D59),0)</f>
        <v>9416</v>
      </c>
      <c r="H63" s="1301">
        <f>$Y$33*'2.8 Alloc of Residual Rev. YR1'!D66</f>
        <v>9.1435329324732228E-4</v>
      </c>
      <c r="I63" s="375">
        <f>ROUND('3.1a Initial Allocations YR1'!G64*'3.1b Allocation Adj. YR1 '!$K$3,0)</f>
        <v>76270</v>
      </c>
      <c r="J63" s="385">
        <f>ROUND('3.1a Initial Allocations YR1'!H64*'3.1b Allocation Adj. YR1 '!$K$3,0)</f>
        <v>52730</v>
      </c>
      <c r="K63" s="375">
        <f>ROUND('3.1a Initial Allocations YR1'!I64*'3.1b Allocation Adj. YR1 '!$K$3,0)</f>
        <v>0</v>
      </c>
      <c r="L63" s="375">
        <f t="shared" si="6"/>
        <v>129000</v>
      </c>
      <c r="M63" s="8"/>
      <c r="N63" s="104">
        <f>ROUND('3.1a Initial Allocations YR1'!L64*'3.1b Allocation Adj. YR1 '!$K$3,0)</f>
        <v>0</v>
      </c>
      <c r="O63" s="89">
        <v>0</v>
      </c>
      <c r="P63" s="104">
        <v>0</v>
      </c>
      <c r="Q63" s="104"/>
      <c r="R63" s="375">
        <f t="shared" si="7"/>
        <v>0</v>
      </c>
      <c r="S63" s="89"/>
      <c r="T63" s="2178">
        <f>ROUND('3.1a Initial Allocations YR1'!R64,0)</f>
        <v>0</v>
      </c>
      <c r="U63" s="8"/>
      <c r="V63" s="375">
        <f t="shared" si="8"/>
        <v>4007896</v>
      </c>
      <c r="W63" s="115"/>
      <c r="X63" s="375">
        <f>ROUND(IF(F63=0,0,IF(V63=0,0,V63/'2.9 PCFP Funding Comparison YR1'!D59)),0)</f>
        <v>9729</v>
      </c>
    </row>
    <row r="64" spans="1:26" x14ac:dyDescent="0.3">
      <c r="A64" s="4"/>
      <c r="B64" s="106" t="str">
        <f>'1.2 Budgeted Enrollment YR1'!E62</f>
        <v>Honors Academy of Literature</v>
      </c>
      <c r="D64" s="9" t="str">
        <f t="shared" si="4"/>
        <v>PCFP</v>
      </c>
      <c r="E64" s="9" t="str">
        <f t="shared" si="5"/>
        <v>PCFP</v>
      </c>
      <c r="F64" s="375">
        <f>ROUND(('3.1a Initial Allocations YR1'!E65)*$K$3+H64,0)</f>
        <v>2064028</v>
      </c>
      <c r="G64" s="375">
        <f>ROUND(IF(F64=0,0,F64/'2.9 PCFP Funding Comparison YR1'!D60),0)</f>
        <v>9416</v>
      </c>
      <c r="H64" s="1301">
        <f>$Y$33*'2.8 Alloc of Residual Rev. YR1'!D67</f>
        <v>2.9029895810611887E-3</v>
      </c>
      <c r="I64" s="375">
        <f>ROUND('3.1a Initial Allocations YR1'!G65*'3.1b Allocation Adj. YR1 '!$K$3,0)</f>
        <v>8475</v>
      </c>
      <c r="J64" s="385">
        <f>ROUND('3.1a Initial Allocations YR1'!H65*'3.1b Allocation Adj. YR1 '!$K$3,0)</f>
        <v>0</v>
      </c>
      <c r="K64" s="375">
        <f>ROUND('3.1a Initial Allocations YR1'!I65*'3.1b Allocation Adj. YR1 '!$K$3,0)</f>
        <v>2260</v>
      </c>
      <c r="L64" s="375">
        <f t="shared" si="6"/>
        <v>10735</v>
      </c>
      <c r="M64" s="8"/>
      <c r="N64" s="104">
        <f>ROUND('3.1a Initial Allocations YR1'!L65*'3.1b Allocation Adj. YR1 '!$K$3,0)</f>
        <v>0</v>
      </c>
      <c r="O64" s="89">
        <v>0</v>
      </c>
      <c r="P64" s="104">
        <v>0</v>
      </c>
      <c r="Q64" s="104"/>
      <c r="R64" s="375">
        <f t="shared" si="7"/>
        <v>0</v>
      </c>
      <c r="S64" s="89"/>
      <c r="T64" s="2178">
        <f>ROUND('3.1a Initial Allocations YR1'!R65,0)</f>
        <v>231070</v>
      </c>
      <c r="U64" s="8"/>
      <c r="V64" s="375">
        <f t="shared" si="8"/>
        <v>2305833</v>
      </c>
      <c r="W64" s="115"/>
      <c r="X64" s="375">
        <f>ROUND(IF(F64=0,0,IF(V64=0,0,V64/'2.9 PCFP Funding Comparison YR1'!D60)),0)</f>
        <v>10519</v>
      </c>
    </row>
    <row r="65" spans="1:24" x14ac:dyDescent="0.3">
      <c r="A65" s="4"/>
      <c r="B65" s="106" t="str">
        <f>'1.2 Budgeted Enrollment YR1'!E63</f>
        <v>Imagine School Mountain View</v>
      </c>
      <c r="D65" s="9" t="str">
        <f t="shared" si="4"/>
        <v>PCFP</v>
      </c>
      <c r="E65" s="9" t="str">
        <f t="shared" si="5"/>
        <v>PCFP</v>
      </c>
      <c r="F65" s="375">
        <f>ROUND(('3.1a Initial Allocations YR1'!E66)*$K$3+H65,0)</f>
        <v>6553104</v>
      </c>
      <c r="G65" s="375">
        <f>ROUND(IF(F65=0,0,F65/'2.9 PCFP Funding Comparison YR1'!D61),0)</f>
        <v>9416</v>
      </c>
      <c r="H65" s="1301">
        <f>$Y$33*'2.8 Alloc of Residual Rev. YR1'!D68</f>
        <v>2.8454030187156452E-3</v>
      </c>
      <c r="I65" s="375">
        <f>ROUND('3.1a Initial Allocations YR1'!G66*'3.1b Allocation Adj. YR1 '!$K$3,0)</f>
        <v>347453</v>
      </c>
      <c r="J65" s="385">
        <f>ROUND('3.1a Initial Allocations YR1'!H66*'3.1b Allocation Adj. YR1 '!$K$3,0)</f>
        <v>0</v>
      </c>
      <c r="K65" s="375">
        <f>ROUND('3.1a Initial Allocations YR1'!I66*'3.1b Allocation Adj. YR1 '!$K$3,0)</f>
        <v>0</v>
      </c>
      <c r="L65" s="375">
        <f t="shared" si="6"/>
        <v>347453</v>
      </c>
      <c r="M65" s="8"/>
      <c r="N65" s="104">
        <f>ROUND('3.1a Initial Allocations YR1'!L66*'3.1b Allocation Adj. YR1 '!$K$3,0)</f>
        <v>0</v>
      </c>
      <c r="O65" s="89">
        <v>0</v>
      </c>
      <c r="P65" s="104">
        <v>0</v>
      </c>
      <c r="Q65" s="104"/>
      <c r="R65" s="375">
        <f t="shared" si="7"/>
        <v>0</v>
      </c>
      <c r="S65" s="89"/>
      <c r="T65" s="2178">
        <f>ROUND('3.1a Initial Allocations YR1'!R66,0)</f>
        <v>271262</v>
      </c>
      <c r="U65" s="8"/>
      <c r="V65" s="375">
        <f t="shared" si="8"/>
        <v>7171819</v>
      </c>
      <c r="W65" s="115"/>
      <c r="X65" s="375">
        <f>ROUND(IF(F65=0,0,IF(V65=0,0,V65/'2.9 PCFP Funding Comparison YR1'!D61)),0)</f>
        <v>10305</v>
      </c>
    </row>
    <row r="66" spans="1:24" x14ac:dyDescent="0.3">
      <c r="A66" s="4"/>
      <c r="B66" s="106" t="str">
        <f>'1.2 Budgeted Enrollment YR1'!E64</f>
        <v>Innovations Int'l Charter</v>
      </c>
      <c r="D66" s="9" t="str">
        <f t="shared" si="4"/>
        <v>PCFP</v>
      </c>
      <c r="E66" s="9" t="str">
        <f t="shared" si="5"/>
        <v>PCFP</v>
      </c>
      <c r="F66" s="375">
        <f>ROUND(('3.1a Initial Allocations YR1'!E67)*$K$3+H66,0)</f>
        <v>6423110</v>
      </c>
      <c r="G66" s="375">
        <f>ROUND(IF(F66=0,0,F66/'2.9 PCFP Funding Comparison YR1'!D62),0)</f>
        <v>9416</v>
      </c>
      <c r="H66" s="1301">
        <f>$Y$33*'2.8 Alloc of Residual Rev. YR1'!D69</f>
        <v>1.198848972542661E-3</v>
      </c>
      <c r="I66" s="375">
        <f>ROUND('3.1a Initial Allocations YR1'!G67*'3.1b Allocation Adj. YR1 '!$K$3,0)</f>
        <v>762700</v>
      </c>
      <c r="J66" s="385">
        <f>ROUND('3.1a Initial Allocations YR1'!H67*'3.1b Allocation Adj. YR1 '!$K$3,0)</f>
        <v>201033</v>
      </c>
      <c r="K66" s="375">
        <f>ROUND('3.1a Initial Allocations YR1'!I67*'3.1b Allocation Adj. YR1 '!$K$3,0)</f>
        <v>0</v>
      </c>
      <c r="L66" s="375">
        <f t="shared" si="6"/>
        <v>963733</v>
      </c>
      <c r="M66" s="8"/>
      <c r="N66" s="104">
        <f>ROUND('3.1a Initial Allocations YR1'!L67*'3.1b Allocation Adj. YR1 '!$K$3,0)</f>
        <v>0</v>
      </c>
      <c r="O66" s="89">
        <v>0</v>
      </c>
      <c r="P66" s="104">
        <v>0</v>
      </c>
      <c r="Q66" s="104"/>
      <c r="R66" s="375">
        <f t="shared" si="7"/>
        <v>0</v>
      </c>
      <c r="S66" s="89"/>
      <c r="T66" s="2178">
        <f>ROUND('3.1a Initial Allocations YR1'!R67,0)</f>
        <v>73393</v>
      </c>
      <c r="U66" s="8"/>
      <c r="V66" s="375">
        <f t="shared" si="8"/>
        <v>7460236</v>
      </c>
      <c r="W66" s="115"/>
      <c r="X66" s="375">
        <f>ROUND(IF(F66=0,0,IF(V66=0,0,V66/'2.9 PCFP Funding Comparison YR1'!D62)),0)</f>
        <v>10936</v>
      </c>
    </row>
    <row r="67" spans="1:24" x14ac:dyDescent="0.3">
      <c r="A67" s="4"/>
      <c r="B67" s="106" t="str">
        <f>'1.2 Budgeted Enrollment YR1'!E65</f>
        <v>Leadership Academy of Nevada</v>
      </c>
      <c r="D67" s="9" t="str">
        <f t="shared" si="4"/>
        <v>PCFP</v>
      </c>
      <c r="E67" s="9" t="str">
        <f t="shared" si="5"/>
        <v>PCFP</v>
      </c>
      <c r="F67" s="375">
        <f>ROUND(('3.1a Initial Allocations YR1'!E68)*$K$3+H67,0)</f>
        <v>2706238</v>
      </c>
      <c r="G67" s="375">
        <f>ROUND(IF(F67=0,0,F67/'2.9 PCFP Funding Comparison YR1'!D63),0)</f>
        <v>9416</v>
      </c>
      <c r="H67" s="1301">
        <f>$Y$33*'2.8 Alloc of Residual Rev. YR1'!D70</f>
        <v>1.0400465551362197E-3</v>
      </c>
      <c r="I67" s="375">
        <f>ROUND('3.1a Initial Allocations YR1'!G68*'3.1b Allocation Adj. YR1 '!$K$3,0)</f>
        <v>21186</v>
      </c>
      <c r="J67" s="385">
        <f>ROUND('3.1a Initial Allocations YR1'!H68*'3.1b Allocation Adj. YR1 '!$K$3,0)</f>
        <v>23069</v>
      </c>
      <c r="K67" s="375">
        <f>ROUND('3.1a Initial Allocations YR1'!I68*'3.1b Allocation Adj. YR1 '!$K$3,0)</f>
        <v>0</v>
      </c>
      <c r="L67" s="375">
        <f t="shared" si="6"/>
        <v>44255</v>
      </c>
      <c r="M67" s="8"/>
      <c r="N67" s="104">
        <f>ROUND('3.1a Initial Allocations YR1'!L68*'3.1b Allocation Adj. YR1 '!$K$3,0)</f>
        <v>0</v>
      </c>
      <c r="O67" s="89">
        <v>0</v>
      </c>
      <c r="P67" s="104">
        <v>0</v>
      </c>
      <c r="Q67" s="104"/>
      <c r="R67" s="375">
        <f t="shared" si="7"/>
        <v>0</v>
      </c>
      <c r="S67" s="89"/>
      <c r="T67" s="2178">
        <f>ROUND('3.1a Initial Allocations YR1'!R68,0)</f>
        <v>210794</v>
      </c>
      <c r="U67" s="8"/>
      <c r="V67" s="375">
        <f t="shared" si="8"/>
        <v>2961287</v>
      </c>
      <c r="W67" s="115"/>
      <c r="X67" s="375">
        <f>ROUND(IF(F67=0,0,IF(V67=0,0,V67/'2.9 PCFP Funding Comparison YR1'!D63)),0)</f>
        <v>10303</v>
      </c>
    </row>
    <row r="68" spans="1:24" x14ac:dyDescent="0.3">
      <c r="A68" s="4"/>
      <c r="B68" s="106" t="str">
        <f>'1.2 Budgeted Enrollment YR1'!E66</f>
        <v>Learning Bridge</v>
      </c>
      <c r="D68" s="9" t="str">
        <f t="shared" si="4"/>
        <v>PCFP</v>
      </c>
      <c r="E68" s="9" t="str">
        <f t="shared" si="5"/>
        <v>PCFP</v>
      </c>
      <c r="F68" s="375">
        <f>ROUND(('3.1a Initial Allocations YR1'!E69)*$K$3+H68,0)</f>
        <v>2347764</v>
      </c>
      <c r="G68" s="375">
        <f>ROUND(IF(F68=0,0,F68/'2.9 PCFP Funding Comparison YR1'!D64),0)</f>
        <v>13767</v>
      </c>
      <c r="H68" s="1301">
        <f>$Y$33*'2.8 Alloc of Residual Rev. YR1'!D71</f>
        <v>1.7207064635388826E-2</v>
      </c>
      <c r="I68" s="375">
        <f>ROUND('3.1a Initial Allocations YR1'!G69*'3.1b Allocation Adj. YR1 '!$K$3,0)</f>
        <v>0</v>
      </c>
      <c r="J68" s="385">
        <f>ROUND('3.1a Initial Allocations YR1'!H69*'3.1b Allocation Adj. YR1 '!$K$3,0)</f>
        <v>0</v>
      </c>
      <c r="K68" s="375">
        <f>ROUND('3.1a Initial Allocations YR1'!I69*'3.1b Allocation Adj. YR1 '!$K$3,0)</f>
        <v>0</v>
      </c>
      <c r="L68" s="375">
        <f t="shared" si="6"/>
        <v>0</v>
      </c>
      <c r="M68" s="8"/>
      <c r="N68" s="104">
        <f>ROUND('3.1a Initial Allocations YR1'!L69*'3.1b Allocation Adj. YR1 '!$K$3,0)</f>
        <v>0</v>
      </c>
      <c r="O68" s="89">
        <v>0</v>
      </c>
      <c r="P68" s="104">
        <v>0</v>
      </c>
      <c r="Q68" s="104"/>
      <c r="R68" s="375">
        <f t="shared" si="7"/>
        <v>0</v>
      </c>
      <c r="S68" s="89"/>
      <c r="T68" s="2178">
        <f>ROUND('3.1a Initial Allocations YR1'!R69,0)</f>
        <v>0</v>
      </c>
      <c r="U68" s="8"/>
      <c r="V68" s="375">
        <f t="shared" ref="V68:V97" si="9">ROUND(R68+L68+F68+T68,0)</f>
        <v>2347764</v>
      </c>
      <c r="W68" s="115"/>
      <c r="X68" s="375">
        <f>ROUND(IF(F68=0,0,IF(V68=0,0,V68/'2.9 PCFP Funding Comparison YR1'!D64)),0)</f>
        <v>13767</v>
      </c>
    </row>
    <row r="69" spans="1:24" x14ac:dyDescent="0.3">
      <c r="A69" s="4"/>
      <c r="B69" s="106" t="str">
        <f>'1.2 Budgeted Enrollment YR1'!E67</f>
        <v>Legacy Traditional Schools</v>
      </c>
      <c r="D69" s="9" t="str">
        <f t="shared" si="4"/>
        <v>PCFP</v>
      </c>
      <c r="E69" s="9" t="str">
        <f t="shared" si="5"/>
        <v>PCFP</v>
      </c>
      <c r="F69" s="375">
        <f>ROUND(('3.1a Initial Allocations YR1'!E70)*$K$3+H69,0)</f>
        <v>38842606</v>
      </c>
      <c r="G69" s="375">
        <f>ROUND(IF(F69=0,0,F69/'2.9 PCFP Funding Comparison YR1'!D65),0)</f>
        <v>9416</v>
      </c>
      <c r="H69" s="1301">
        <f>$Y$33*'2.8 Alloc of Residual Rev. YR1'!D72</f>
        <v>6.8573180151907016E-4</v>
      </c>
      <c r="I69" s="375">
        <f>ROUND('3.1a Initial Allocations YR1'!G70*'3.1b Allocation Adj. YR1 '!$K$3,0)</f>
        <v>1186423</v>
      </c>
      <c r="J69" s="385">
        <f>ROUND('3.1a Initial Allocations YR1'!H70*'3.1b Allocation Adj. YR1 '!$K$3,0)</f>
        <v>118642</v>
      </c>
      <c r="K69" s="375">
        <f>ROUND('3.1a Initial Allocations YR1'!I70*'3.1b Allocation Adj. YR1 '!$K$3,0)</f>
        <v>236155</v>
      </c>
      <c r="L69" s="375">
        <f t="shared" si="6"/>
        <v>1541220</v>
      </c>
      <c r="M69" s="8"/>
      <c r="N69" s="104">
        <f>ROUND('3.1a Initial Allocations YR1'!L70*'3.1b Allocation Adj. YR1 '!$K$3,0)</f>
        <v>0</v>
      </c>
      <c r="O69" s="89">
        <v>0</v>
      </c>
      <c r="P69" s="104">
        <v>0</v>
      </c>
      <c r="Q69" s="104"/>
      <c r="R69" s="375">
        <f t="shared" si="7"/>
        <v>0</v>
      </c>
      <c r="S69" s="89"/>
      <c r="T69" s="2178">
        <f>ROUND('3.1a Initial Allocations YR1'!R70,0)</f>
        <v>1929178</v>
      </c>
      <c r="U69" s="8"/>
      <c r="V69" s="375">
        <f t="shared" si="9"/>
        <v>42313004</v>
      </c>
      <c r="W69" s="115"/>
      <c r="X69" s="375">
        <f>ROUND(IF(F69=0,0,IF(V69=0,0,V69/'2.9 PCFP Funding Comparison YR1'!D65)),0)</f>
        <v>10257</v>
      </c>
    </row>
    <row r="70" spans="1:24" x14ac:dyDescent="0.3">
      <c r="A70" s="4"/>
      <c r="B70" s="106" t="str">
        <f>'1.2 Budgeted Enrollment YR1'!E68</f>
        <v xml:space="preserve">Mariposa Language and Learning Academy </v>
      </c>
      <c r="D70" s="9" t="str">
        <f t="shared" si="4"/>
        <v>PCFP</v>
      </c>
      <c r="E70" s="9" t="str">
        <f t="shared" si="5"/>
        <v>PCFP</v>
      </c>
      <c r="F70" s="375">
        <f>ROUND(('3.1a Initial Allocations YR1'!E71)*$K$3+H70,0)</f>
        <v>1547946</v>
      </c>
      <c r="G70" s="375">
        <f>ROUND(IF(F70=0,0,F70/'2.9 PCFP Funding Comparison YR1'!D66),0)</f>
        <v>9416</v>
      </c>
      <c r="H70" s="1301">
        <f>$Y$33*'2.8 Alloc of Residual Rev. YR1'!D73</f>
        <v>1.8728688735496161E-2</v>
      </c>
      <c r="I70" s="375">
        <f>ROUND('3.1a Initial Allocations YR1'!G71*'3.1b Allocation Adj. YR1 '!$K$3,0)</f>
        <v>194912</v>
      </c>
      <c r="J70" s="385">
        <f>ROUND('3.1a Initial Allocations YR1'!H71*'3.1b Allocation Adj. YR1 '!$K$3,0)</f>
        <v>0</v>
      </c>
      <c r="K70" s="375">
        <f>ROUND('3.1a Initial Allocations YR1'!I71*'3.1b Allocation Adj. YR1 '!$K$3,0)</f>
        <v>0</v>
      </c>
      <c r="L70" s="375">
        <f t="shared" si="6"/>
        <v>194912</v>
      </c>
      <c r="M70" s="8"/>
      <c r="N70" s="104">
        <f>ROUND('3.1a Initial Allocations YR1'!L71*'3.1b Allocation Adj. YR1 '!$K$3,0)</f>
        <v>0</v>
      </c>
      <c r="O70" s="89">
        <v>0</v>
      </c>
      <c r="P70" s="104">
        <v>0</v>
      </c>
      <c r="Q70" s="104"/>
      <c r="R70" s="375">
        <f t="shared" si="7"/>
        <v>0</v>
      </c>
      <c r="S70" s="89"/>
      <c r="T70" s="2178">
        <f>ROUND('3.1a Initial Allocations YR1'!R71,0)</f>
        <v>60742</v>
      </c>
      <c r="U70" s="8"/>
      <c r="V70" s="375">
        <f t="shared" si="9"/>
        <v>1803600</v>
      </c>
      <c r="W70" s="115"/>
      <c r="X70" s="375">
        <f>ROUND(IF(F70=0,0,IF(V70=0,0,V70/'2.9 PCFP Funding Comparison YR1'!D66)),0)</f>
        <v>10971</v>
      </c>
    </row>
    <row r="71" spans="1:24" x14ac:dyDescent="0.3">
      <c r="A71" s="4"/>
      <c r="B71" s="106" t="str">
        <f>'1.2 Budgeted Enrollment YR1'!E69</f>
        <v>Mater Academy</v>
      </c>
      <c r="D71" s="9" t="str">
        <f t="shared" si="4"/>
        <v>PCFP</v>
      </c>
      <c r="E71" s="9" t="str">
        <f t="shared" si="5"/>
        <v>PCFP</v>
      </c>
      <c r="F71" s="375">
        <f>ROUND(('3.1a Initial Allocations YR1'!E72)*$K$3+H71,0)</f>
        <v>42277466</v>
      </c>
      <c r="G71" s="375">
        <f>ROUND(IF(F71=0,0,F71/'2.9 PCFP Funding Comparison YR1'!D67),0)</f>
        <v>9416</v>
      </c>
      <c r="H71" s="1301">
        <f>$Y$33*'2.8 Alloc of Residual Rev. YR1'!D74</f>
        <v>2.0975312946446816E-3</v>
      </c>
      <c r="I71" s="375">
        <f>ROUND('3.1a Initial Allocations YR1'!G72*'3.1b Allocation Adj. YR1 '!$K$3,0)</f>
        <v>6182109</v>
      </c>
      <c r="J71" s="385">
        <f>ROUND('3.1a Initial Allocations YR1'!H72*'3.1b Allocation Adj. YR1 '!$K$3,0)</f>
        <v>16478</v>
      </c>
      <c r="K71" s="375">
        <f>ROUND('3.1a Initial Allocations YR1'!I72*'3.1b Allocation Adj. YR1 '!$K$3,0)</f>
        <v>0</v>
      </c>
      <c r="L71" s="375">
        <f t="shared" si="6"/>
        <v>6198587</v>
      </c>
      <c r="M71" s="8"/>
      <c r="N71" s="104">
        <f>ROUND('3.1a Initial Allocations YR1'!L72*'3.1b Allocation Adj. YR1 '!$K$3,0)</f>
        <v>0</v>
      </c>
      <c r="O71" s="89">
        <v>0</v>
      </c>
      <c r="P71" s="104">
        <v>0</v>
      </c>
      <c r="Q71" s="104"/>
      <c r="R71" s="375">
        <f t="shared" si="7"/>
        <v>0</v>
      </c>
      <c r="S71" s="89"/>
      <c r="T71" s="2178">
        <f>ROUND('3.1a Initial Allocations YR1'!R72,0)</f>
        <v>1865315</v>
      </c>
      <c r="U71" s="8"/>
      <c r="V71" s="375">
        <f t="shared" si="9"/>
        <v>50341368</v>
      </c>
      <c r="W71" s="115"/>
      <c r="X71" s="375">
        <f>ROUND(IF(F71=0,0,IF(V71=0,0,V71/'2.9 PCFP Funding Comparison YR1'!D67)),0)</f>
        <v>11212</v>
      </c>
    </row>
    <row r="72" spans="1:24" x14ac:dyDescent="0.3">
      <c r="A72" s="4"/>
      <c r="B72" s="106" t="str">
        <f>'1.2 Budgeted Enrollment YR1'!E70</f>
        <v>Mater Academy of Northern Nevada</v>
      </c>
      <c r="D72" s="9" t="str">
        <f t="shared" si="4"/>
        <v>PCFP</v>
      </c>
      <c r="E72" s="9" t="str">
        <f t="shared" si="5"/>
        <v>PCFP</v>
      </c>
      <c r="F72" s="375">
        <f>ROUND(('3.1a Initial Allocations YR1'!E73)*$K$3+H72,0)</f>
        <v>4734891</v>
      </c>
      <c r="G72" s="375">
        <f>ROUND(IF(F72=0,0,F72/'2.9 PCFP Funding Comparison YR1'!D68),0)</f>
        <v>9416</v>
      </c>
      <c r="H72" s="1301">
        <f>$Y$33*'2.8 Alloc of Residual Rev. YR1'!D75</f>
        <v>5.0088766631707872E-3</v>
      </c>
      <c r="I72" s="375">
        <f>ROUND('3.1a Initial Allocations YR1'!G73*'3.1b Allocation Adj. YR1 '!$K$3,0)</f>
        <v>563551</v>
      </c>
      <c r="J72" s="385">
        <f>ROUND('3.1a Initial Allocations YR1'!H73*'3.1b Allocation Adj. YR1 '!$K$3,0)</f>
        <v>6591</v>
      </c>
      <c r="K72" s="375">
        <f>ROUND('3.1a Initial Allocations YR1'!I73*'3.1b Allocation Adj. YR1 '!$K$3,0)</f>
        <v>0</v>
      </c>
      <c r="L72" s="375">
        <f t="shared" si="6"/>
        <v>570142</v>
      </c>
      <c r="M72" s="8"/>
      <c r="N72" s="104">
        <f>ROUND('3.1a Initial Allocations YR1'!L73*'3.1b Allocation Adj. YR1 '!$K$3,0)</f>
        <v>0</v>
      </c>
      <c r="O72" s="89">
        <v>0</v>
      </c>
      <c r="P72" s="104">
        <v>0</v>
      </c>
      <c r="Q72" s="104"/>
      <c r="R72" s="375">
        <f t="shared" si="7"/>
        <v>0</v>
      </c>
      <c r="S72" s="89"/>
      <c r="T72" s="2178">
        <f>ROUND('3.1a Initial Allocations YR1'!R73,0)</f>
        <v>53862</v>
      </c>
      <c r="U72" s="8"/>
      <c r="V72" s="375">
        <f t="shared" si="9"/>
        <v>5358895</v>
      </c>
      <c r="W72" s="115"/>
      <c r="X72" s="375">
        <f>ROUND(IF(F72=0,0,IF(V72=0,0,V72/'2.9 PCFP Funding Comparison YR1'!D68)),0)</f>
        <v>10657</v>
      </c>
    </row>
    <row r="73" spans="1:24" x14ac:dyDescent="0.3">
      <c r="A73" s="4"/>
      <c r="B73" s="106" t="str">
        <f>'1.2 Budgeted Enrollment YR1'!E71</f>
        <v>Nevada Connections Academy</v>
      </c>
      <c r="D73" s="9" t="str">
        <f t="shared" si="4"/>
        <v>PCFP</v>
      </c>
      <c r="E73" s="9" t="str">
        <f t="shared" si="5"/>
        <v>PCFP</v>
      </c>
      <c r="F73" s="375">
        <f>ROUND(('3.1a Initial Allocations YR1'!E74)*$K$3+H73,0)</f>
        <v>11306857</v>
      </c>
      <c r="G73" s="375">
        <f>ROUND(IF(F73=0,0,F73/'2.9 PCFP Funding Comparison YR1'!D69),0)</f>
        <v>9416</v>
      </c>
      <c r="H73" s="1301">
        <f>$Y$33*'2.8 Alloc of Residual Rev. YR1'!D76</f>
        <v>1.2732284829996589E-3</v>
      </c>
      <c r="I73" s="375">
        <f>ROUND('3.1a Initial Allocations YR1'!G74*'3.1b Allocation Adj. YR1 '!$K$3,0)</f>
        <v>161014</v>
      </c>
      <c r="J73" s="385">
        <f>ROUND('3.1a Initial Allocations YR1'!H74*'3.1b Allocation Adj. YR1 '!$K$3,0)</f>
        <v>98869</v>
      </c>
      <c r="K73" s="375">
        <f>ROUND('3.1a Initial Allocations YR1'!I74*'3.1b Allocation Adj. YR1 '!$K$3,0)</f>
        <v>0</v>
      </c>
      <c r="L73" s="375">
        <f t="shared" si="6"/>
        <v>259883</v>
      </c>
      <c r="M73" s="8"/>
      <c r="N73" s="104">
        <f>ROUND('3.1a Initial Allocations YR1'!L74*'3.1b Allocation Adj. YR1 '!$K$3,0)</f>
        <v>0</v>
      </c>
      <c r="O73" s="89">
        <v>0</v>
      </c>
      <c r="P73" s="104">
        <v>0</v>
      </c>
      <c r="Q73" s="104"/>
      <c r="R73" s="375">
        <f t="shared" si="7"/>
        <v>0</v>
      </c>
      <c r="S73" s="89"/>
      <c r="T73" s="2178">
        <f>ROUND('3.1a Initial Allocations YR1'!R74,0)</f>
        <v>0</v>
      </c>
      <c r="U73" s="8"/>
      <c r="V73" s="375">
        <f t="shared" si="9"/>
        <v>11566740</v>
      </c>
      <c r="W73" s="115"/>
      <c r="X73" s="375">
        <f>ROUND(IF(F73=0,0,IF(V73=0,0,V73/'2.9 PCFP Funding Comparison YR1'!D69)),0)</f>
        <v>9632</v>
      </c>
    </row>
    <row r="74" spans="1:24" x14ac:dyDescent="0.3">
      <c r="A74" s="4"/>
      <c r="B74" s="106" t="str">
        <f>'1.2 Budgeted Enrollment YR1'!E72</f>
        <v>Nevada Prep</v>
      </c>
      <c r="D74" s="9" t="str">
        <f t="shared" si="4"/>
        <v>PCFP</v>
      </c>
      <c r="E74" s="9" t="str">
        <f t="shared" si="5"/>
        <v>PCFP</v>
      </c>
      <c r="F74" s="375">
        <f>ROUND(('3.1a Initial Allocations YR1'!E75)*$K$3+H74,0)</f>
        <v>2874140</v>
      </c>
      <c r="G74" s="375">
        <f>ROUND(IF(F74=0,0,F74/'2.9 PCFP Funding Comparison YR1'!D70),0)</f>
        <v>9416</v>
      </c>
      <c r="H74" s="1301">
        <f>$Y$33*'2.8 Alloc of Residual Rev. YR1'!D77</f>
        <v>1.5541092471506011E-3</v>
      </c>
      <c r="I74" s="375">
        <f>ROUND('3.1a Initial Allocations YR1'!G75*'3.1b Allocation Adj. YR1 '!$K$3,0)</f>
        <v>313555</v>
      </c>
      <c r="J74" s="385">
        <f>ROUND('3.1a Initial Allocations YR1'!H75*'3.1b Allocation Adj. YR1 '!$K$3,0)</f>
        <v>92278</v>
      </c>
      <c r="K74" s="375">
        <f>ROUND('3.1a Initial Allocations YR1'!I75*'3.1b Allocation Adj. YR1 '!$K$3,0)</f>
        <v>0</v>
      </c>
      <c r="L74" s="375">
        <f t="shared" si="6"/>
        <v>405833</v>
      </c>
      <c r="M74" s="8"/>
      <c r="N74" s="104">
        <f>ROUND('3.1a Initial Allocations YR1'!L75*'3.1b Allocation Adj. YR1 '!$K$3,0)</f>
        <v>0</v>
      </c>
      <c r="O74" s="89">
        <v>0</v>
      </c>
      <c r="P74" s="104">
        <v>0</v>
      </c>
      <c r="Q74" s="104"/>
      <c r="R74" s="375">
        <f t="shared" si="7"/>
        <v>0</v>
      </c>
      <c r="S74" s="89"/>
      <c r="T74" s="2178">
        <f>ROUND('3.1a Initial Allocations YR1'!R75,0)</f>
        <v>180975</v>
      </c>
      <c r="U74" s="8"/>
      <c r="V74" s="375">
        <f t="shared" si="9"/>
        <v>3460948</v>
      </c>
      <c r="W74" s="115"/>
      <c r="X74" s="375">
        <f>ROUND(IF(F74=0,0,IF(V74=0,0,V74/'2.9 PCFP Funding Comparison YR1'!D70)),0)</f>
        <v>11339</v>
      </c>
    </row>
    <row r="75" spans="1:24" x14ac:dyDescent="0.3">
      <c r="A75" s="4"/>
      <c r="B75" s="106" t="str">
        <f>'1.2 Budgeted Enrollment YR1'!E73</f>
        <v xml:space="preserve">Nevada Rise </v>
      </c>
      <c r="D75" s="9" t="str">
        <f t="shared" si="4"/>
        <v>PCFP</v>
      </c>
      <c r="E75" s="9" t="str">
        <f t="shared" si="5"/>
        <v>PCFP</v>
      </c>
      <c r="F75" s="375">
        <f>ROUND(('3.1a Initial Allocations YR1'!E76)*$K$3+H75,0)</f>
        <v>3508190</v>
      </c>
      <c r="G75" s="375">
        <f>ROUND(IF(F75=0,0,F75/'2.9 PCFP Funding Comparison YR1'!D71),0)</f>
        <v>9416</v>
      </c>
      <c r="H75" s="1301">
        <f>$Y$33*'2.8 Alloc of Residual Rev. YR1'!D78</f>
        <v>3.8094969959653812E-3</v>
      </c>
      <c r="I75" s="375">
        <f>ROUND('3.1a Initial Allocations YR1'!G76*'3.1b Allocation Adj. YR1 '!$K$3,0)</f>
        <v>148303</v>
      </c>
      <c r="J75" s="385">
        <f>ROUND('3.1a Initial Allocations YR1'!H76*'3.1b Allocation Adj. YR1 '!$K$3,0)</f>
        <v>3295</v>
      </c>
      <c r="K75" s="375">
        <f>ROUND('3.1a Initial Allocations YR1'!I76*'3.1b Allocation Adj. YR1 '!$K$3,0)</f>
        <v>0</v>
      </c>
      <c r="L75" s="375">
        <f t="shared" si="6"/>
        <v>151598</v>
      </c>
      <c r="M75" s="8"/>
      <c r="N75" s="104">
        <f>ROUND('3.1a Initial Allocations YR1'!L76*'3.1b Allocation Adj. YR1 '!$K$3,0)</f>
        <v>0</v>
      </c>
      <c r="O75" s="89">
        <v>0</v>
      </c>
      <c r="P75" s="104">
        <v>0</v>
      </c>
      <c r="Q75" s="104"/>
      <c r="R75" s="375">
        <f t="shared" si="7"/>
        <v>0</v>
      </c>
      <c r="S75" s="89"/>
      <c r="T75" s="2178">
        <f>ROUND('3.1a Initial Allocations YR1'!R76,0)</f>
        <v>334053</v>
      </c>
      <c r="U75" s="8"/>
      <c r="V75" s="375">
        <f t="shared" si="9"/>
        <v>3993841</v>
      </c>
      <c r="W75" s="115"/>
      <c r="X75" s="375">
        <f>ROUND(IF(F75=0,0,IF(V75=0,0,V75/'2.9 PCFP Funding Comparison YR1'!D71)),0)</f>
        <v>10720</v>
      </c>
    </row>
    <row r="76" spans="1:24" x14ac:dyDescent="0.3">
      <c r="A76" s="4"/>
      <c r="B76" s="106" t="str">
        <f>'1.2 Budgeted Enrollment YR1'!E74</f>
        <v>Nevada State High School</v>
      </c>
      <c r="D76" s="9" t="str">
        <f t="shared" si="4"/>
        <v>PCFP</v>
      </c>
      <c r="E76" s="9" t="str">
        <f t="shared" si="5"/>
        <v>PCFP</v>
      </c>
      <c r="F76" s="375">
        <f>ROUND(('3.1a Initial Allocations YR1'!E77)*$K$3+H76,0)</f>
        <v>8599421</v>
      </c>
      <c r="G76" s="375">
        <f>ROUND(IF(F76=0,0,F76/'2.9 PCFP Funding Comparison YR1'!D72),0)</f>
        <v>9416</v>
      </c>
      <c r="H76" s="1301">
        <f>$Y$33*'2.8 Alloc of Residual Rev. YR1'!D79</f>
        <v>1.2595772472916535E-4</v>
      </c>
      <c r="I76" s="375">
        <f>ROUND('3.1a Initial Allocations YR1'!G77*'3.1b Allocation Adj. YR1 '!$K$3,0)</f>
        <v>101694</v>
      </c>
      <c r="J76" s="385">
        <f>ROUND('3.1a Initial Allocations YR1'!H77*'3.1b Allocation Adj. YR1 '!$K$3,0)</f>
        <v>3295</v>
      </c>
      <c r="K76" s="375">
        <f>ROUND('3.1a Initial Allocations YR1'!I77*'3.1b Allocation Adj. YR1 '!$K$3,0)</f>
        <v>0</v>
      </c>
      <c r="L76" s="375">
        <f t="shared" si="6"/>
        <v>104989</v>
      </c>
      <c r="M76" s="8"/>
      <c r="N76" s="104">
        <f>ROUND('3.1a Initial Allocations YR1'!L77*'3.1b Allocation Adj. YR1 '!$K$3,0)</f>
        <v>0</v>
      </c>
      <c r="O76" s="89">
        <v>0</v>
      </c>
      <c r="P76" s="104">
        <v>0</v>
      </c>
      <c r="Q76" s="104"/>
      <c r="R76" s="375">
        <f t="shared" si="7"/>
        <v>0</v>
      </c>
      <c r="S76" s="89"/>
      <c r="T76" s="2178">
        <f>ROUND('3.1a Initial Allocations YR1'!R77,0)</f>
        <v>9728</v>
      </c>
      <c r="U76" s="8"/>
      <c r="V76" s="375">
        <f t="shared" si="9"/>
        <v>8714138</v>
      </c>
      <c r="W76" s="115"/>
      <c r="X76" s="375">
        <f>ROUND(IF(F76=0,0,IF(V76=0,0,V76/'2.9 PCFP Funding Comparison YR1'!D72)),0)</f>
        <v>9542</v>
      </c>
    </row>
    <row r="77" spans="1:24" x14ac:dyDescent="0.3">
      <c r="A77" s="4"/>
      <c r="B77" s="106" t="str">
        <f>'1.2 Budgeted Enrollment YR1'!E75</f>
        <v>Nevada State High School-Meadowwood</v>
      </c>
      <c r="D77" s="9" t="str">
        <f t="shared" si="4"/>
        <v>PCFP</v>
      </c>
      <c r="E77" s="9" t="str">
        <f t="shared" si="5"/>
        <v>PCFP</v>
      </c>
      <c r="F77" s="375">
        <f>ROUND(('3.1a Initial Allocations YR1'!E78)*$K$3+H77,0)</f>
        <v>284332</v>
      </c>
      <c r="G77" s="375">
        <f>ROUND(IF(F77=0,0,F77/'2.9 PCFP Funding Comparison YR1'!D73),0)</f>
        <v>9416</v>
      </c>
      <c r="H77" s="1301">
        <f>$Y$33*'2.8 Alloc of Residual Rev. YR1'!D80</f>
        <v>7.5915712297245294E-3</v>
      </c>
      <c r="I77" s="375">
        <f>ROUND('3.1a Initial Allocations YR1'!G78*'3.1b Allocation Adj. YR1 '!$K$3,0)</f>
        <v>0</v>
      </c>
      <c r="J77" s="385">
        <f>ROUND('3.1a Initial Allocations YR1'!H78*'3.1b Allocation Adj. YR1 '!$K$3,0)</f>
        <v>0</v>
      </c>
      <c r="K77" s="375">
        <f>ROUND('3.1a Initial Allocations YR1'!I78*'3.1b Allocation Adj. YR1 '!$K$3,0)</f>
        <v>0</v>
      </c>
      <c r="L77" s="375">
        <f t="shared" si="6"/>
        <v>0</v>
      </c>
      <c r="M77" s="8"/>
      <c r="N77" s="104">
        <f>ROUND('3.1a Initial Allocations YR1'!L78*'3.1b Allocation Adj. YR1 '!$K$3,0)</f>
        <v>0</v>
      </c>
      <c r="O77" s="89">
        <v>0</v>
      </c>
      <c r="P77" s="104">
        <v>0</v>
      </c>
      <c r="Q77" s="104"/>
      <c r="R77" s="375">
        <f t="shared" si="7"/>
        <v>0</v>
      </c>
      <c r="S77" s="89"/>
      <c r="T77" s="2178">
        <f>ROUND('3.1a Initial Allocations YR1'!R78,0)</f>
        <v>0</v>
      </c>
      <c r="U77" s="8"/>
      <c r="V77" s="375">
        <f t="shared" si="9"/>
        <v>284332</v>
      </c>
      <c r="W77" s="115"/>
      <c r="X77" s="375">
        <f>ROUND(IF(F77=0,0,IF(V77=0,0,V77/'2.9 PCFP Funding Comparison YR1'!D73)),0)</f>
        <v>9416</v>
      </c>
    </row>
    <row r="78" spans="1:24" x14ac:dyDescent="0.3">
      <c r="A78" s="4"/>
      <c r="B78" s="106" t="str">
        <f>'1.2 Budgeted Enrollment YR1'!E76</f>
        <v>Nevada Virtual Academy</v>
      </c>
      <c r="D78" s="9" t="str">
        <f t="shared" si="4"/>
        <v>PCFP</v>
      </c>
      <c r="E78" s="9" t="str">
        <f t="shared" si="5"/>
        <v>PCFP</v>
      </c>
      <c r="F78" s="375">
        <f>ROUND(('3.1a Initial Allocations YR1'!E79)*$K$3+H78,0)</f>
        <v>17136939</v>
      </c>
      <c r="G78" s="375">
        <f>ROUND(IF(F78=0,0,F78/'2.9 PCFP Funding Comparison YR1'!D74),0)</f>
        <v>9416</v>
      </c>
      <c r="H78" s="1301">
        <f>$Y$33*'2.8 Alloc of Residual Rev. YR1'!D81</f>
        <v>3.7468661808504485E-3</v>
      </c>
      <c r="I78" s="375">
        <f>ROUND('3.1a Initial Allocations YR1'!G79*'3.1b Allocation Adj. YR1 '!$K$3,0)</f>
        <v>334741</v>
      </c>
      <c r="J78" s="385">
        <f>ROUND('3.1a Initial Allocations YR1'!H79*'3.1b Allocation Adj. YR1 '!$K$3,0)</f>
        <v>257059</v>
      </c>
      <c r="K78" s="375">
        <f>ROUND('3.1a Initial Allocations YR1'!I79*'3.1b Allocation Adj. YR1 '!$K$3,0)</f>
        <v>0</v>
      </c>
      <c r="L78" s="375">
        <f t="shared" si="6"/>
        <v>591800</v>
      </c>
      <c r="M78" s="8"/>
      <c r="N78" s="104">
        <f>ROUND('3.1a Initial Allocations YR1'!L79*'3.1b Allocation Adj. YR1 '!$K$3,0)</f>
        <v>0</v>
      </c>
      <c r="O78" s="89">
        <v>0</v>
      </c>
      <c r="P78" s="104">
        <v>0</v>
      </c>
      <c r="Q78" s="104"/>
      <c r="R78" s="375">
        <f t="shared" si="7"/>
        <v>0</v>
      </c>
      <c r="S78" s="89"/>
      <c r="T78" s="2178">
        <f>ROUND('3.1a Initial Allocations YR1'!R79,0)</f>
        <v>513939</v>
      </c>
      <c r="U78" s="8"/>
      <c r="V78" s="375">
        <f t="shared" si="9"/>
        <v>18242678</v>
      </c>
      <c r="W78" s="115"/>
      <c r="X78" s="375">
        <f>ROUND(IF(F78=0,0,IF(V78=0,0,V78/'2.9 PCFP Funding Comparison YR1'!D74)),0)</f>
        <v>10024</v>
      </c>
    </row>
    <row r="79" spans="1:24" x14ac:dyDescent="0.3">
      <c r="A79" s="4"/>
      <c r="B79" s="106" t="str">
        <f>'1.2 Budgeted Enrollment YR1'!E77</f>
        <v>Oasis Academy</v>
      </c>
      <c r="D79" s="9" t="str">
        <f t="shared" si="4"/>
        <v>PCFP</v>
      </c>
      <c r="E79" s="9" t="str">
        <f t="shared" si="5"/>
        <v>PCFP</v>
      </c>
      <c r="F79" s="375">
        <f>ROUND(('3.1a Initial Allocations YR1'!E80)*$K$3+H79,0)</f>
        <v>8458040</v>
      </c>
      <c r="G79" s="375">
        <f>ROUND(IF(F79=0,0,F79/'2.9 PCFP Funding Comparison YR1'!D75),0)</f>
        <v>10766</v>
      </c>
      <c r="H79" s="1301">
        <f>$Y$33*'2.8 Alloc of Residual Rev. YR1'!D82</f>
        <v>1.0014318847382511E-2</v>
      </c>
      <c r="I79" s="375">
        <f>ROUND('3.1a Initial Allocations YR1'!G80*'3.1b Allocation Adj. YR1 '!$K$3,0)</f>
        <v>84744</v>
      </c>
      <c r="J79" s="385">
        <f>ROUND('3.1a Initial Allocations YR1'!H80*'3.1b Allocation Adj. YR1 '!$K$3,0)</f>
        <v>0</v>
      </c>
      <c r="K79" s="375">
        <f>ROUND('3.1a Initial Allocations YR1'!I80*'3.1b Allocation Adj. YR1 '!$K$3,0)</f>
        <v>0</v>
      </c>
      <c r="L79" s="375">
        <f t="shared" si="6"/>
        <v>84744</v>
      </c>
      <c r="M79" s="8"/>
      <c r="N79" s="104">
        <f>ROUND('3.1a Initial Allocations YR1'!L80*'3.1b Allocation Adj. YR1 '!$K$3,0)</f>
        <v>0</v>
      </c>
      <c r="O79" s="89">
        <v>0</v>
      </c>
      <c r="P79" s="104">
        <v>0</v>
      </c>
      <c r="Q79" s="104"/>
      <c r="R79" s="375">
        <f t="shared" si="7"/>
        <v>0</v>
      </c>
      <c r="S79" s="89"/>
      <c r="T79" s="2178">
        <f>ROUND('3.1a Initial Allocations YR1'!R80,0)</f>
        <v>573004</v>
      </c>
      <c r="U79" s="8"/>
      <c r="V79" s="375">
        <f t="shared" si="9"/>
        <v>9115788</v>
      </c>
      <c r="W79" s="115"/>
      <c r="X79" s="375">
        <f>ROUND(IF(F79=0,0,IF(V79=0,0,V79/'2.9 PCFP Funding Comparison YR1'!D75)),0)</f>
        <v>11603</v>
      </c>
    </row>
    <row r="80" spans="1:24" x14ac:dyDescent="0.3">
      <c r="A80" s="4"/>
      <c r="B80" s="106" t="str">
        <f>'1.2 Budgeted Enrollment YR1'!E78</f>
        <v>Odyssey Charter Schools</v>
      </c>
      <c r="D80" s="9" t="str">
        <f t="shared" si="4"/>
        <v>PCFP</v>
      </c>
      <c r="E80" s="9" t="str">
        <f t="shared" si="5"/>
        <v>PCFP</v>
      </c>
      <c r="F80" s="375">
        <f>ROUND(('3.1a Initial Allocations YR1'!E81)*$K$3+H80,0)</f>
        <v>22605962</v>
      </c>
      <c r="G80" s="375">
        <f>ROUND(IF(F80=0,0,F80/'2.9 PCFP Funding Comparison YR1'!D76),0)</f>
        <v>9416</v>
      </c>
      <c r="H80" s="1301">
        <f>$Y$33*'2.8 Alloc of Residual Rev. YR1'!D83</f>
        <v>4.264662752062792E-3</v>
      </c>
      <c r="I80" s="375">
        <f>ROUND('3.1a Initial Allocations YR1'!G81*'3.1b Allocation Adj. YR1 '!$K$3,0)</f>
        <v>470331</v>
      </c>
      <c r="J80" s="385">
        <f>ROUND('3.1a Initial Allocations YR1'!H81*'3.1b Allocation Adj. YR1 '!$K$3,0)</f>
        <v>926068</v>
      </c>
      <c r="K80" s="375">
        <f>ROUND('3.1a Initial Allocations YR1'!I81*'3.1b Allocation Adj. YR1 '!$K$3,0)</f>
        <v>0</v>
      </c>
      <c r="L80" s="375">
        <f t="shared" si="6"/>
        <v>1396399</v>
      </c>
      <c r="M80" s="8"/>
      <c r="N80" s="104">
        <f>ROUND('3.1a Initial Allocations YR1'!L81*'3.1b Allocation Adj. YR1 '!$K$3,0)</f>
        <v>0</v>
      </c>
      <c r="O80" s="89">
        <v>0</v>
      </c>
      <c r="P80" s="104">
        <v>0</v>
      </c>
      <c r="Q80" s="104"/>
      <c r="R80" s="375">
        <f t="shared" si="7"/>
        <v>0</v>
      </c>
      <c r="S80" s="89"/>
      <c r="T80" s="2178">
        <f>ROUND('3.1a Initial Allocations YR1'!R81,0)</f>
        <v>2396373</v>
      </c>
      <c r="U80" s="8"/>
      <c r="V80" s="375">
        <f t="shared" si="9"/>
        <v>26398734</v>
      </c>
      <c r="W80" s="115"/>
      <c r="X80" s="375">
        <f>ROUND(IF(F80=0,0,IF(V80=0,0,V80/'2.9 PCFP Funding Comparison YR1'!D76)),0)</f>
        <v>10996</v>
      </c>
    </row>
    <row r="81" spans="1:26" x14ac:dyDescent="0.3">
      <c r="A81" s="4"/>
      <c r="B81" s="106" t="str">
        <f>'1.2 Budgeted Enrollment YR1'!E79</f>
        <v>Pinecrest Academy of Northern Nevada</v>
      </c>
      <c r="D81" s="9" t="str">
        <f t="shared" si="4"/>
        <v>PCFP</v>
      </c>
      <c r="E81" s="9" t="str">
        <f t="shared" si="5"/>
        <v>PCFP</v>
      </c>
      <c r="F81" s="375">
        <f>ROUND(('3.1a Initial Allocations YR1'!E82)*$K$3+H81,0)</f>
        <v>9626896</v>
      </c>
      <c r="G81" s="375">
        <f>ROUND(IF(F81=0,0,F81/'2.9 PCFP Funding Comparison YR1'!D77),0)</f>
        <v>9416</v>
      </c>
      <c r="H81" s="1301">
        <f>$Y$33*'2.8 Alloc of Residual Rev. YR1'!D84</f>
        <v>3.3598880552324607E-2</v>
      </c>
      <c r="I81" s="375">
        <f>ROUND('3.1a Initial Allocations YR1'!G82*'3.1b Allocation Adj. YR1 '!$K$3,0)</f>
        <v>76270</v>
      </c>
      <c r="J81" s="385">
        <f>ROUND('3.1a Initial Allocations YR1'!H82*'3.1b Allocation Adj. YR1 '!$K$3,0)</f>
        <v>0</v>
      </c>
      <c r="K81" s="375">
        <f>ROUND('3.1a Initial Allocations YR1'!I82*'3.1b Allocation Adj. YR1 '!$K$3,0)</f>
        <v>70055</v>
      </c>
      <c r="L81" s="375">
        <f t="shared" si="6"/>
        <v>146325</v>
      </c>
      <c r="M81" s="8"/>
      <c r="N81" s="104">
        <f>ROUND('3.1a Initial Allocations YR1'!L82*'3.1b Allocation Adj. YR1 '!$K$3,0)</f>
        <v>0</v>
      </c>
      <c r="O81" s="89">
        <v>0</v>
      </c>
      <c r="P81" s="104">
        <v>0</v>
      </c>
      <c r="Q81" s="104"/>
      <c r="R81" s="375">
        <f t="shared" si="7"/>
        <v>0</v>
      </c>
      <c r="S81" s="89"/>
      <c r="T81" s="2178">
        <f>ROUND('3.1a Initial Allocations YR1'!R82,0)</f>
        <v>1248935</v>
      </c>
      <c r="U81" s="8"/>
      <c r="V81" s="375">
        <f t="shared" si="9"/>
        <v>11022156</v>
      </c>
      <c r="W81" s="115"/>
      <c r="X81" s="375">
        <f>ROUND(IF(F81=0,0,IF(V81=0,0,V81/'2.9 PCFP Funding Comparison YR1'!D77)),0)</f>
        <v>10781</v>
      </c>
    </row>
    <row r="82" spans="1:26" x14ac:dyDescent="0.3">
      <c r="A82" s="4"/>
      <c r="B82" s="106" t="str">
        <f>'1.2 Budgeted Enrollment YR1'!E80</f>
        <v>Pinecrest Academy of Nevada</v>
      </c>
      <c r="D82" s="9" t="str">
        <f t="shared" si="4"/>
        <v>PCFP</v>
      </c>
      <c r="E82" s="9" t="str">
        <f t="shared" si="5"/>
        <v>PCFP</v>
      </c>
      <c r="F82" s="375">
        <f>ROUND(('3.1a Initial Allocations YR1'!E83)*$K$3+H82,0)</f>
        <v>75844900</v>
      </c>
      <c r="G82" s="375">
        <f>ROUND(IF(F82=0,0,F82/'2.9 PCFP Funding Comparison YR1'!D78),0)</f>
        <v>9416</v>
      </c>
      <c r="H82" s="1301">
        <f>$Y$33*'2.8 Alloc of Residual Rev. YR1'!D85</f>
        <v>1.1006863807747549E-3</v>
      </c>
      <c r="I82" s="375">
        <f>ROUND('3.1a Initial Allocations YR1'!G83*'3.1b Allocation Adj. YR1 '!$K$3,0)</f>
        <v>826259</v>
      </c>
      <c r="J82" s="385">
        <f>ROUND('3.1a Initial Allocations YR1'!H83*'3.1b Allocation Adj. YR1 '!$K$3,0)</f>
        <v>418543</v>
      </c>
      <c r="K82" s="375">
        <f>ROUND('3.1a Initial Allocations YR1'!I83*'3.1b Allocation Adj. YR1 '!$K$3,0)</f>
        <v>447451</v>
      </c>
      <c r="L82" s="375">
        <f t="shared" si="6"/>
        <v>1692253</v>
      </c>
      <c r="M82" s="8"/>
      <c r="N82" s="104">
        <f>ROUND('3.1a Initial Allocations YR1'!L83*'3.1b Allocation Adj. YR1 '!$K$3,0)</f>
        <v>0</v>
      </c>
      <c r="O82" s="89">
        <v>0</v>
      </c>
      <c r="P82" s="104">
        <v>0</v>
      </c>
      <c r="Q82" s="104"/>
      <c r="R82" s="375">
        <f t="shared" si="7"/>
        <v>0</v>
      </c>
      <c r="S82" s="89"/>
      <c r="T82" s="2178">
        <f>ROUND('3.1a Initial Allocations YR1'!R83,0)</f>
        <v>143895</v>
      </c>
      <c r="U82" s="8"/>
      <c r="V82" s="375">
        <f t="shared" si="9"/>
        <v>77681048</v>
      </c>
      <c r="W82" s="115"/>
      <c r="X82" s="375">
        <f>ROUND(IF(F82=0,0,IF(V82=0,0,V82/'2.9 PCFP Funding Comparison YR1'!D78)),0)</f>
        <v>9644</v>
      </c>
    </row>
    <row r="83" spans="1:26" x14ac:dyDescent="0.3">
      <c r="A83" s="4"/>
      <c r="B83" s="106" t="str">
        <f>'1.2 Budgeted Enrollment YR1'!E81</f>
        <v>Pioneer Technical Arts Academy</v>
      </c>
      <c r="D83" s="9" t="str">
        <f t="shared" si="4"/>
        <v>PCFP</v>
      </c>
      <c r="E83" s="9" t="str">
        <f t="shared" si="5"/>
        <v>PCFP</v>
      </c>
      <c r="F83" s="375">
        <f>ROUND(('3.1a Initial Allocations YR1'!E84)*$K$3+H83,0)</f>
        <v>2484650</v>
      </c>
      <c r="G83" s="375">
        <f>ROUND(IF(F83=0,0,F83/'2.9 PCFP Funding Comparison YR1'!D79),0)</f>
        <v>9416</v>
      </c>
      <c r="H83" s="1301">
        <f>$Y$33*'2.8 Alloc of Residual Rev. YR1'!D86</f>
        <v>1.9003158708121146E-3</v>
      </c>
      <c r="I83" s="375">
        <f>ROUND('3.1a Initial Allocations YR1'!G84*'3.1b Allocation Adj. YR1 '!$K$3,0)</f>
        <v>0</v>
      </c>
      <c r="J83" s="385">
        <f>ROUND('3.1a Initial Allocations YR1'!H84*'3.1b Allocation Adj. YR1 '!$K$3,0)</f>
        <v>0</v>
      </c>
      <c r="K83" s="375">
        <f>ROUND('3.1a Initial Allocations YR1'!I84*'3.1b Allocation Adj. YR1 '!$K$3,0)</f>
        <v>0</v>
      </c>
      <c r="L83" s="375">
        <f t="shared" si="6"/>
        <v>0</v>
      </c>
      <c r="M83" s="8"/>
      <c r="N83" s="104">
        <f>ROUND('3.1a Initial Allocations YR1'!L84*'3.1b Allocation Adj. YR1 '!$K$3,0)</f>
        <v>0</v>
      </c>
      <c r="O83" s="89">
        <v>0</v>
      </c>
      <c r="P83" s="104">
        <v>0</v>
      </c>
      <c r="Q83" s="104"/>
      <c r="R83" s="375">
        <f t="shared" si="7"/>
        <v>0</v>
      </c>
      <c r="S83" s="89"/>
      <c r="T83" s="2178">
        <f>ROUND('3.1a Initial Allocations YR1'!R84,0)</f>
        <v>0</v>
      </c>
      <c r="U83" s="8"/>
      <c r="V83" s="375">
        <f t="shared" si="9"/>
        <v>2484650</v>
      </c>
      <c r="W83" s="115"/>
      <c r="X83" s="375">
        <f>ROUND(IF(F83=0,0,IF(V83=0,0,V83/'2.9 PCFP Funding Comparison YR1'!D79)),0)</f>
        <v>9416</v>
      </c>
      <c r="Z83" s="9" t="s">
        <v>370</v>
      </c>
    </row>
    <row r="84" spans="1:26" x14ac:dyDescent="0.3">
      <c r="A84" s="4"/>
      <c r="B84" s="106" t="str">
        <f>'1.2 Budgeted Enrollment YR1'!E82</f>
        <v>Quest Academy</v>
      </c>
      <c r="D84" s="9" t="str">
        <f t="shared" si="4"/>
        <v>PCFP</v>
      </c>
      <c r="E84" s="9" t="str">
        <f t="shared" si="5"/>
        <v>PCFP</v>
      </c>
      <c r="F84" s="375">
        <f>ROUND(('3.1a Initial Allocations YR1'!E85)*$K$3+H84,0)</f>
        <v>4289704</v>
      </c>
      <c r="G84" s="375">
        <f>ROUND(IF(F84=0,0,F84/'2.9 PCFP Funding Comparison YR1'!D80),0)</f>
        <v>9416</v>
      </c>
      <c r="H84" s="1301">
        <f>$Y$33*'2.8 Alloc of Residual Rev. YR1'!D87</f>
        <v>2.6438765852393817E-4</v>
      </c>
      <c r="I84" s="375">
        <f>ROUND('3.1a Initial Allocations YR1'!G85*'3.1b Allocation Adj. YR1 '!$K$3,0)</f>
        <v>203387</v>
      </c>
      <c r="J84" s="385">
        <f>ROUND('3.1a Initial Allocations YR1'!H85*'3.1b Allocation Adj. YR1 '!$K$3,0)</f>
        <v>52730</v>
      </c>
      <c r="K84" s="375">
        <f>ROUND('3.1a Initial Allocations YR1'!I85*'3.1b Allocation Adj. YR1 '!$K$3,0)</f>
        <v>0</v>
      </c>
      <c r="L84" s="375">
        <f t="shared" si="6"/>
        <v>256117</v>
      </c>
      <c r="M84" s="8"/>
      <c r="N84" s="104">
        <f>ROUND('3.1a Initial Allocations YR1'!L85*'3.1b Allocation Adj. YR1 '!$K$3,0)</f>
        <v>0</v>
      </c>
      <c r="O84" s="89">
        <v>0</v>
      </c>
      <c r="P84" s="104">
        <v>0</v>
      </c>
      <c r="Q84" s="104"/>
      <c r="R84" s="375">
        <f t="shared" si="7"/>
        <v>0</v>
      </c>
      <c r="S84" s="89"/>
      <c r="T84" s="2178">
        <f>ROUND('3.1a Initial Allocations YR1'!R85,0)</f>
        <v>46203</v>
      </c>
      <c r="U84" s="8"/>
      <c r="V84" s="375">
        <f t="shared" si="9"/>
        <v>4592024</v>
      </c>
      <c r="W84" s="115"/>
      <c r="X84" s="375">
        <f>ROUND(IF(F84=0,0,IF(V84=0,0,V84/'2.9 PCFP Funding Comparison YR1'!D80)),0)</f>
        <v>10080</v>
      </c>
    </row>
    <row r="85" spans="1:26" x14ac:dyDescent="0.3">
      <c r="A85" s="4"/>
      <c r="B85" s="106" t="str">
        <f>'1.2 Budgeted Enrollment YR1'!E83</f>
        <v>Rainbow Dreams Academy</v>
      </c>
      <c r="D85" s="9" t="str">
        <f t="shared" si="4"/>
        <v>PCFP</v>
      </c>
      <c r="E85" s="9" t="str">
        <f t="shared" si="5"/>
        <v>PCFP</v>
      </c>
      <c r="F85" s="375">
        <f>ROUND(('3.1a Initial Allocations YR1'!E86)*$K$3+H85,0)</f>
        <v>596819</v>
      </c>
      <c r="G85" s="375">
        <f>ROUND(IF(F85=0,0,F85/'2.9 PCFP Funding Comparison YR1'!D81),0)</f>
        <v>9416</v>
      </c>
      <c r="H85" s="1301">
        <f>$Y$33*'2.8 Alloc of Residual Rev. YR1'!D88</f>
        <v>9.8504889825376676E-5</v>
      </c>
      <c r="I85" s="375">
        <f>ROUND('3.1a Initial Allocations YR1'!G86*'3.1b Allocation Adj. YR1 '!$K$3,0)</f>
        <v>25423</v>
      </c>
      <c r="J85" s="385">
        <f>ROUND('3.1a Initial Allocations YR1'!H86*'3.1b Allocation Adj. YR1 '!$K$3,0)</f>
        <v>16478</v>
      </c>
      <c r="K85" s="375">
        <f>ROUND('3.1a Initial Allocations YR1'!I86*'3.1b Allocation Adj. YR1 '!$K$3,0)</f>
        <v>0</v>
      </c>
      <c r="L85" s="375">
        <f t="shared" si="6"/>
        <v>41901</v>
      </c>
      <c r="M85" s="8"/>
      <c r="N85" s="104">
        <f>ROUND('3.1a Initial Allocations YR1'!L86*'3.1b Allocation Adj. YR1 '!$K$3,0)</f>
        <v>0</v>
      </c>
      <c r="O85" s="89">
        <v>0</v>
      </c>
      <c r="P85" s="104">
        <v>0</v>
      </c>
      <c r="Q85" s="104"/>
      <c r="R85" s="375">
        <f t="shared" si="7"/>
        <v>0</v>
      </c>
      <c r="S85" s="89"/>
      <c r="T85" s="2178">
        <f>ROUND('3.1a Initial Allocations YR1'!R86,0)</f>
        <v>40634</v>
      </c>
      <c r="U85" s="8"/>
      <c r="V85" s="375">
        <f t="shared" si="9"/>
        <v>679354</v>
      </c>
      <c r="W85" s="115"/>
      <c r="X85" s="375">
        <f>ROUND(IF(F85=0,0,IF(V85=0,0,V85/'2.9 PCFP Funding Comparison YR1'!D81)),0)</f>
        <v>10718</v>
      </c>
    </row>
    <row r="86" spans="1:26" x14ac:dyDescent="0.3">
      <c r="A86" s="4"/>
      <c r="B86" s="106" t="str">
        <f>'1.2 Budgeted Enrollment YR1'!E84</f>
        <v>Rooted Charter School</v>
      </c>
      <c r="D86" s="9" t="str">
        <f t="shared" si="4"/>
        <v>PCFP</v>
      </c>
      <c r="E86" s="9" t="str">
        <f t="shared" si="5"/>
        <v>PCFP</v>
      </c>
      <c r="F86" s="375">
        <f>ROUND(('3.1a Initial Allocations YR1'!E87)*$K$3+H86,0)</f>
        <v>222361</v>
      </c>
      <c r="G86" s="375">
        <f>ROUND(IF(F86=0,0,F86/'2.9 PCFP Funding Comparison YR1'!D82),0)</f>
        <v>9416</v>
      </c>
      <c r="H86" s="1301">
        <f>$Y$33*'2.8 Alloc of Residual Rev. YR1'!D89</f>
        <v>9.8496442935327977E-4</v>
      </c>
      <c r="I86" s="375">
        <f>ROUND('3.1a Initial Allocations YR1'!G87*'3.1b Allocation Adj. YR1 '!$K$3,0)</f>
        <v>0</v>
      </c>
      <c r="J86" s="385">
        <f>ROUND('3.1a Initial Allocations YR1'!H87*'3.1b Allocation Adj. YR1 '!$K$3,0)</f>
        <v>0</v>
      </c>
      <c r="K86" s="375">
        <f>ROUND('3.1a Initial Allocations YR1'!I87*'3.1b Allocation Adj. YR1 '!$K$3,0)</f>
        <v>0</v>
      </c>
      <c r="L86" s="375">
        <f t="shared" si="6"/>
        <v>0</v>
      </c>
      <c r="M86" s="8"/>
      <c r="N86" s="104">
        <f>ROUND('3.1a Initial Allocations YR1'!L87*'3.1b Allocation Adj. YR1 '!$K$3,0)</f>
        <v>0</v>
      </c>
      <c r="O86" s="89">
        <v>0</v>
      </c>
      <c r="P86" s="104">
        <v>0</v>
      </c>
      <c r="Q86" s="104"/>
      <c r="R86" s="375">
        <f t="shared" si="7"/>
        <v>0</v>
      </c>
      <c r="S86" s="89"/>
      <c r="T86" s="2178">
        <f>ROUND('3.1a Initial Allocations YR1'!R87,0)</f>
        <v>0</v>
      </c>
      <c r="U86" s="8"/>
      <c r="V86" s="375">
        <f t="shared" si="9"/>
        <v>222361</v>
      </c>
      <c r="W86" s="115"/>
      <c r="X86" s="375">
        <f>ROUND(IF(F86=0,0,IF(V86=0,0,V86/'2.9 PCFP Funding Comparison YR1'!D82)),0)</f>
        <v>9416</v>
      </c>
    </row>
    <row r="87" spans="1:26" x14ac:dyDescent="0.3">
      <c r="A87" s="4"/>
      <c r="B87" s="106" t="str">
        <f>'1.2 Budgeted Enrollment YR1'!E85</f>
        <v>Sage Collegiate Academy</v>
      </c>
      <c r="D87" s="9" t="str">
        <f t="shared" si="4"/>
        <v>PCFP</v>
      </c>
      <c r="E87" s="9" t="str">
        <f t="shared" si="5"/>
        <v>PCFP</v>
      </c>
      <c r="F87" s="375">
        <f>ROUND(('3.1a Initial Allocations YR1'!E88)*$K$3+H87,0)</f>
        <v>2223423</v>
      </c>
      <c r="G87" s="375">
        <f>ROUND(IF(F87=0,0,F87/'2.9 PCFP Funding Comparison YR1'!D83),0)</f>
        <v>9416</v>
      </c>
      <c r="H87" s="1301">
        <f>$Y$33*'2.8 Alloc of Residual Rev. YR1'!D90</f>
        <v>1.1933067512813961E-3</v>
      </c>
      <c r="I87" s="375">
        <f>ROUND('3.1a Initial Allocations YR1'!G88*'3.1b Allocation Adj. YR1 '!$K$3,0)</f>
        <v>292369</v>
      </c>
      <c r="J87" s="385">
        <f>ROUND('3.1a Initial Allocations YR1'!H88*'3.1b Allocation Adj. YR1 '!$K$3,0)</f>
        <v>0</v>
      </c>
      <c r="K87" s="375">
        <f>ROUND('3.1a Initial Allocations YR1'!I88*'3.1b Allocation Adj. YR1 '!$K$3,0)</f>
        <v>0</v>
      </c>
      <c r="L87" s="375">
        <f t="shared" si="6"/>
        <v>292369</v>
      </c>
      <c r="M87" s="8"/>
      <c r="N87" s="104">
        <f>ROUND('3.1a Initial Allocations YR1'!L88*'3.1b Allocation Adj. YR1 '!$K$3,0)</f>
        <v>0</v>
      </c>
      <c r="O87" s="89">
        <v>0</v>
      </c>
      <c r="P87" s="104">
        <v>0</v>
      </c>
      <c r="Q87" s="104"/>
      <c r="R87" s="375">
        <f t="shared" si="7"/>
        <v>0</v>
      </c>
      <c r="S87" s="89"/>
      <c r="T87" s="2178">
        <f>ROUND('3.1a Initial Allocations YR1'!R88,0)</f>
        <v>93023</v>
      </c>
      <c r="U87" s="8"/>
      <c r="V87" s="375">
        <f t="shared" si="9"/>
        <v>2608815</v>
      </c>
      <c r="W87" s="115"/>
      <c r="X87" s="375">
        <f>ROUND(IF(F87=0,0,IF(V87=0,0,V87/'2.9 PCFP Funding Comparison YR1'!D83)),0)</f>
        <v>11048</v>
      </c>
    </row>
    <row r="88" spans="1:26" x14ac:dyDescent="0.3">
      <c r="A88" s="4"/>
      <c r="B88" s="106" t="str">
        <f>'1.2 Budgeted Enrollment YR1'!E86</f>
        <v>Sierra Nevada Academy Charter</v>
      </c>
      <c r="D88" s="9" t="str">
        <f t="shared" si="4"/>
        <v>PCFP</v>
      </c>
      <c r="E88" s="9" t="str">
        <f t="shared" si="5"/>
        <v>PCFP</v>
      </c>
      <c r="F88" s="375">
        <f>ROUND(('3.1a Initial Allocations YR1'!E89)*$K$3+H88,0)</f>
        <v>2693728</v>
      </c>
      <c r="G88" s="375">
        <f>ROUND(IF(F88=0,0,F88/'2.9 PCFP Funding Comparison YR1'!D84),0)</f>
        <v>10162</v>
      </c>
      <c r="H88" s="1301">
        <f>$Y$33*'2.8 Alloc of Residual Rev. YR1'!D91</f>
        <v>4.1520462489094785E-3</v>
      </c>
      <c r="I88" s="375">
        <f>ROUND('3.1a Initial Allocations YR1'!G89*'3.1b Allocation Adj. YR1 '!$K$3,0)</f>
        <v>93219</v>
      </c>
      <c r="J88" s="385">
        <f>ROUND('3.1a Initial Allocations YR1'!H89*'3.1b Allocation Adj. YR1 '!$K$3,0)</f>
        <v>98869</v>
      </c>
      <c r="K88" s="375">
        <f>ROUND('3.1a Initial Allocations YR1'!I89*'3.1b Allocation Adj. YR1 '!$K$3,0)</f>
        <v>0</v>
      </c>
      <c r="L88" s="375">
        <f t="shared" si="6"/>
        <v>192088</v>
      </c>
      <c r="M88" s="8"/>
      <c r="N88" s="104">
        <f>ROUND('3.1a Initial Allocations YR1'!L89*'3.1b Allocation Adj. YR1 '!$K$3,0)</f>
        <v>0</v>
      </c>
      <c r="O88" s="89">
        <v>0</v>
      </c>
      <c r="P88" s="104">
        <v>0</v>
      </c>
      <c r="Q88" s="104"/>
      <c r="R88" s="375">
        <f t="shared" si="7"/>
        <v>0</v>
      </c>
      <c r="S88" s="89"/>
      <c r="T88" s="2178">
        <f>ROUND('3.1a Initial Allocations YR1'!R89,0)</f>
        <v>265057</v>
      </c>
      <c r="U88" s="8"/>
      <c r="V88" s="375">
        <f t="shared" si="9"/>
        <v>3150873</v>
      </c>
      <c r="W88" s="115"/>
      <c r="X88" s="375">
        <f>ROUND(IF(F88=0,0,IF(V88=0,0,V88/'2.9 PCFP Funding Comparison YR1'!D84)),0)</f>
        <v>11887</v>
      </c>
    </row>
    <row r="89" spans="1:26" x14ac:dyDescent="0.3">
      <c r="A89" s="4"/>
      <c r="B89" s="106" t="str">
        <f>'1.2 Budgeted Enrollment YR1'!E87</f>
        <v>Signature Preparatory</v>
      </c>
      <c r="D89" s="9" t="str">
        <f t="shared" si="4"/>
        <v>PCFP</v>
      </c>
      <c r="E89" s="9" t="str">
        <f t="shared" si="5"/>
        <v>PCFP</v>
      </c>
      <c r="F89" s="375">
        <f>ROUND(('3.1a Initial Allocations YR1'!E90)*$K$3+H89,0)</f>
        <v>9372679</v>
      </c>
      <c r="G89" s="375">
        <f>ROUND(IF(F89=0,0,F89/'2.9 PCFP Funding Comparison YR1'!D85),0)</f>
        <v>9416</v>
      </c>
      <c r="H89" s="1301">
        <f>$Y$33*'2.8 Alloc of Residual Rev. YR1'!D92</f>
        <v>1.0001170887113009E-3</v>
      </c>
      <c r="I89" s="375">
        <f>ROUND('3.1a Initial Allocations YR1'!G90*'3.1b Allocation Adj. YR1 '!$K$3,0)</f>
        <v>283894</v>
      </c>
      <c r="J89" s="385">
        <f>ROUND('3.1a Initial Allocations YR1'!H90*'3.1b Allocation Adj. YR1 '!$K$3,0)</f>
        <v>56025</v>
      </c>
      <c r="K89" s="375">
        <f>ROUND('3.1a Initial Allocations YR1'!I90*'3.1b Allocation Adj. YR1 '!$K$3,0)</f>
        <v>0</v>
      </c>
      <c r="L89" s="375">
        <f t="shared" si="6"/>
        <v>339919</v>
      </c>
      <c r="M89" s="8"/>
      <c r="N89" s="104">
        <f>ROUND('3.1a Initial Allocations YR1'!L90*'3.1b Allocation Adj. YR1 '!$K$3,0)</f>
        <v>0</v>
      </c>
      <c r="O89" s="89">
        <v>0</v>
      </c>
      <c r="P89" s="104">
        <v>0</v>
      </c>
      <c r="Q89" s="104"/>
      <c r="R89" s="375">
        <f t="shared" si="7"/>
        <v>0</v>
      </c>
      <c r="S89" s="89"/>
      <c r="T89" s="2178">
        <f>ROUND('3.1a Initial Allocations YR1'!R90,0)</f>
        <v>281852</v>
      </c>
      <c r="U89" s="8"/>
      <c r="V89" s="375">
        <f t="shared" si="9"/>
        <v>9994450</v>
      </c>
      <c r="W89" s="115"/>
      <c r="X89" s="375">
        <f>ROUND(IF(F89=0,0,IF(V89=0,0,V89/'2.9 PCFP Funding Comparison YR1'!D85)),0)</f>
        <v>10041</v>
      </c>
    </row>
    <row r="90" spans="1:26" x14ac:dyDescent="0.3">
      <c r="A90" s="4"/>
      <c r="B90" s="106" t="str">
        <f>'1.2 Budgeted Enrollment YR1'!E88</f>
        <v>Silver Sands Montessori</v>
      </c>
      <c r="D90" s="9" t="str">
        <f t="shared" si="4"/>
        <v>PCFP</v>
      </c>
      <c r="E90" s="9" t="str">
        <f t="shared" si="5"/>
        <v>PCFP</v>
      </c>
      <c r="F90" s="375">
        <f>ROUND(('3.1a Initial Allocations YR1'!E91)*$K$3+H90,0)</f>
        <v>2257628</v>
      </c>
      <c r="G90" s="375">
        <f>ROUND(IF(F90=0,0,F90/'2.9 PCFP Funding Comparison YR1'!D86),0)</f>
        <v>9416</v>
      </c>
      <c r="H90" s="1301">
        <f>$Y$33*'2.8 Alloc of Residual Rev. YR1'!D93</f>
        <v>4.0098501962159819E-2</v>
      </c>
      <c r="I90" s="375">
        <f>ROUND('3.1a Initial Allocations YR1'!G91*'3.1b Allocation Adj. YR1 '!$K$3,0)</f>
        <v>101694</v>
      </c>
      <c r="J90" s="385">
        <f>ROUND('3.1a Initial Allocations YR1'!H91*'3.1b Allocation Adj. YR1 '!$K$3,0)</f>
        <v>0</v>
      </c>
      <c r="K90" s="375">
        <f>ROUND('3.1a Initial Allocations YR1'!I91*'3.1b Allocation Adj. YR1 '!$K$3,0)</f>
        <v>0</v>
      </c>
      <c r="L90" s="375">
        <f t="shared" si="6"/>
        <v>101694</v>
      </c>
      <c r="M90" s="8"/>
      <c r="N90" s="104">
        <f>ROUND('3.1a Initial Allocations YR1'!L91*'3.1b Allocation Adj. YR1 '!$K$3,0)</f>
        <v>0</v>
      </c>
      <c r="O90" s="89">
        <v>0</v>
      </c>
      <c r="P90" s="104">
        <v>0</v>
      </c>
      <c r="Q90" s="104"/>
      <c r="R90" s="375">
        <f t="shared" si="7"/>
        <v>0</v>
      </c>
      <c r="S90" s="89"/>
      <c r="T90" s="2178">
        <f>ROUND('3.1a Initial Allocations YR1'!R91,0)</f>
        <v>0</v>
      </c>
      <c r="U90" s="8"/>
      <c r="V90" s="375">
        <f t="shared" si="9"/>
        <v>2359322</v>
      </c>
      <c r="W90" s="115"/>
      <c r="X90" s="375">
        <f>ROUND(IF(F90=0,0,IF(V90=0,0,V90/'2.9 PCFP Funding Comparison YR1'!D86)),0)</f>
        <v>9840</v>
      </c>
    </row>
    <row r="91" spans="1:26" x14ac:dyDescent="0.3">
      <c r="A91" s="4"/>
      <c r="B91" s="106" t="str">
        <f>'1.2 Budgeted Enrollment YR1'!E89</f>
        <v>Somerset Academy</v>
      </c>
      <c r="D91" s="9" t="str">
        <f t="shared" si="4"/>
        <v>PCFP</v>
      </c>
      <c r="E91" s="9" t="str">
        <f t="shared" si="5"/>
        <v>PCFP</v>
      </c>
      <c r="F91" s="375">
        <f>ROUND(('3.1a Initial Allocations YR1'!E92)*$K$3+H91,0)</f>
        <v>90516911</v>
      </c>
      <c r="G91" s="375">
        <f>ROUND(IF(F91=0,0,F91/'2.9 PCFP Funding Comparison YR1'!D87),0)</f>
        <v>9416</v>
      </c>
      <c r="H91" s="1301">
        <f>$Y$33*'2.8 Alloc of Residual Rev. YR1'!D94</f>
        <v>3.3821922674165205E-4</v>
      </c>
      <c r="I91" s="375">
        <f>ROUND('3.1a Initial Allocations YR1'!G92*'3.1b Allocation Adj. YR1 '!$K$3,0)</f>
        <v>1466079</v>
      </c>
      <c r="J91" s="385">
        <f>ROUND('3.1a Initial Allocations YR1'!H92*'3.1b Allocation Adj. YR1 '!$K$3,0)</f>
        <v>359223</v>
      </c>
      <c r="K91" s="375">
        <f>ROUND('3.1a Initial Allocations YR1'!I92*'3.1b Allocation Adj. YR1 '!$K$3,0)</f>
        <v>274572</v>
      </c>
      <c r="L91" s="375">
        <f t="shared" si="6"/>
        <v>2099874</v>
      </c>
      <c r="M91" s="8"/>
      <c r="N91" s="104">
        <f>ROUND('3.1a Initial Allocations YR1'!L92*'3.1b Allocation Adj. YR1 '!$K$3,0)</f>
        <v>0</v>
      </c>
      <c r="O91" s="89">
        <v>0</v>
      </c>
      <c r="P91" s="104">
        <v>0</v>
      </c>
      <c r="Q91" s="104"/>
      <c r="R91" s="375">
        <f t="shared" si="7"/>
        <v>0</v>
      </c>
      <c r="S91" s="89"/>
      <c r="T91" s="2178">
        <f>ROUND('3.1a Initial Allocations YR1'!R92,0)</f>
        <v>4081801</v>
      </c>
      <c r="U91" s="8"/>
      <c r="V91" s="375">
        <f t="shared" si="9"/>
        <v>96698586</v>
      </c>
      <c r="W91" s="115"/>
      <c r="X91" s="375">
        <f>ROUND(IF(F91=0,0,IF(V91=0,0,V91/'2.9 PCFP Funding Comparison YR1'!D87)),0)</f>
        <v>10059</v>
      </c>
    </row>
    <row r="92" spans="1:26" x14ac:dyDescent="0.3">
      <c r="A92" s="4"/>
      <c r="B92" s="106" t="str">
        <f>'1.2 Budgeted Enrollment YR1'!E90</f>
        <v>Southern Nevada Trade High School</v>
      </c>
      <c r="D92" s="9" t="str">
        <f t="shared" si="4"/>
        <v>PCFP</v>
      </c>
      <c r="E92" s="9" t="str">
        <f t="shared" si="5"/>
        <v>PCFP</v>
      </c>
      <c r="F92" s="375">
        <f>ROUND(('3.1a Initial Allocations YR1'!E93)*$K$3+H92,0)</f>
        <v>763484</v>
      </c>
      <c r="G92" s="375">
        <f>ROUND(IF(F92=0,0,F92/'2.9 PCFP Funding Comparison YR1'!D88),0)</f>
        <v>9416</v>
      </c>
      <c r="H92" s="1301">
        <f>$Y$33*'2.8 Alloc of Residual Rev. YR1'!D95</f>
        <v>7.7950780387839357E-3</v>
      </c>
      <c r="I92" s="375">
        <f>ROUND('3.1a Initial Allocations YR1'!G93*'3.1b Allocation Adj. YR1 '!$K$3,0)</f>
        <v>105931</v>
      </c>
      <c r="J92" s="385">
        <f>ROUND('3.1a Initial Allocations YR1'!H93*'3.1b Allocation Adj. YR1 '!$K$3,0)</f>
        <v>105459</v>
      </c>
      <c r="K92" s="375">
        <f>ROUND('3.1a Initial Allocations YR1'!I93*'3.1b Allocation Adj. YR1 '!$K$3,0)</f>
        <v>0</v>
      </c>
      <c r="L92" s="375">
        <f t="shared" si="6"/>
        <v>211390</v>
      </c>
      <c r="M92" s="8"/>
      <c r="N92" s="104">
        <f>ROUND('3.1a Initial Allocations YR1'!L93*'3.1b Allocation Adj. YR1 '!$K$3,0)</f>
        <v>0</v>
      </c>
      <c r="O92" s="89">
        <v>0</v>
      </c>
      <c r="P92" s="104">
        <v>0</v>
      </c>
      <c r="Q92" s="104"/>
      <c r="R92" s="375">
        <f t="shared" si="7"/>
        <v>0</v>
      </c>
      <c r="S92" s="89"/>
      <c r="T92" s="2178">
        <f>ROUND('3.1a Initial Allocations YR1'!R93,0)</f>
        <v>0</v>
      </c>
      <c r="U92" s="8"/>
      <c r="V92" s="375">
        <f t="shared" si="9"/>
        <v>974874</v>
      </c>
      <c r="W92" s="115"/>
      <c r="X92" s="375">
        <f>ROUND(IF(F92=0,0,IF(V92=0,0,V92/'2.9 PCFP Funding Comparison YR1'!D88)),0)</f>
        <v>12023</v>
      </c>
    </row>
    <row r="93" spans="1:26" x14ac:dyDescent="0.3">
      <c r="A93" s="4"/>
      <c r="B93" s="106" t="str">
        <f>'1.2 Budgeted Enrollment YR1'!E91</f>
        <v>Sports Leadership and Management Academy</v>
      </c>
      <c r="D93" s="9" t="str">
        <f t="shared" si="4"/>
        <v>PCFP</v>
      </c>
      <c r="E93" s="9" t="str">
        <f t="shared" si="5"/>
        <v>PCFP</v>
      </c>
      <c r="F93" s="375">
        <f>ROUND(('3.1a Initial Allocations YR1'!E94)*$K$3+H93,0)</f>
        <v>17596328</v>
      </c>
      <c r="G93" s="375">
        <f>ROUND(IF(F93=0,0,F93/'2.9 PCFP Funding Comparison YR1'!D89),0)</f>
        <v>9416</v>
      </c>
      <c r="H93" s="1301">
        <f>$Y$33*'2.8 Alloc of Residual Rev. YR1'!D96</f>
        <v>6.153563822924818E-4</v>
      </c>
      <c r="I93" s="375">
        <f>ROUND('3.1a Initial Allocations YR1'!G94*'3.1b Allocation Adj. YR1 '!$K$3,0)</f>
        <v>822022</v>
      </c>
      <c r="J93" s="385">
        <f>ROUND('3.1a Initial Allocations YR1'!H94*'3.1b Allocation Adj. YR1 '!$K$3,0)</f>
        <v>72503</v>
      </c>
      <c r="K93" s="375">
        <f>ROUND('3.1a Initial Allocations YR1'!I94*'3.1b Allocation Adj. YR1 '!$K$3,0)</f>
        <v>0</v>
      </c>
      <c r="L93" s="375">
        <f t="shared" si="6"/>
        <v>894525</v>
      </c>
      <c r="M93" s="8"/>
      <c r="N93" s="104">
        <f>ROUND('3.1a Initial Allocations YR1'!L94*'3.1b Allocation Adj. YR1 '!$K$3,0)</f>
        <v>0</v>
      </c>
      <c r="O93" s="89">
        <v>0</v>
      </c>
      <c r="P93" s="104">
        <v>0</v>
      </c>
      <c r="Q93" s="104"/>
      <c r="R93" s="375">
        <f t="shared" si="7"/>
        <v>0</v>
      </c>
      <c r="S93" s="89"/>
      <c r="T93" s="2178">
        <f>ROUND('3.1a Initial Allocations YR1'!R94,0)</f>
        <v>1415450</v>
      </c>
      <c r="U93" s="8"/>
      <c r="V93" s="375">
        <f t="shared" si="9"/>
        <v>19906303</v>
      </c>
      <c r="W93" s="115"/>
      <c r="X93" s="375">
        <f>ROUND(IF(F93=0,0,IF(V93=0,0,V93/'2.9 PCFP Funding Comparison YR1'!D89)),0)</f>
        <v>10652</v>
      </c>
    </row>
    <row r="94" spans="1:26" x14ac:dyDescent="0.3">
      <c r="A94" s="4"/>
      <c r="B94" s="106" t="str">
        <f>'1.2 Budgeted Enrollment YR1'!E92</f>
        <v>Strong Start Academy</v>
      </c>
      <c r="D94" s="9" t="str">
        <f t="shared" si="4"/>
        <v>PCFP</v>
      </c>
      <c r="E94" s="9" t="str">
        <f t="shared" si="5"/>
        <v>PCFP</v>
      </c>
      <c r="F94" s="375">
        <f>ROUND(('3.1a Initial Allocations YR1'!E95)*$K$3+H94,0)</f>
        <v>1389083</v>
      </c>
      <c r="G94" s="375">
        <f>ROUND(IF(F94=0,0,F94/'2.9 PCFP Funding Comparison YR1'!D90),0)</f>
        <v>9416</v>
      </c>
      <c r="H94" s="1301">
        <f>$Y$33*'2.8 Alloc of Residual Rev. YR1'!D97</f>
        <v>6.381413153918776E-4</v>
      </c>
      <c r="I94" s="375">
        <f>ROUND('3.1a Initial Allocations YR1'!G95*'3.1b Allocation Adj. YR1 '!$K$3,0)</f>
        <v>237284</v>
      </c>
      <c r="J94" s="385">
        <f>ROUND('3.1a Initial Allocations YR1'!H95*'3.1b Allocation Adj. YR1 '!$K$3,0)</f>
        <v>0</v>
      </c>
      <c r="K94" s="375">
        <f>ROUND('3.1a Initial Allocations YR1'!I95*'3.1b Allocation Adj. YR1 '!$K$3,0)</f>
        <v>0</v>
      </c>
      <c r="L94" s="375">
        <f t="shared" si="6"/>
        <v>237284</v>
      </c>
      <c r="M94" s="8"/>
      <c r="N94" s="104">
        <f>ROUND('3.1a Initial Allocations YR1'!L95*'3.1b Allocation Adj. YR1 '!$K$3,0)</f>
        <v>0</v>
      </c>
      <c r="O94" s="89">
        <v>0</v>
      </c>
      <c r="P94" s="104">
        <v>0</v>
      </c>
      <c r="Q94" s="104"/>
      <c r="R94" s="375">
        <f t="shared" si="7"/>
        <v>0</v>
      </c>
      <c r="S94" s="89"/>
      <c r="T94" s="2178">
        <f>ROUND('3.1a Initial Allocations YR1'!R95,0)</f>
        <v>219797</v>
      </c>
      <c r="U94" s="8"/>
      <c r="V94" s="375">
        <f t="shared" si="9"/>
        <v>1846164</v>
      </c>
      <c r="W94" s="115"/>
      <c r="X94" s="375">
        <f>ROUND(IF(F94=0,0,IF(V94=0,0,V94/'2.9 PCFP Funding Comparison YR1'!D90)),0)</f>
        <v>12514</v>
      </c>
    </row>
    <row r="95" spans="1:26" x14ac:dyDescent="0.3">
      <c r="A95" s="4"/>
      <c r="B95" s="106" t="str">
        <f>'1.2 Budgeted Enrollment YR1'!E93</f>
        <v>ThrivePoint</v>
      </c>
      <c r="D95" s="9" t="str">
        <f>$D$29</f>
        <v>PCFP</v>
      </c>
      <c r="E95" s="9" t="str">
        <f>$E$28</f>
        <v>PCFP</v>
      </c>
      <c r="F95" s="375">
        <f>ROUND(('3.1a Initial Allocations YR1'!E96)*$K$3+H95,0)</f>
        <v>1440517</v>
      </c>
      <c r="G95" s="375">
        <f>ROUND(IF(F95=0,0,F95/'2.9 PCFP Funding Comparison YR1'!D91),0)</f>
        <v>9416</v>
      </c>
      <c r="H95" s="1301">
        <f>$Y$33*'2.8 Alloc of Residual Rev. YR1'!D98</f>
        <v>4.3684838756722147E-4</v>
      </c>
      <c r="I95" s="375">
        <f>ROUND('3.1a Initial Allocations YR1'!G96*'3.1b Allocation Adj. YR1 '!$K$3,0)</f>
        <v>177964</v>
      </c>
      <c r="J95" s="385">
        <f>ROUND('3.1a Initial Allocations YR1'!H96*'3.1b Allocation Adj. YR1 '!$K$3,0)</f>
        <v>161485</v>
      </c>
      <c r="K95" s="375">
        <f>ROUND('3.1a Initial Allocations YR1'!I96*'3.1b Allocation Adj. YR1 '!$K$3,0)</f>
        <v>0</v>
      </c>
      <c r="L95" s="375">
        <f t="shared" si="6"/>
        <v>339449</v>
      </c>
      <c r="M95" s="8"/>
      <c r="N95" s="104">
        <f>ROUND('3.1a Initial Allocations YR1'!L96*'3.1b Allocation Adj. YR1 '!$K$3,0)</f>
        <v>0</v>
      </c>
      <c r="O95" s="89">
        <v>0</v>
      </c>
      <c r="P95" s="104">
        <v>0</v>
      </c>
      <c r="Q95" s="104"/>
      <c r="R95" s="375">
        <f t="shared" si="7"/>
        <v>0</v>
      </c>
      <c r="S95" s="89"/>
      <c r="T95" s="2178">
        <f>ROUND('3.1a Initial Allocations YR1'!R96,0)</f>
        <v>0</v>
      </c>
      <c r="U95" s="8"/>
      <c r="V95" s="375">
        <f t="shared" si="9"/>
        <v>1779966</v>
      </c>
      <c r="W95" s="115"/>
      <c r="X95" s="375">
        <f>ROUND(IF(F95=0,0,IF(V95=0,0,V95/'2.9 PCFP Funding Comparison YR1'!D91)),0)</f>
        <v>11635</v>
      </c>
    </row>
    <row r="96" spans="1:26" x14ac:dyDescent="0.3">
      <c r="A96" s="4"/>
      <c r="B96" s="106" t="str">
        <f>'1.2 Budgeted Enrollment YR1'!E94</f>
        <v>Vegas Vista Academy</v>
      </c>
      <c r="D96" s="9" t="str">
        <f>$D$29</f>
        <v>PCFP</v>
      </c>
      <c r="E96" s="9" t="str">
        <f>$E$28</f>
        <v>PCFP</v>
      </c>
      <c r="F96" s="375">
        <f>ROUND(('3.1a Initial Allocations YR1'!E97)*$K$3+H96,0)</f>
        <v>986126</v>
      </c>
      <c r="G96" s="375">
        <f>ROUND(IF(F96=0,0,F96/'2.9 PCFP Funding Comparison YR1'!D92),0)</f>
        <v>9416</v>
      </c>
      <c r="H96" s="1301">
        <f>$Y$33*'2.8 Alloc of Residual Rev. YR1'!D99</f>
        <v>4.958054688793031E-4</v>
      </c>
      <c r="I96" s="375">
        <f>ROUND('3.1a Initial Allocations YR1'!G97*'3.1b Allocation Adj. YR1 '!$K$3,0)</f>
        <v>152540</v>
      </c>
      <c r="J96" s="385">
        <f>ROUND('3.1a Initial Allocations YR1'!H97*'3.1b Allocation Adj. YR1 '!$K$3,0)</f>
        <v>0</v>
      </c>
      <c r="K96" s="375">
        <f>ROUND('3.1a Initial Allocations YR1'!I97*'3.1b Allocation Adj. YR1 '!$K$3,0)</f>
        <v>0</v>
      </c>
      <c r="L96" s="375">
        <f t="shared" si="6"/>
        <v>152540</v>
      </c>
      <c r="M96" s="8"/>
      <c r="N96" s="104">
        <f>ROUND('3.1a Initial Allocations YR1'!L97*'3.1b Allocation Adj. YR1 '!$K$3,0)</f>
        <v>0</v>
      </c>
      <c r="O96" s="89">
        <v>0</v>
      </c>
      <c r="P96" s="104">
        <v>0</v>
      </c>
      <c r="Q96" s="104"/>
      <c r="R96" s="375">
        <f t="shared" si="7"/>
        <v>0</v>
      </c>
      <c r="S96" s="89"/>
      <c r="T96" s="2178">
        <f>ROUND('3.1a Initial Allocations YR1'!R97,0)</f>
        <v>0</v>
      </c>
      <c r="U96" s="8"/>
      <c r="V96" s="375">
        <f t="shared" si="9"/>
        <v>1138666</v>
      </c>
      <c r="W96" s="115"/>
      <c r="X96" s="375">
        <f>ROUND(IF(F96=0,0,IF(V96=0,0,V96/'2.9 PCFP Funding Comparison YR1'!D92)),0)</f>
        <v>10873</v>
      </c>
    </row>
    <row r="97" spans="1:24" x14ac:dyDescent="0.3">
      <c r="A97" s="4"/>
      <c r="B97" s="142" t="str">
        <f>'1.2 Budgeted Enrollment YR1'!E95</f>
        <v>Young Women's Leadership Academy</v>
      </c>
      <c r="C97" s="137"/>
      <c r="D97" s="137" t="str">
        <f>$D$29</f>
        <v>PCFP</v>
      </c>
      <c r="E97" s="137" t="str">
        <f>$E$28</f>
        <v>PCFP</v>
      </c>
      <c r="F97" s="376">
        <f>ROUND(('3.1a Initial Allocations YR1'!E98)*$K$3+H97,0)</f>
        <v>1119214</v>
      </c>
      <c r="G97" s="376">
        <f>ROUND(IF(F97=0,0,F97/'2.9 PCFP Funding Comparison YR1'!D93),0)</f>
        <v>9416</v>
      </c>
      <c r="H97" s="1301">
        <f>$Y$33*'2.8 Alloc of Residual Rev. YR1'!D100</f>
        <v>0.30267161062197762</v>
      </c>
      <c r="I97" s="376">
        <f>ROUND('3.1a Initial Allocations YR1'!G98*'3.1b Allocation Adj. YR1 '!$K$3,0)</f>
        <v>80508</v>
      </c>
      <c r="J97" s="391">
        <f>ROUND('3.1a Initial Allocations YR1'!H98*'3.1b Allocation Adj. YR1 '!$K$3,0)</f>
        <v>6591</v>
      </c>
      <c r="K97" s="376">
        <f>ROUND('3.1a Initial Allocations YR1'!I98*'3.1b Allocation Adj. YR1 '!$K$3,0)</f>
        <v>0</v>
      </c>
      <c r="L97" s="375">
        <f t="shared" si="6"/>
        <v>87099</v>
      </c>
      <c r="M97" s="8"/>
      <c r="N97" s="104">
        <f>ROUND('3.1a Initial Allocations YR1'!L98*'3.1b Allocation Adj. YR1 '!$K$3,0)</f>
        <v>0</v>
      </c>
      <c r="O97" s="89">
        <v>0</v>
      </c>
      <c r="P97" s="104">
        <v>0</v>
      </c>
      <c r="Q97" s="104"/>
      <c r="R97" s="375">
        <f t="shared" si="7"/>
        <v>0</v>
      </c>
      <c r="S97" s="89"/>
      <c r="T97" s="2178">
        <f>ROUND('3.1a Initial Allocations YR1'!R98,0)</f>
        <v>122895</v>
      </c>
      <c r="U97" s="8"/>
      <c r="V97" s="375">
        <f t="shared" si="9"/>
        <v>1329208</v>
      </c>
      <c r="W97" s="115"/>
      <c r="X97" s="376">
        <f>ROUND(IF(F97=0,0,IF(V97=0,0,V97/'2.9 PCFP Funding Comparison YR1'!D93)),0)</f>
        <v>11183</v>
      </c>
    </row>
    <row r="98" spans="1:24" s="4" customFormat="1" x14ac:dyDescent="0.3">
      <c r="B98" s="289" t="str">
        <f>'1.2 Budgeted Enrollment YR1'!E96</f>
        <v>Total Charter Schools</v>
      </c>
      <c r="C98" s="291"/>
      <c r="D98" s="291"/>
      <c r="E98" s="342"/>
      <c r="F98" s="388">
        <f>SUM(F36:F97)</f>
        <v>683239962</v>
      </c>
      <c r="G98" s="618"/>
      <c r="H98" s="1301"/>
      <c r="I98" s="377">
        <f>ROUND(SUM(I36:I97),2)</f>
        <v>27050440</v>
      </c>
      <c r="J98" s="408">
        <f>SUM(J36:J97)</f>
        <v>6614302</v>
      </c>
      <c r="K98" s="377">
        <f>SUM(K36:K97)</f>
        <v>1684719</v>
      </c>
      <c r="L98" s="377">
        <f>ROUND(SUM(L36:L97),0)</f>
        <v>35349461</v>
      </c>
      <c r="M98" s="8"/>
      <c r="N98" s="2185">
        <f>'3.1a Initial Allocations YR1'!L29</f>
        <v>0</v>
      </c>
      <c r="O98" s="408">
        <f>SUM(O36:O97)</f>
        <v>0</v>
      </c>
      <c r="P98" s="377">
        <f>SUM(P36:P97)</f>
        <v>0</v>
      </c>
      <c r="Q98" s="2185">
        <f>'3.1a Initial Allocations YR1'!O29</f>
        <v>0</v>
      </c>
      <c r="R98" s="377">
        <f>SUM(N98:Q98)</f>
        <v>0</v>
      </c>
      <c r="S98" s="8"/>
      <c r="T98" s="377">
        <f>ROUND(SUM(T36:T97),2)</f>
        <v>24608056</v>
      </c>
      <c r="U98" s="8"/>
      <c r="V98" s="377">
        <f>F98+L98+R98+T98</f>
        <v>743197479</v>
      </c>
      <c r="W98" s="467"/>
      <c r="X98" s="467"/>
    </row>
    <row r="99" spans="1:24" x14ac:dyDescent="0.3">
      <c r="F99" s="12">
        <f>F98-F28</f>
        <v>0</v>
      </c>
      <c r="G99" s="12"/>
      <c r="H99" s="1301"/>
      <c r="I99" s="10">
        <f>I98-I28</f>
        <v>0</v>
      </c>
      <c r="J99" s="10">
        <f t="shared" ref="J99:L99" si="10">J98-J28</f>
        <v>0</v>
      </c>
      <c r="K99" s="10">
        <f t="shared" si="10"/>
        <v>0</v>
      </c>
      <c r="L99" s="10">
        <f t="shared" si="10"/>
        <v>0</v>
      </c>
      <c r="M99" s="8"/>
      <c r="N99" s="10">
        <f>N98-N28</f>
        <v>0</v>
      </c>
      <c r="O99" s="10">
        <f t="shared" ref="O99:R99" si="11">O98-O28</f>
        <v>0</v>
      </c>
      <c r="P99" s="10">
        <f t="shared" si="11"/>
        <v>0</v>
      </c>
      <c r="Q99" s="10">
        <f t="shared" si="11"/>
        <v>0</v>
      </c>
      <c r="R99" s="10">
        <f t="shared" si="11"/>
        <v>0</v>
      </c>
      <c r="S99" s="12"/>
      <c r="T99" s="10">
        <f>T98-T28</f>
        <v>0</v>
      </c>
      <c r="U99" s="8"/>
      <c r="V99" s="12">
        <f>V98-V28</f>
        <v>0</v>
      </c>
      <c r="W99" s="15"/>
      <c r="X99" s="15"/>
    </row>
    <row r="100" spans="1:24" x14ac:dyDescent="0.3">
      <c r="A100" s="4" t="str">
        <f>B29</f>
        <v>University Schools</v>
      </c>
      <c r="B100" s="137"/>
      <c r="C100" s="137"/>
      <c r="D100" s="137"/>
      <c r="E100" s="137"/>
      <c r="F100" s="440"/>
      <c r="G100" s="440"/>
      <c r="H100" s="1301"/>
      <c r="I100" s="127"/>
      <c r="J100" s="127"/>
      <c r="K100" s="127"/>
      <c r="L100" s="127"/>
      <c r="M100" s="8"/>
      <c r="N100" s="127"/>
      <c r="O100" s="127"/>
      <c r="P100" s="127"/>
      <c r="Q100" s="127"/>
      <c r="R100" s="127"/>
      <c r="S100" s="12"/>
      <c r="T100" s="127"/>
      <c r="U100" s="8"/>
      <c r="V100" s="440"/>
      <c r="W100" s="15"/>
      <c r="X100" s="15"/>
    </row>
    <row r="101" spans="1:24" x14ac:dyDescent="0.3">
      <c r="A101" s="4"/>
      <c r="B101" s="106" t="str">
        <f>'1.2 Budgeted Enrollment YR1'!E100</f>
        <v>Davidson Academy</v>
      </c>
      <c r="D101" s="9" t="str">
        <f>$D$29</f>
        <v>PCFP</v>
      </c>
      <c r="E101" s="112" t="str">
        <f>$E$29</f>
        <v>PCFP</v>
      </c>
      <c r="F101" s="375">
        <f>ROUND(('3.1a Initial Allocations YR1'!E102)*$K$3+H101,0)</f>
        <v>1580808</v>
      </c>
      <c r="G101" s="375">
        <f>ROUND(IF(F101=0,0,F101/'2.9 PCFP Funding Comparison YR1'!D99),0)</f>
        <v>9416</v>
      </c>
      <c r="H101" s="1301">
        <f>$Y$33*'2.8 Alloc of Residual Rev. YR1'!D104</f>
        <v>0</v>
      </c>
      <c r="I101" s="380">
        <f>ROUND('3.1a Initial Allocations YR1'!G102*$K$3,0)</f>
        <v>0</v>
      </c>
      <c r="J101" s="380">
        <f>ROUND('3.1a Initial Allocations YR1'!H102*'3.1b Allocation Adj. YR1 '!$K$3,0)</f>
        <v>0</v>
      </c>
      <c r="K101" s="380">
        <f>ROUND('3.1a Initial Allocations YR1'!I102*'3.1b Allocation Adj. YR1 '!$K$3,0)</f>
        <v>0</v>
      </c>
      <c r="L101" s="375">
        <f>ROUND('3.1a Initial Allocations YR1'!J102*'3.1b Allocation Adj. YR1 '!$K$3,0)</f>
        <v>0</v>
      </c>
      <c r="M101" s="8"/>
      <c r="N101" s="104">
        <v>0</v>
      </c>
      <c r="O101" s="104">
        <v>0</v>
      </c>
      <c r="P101" s="104">
        <v>0</v>
      </c>
      <c r="Q101" s="104"/>
      <c r="R101" s="375">
        <f>SUM(N101:P101)</f>
        <v>0</v>
      </c>
      <c r="S101" s="89"/>
      <c r="T101" s="2011">
        <f>'3.1a Initial Allocations YR1'!R102</f>
        <v>52268</v>
      </c>
      <c r="U101" s="8"/>
      <c r="V101" s="2011">
        <f>ROUND(R101+L101+F101+T101,0)</f>
        <v>1633076</v>
      </c>
      <c r="W101" s="115"/>
      <c r="X101" s="185"/>
    </row>
    <row r="102" spans="1:24" x14ac:dyDescent="0.3">
      <c r="A102" s="4"/>
      <c r="B102" s="142" t="str">
        <f>'1.2 Budgeted Enrollment YR1'!E101</f>
        <v>TBD</v>
      </c>
      <c r="C102" s="137"/>
      <c r="D102" s="128" t="str">
        <f>$D$29</f>
        <v>PCFP</v>
      </c>
      <c r="E102" s="128" t="str">
        <f>$E$29</f>
        <v>PCFP</v>
      </c>
      <c r="F102" s="376">
        <f>ROUND(('3.1a Initial Allocations YR1'!E103)*$K$3+H102,0)</f>
        <v>0</v>
      </c>
      <c r="G102" s="376">
        <f>ROUND(IF(F102=0,0,F102/'2.9 PCFP Funding Comparison YR1'!D100),0)</f>
        <v>0</v>
      </c>
      <c r="H102" s="1301">
        <f>$Y$33*'2.8 Alloc of Residual Rev. YR1'!D105</f>
        <v>7.0028919836371238E-4</v>
      </c>
      <c r="I102" s="381">
        <f>ROUND('3.1a Initial Allocations YR1'!G103*$K$3,0)</f>
        <v>0</v>
      </c>
      <c r="J102" s="381">
        <f>ROUND('3.1a Initial Allocations YR1'!H103*'3.1b Allocation Adj. YR1 '!$K$3,0)</f>
        <v>0</v>
      </c>
      <c r="K102" s="381">
        <f>ROUND('3.1a Initial Allocations YR1'!I103*'3.1b Allocation Adj. YR1 '!$K$3,0)</f>
        <v>0</v>
      </c>
      <c r="L102" s="376">
        <f>ROUND('3.1a Initial Allocations YR1'!J103*'3.1b Allocation Adj. YR1 '!$K$3,0)</f>
        <v>0</v>
      </c>
      <c r="M102" s="8"/>
      <c r="N102" s="163">
        <v>0</v>
      </c>
      <c r="O102" s="163">
        <v>0</v>
      </c>
      <c r="P102" s="163">
        <v>0</v>
      </c>
      <c r="Q102" s="163"/>
      <c r="R102" s="376">
        <f>SUM(N102:P102)</f>
        <v>0</v>
      </c>
      <c r="S102" s="127"/>
      <c r="T102" s="375">
        <f>'3.1a Initial Allocations YR1'!R103</f>
        <v>0</v>
      </c>
      <c r="U102" s="8"/>
      <c r="V102" s="375">
        <f>ROUND(R102+L102+F102+T102,0)</f>
        <v>0</v>
      </c>
      <c r="W102" s="115"/>
      <c r="X102" s="185"/>
    </row>
    <row r="103" spans="1:24" s="4" customFormat="1" x14ac:dyDescent="0.3">
      <c r="B103" s="295" t="str">
        <f>'1.2 Budgeted Enrollment YR1'!E102</f>
        <v>Total University Schools</v>
      </c>
      <c r="D103" s="135"/>
      <c r="E103" s="112"/>
      <c r="F103" s="388">
        <f>SUM(F101:F102)</f>
        <v>1580808</v>
      </c>
      <c r="G103" s="618"/>
      <c r="H103" s="1301"/>
      <c r="I103" s="386">
        <f>SUM(I101:I102)</f>
        <v>0</v>
      </c>
      <c r="J103" s="387">
        <f>SUM(J101:J102)</f>
        <v>0</v>
      </c>
      <c r="K103" s="387">
        <f>SUM(K101:K102)</f>
        <v>0</v>
      </c>
      <c r="L103" s="378">
        <f>SUM(L101:L102)</f>
        <v>0</v>
      </c>
      <c r="M103" s="8"/>
      <c r="N103" s="378">
        <f>SUM(N101:N102)</f>
        <v>0</v>
      </c>
      <c r="O103" s="378">
        <f>SUM(O101:O102)</f>
        <v>0</v>
      </c>
      <c r="P103" s="378">
        <f>SUM(P101:P102)</f>
        <v>0</v>
      </c>
      <c r="Q103" s="378"/>
      <c r="R103" s="378">
        <f>SUM(R101:R102)</f>
        <v>0</v>
      </c>
      <c r="S103" s="8"/>
      <c r="T103" s="377">
        <f>SUM(T101:T102)</f>
        <v>52268</v>
      </c>
      <c r="U103" s="8"/>
      <c r="V103" s="377">
        <f>SUM(V101:V102)</f>
        <v>1633076</v>
      </c>
      <c r="W103" s="467"/>
      <c r="X103" s="467"/>
    </row>
    <row r="104" spans="1:24" x14ac:dyDescent="0.3">
      <c r="F104" s="12"/>
      <c r="G104" s="12"/>
      <c r="H104" s="1301"/>
      <c r="I104" s="12"/>
      <c r="J104" s="12"/>
      <c r="K104" s="12"/>
      <c r="L104" s="12"/>
      <c r="M104" s="8"/>
      <c r="N104" s="12"/>
      <c r="O104" s="12"/>
      <c r="P104" s="12"/>
      <c r="Q104" s="12"/>
      <c r="R104" s="12"/>
      <c r="S104" s="12"/>
      <c r="T104" s="12"/>
      <c r="U104" s="8"/>
      <c r="V104" s="12"/>
      <c r="W104" s="15"/>
      <c r="X104" s="15"/>
    </row>
    <row r="105" spans="1:24" x14ac:dyDescent="0.3">
      <c r="A105" s="4" t="str">
        <f>B30</f>
        <v>City of Henderson</v>
      </c>
      <c r="B105" s="137"/>
      <c r="C105" s="137"/>
      <c r="D105" s="137"/>
      <c r="E105" s="137"/>
      <c r="F105" s="440"/>
      <c r="G105" s="440"/>
      <c r="H105" s="1301"/>
      <c r="I105" s="127"/>
      <c r="J105" s="127"/>
      <c r="K105" s="127"/>
      <c r="L105" s="127"/>
      <c r="M105" s="8"/>
      <c r="N105" s="127"/>
      <c r="O105" s="127"/>
      <c r="P105" s="127"/>
      <c r="Q105" s="127"/>
      <c r="R105" s="127"/>
      <c r="S105" s="12"/>
      <c r="T105" s="127"/>
      <c r="U105" s="8"/>
      <c r="V105" s="440"/>
      <c r="W105" s="15"/>
      <c r="X105" s="15"/>
    </row>
    <row r="106" spans="1:24" x14ac:dyDescent="0.3">
      <c r="A106" s="4"/>
      <c r="B106" s="106" t="str">
        <f>'1.2 Budgeted Enrollment YR1'!E107</f>
        <v>TBD</v>
      </c>
      <c r="D106" s="9" t="str">
        <f>$D$29</f>
        <v>PCFP</v>
      </c>
      <c r="E106" s="112" t="str">
        <f>$E$30</f>
        <v>PCFP</v>
      </c>
      <c r="F106" s="2011">
        <f>ROUND(('3.1a Initial Allocations YR1'!E107)*$K$3+H106,0)</f>
        <v>0</v>
      </c>
      <c r="G106" s="2011">
        <f>ROUND(IF(F106=0,0,F106/'2.9 PCFP Funding Comparison YR1'!D104),0)</f>
        <v>0</v>
      </c>
      <c r="H106" s="1301">
        <f>$Y$33*'2.8 Alloc of Residual Rev. YR1'!D109</f>
        <v>0</v>
      </c>
      <c r="I106" s="481">
        <f>ROUND('3.1a Initial Allocations YR1'!G107*$K$3,0)</f>
        <v>0</v>
      </c>
      <c r="J106" s="481">
        <f>ROUND('3.1a Initial Allocations YR1'!H107*'3.1b Allocation Adj. YR1 '!$K$3,0)</f>
        <v>0</v>
      </c>
      <c r="K106" s="481">
        <f>ROUND('3.1a Initial Allocations YR1'!I107*'3.1b Allocation Adj. YR1 '!$K$3,0)</f>
        <v>0</v>
      </c>
      <c r="L106" s="2011">
        <f>ROUND('3.1a Initial Allocations YR1'!J107*'3.1b Allocation Adj. YR1 '!$K$3,0)</f>
        <v>0</v>
      </c>
      <c r="M106" s="8"/>
      <c r="N106" s="104">
        <v>0</v>
      </c>
      <c r="O106" s="104">
        <v>0</v>
      </c>
      <c r="P106" s="104">
        <v>0</v>
      </c>
      <c r="Q106" s="104"/>
      <c r="R106" s="375">
        <f>SUM(N106:P106)</f>
        <v>0</v>
      </c>
      <c r="S106" s="89"/>
      <c r="T106" s="2011">
        <f>'3.1a Initial Allocations YR1'!R107*'3.1b Allocation Adj. YR1 '!$K$3</f>
        <v>0</v>
      </c>
      <c r="U106" s="8"/>
      <c r="V106" s="2011">
        <f>ROUND(R106+L106+F106+T106,0)</f>
        <v>0</v>
      </c>
      <c r="W106" s="115"/>
      <c r="X106" s="185"/>
    </row>
    <row r="107" spans="1:24" x14ac:dyDescent="0.3">
      <c r="A107" s="4"/>
      <c r="B107" s="142" t="str">
        <f>'1.2 Budgeted Enrollment YR1'!E108</f>
        <v>TBD</v>
      </c>
      <c r="C107" s="137"/>
      <c r="D107" s="128" t="str">
        <f>$D$29</f>
        <v>PCFP</v>
      </c>
      <c r="E107" s="128" t="str">
        <f>$E$29</f>
        <v>PCFP</v>
      </c>
      <c r="F107" s="376">
        <f>ROUND(('3.1a Initial Allocations YR1'!E108)*$K$3+H107,0)</f>
        <v>0</v>
      </c>
      <c r="G107" s="376">
        <f>ROUND(IF(F107=0,0,F107/'2.9 PCFP Funding Comparison YR1'!D105),0)</f>
        <v>0</v>
      </c>
      <c r="H107" s="1301">
        <f>$Y$33*'2.8 Alloc of Residual Rev. YR1'!D110</f>
        <v>0</v>
      </c>
      <c r="I107" s="381">
        <f>ROUND('3.1a Initial Allocations YR1'!G108*$K$3,0)</f>
        <v>0</v>
      </c>
      <c r="J107" s="381">
        <f>ROUND('3.1a Initial Allocations YR1'!H108*'3.1b Allocation Adj. YR1 '!$K$3,0)</f>
        <v>0</v>
      </c>
      <c r="K107" s="381">
        <f>ROUND('3.1a Initial Allocations YR1'!I108*'3.1b Allocation Adj. YR1 '!$K$3,0)</f>
        <v>0</v>
      </c>
      <c r="L107" s="376">
        <f>ROUND('3.1a Initial Allocations YR1'!J108*'3.1b Allocation Adj. YR1 '!$K$3,0)</f>
        <v>0</v>
      </c>
      <c r="M107" s="8"/>
      <c r="N107" s="163">
        <v>0</v>
      </c>
      <c r="O107" s="163">
        <v>0</v>
      </c>
      <c r="P107" s="163">
        <v>0</v>
      </c>
      <c r="Q107" s="163"/>
      <c r="R107" s="376">
        <f>SUM(N107:P107)</f>
        <v>0</v>
      </c>
      <c r="S107" s="127"/>
      <c r="T107" s="375">
        <f>'3.1a Initial Allocations YR1'!R108*'3.1b Allocation Adj. YR1 '!$K$3</f>
        <v>0</v>
      </c>
      <c r="U107" s="8"/>
      <c r="V107" s="375">
        <f>ROUND(R107+L107+F107+T107,0)</f>
        <v>0</v>
      </c>
      <c r="W107" s="115"/>
      <c r="X107" s="185"/>
    </row>
    <row r="108" spans="1:24" s="4" customFormat="1" x14ac:dyDescent="0.3">
      <c r="B108" s="295" t="str">
        <f>'1.2 Budgeted Enrollment YR1'!E107</f>
        <v>TBD</v>
      </c>
      <c r="D108" s="135"/>
      <c r="E108" s="112"/>
      <c r="F108" s="388">
        <f>SUM(F106:F107)</f>
        <v>0</v>
      </c>
      <c r="G108" s="618"/>
      <c r="H108" s="1301"/>
      <c r="I108" s="386">
        <f>SUM(I106:I107)</f>
        <v>0</v>
      </c>
      <c r="J108" s="387">
        <f>SUM(J106:J107)</f>
        <v>0</v>
      </c>
      <c r="K108" s="387">
        <f>SUM(K106:K107)</f>
        <v>0</v>
      </c>
      <c r="L108" s="378">
        <f>SUM(L106:L107)</f>
        <v>0</v>
      </c>
      <c r="M108" s="8"/>
      <c r="N108" s="378">
        <f>SUM(N106:N107)</f>
        <v>0</v>
      </c>
      <c r="O108" s="378">
        <f>SUM(O106:O107)</f>
        <v>0</v>
      </c>
      <c r="P108" s="378">
        <f>SUM(P106:P107)</f>
        <v>0</v>
      </c>
      <c r="Q108" s="378"/>
      <c r="R108" s="378">
        <f>SUM(R106:R107)</f>
        <v>0</v>
      </c>
      <c r="S108" s="8"/>
      <c r="T108" s="377">
        <f>SUM(T106:T107)</f>
        <v>0</v>
      </c>
      <c r="U108" s="8"/>
      <c r="V108" s="377">
        <f>SUM(V106:V107)</f>
        <v>0</v>
      </c>
      <c r="W108" s="467"/>
      <c r="X108" s="467"/>
    </row>
    <row r="109" spans="1:24" x14ac:dyDescent="0.3">
      <c r="F109" s="12"/>
      <c r="G109" s="12"/>
      <c r="H109" s="1301"/>
      <c r="I109" s="12"/>
      <c r="J109" s="12"/>
      <c r="K109" s="12"/>
      <c r="L109" s="12"/>
      <c r="M109" s="8"/>
      <c r="N109" s="12"/>
      <c r="O109" s="12"/>
      <c r="P109" s="12"/>
      <c r="Q109" s="12"/>
      <c r="R109" s="12"/>
      <c r="S109" s="12"/>
      <c r="T109" s="12"/>
      <c r="U109" s="8"/>
      <c r="V109" s="12"/>
      <c r="W109" s="15"/>
      <c r="X109" s="15"/>
    </row>
    <row r="110" spans="1:24" x14ac:dyDescent="0.3">
      <c r="A110" s="4" t="str">
        <f>B31</f>
        <v>City of North Las Vegas</v>
      </c>
      <c r="B110" s="137"/>
      <c r="C110" s="137"/>
      <c r="D110" s="137"/>
      <c r="E110" s="137"/>
      <c r="F110" s="440"/>
      <c r="G110" s="440"/>
      <c r="H110" s="1301"/>
      <c r="I110" s="127"/>
      <c r="J110" s="127"/>
      <c r="K110" s="127"/>
      <c r="L110" s="127"/>
      <c r="M110" s="8"/>
      <c r="N110" s="127"/>
      <c r="O110" s="127"/>
      <c r="P110" s="127"/>
      <c r="Q110" s="127"/>
      <c r="R110" s="127"/>
      <c r="S110" s="12"/>
      <c r="T110" s="127"/>
      <c r="U110" s="8"/>
      <c r="V110" s="440"/>
      <c r="W110" s="15"/>
      <c r="X110" s="15"/>
    </row>
    <row r="111" spans="1:24" x14ac:dyDescent="0.3">
      <c r="A111" s="4"/>
      <c r="B111" s="106" t="str">
        <f>'1.2 Budgeted Enrollment YR1'!E113</f>
        <v>TBD</v>
      </c>
      <c r="D111" s="9" t="str">
        <f>$D$29</f>
        <v>PCFP</v>
      </c>
      <c r="E111" s="112" t="str">
        <f>$E$31</f>
        <v>PCFP</v>
      </c>
      <c r="F111" s="2011">
        <f>ROUND(('3.1a Initial Allocations YR1'!E112)*$K$3+H111,0)</f>
        <v>0</v>
      </c>
      <c r="G111" s="375">
        <f>ROUND(IF(F111=0,0,F111/'2.9 PCFP Funding Comparison YR1'!D109),0)</f>
        <v>0</v>
      </c>
      <c r="H111" s="1301">
        <f>$Y$33*'2.8 Alloc of Residual Rev. YR1'!D114</f>
        <v>0</v>
      </c>
      <c r="I111" s="481">
        <f>ROUND('3.1a Initial Allocations YR1'!G112*$K$3,0)</f>
        <v>0</v>
      </c>
      <c r="J111" s="481">
        <f>ROUND('3.1a Initial Allocations YR1'!H112*'3.1b Allocation Adj. YR1 '!$K$3,0)</f>
        <v>0</v>
      </c>
      <c r="K111" s="481">
        <f>ROUND('3.1a Initial Allocations YR1'!I112*'3.1b Allocation Adj. YR1 '!$K$3,0)</f>
        <v>0</v>
      </c>
      <c r="L111" s="2011">
        <f>ROUND('3.1a Initial Allocations YR1'!J112*'3.1b Allocation Adj. YR1 '!$K$3,0)</f>
        <v>0</v>
      </c>
      <c r="M111" s="8"/>
      <c r="N111" s="104">
        <v>0</v>
      </c>
      <c r="O111" s="104">
        <v>0</v>
      </c>
      <c r="P111" s="104">
        <v>0</v>
      </c>
      <c r="Q111" s="104"/>
      <c r="R111" s="375">
        <f>SUM(N111:P111)</f>
        <v>0</v>
      </c>
      <c r="S111" s="89"/>
      <c r="T111" s="2011">
        <f>'3.1a Initial Allocations YR1'!R112*'3.1b Allocation Adj. YR1 '!$K$3</f>
        <v>0</v>
      </c>
      <c r="U111" s="8"/>
      <c r="V111" s="2011">
        <f>ROUND(R111+L111+F111+T111,0)</f>
        <v>0</v>
      </c>
      <c r="W111" s="115"/>
      <c r="X111" s="185"/>
    </row>
    <row r="112" spans="1:24" x14ac:dyDescent="0.3">
      <c r="A112" s="4"/>
      <c r="B112" s="142" t="str">
        <f>'1.2 Budgeted Enrollment YR1'!E114</f>
        <v>TBD</v>
      </c>
      <c r="C112" s="137"/>
      <c r="D112" s="128" t="str">
        <f>$D$29</f>
        <v>PCFP</v>
      </c>
      <c r="E112" s="128" t="str">
        <f>$E$29</f>
        <v>PCFP</v>
      </c>
      <c r="F112" s="376">
        <f>ROUND(('3.1a Initial Allocations YR1'!E113)*$K$3+H112,0)</f>
        <v>0</v>
      </c>
      <c r="G112" s="376">
        <f>ROUND(IF(F112=0,0,F112/'2.9 PCFP Funding Comparison YR1'!D110),0)</f>
        <v>0</v>
      </c>
      <c r="H112" s="1301">
        <f>$Y$33*'2.8 Alloc of Residual Rev. YR1'!D115</f>
        <v>0</v>
      </c>
      <c r="I112" s="381">
        <f>ROUND('3.1a Initial Allocations YR1'!G113*$K$3,0)</f>
        <v>0</v>
      </c>
      <c r="J112" s="381">
        <f>ROUND('3.1a Initial Allocations YR1'!H113*'3.1b Allocation Adj. YR1 '!$K$3,0)</f>
        <v>0</v>
      </c>
      <c r="K112" s="381">
        <f>ROUND('3.1a Initial Allocations YR1'!I113*'3.1b Allocation Adj. YR1 '!$K$3,0)</f>
        <v>0</v>
      </c>
      <c r="L112" s="376">
        <f>ROUND('3.1a Initial Allocations YR1'!J113*'3.1b Allocation Adj. YR1 '!$K$3,0)</f>
        <v>0</v>
      </c>
      <c r="M112" s="8"/>
      <c r="N112" s="163">
        <v>0</v>
      </c>
      <c r="O112" s="163">
        <v>0</v>
      </c>
      <c r="P112" s="163">
        <v>0</v>
      </c>
      <c r="Q112" s="163"/>
      <c r="R112" s="376">
        <f>SUM(N112:P112)</f>
        <v>0</v>
      </c>
      <c r="S112" s="127"/>
      <c r="T112" s="375">
        <f>'3.1a Initial Allocations YR1'!R113*'3.1b Allocation Adj. YR1 '!$K$3</f>
        <v>0</v>
      </c>
      <c r="U112" s="8"/>
      <c r="V112" s="375">
        <f>ROUND(R112+L112+F112+T112,0)</f>
        <v>0</v>
      </c>
      <c r="W112" s="115"/>
      <c r="X112" s="185"/>
    </row>
    <row r="113" spans="2:24" s="4" customFormat="1" x14ac:dyDescent="0.3">
      <c r="B113" s="295" t="str">
        <f>'1.2 Budgeted Enrollment YR1'!E112</f>
        <v>Charter Name</v>
      </c>
      <c r="D113" s="135"/>
      <c r="E113" s="112"/>
      <c r="F113" s="388">
        <f>SUM(F111:F112)</f>
        <v>0</v>
      </c>
      <c r="G113" s="618"/>
      <c r="H113" s="1301"/>
      <c r="I113" s="386">
        <f>SUM(I111:I112)</f>
        <v>0</v>
      </c>
      <c r="J113" s="387">
        <f>SUM(J111:J112)</f>
        <v>0</v>
      </c>
      <c r="K113" s="387">
        <f>SUM(K111:K112)</f>
        <v>0</v>
      </c>
      <c r="L113" s="378">
        <f>SUM(L111:L112)</f>
        <v>0</v>
      </c>
      <c r="M113" s="8"/>
      <c r="N113" s="378">
        <f>SUM(N111:N112)</f>
        <v>0</v>
      </c>
      <c r="O113" s="378">
        <f>SUM(O111:O112)</f>
        <v>0</v>
      </c>
      <c r="P113" s="378">
        <f>SUM(P111:P112)</f>
        <v>0</v>
      </c>
      <c r="Q113" s="378"/>
      <c r="R113" s="378">
        <f>SUM(R111:R112)</f>
        <v>0</v>
      </c>
      <c r="S113" s="8"/>
      <c r="T113" s="377">
        <f>SUM(T111:T112)</f>
        <v>0</v>
      </c>
      <c r="U113" s="8"/>
      <c r="V113" s="377">
        <f>SUM(V111:V112)</f>
        <v>0</v>
      </c>
      <c r="W113" s="467"/>
      <c r="X113" s="467"/>
    </row>
  </sheetData>
  <phoneticPr fontId="74" type="noConversion"/>
  <printOptions horizontalCentered="1"/>
  <pageMargins left="0.2" right="0.2" top="0.75" bottom="0.75" header="0.3" footer="0.3"/>
  <pageSetup scale="71" orientation="portrait" r:id="rId1"/>
  <rowBreaks count="2" manualBreakCount="2">
    <brk id="33" max="16383" man="1"/>
    <brk id="74" max="23"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8F30-1364-4644-A2FF-076FC4F32D3F}">
  <sheetPr codeName="Sheet295">
    <tabColor rgb="FF00B0F0"/>
    <pageSetUpPr fitToPage="1"/>
  </sheetPr>
  <dimension ref="A1:S46"/>
  <sheetViews>
    <sheetView tabSelected="1" zoomScale="85" zoomScaleNormal="85" workbookViewId="0"/>
  </sheetViews>
  <sheetFormatPr defaultColWidth="8.7109375" defaultRowHeight="16.5" x14ac:dyDescent="0.3"/>
  <cols>
    <col min="1" max="1" width="12.140625" style="448" customWidth="1"/>
    <col min="2" max="2" width="52.140625" style="448" customWidth="1"/>
    <col min="3" max="3" width="15.42578125" style="448" bestFit="1" customWidth="1"/>
    <col min="4" max="4" width="16.42578125" style="448" customWidth="1"/>
    <col min="5" max="5" width="15.7109375" style="448" customWidth="1"/>
    <col min="6" max="6" width="16.5703125" style="448" customWidth="1"/>
    <col min="7" max="7" width="16.140625" style="448" bestFit="1" customWidth="1"/>
    <col min="8" max="8" width="10" style="448" customWidth="1"/>
    <col min="9" max="9" width="9.7109375" style="448" customWidth="1"/>
    <col min="10" max="10" width="0.42578125" style="448" customWidth="1"/>
    <col min="11" max="11" width="10.140625" style="448" customWidth="1"/>
    <col min="12" max="12" width="52.42578125" style="448" customWidth="1"/>
    <col min="13" max="13" width="15.42578125" style="448" bestFit="1" customWidth="1"/>
    <col min="14" max="14" width="16.7109375" style="448" customWidth="1"/>
    <col min="15" max="15" width="16" style="448" customWidth="1"/>
    <col min="16" max="16" width="7.7109375" style="448" customWidth="1"/>
    <col min="17" max="17" width="14.7109375" style="527" customWidth="1"/>
    <col min="18" max="18" width="10.140625" style="448" customWidth="1"/>
    <col min="19" max="19" width="8.7109375" style="448" customWidth="1"/>
    <col min="20" max="16384" width="8.7109375" style="448"/>
  </cols>
  <sheetData>
    <row r="1" spans="1:19" s="447" customFormat="1" x14ac:dyDescent="0.3">
      <c r="A1" s="300" t="s">
        <v>15</v>
      </c>
      <c r="B1" s="297"/>
      <c r="C1" s="297"/>
      <c r="D1" s="297"/>
      <c r="E1" s="1903"/>
      <c r="F1" s="297"/>
      <c r="G1" s="297"/>
      <c r="H1" s="297"/>
      <c r="I1" s="301"/>
      <c r="K1" s="300" t="s">
        <v>15</v>
      </c>
      <c r="L1" s="297"/>
      <c r="M1" s="297"/>
      <c r="N1" s="297"/>
      <c r="O1" s="297"/>
      <c r="P1" s="297"/>
      <c r="Q1" s="587"/>
      <c r="R1" s="297"/>
      <c r="S1" s="301"/>
    </row>
    <row r="2" spans="1:19" x14ac:dyDescent="0.3">
      <c r="A2" s="106" t="str">
        <f>CONCATENATE("Pupil Center Funding Plan | FY",'1.1 Assumption Control YR1'!D5)</f>
        <v>Pupil Center Funding Plan | FY2026</v>
      </c>
      <c r="B2" s="9"/>
      <c r="C2" s="9"/>
      <c r="D2" s="9"/>
      <c r="E2" s="162"/>
      <c r="F2" s="9"/>
      <c r="G2" s="9"/>
      <c r="H2" s="9"/>
      <c r="I2" s="112"/>
      <c r="K2" s="106" t="str">
        <f>CONCATENATE("Pupil Center Funding Plan | FY",'1.1 Assumption Control YR1'!D5+1)</f>
        <v>Pupil Center Funding Plan | FY2027</v>
      </c>
      <c r="L2" s="9"/>
      <c r="M2" s="9"/>
      <c r="N2" s="9"/>
      <c r="O2" s="9"/>
      <c r="P2" s="9"/>
      <c r="Q2" s="62"/>
      <c r="R2" s="9"/>
      <c r="S2" s="112"/>
    </row>
    <row r="3" spans="1:19" x14ac:dyDescent="0.3">
      <c r="A3" s="106" t="s">
        <v>1690</v>
      </c>
      <c r="B3" s="9"/>
      <c r="C3" s="9"/>
      <c r="D3" s="9"/>
      <c r="E3" s="15"/>
      <c r="F3" s="9"/>
      <c r="G3" s="9"/>
      <c r="H3" s="9"/>
      <c r="I3" s="112"/>
      <c r="K3" s="106" t="s">
        <v>1691</v>
      </c>
      <c r="L3" s="9"/>
      <c r="M3" s="9"/>
      <c r="N3" s="9"/>
      <c r="O3" s="9"/>
      <c r="P3" s="9"/>
      <c r="Q3" s="62"/>
      <c r="R3" s="9"/>
      <c r="S3" s="112"/>
    </row>
    <row r="4" spans="1:19" x14ac:dyDescent="0.3">
      <c r="A4" s="106"/>
      <c r="B4" s="9"/>
      <c r="C4" s="9"/>
      <c r="D4" s="9"/>
      <c r="E4" s="9"/>
      <c r="F4" s="9"/>
      <c r="G4" s="9"/>
      <c r="H4" s="9"/>
      <c r="I4" s="112"/>
      <c r="K4" s="106"/>
      <c r="L4" s="9"/>
      <c r="M4" s="9"/>
      <c r="N4" s="9"/>
      <c r="O4" s="9"/>
      <c r="P4" s="9"/>
      <c r="Q4" s="62"/>
      <c r="R4" s="9"/>
      <c r="S4" s="112"/>
    </row>
    <row r="5" spans="1:19" ht="17.25" thickBot="1" x14ac:dyDescent="0.35">
      <c r="A5" s="568" t="s">
        <v>1692</v>
      </c>
      <c r="B5" s="88"/>
      <c r="C5" s="452" t="s">
        <v>1693</v>
      </c>
      <c r="D5" s="109" t="s">
        <v>1694</v>
      </c>
      <c r="E5" s="9"/>
      <c r="F5" s="57"/>
      <c r="G5" s="9"/>
      <c r="H5" s="9"/>
      <c r="I5" s="112"/>
      <c r="K5" s="568" t="s">
        <v>1692</v>
      </c>
      <c r="L5" s="88"/>
      <c r="M5" s="452" t="s">
        <v>1693</v>
      </c>
      <c r="N5" s="109" t="s">
        <v>1694</v>
      </c>
      <c r="O5" s="9"/>
      <c r="P5" s="9"/>
      <c r="Q5" s="62"/>
      <c r="R5" s="9"/>
      <c r="S5" s="112"/>
    </row>
    <row r="6" spans="1:19" x14ac:dyDescent="0.3">
      <c r="A6" s="156"/>
      <c r="B6" s="9"/>
      <c r="C6" s="9"/>
      <c r="D6" s="9"/>
      <c r="E6" s="9"/>
      <c r="F6" s="9"/>
      <c r="G6" s="9"/>
      <c r="H6" s="9"/>
      <c r="I6" s="112"/>
      <c r="K6" s="156"/>
      <c r="L6" s="9"/>
      <c r="M6" s="9"/>
      <c r="N6" s="9"/>
      <c r="O6" s="9"/>
      <c r="P6" s="9"/>
      <c r="Q6" s="62"/>
      <c r="R6" s="9"/>
      <c r="S6" s="112"/>
    </row>
    <row r="7" spans="1:19" x14ac:dyDescent="0.3">
      <c r="A7" s="106"/>
      <c r="B7" s="4" t="s">
        <v>1695</v>
      </c>
      <c r="C7" s="13" t="s">
        <v>177</v>
      </c>
      <c r="D7" s="155">
        <f>'1.3 Budgeted Revenues YR1'!C40</f>
        <v>5724491159</v>
      </c>
      <c r="E7" s="12"/>
      <c r="F7" s="9"/>
      <c r="G7" s="9"/>
      <c r="H7" s="9"/>
      <c r="I7" s="112"/>
      <c r="K7" s="106"/>
      <c r="L7" s="17" t="s">
        <v>1696</v>
      </c>
      <c r="M7" s="13" t="s">
        <v>1697</v>
      </c>
      <c r="N7" s="155">
        <f>'5.3 Budgeted Revenues YR2'!C40</f>
        <v>5761084316</v>
      </c>
      <c r="O7" s="9"/>
      <c r="P7" s="9"/>
      <c r="Q7" s="62"/>
      <c r="R7" s="9"/>
      <c r="S7" s="112"/>
    </row>
    <row r="8" spans="1:19" x14ac:dyDescent="0.3">
      <c r="A8" s="106"/>
      <c r="B8" s="9"/>
      <c r="C8" s="9"/>
      <c r="D8" s="12">
        <f>D7-'1.3 Budgeted Revenues YR1'!C40</f>
        <v>0</v>
      </c>
      <c r="E8" s="9"/>
      <c r="F8" s="9"/>
      <c r="G8" s="9"/>
      <c r="H8" s="9"/>
      <c r="I8" s="112"/>
      <c r="K8" s="106"/>
      <c r="L8" s="9"/>
      <c r="M8" s="9"/>
      <c r="N8" s="131">
        <f>N7-'5.3 Budgeted Revenues YR2'!C40</f>
        <v>0</v>
      </c>
      <c r="O8" s="9"/>
      <c r="P8" s="9"/>
      <c r="Q8" s="62"/>
      <c r="R8" s="9"/>
      <c r="S8" s="112"/>
    </row>
    <row r="9" spans="1:19" ht="49.5" x14ac:dyDescent="0.3">
      <c r="A9" s="591" t="s">
        <v>1698</v>
      </c>
      <c r="B9" s="592"/>
      <c r="C9" s="593" t="s">
        <v>1693</v>
      </c>
      <c r="D9" s="2179" t="s">
        <v>1699</v>
      </c>
      <c r="E9" s="595" t="s">
        <v>1700</v>
      </c>
      <c r="F9" s="595" t="s">
        <v>1153</v>
      </c>
      <c r="G9" s="595" t="s">
        <v>1701</v>
      </c>
      <c r="H9" s="595" t="s">
        <v>1702</v>
      </c>
      <c r="I9" s="597" t="s">
        <v>1703</v>
      </c>
      <c r="J9" s="449"/>
      <c r="K9" s="591" t="s">
        <v>1698</v>
      </c>
      <c r="L9" s="592"/>
      <c r="M9" s="593" t="s">
        <v>1693</v>
      </c>
      <c r="N9" s="594" t="s">
        <v>1694</v>
      </c>
      <c r="O9" s="595" t="s">
        <v>1700</v>
      </c>
      <c r="P9" s="595" t="s">
        <v>1153</v>
      </c>
      <c r="Q9" s="596" t="s">
        <v>1701</v>
      </c>
      <c r="R9" s="595" t="s">
        <v>1702</v>
      </c>
      <c r="S9" s="597" t="s">
        <v>1703</v>
      </c>
    </row>
    <row r="10" spans="1:19" x14ac:dyDescent="0.3">
      <c r="A10" s="569"/>
      <c r="B10" s="570"/>
      <c r="C10" s="570"/>
      <c r="D10" s="570"/>
      <c r="E10" s="154"/>
      <c r="F10" s="63"/>
      <c r="G10" s="63"/>
      <c r="H10" s="154"/>
      <c r="I10" s="571"/>
      <c r="J10" s="450"/>
      <c r="K10" s="569"/>
      <c r="L10" s="570"/>
      <c r="M10" s="570"/>
      <c r="N10" s="570"/>
      <c r="O10" s="154"/>
      <c r="P10" s="63"/>
      <c r="Q10" s="62"/>
      <c r="R10" s="154"/>
      <c r="S10" s="571"/>
    </row>
    <row r="11" spans="1:19" x14ac:dyDescent="0.3">
      <c r="A11" s="569"/>
      <c r="B11" s="572" t="s">
        <v>1704</v>
      </c>
      <c r="C11" s="574" t="s">
        <v>211</v>
      </c>
      <c r="D11" s="2083">
        <f>ROUND(D7,0)</f>
        <v>5724491159</v>
      </c>
      <c r="E11" s="2084">
        <f>ROUND('3.1b Allocation Adj. YR1 '!R32,2)</f>
        <v>193612678</v>
      </c>
      <c r="F11" s="63">
        <f>E11/$E$24</f>
        <v>3.3821814484874112E-2</v>
      </c>
      <c r="G11" s="62">
        <f>G15</f>
        <v>463751.95591146237</v>
      </c>
      <c r="H11" s="576" t="s">
        <v>1450</v>
      </c>
      <c r="I11" s="577" t="s">
        <v>1450</v>
      </c>
      <c r="J11" s="450"/>
      <c r="K11" s="569"/>
      <c r="L11" s="572" t="s">
        <v>1704</v>
      </c>
      <c r="M11" s="574" t="s">
        <v>1705</v>
      </c>
      <c r="N11" s="575">
        <f>ROUND(N7,0)</f>
        <v>5761084316</v>
      </c>
      <c r="O11" s="155">
        <f>ROUND('7.1b Allocation Adj. YR2'!R32,2)</f>
        <v>193612678</v>
      </c>
      <c r="P11" s="63">
        <f>O11/$O$24</f>
        <v>3.3606985672732161E-2</v>
      </c>
      <c r="Q11" s="62">
        <f>Q15</f>
        <v>463751.95591146237</v>
      </c>
      <c r="R11" s="576" t="s">
        <v>1450</v>
      </c>
      <c r="S11" s="577" t="s">
        <v>1450</v>
      </c>
    </row>
    <row r="12" spans="1:19" x14ac:dyDescent="0.3">
      <c r="A12" s="569"/>
      <c r="B12" s="572"/>
      <c r="C12" s="570"/>
      <c r="D12" s="22"/>
      <c r="E12" s="62"/>
      <c r="F12" s="63"/>
      <c r="G12" s="63"/>
      <c r="H12" s="576"/>
      <c r="I12" s="577"/>
      <c r="J12" s="450"/>
      <c r="K12" s="569"/>
      <c r="L12" s="572"/>
      <c r="M12" s="570"/>
      <c r="N12" s="12"/>
      <c r="O12" s="154"/>
      <c r="P12" s="63"/>
      <c r="Q12" s="62"/>
      <c r="R12" s="576"/>
      <c r="S12" s="577"/>
    </row>
    <row r="13" spans="1:19" x14ac:dyDescent="0.3">
      <c r="A13" s="569"/>
      <c r="B13" s="572" t="s">
        <v>1706</v>
      </c>
      <c r="C13" s="574" t="s">
        <v>211</v>
      </c>
      <c r="D13" s="2083">
        <f>ROUND(D11-E11,2)</f>
        <v>5530878481</v>
      </c>
      <c r="E13" s="2084">
        <f>ROUND('3.1b Allocation Adj. YR1 '!T32,2)</f>
        <v>599829442</v>
      </c>
      <c r="F13" s="63">
        <f>E13/$E$24</f>
        <v>0.10478301482865475</v>
      </c>
      <c r="G13" s="578" t="s">
        <v>1450</v>
      </c>
      <c r="H13" s="576" t="s">
        <v>1450</v>
      </c>
      <c r="I13" s="577" t="s">
        <v>1450</v>
      </c>
      <c r="J13" s="450"/>
      <c r="K13" s="569"/>
      <c r="L13" s="572" t="s">
        <v>1706</v>
      </c>
      <c r="M13" s="574" t="s">
        <v>1705</v>
      </c>
      <c r="N13" s="575">
        <f>ROUND(N11-O11,2)</f>
        <v>5567471638</v>
      </c>
      <c r="O13" s="155">
        <f>ROUND('7.1b Allocation Adj. YR2'!T32,2)</f>
        <v>599829442</v>
      </c>
      <c r="P13" s="63">
        <f>O13/$O$24</f>
        <v>0.10411745590016025</v>
      </c>
      <c r="Q13" s="588" t="s">
        <v>1450</v>
      </c>
      <c r="R13" s="576" t="s">
        <v>1450</v>
      </c>
      <c r="S13" s="577" t="s">
        <v>1450</v>
      </c>
    </row>
    <row r="14" spans="1:19" x14ac:dyDescent="0.3">
      <c r="A14" s="569"/>
      <c r="B14" s="572"/>
      <c r="C14" s="570"/>
      <c r="D14" s="22"/>
      <c r="E14" s="62"/>
      <c r="F14" s="63"/>
      <c r="G14" s="63"/>
      <c r="H14" s="185"/>
      <c r="I14" s="571"/>
      <c r="J14" s="450"/>
      <c r="K14" s="569"/>
      <c r="L14" s="572"/>
      <c r="M14" s="570"/>
      <c r="N14" s="12"/>
      <c r="O14" s="154"/>
      <c r="P14" s="63"/>
      <c r="Q14" s="62"/>
      <c r="R14" s="185"/>
      <c r="S14" s="571"/>
    </row>
    <row r="15" spans="1:19" x14ac:dyDescent="0.3">
      <c r="A15" s="569"/>
      <c r="B15" s="574" t="s">
        <v>1707</v>
      </c>
      <c r="C15" s="574" t="s">
        <v>1708</v>
      </c>
      <c r="D15" s="2083"/>
      <c r="E15" s="62">
        <f>ROUND('1.1 Assumption Control YR1'!E54*'1.2 Budgeted Enrollment YR1'!G30,2)</f>
        <v>4366688416.8599997</v>
      </c>
      <c r="F15" s="63">
        <f>E15/$E$24</f>
        <v>0.76280813360934729</v>
      </c>
      <c r="G15" s="62">
        <f>G17</f>
        <v>463751.95591146237</v>
      </c>
      <c r="H15" s="154">
        <f>ROUND(E15/G15,0)</f>
        <v>9416</v>
      </c>
      <c r="I15" s="571">
        <f>H15/H$15</f>
        <v>1</v>
      </c>
      <c r="J15" s="450"/>
      <c r="K15" s="569"/>
      <c r="L15" s="574" t="s">
        <v>1707</v>
      </c>
      <c r="M15" s="574" t="s">
        <v>1709</v>
      </c>
      <c r="N15" s="575"/>
      <c r="O15" s="154">
        <f>ROUND('5.1 Assumption Control YR2'!E54*'5.2 Budgeted Enrollment YR2'!G30,2)</f>
        <v>4399151053.7799997</v>
      </c>
      <c r="P15" s="63">
        <f>O15/$O$24</f>
        <v>0.76359775591022527</v>
      </c>
      <c r="Q15" s="62">
        <f>Q17</f>
        <v>463751.95591146237</v>
      </c>
      <c r="R15" s="154">
        <f>ROUND(O15/Q15,0)</f>
        <v>9486</v>
      </c>
      <c r="S15" s="571">
        <f>R15/R$15</f>
        <v>1</v>
      </c>
    </row>
    <row r="16" spans="1:19" x14ac:dyDescent="0.3">
      <c r="A16" s="569"/>
      <c r="B16" s="572"/>
      <c r="C16" s="574"/>
      <c r="D16" s="2083"/>
      <c r="E16" s="62"/>
      <c r="F16" s="63"/>
      <c r="G16" s="62"/>
      <c r="H16" s="154"/>
      <c r="I16" s="571"/>
      <c r="J16" s="450"/>
      <c r="K16" s="569"/>
      <c r="L16" s="572"/>
      <c r="M16" s="574"/>
      <c r="N16" s="575"/>
      <c r="O16" s="154"/>
      <c r="P16" s="63"/>
      <c r="Q16" s="62"/>
      <c r="R16" s="154"/>
      <c r="S16" s="571"/>
    </row>
    <row r="17" spans="1:19" x14ac:dyDescent="0.3">
      <c r="A17" s="569"/>
      <c r="B17" s="572" t="s">
        <v>1710</v>
      </c>
      <c r="C17" s="573" t="s">
        <v>211</v>
      </c>
      <c r="D17" s="25">
        <f>ROUND(D13-E13,2)</f>
        <v>4931049039</v>
      </c>
      <c r="E17" s="2084">
        <f>ROUND('3.1b Allocation Adj. YR1 '!F32,2)</f>
        <v>4523487318</v>
      </c>
      <c r="F17" s="63">
        <f>E17/E24</f>
        <v>0.79019902247350127</v>
      </c>
      <c r="G17" s="62">
        <f>'1.2 Budgeted Enrollment YR1'!G30</f>
        <v>463751.95591146237</v>
      </c>
      <c r="H17" s="154">
        <f>ROUND(E17/G17,0)</f>
        <v>9754</v>
      </c>
      <c r="I17" s="571">
        <f>H17/H$15</f>
        <v>1.0358963466440101</v>
      </c>
      <c r="J17" s="450"/>
      <c r="K17" s="569"/>
      <c r="L17" s="572" t="s">
        <v>1710</v>
      </c>
      <c r="M17" s="573" t="s">
        <v>1705</v>
      </c>
      <c r="N17" s="8">
        <f>ROUND(N13-O13,2)</f>
        <v>4967642196</v>
      </c>
      <c r="O17" s="155">
        <f>ROUND('7.1b Allocation Adj. YR2'!F32,2)</f>
        <v>4557042431</v>
      </c>
      <c r="P17" s="63">
        <f>O17/O24</f>
        <v>0.79100429409198891</v>
      </c>
      <c r="Q17" s="62">
        <f>'5.2 Budgeted Enrollment YR2'!G30</f>
        <v>463751.95591146237</v>
      </c>
      <c r="R17" s="154">
        <f>ROUND(O17/Q17,0)</f>
        <v>9826</v>
      </c>
      <c r="S17" s="571">
        <f>R17/R$15</f>
        <v>1.0358422939068099</v>
      </c>
    </row>
    <row r="18" spans="1:19" x14ac:dyDescent="0.3">
      <c r="A18" s="569"/>
      <c r="B18" s="572"/>
      <c r="C18" s="570"/>
      <c r="D18" s="22"/>
      <c r="E18" s="62"/>
      <c r="F18" s="63"/>
      <c r="G18" s="63"/>
      <c r="H18" s="154"/>
      <c r="I18" s="571"/>
      <c r="J18" s="450"/>
      <c r="K18" s="569"/>
      <c r="L18" s="572"/>
      <c r="M18" s="570"/>
      <c r="N18" s="12"/>
      <c r="O18" s="154"/>
      <c r="P18" s="63"/>
      <c r="Q18" s="62"/>
      <c r="R18" s="154"/>
      <c r="S18" s="571"/>
    </row>
    <row r="19" spans="1:19" x14ac:dyDescent="0.3">
      <c r="A19" s="569"/>
      <c r="B19" s="13" t="s">
        <v>1711</v>
      </c>
      <c r="C19" s="574" t="s">
        <v>211</v>
      </c>
      <c r="D19" s="22">
        <f>D17-E17</f>
        <v>407561721</v>
      </c>
      <c r="E19" s="62">
        <f>ROUND('3.1b Allocation Adj. YR1 '!I32,2)</f>
        <v>232694619</v>
      </c>
      <c r="F19" s="63">
        <f>E19/$E$24</f>
        <v>4.0648961197915265E-2</v>
      </c>
      <c r="G19" s="62">
        <f>'1.2 Budgeted Enrollment YR1'!$I$30</f>
        <v>54923</v>
      </c>
      <c r="H19" s="154">
        <f>ROUND(E19/G19,0)</f>
        <v>4237</v>
      </c>
      <c r="I19" s="571">
        <f>H19/H$15</f>
        <v>0.44997875955819883</v>
      </c>
      <c r="J19" s="450"/>
      <c r="K19" s="569"/>
      <c r="L19" s="13" t="s">
        <v>1711</v>
      </c>
      <c r="M19" s="574" t="s">
        <v>1705</v>
      </c>
      <c r="N19" s="12">
        <f>N17-O17</f>
        <v>410599765</v>
      </c>
      <c r="O19" s="154">
        <f>ROUND('7.1b Allocation Adj. YR2'!I32,2)</f>
        <v>234429130</v>
      </c>
      <c r="P19" s="63">
        <f>O19/$O$24</f>
        <v>4.0691841539328664E-2</v>
      </c>
      <c r="Q19" s="62">
        <f>'5.2 Budgeted Enrollment YR2'!$I$30</f>
        <v>54923</v>
      </c>
      <c r="R19" s="154">
        <f>ROUND(O19/Q19,0)</f>
        <v>4268</v>
      </c>
      <c r="S19" s="571">
        <f>R19/R$15</f>
        <v>0.44992620704195657</v>
      </c>
    </row>
    <row r="20" spans="1:19" ht="15" customHeight="1" x14ac:dyDescent="0.3">
      <c r="A20" s="569"/>
      <c r="B20" s="13" t="s">
        <v>1712</v>
      </c>
      <c r="C20" s="574" t="s">
        <v>211</v>
      </c>
      <c r="D20" s="22">
        <f>D19-E19</f>
        <v>174867102</v>
      </c>
      <c r="E20" s="62">
        <f>ROUND('3.1b Allocation Adj. YR1 '!J32,2)</f>
        <v>165011887</v>
      </c>
      <c r="F20" s="63">
        <f>E20/$E$24</f>
        <v>2.8825599064917693E-2</v>
      </c>
      <c r="G20" s="62">
        <f>'1.2 Budgeted Enrollment YR1'!$J$30</f>
        <v>50074</v>
      </c>
      <c r="H20" s="154">
        <f>ROUND(E20/G20,0)</f>
        <v>3295</v>
      </c>
      <c r="I20" s="571">
        <f>H20/H$15</f>
        <v>0.34993627867459642</v>
      </c>
      <c r="J20" s="450"/>
      <c r="K20" s="569"/>
      <c r="L20" s="13" t="s">
        <v>1712</v>
      </c>
      <c r="M20" s="574" t="s">
        <v>1705</v>
      </c>
      <c r="N20" s="12">
        <f>N19-O19</f>
        <v>176170635</v>
      </c>
      <c r="O20" s="154">
        <f>ROUND('7.1b Allocation Adj. YR2'!J32,2)</f>
        <v>166241943</v>
      </c>
      <c r="P20" s="63">
        <f>O20/$O$24</f>
        <v>2.8856016322485644E-2</v>
      </c>
      <c r="Q20" s="62">
        <f>'5.2 Budgeted Enrollment YR2'!$J$30</f>
        <v>50074</v>
      </c>
      <c r="R20" s="154">
        <f>ROUND(O20/Q20,0)</f>
        <v>3320</v>
      </c>
      <c r="S20" s="571">
        <f>R20/R$15</f>
        <v>0.34998945814885096</v>
      </c>
    </row>
    <row r="21" spans="1:19" ht="18.75" x14ac:dyDescent="0.45">
      <c r="A21" s="569"/>
      <c r="B21" s="13" t="s">
        <v>1713</v>
      </c>
      <c r="C21" s="574" t="s">
        <v>211</v>
      </c>
      <c r="D21" s="22">
        <f>D20-E20</f>
        <v>9855215</v>
      </c>
      <c r="E21" s="2085">
        <f>ROUND('3.1b Allocation Adj. YR1 '!K32,2)</f>
        <v>9855215</v>
      </c>
      <c r="F21" s="63">
        <f>E21/$E$24</f>
        <v>1.7215879501369668E-3</v>
      </c>
      <c r="G21" s="62">
        <f>'1.2 Budgeted Enrollment YR1'!$K$30</f>
        <v>8722</v>
      </c>
      <c r="H21" s="154">
        <f>ROUND(E21/G21,0)</f>
        <v>1130</v>
      </c>
      <c r="I21" s="571">
        <f>H21/H$15</f>
        <v>0.12000849617672048</v>
      </c>
      <c r="J21" s="450"/>
      <c r="K21" s="569"/>
      <c r="L21" s="13" t="s">
        <v>1713</v>
      </c>
      <c r="M21" s="574" t="s">
        <v>1705</v>
      </c>
      <c r="N21" s="12">
        <f>N20-O20</f>
        <v>9928692</v>
      </c>
      <c r="O21" s="579">
        <f>ROUND('7.1b Allocation Adj. YR2'!K32,2)</f>
        <v>9928690</v>
      </c>
      <c r="P21" s="63">
        <f>O21/$O$24</f>
        <v>1.7234064733043933E-3</v>
      </c>
      <c r="Q21" s="62">
        <f>'5.2 Budgeted Enrollment YR2'!$K$30</f>
        <v>8722</v>
      </c>
      <c r="R21" s="154">
        <f>ROUND(O21/Q21,0)</f>
        <v>1138</v>
      </c>
      <c r="S21" s="571">
        <f>R21/R$15</f>
        <v>0.11996626607632301</v>
      </c>
    </row>
    <row r="22" spans="1:19" x14ac:dyDescent="0.3">
      <c r="A22" s="569"/>
      <c r="B22" s="4" t="s">
        <v>1714</v>
      </c>
      <c r="C22" s="572"/>
      <c r="D22" s="25">
        <f>ROUND(D7-SUM(E11,E13,E17),0)</f>
        <v>407561721</v>
      </c>
      <c r="E22" s="2084">
        <f>SUM(E19:E21)</f>
        <v>407561721</v>
      </c>
      <c r="F22" s="63"/>
      <c r="G22" s="63"/>
      <c r="H22" s="155"/>
      <c r="I22" s="580"/>
      <c r="J22" s="450"/>
      <c r="K22" s="569"/>
      <c r="L22" s="4" t="s">
        <v>1714</v>
      </c>
      <c r="M22" s="572"/>
      <c r="N22" s="8">
        <f>ROUND(N7-SUM(O11,O13,O17),0)</f>
        <v>410599765</v>
      </c>
      <c r="O22" s="155">
        <f>SUM(O19:O21)</f>
        <v>410599763</v>
      </c>
      <c r="P22" s="63"/>
      <c r="Q22" s="62"/>
      <c r="R22" s="155"/>
      <c r="S22" s="580"/>
    </row>
    <row r="23" spans="1:19" x14ac:dyDescent="0.3">
      <c r="A23" s="581"/>
      <c r="B23" s="137"/>
      <c r="C23" s="453"/>
      <c r="D23" s="1751"/>
      <c r="E23" s="518"/>
      <c r="F23" s="454"/>
      <c r="G23" s="454"/>
      <c r="H23" s="148"/>
      <c r="I23" s="582"/>
      <c r="J23" s="451"/>
      <c r="K23" s="581"/>
      <c r="L23" s="137"/>
      <c r="M23" s="453"/>
      <c r="N23" s="453"/>
      <c r="O23" s="148"/>
      <c r="P23" s="454"/>
      <c r="Q23" s="359"/>
      <c r="R23" s="148"/>
      <c r="S23" s="582"/>
    </row>
    <row r="24" spans="1:19" s="447" customFormat="1" x14ac:dyDescent="0.3">
      <c r="A24" s="598" t="s">
        <v>1715</v>
      </c>
      <c r="B24" s="291"/>
      <c r="C24" s="599"/>
      <c r="D24" s="602">
        <f>ROUND(D22-E22,5)</f>
        <v>0</v>
      </c>
      <c r="E24" s="602">
        <f>D7-D24</f>
        <v>5724491159</v>
      </c>
      <c r="F24" s="601">
        <f>SUM(F11,F13,F17,F19,F20,F21)</f>
        <v>1</v>
      </c>
      <c r="G24" s="601"/>
      <c r="H24" s="600"/>
      <c r="I24" s="342"/>
      <c r="K24" s="598" t="s">
        <v>1716</v>
      </c>
      <c r="L24" s="291"/>
      <c r="M24" s="599"/>
      <c r="N24" s="600">
        <f>ROUND(N22-O22,0)</f>
        <v>2</v>
      </c>
      <c r="O24" s="600">
        <f>O11+O13+O17+O22</f>
        <v>5761084314</v>
      </c>
      <c r="P24" s="601">
        <f>SUM(P11,P13,P17,P19,P20,P21)</f>
        <v>1.0000000000000002</v>
      </c>
      <c r="Q24" s="602"/>
      <c r="R24" s="600"/>
      <c r="S24" s="342"/>
    </row>
    <row r="25" spans="1:19" ht="15" customHeight="1" x14ac:dyDescent="0.3">
      <c r="A25" s="569"/>
      <c r="B25" s="583"/>
      <c r="C25" s="583"/>
      <c r="D25" s="584"/>
      <c r="E25" s="589"/>
      <c r="F25" s="584"/>
      <c r="G25" s="584"/>
      <c r="H25" s="9"/>
      <c r="I25" s="112"/>
      <c r="K25" s="569"/>
      <c r="L25" s="583"/>
      <c r="M25" s="583"/>
      <c r="N25" s="584"/>
      <c r="O25" s="589"/>
      <c r="P25" s="584"/>
      <c r="Q25" s="590"/>
      <c r="R25" s="9"/>
      <c r="S25" s="112"/>
    </row>
    <row r="26" spans="1:19" x14ac:dyDescent="0.3">
      <c r="A26" s="106"/>
      <c r="B26" s="17" t="s">
        <v>1717</v>
      </c>
      <c r="C26" s="9"/>
      <c r="D26" s="35" t="str">
        <f>IF(E24=D7,"Model is Balanced","Model is Out of Balance")</f>
        <v>Model is Balanced</v>
      </c>
      <c r="E26" s="585"/>
      <c r="F26" s="9"/>
      <c r="G26" s="9"/>
      <c r="H26" s="9"/>
      <c r="I26" s="112"/>
      <c r="K26" s="106"/>
      <c r="L26" s="17" t="s">
        <v>1717</v>
      </c>
      <c r="M26" s="17"/>
      <c r="N26" s="35" t="str">
        <f>IF(O24=N7,"Model is Balanced","Model is Out of Balance")</f>
        <v>Model is Out of Balance</v>
      </c>
      <c r="O26" s="585"/>
      <c r="P26" s="9"/>
      <c r="Q26" s="62"/>
      <c r="R26" s="9"/>
      <c r="S26" s="112"/>
    </row>
    <row r="27" spans="1:19" ht="15.75" customHeight="1" x14ac:dyDescent="0.3">
      <c r="A27" s="106"/>
      <c r="B27" s="9"/>
      <c r="C27" s="9"/>
      <c r="D27" s="9"/>
      <c r="E27" s="585"/>
      <c r="F27" s="9"/>
      <c r="G27" s="9"/>
      <c r="H27" s="9"/>
      <c r="I27" s="112"/>
      <c r="K27" s="106"/>
      <c r="L27" s="9"/>
      <c r="M27" s="9"/>
      <c r="N27" s="9"/>
      <c r="O27" s="585"/>
      <c r="P27" s="9"/>
      <c r="Q27" s="62"/>
      <c r="R27" s="9"/>
      <c r="S27" s="112"/>
    </row>
    <row r="28" spans="1:19" ht="15.75" customHeight="1" x14ac:dyDescent="0.3">
      <c r="A28" s="204" t="str">
        <f>CONCATENATE("Pupil Center Funding Model Comparison for| FY",'1.1 Assumption Control YR1'!D5)</f>
        <v>Pupil Center Funding Model Comparison for| FY2026</v>
      </c>
      <c r="B28" s="137"/>
      <c r="C28" s="137"/>
      <c r="D28" s="197" t="s">
        <v>1718</v>
      </c>
      <c r="E28" s="137"/>
      <c r="F28" s="137"/>
      <c r="G28" s="137"/>
      <c r="H28" s="137"/>
      <c r="I28" s="128"/>
      <c r="K28" s="204" t="str">
        <f>CONCATENATE("Pupil Center Funding Model Comparison for| FY",'1.1 Assumption Control YR1'!N5)</f>
        <v>Pupil Center Funding Model Comparison for| FY</v>
      </c>
      <c r="L28" s="137"/>
      <c r="M28" s="137"/>
      <c r="N28" s="197" t="s">
        <v>1718</v>
      </c>
      <c r="O28" s="137"/>
      <c r="P28" s="137"/>
      <c r="Q28" s="359"/>
      <c r="R28" s="137"/>
      <c r="S28" s="128"/>
    </row>
    <row r="29" spans="1:19" ht="15.75" customHeight="1" x14ac:dyDescent="0.3">
      <c r="A29" s="106"/>
      <c r="B29" s="9"/>
      <c r="C29" s="9"/>
      <c r="D29" s="9"/>
      <c r="E29" s="9"/>
      <c r="F29" s="9"/>
      <c r="G29" s="9"/>
      <c r="H29" s="9"/>
      <c r="I29" s="112"/>
      <c r="K29" s="106"/>
      <c r="L29" s="9"/>
      <c r="M29" s="9"/>
      <c r="N29" s="9"/>
      <c r="O29" s="9"/>
      <c r="P29" s="9"/>
      <c r="Q29" s="62"/>
      <c r="R29" s="9"/>
      <c r="S29" s="112"/>
    </row>
    <row r="30" spans="1:19" ht="15.75" customHeight="1" x14ac:dyDescent="0.3">
      <c r="A30" s="106"/>
      <c r="B30" s="4" t="str">
        <f>CONCATENATE("Pupil Centered Funding Model Revenue| FY",'1.1 Assumption Control YR1'!$D$5-1)</f>
        <v>Pupil Centered Funding Model Revenue| FY2025</v>
      </c>
      <c r="C30" s="9"/>
      <c r="D30" s="603">
        <f>'1.1 Assumption Control YR1'!I13</f>
        <v>5739453864</v>
      </c>
      <c r="E30" s="9"/>
      <c r="F30" s="9"/>
      <c r="G30" s="12"/>
      <c r="H30" s="9"/>
      <c r="I30" s="112"/>
      <c r="K30" s="106"/>
      <c r="L30" s="4" t="str">
        <f>B32</f>
        <v>Pupil Centered Funding Model Revenue | FY2026</v>
      </c>
      <c r="M30" s="9"/>
      <c r="N30" s="603">
        <f>'5.1 Assumption Control YR2'!I13</f>
        <v>5724491159</v>
      </c>
      <c r="O30" s="9"/>
      <c r="P30" s="9"/>
      <c r="Q30" s="62"/>
      <c r="R30" s="9"/>
      <c r="S30" s="112"/>
    </row>
    <row r="31" spans="1:19" ht="15.75" customHeight="1" x14ac:dyDescent="0.3">
      <c r="A31" s="106"/>
      <c r="B31" s="9"/>
      <c r="C31" s="9"/>
      <c r="D31" s="12"/>
      <c r="E31" s="185"/>
      <c r="F31" s="9"/>
      <c r="G31" s="9"/>
      <c r="H31" s="9"/>
      <c r="I31" s="112"/>
      <c r="K31" s="106"/>
      <c r="L31" s="9"/>
      <c r="M31" s="9"/>
      <c r="N31" s="9"/>
      <c r="O31" s="9"/>
      <c r="P31" s="9"/>
      <c r="Q31" s="62"/>
      <c r="R31" s="9"/>
      <c r="S31" s="112"/>
    </row>
    <row r="32" spans="1:19" ht="15.75" customHeight="1" x14ac:dyDescent="0.3">
      <c r="A32" s="106"/>
      <c r="B32" s="4" t="str">
        <f>CONCATENATE("Pupil Centered Funding Model Revenue | FY",'1.1 Assumption Control YR1'!$D$5)</f>
        <v>Pupil Centered Funding Model Revenue | FY2026</v>
      </c>
      <c r="C32" s="9"/>
      <c r="D32" s="604">
        <f>'1.3 Budgeted Revenues YR1'!C40</f>
        <v>5724491159</v>
      </c>
      <c r="E32" s="12"/>
      <c r="F32" s="2180"/>
      <c r="G32" s="12"/>
      <c r="H32" s="15"/>
      <c r="I32" s="112"/>
      <c r="K32" s="106"/>
      <c r="L32" s="4" t="str">
        <f>CONCATENATE("Pupil Centered Funding Model Revenue | FY",'1.1 Assumption Control YR1'!$D$5+1)</f>
        <v>Pupil Centered Funding Model Revenue | FY2027</v>
      </c>
      <c r="M32" s="9"/>
      <c r="N32" s="604">
        <f>'5.3 Budgeted Revenues YR2'!C40</f>
        <v>5761084316</v>
      </c>
      <c r="O32" s="12"/>
      <c r="P32" s="15"/>
      <c r="Q32" s="62"/>
      <c r="R32" s="15"/>
      <c r="S32" s="112"/>
    </row>
    <row r="33" spans="1:19" ht="15.75" customHeight="1" x14ac:dyDescent="0.3">
      <c r="A33" s="106"/>
      <c r="B33" s="9"/>
      <c r="C33" s="9"/>
      <c r="D33" s="9"/>
      <c r="E33" s="12"/>
      <c r="F33" s="9"/>
      <c r="G33" s="12"/>
      <c r="H33" s="9"/>
      <c r="I33" s="112"/>
      <c r="K33" s="106"/>
      <c r="L33" s="9"/>
      <c r="M33" s="9"/>
      <c r="N33" s="9"/>
      <c r="O33" s="12"/>
      <c r="P33" s="9"/>
      <c r="Q33" s="62"/>
      <c r="R33" s="9"/>
      <c r="S33" s="112"/>
    </row>
    <row r="34" spans="1:19" ht="15.75" customHeight="1" x14ac:dyDescent="0.3">
      <c r="A34" s="106"/>
      <c r="B34" s="4" t="str">
        <f>CONCATENATE("Did the Net State Education Fund Balance Increase Between FY",'1.1 Assumption Control YR1'!$D$5-1," and FY", '1.1 Assumption Control YR1'!$D$5,"?")</f>
        <v>Did the Net State Education Fund Balance Increase Between FY2025 and FY2026?</v>
      </c>
      <c r="C34" s="9"/>
      <c r="D34" s="35" t="str">
        <f>IF(D30=0,"No",IF(D32&gt;D30,"Yes","No"))</f>
        <v>No</v>
      </c>
      <c r="E34" s="12"/>
      <c r="F34" s="9"/>
      <c r="G34" s="12"/>
      <c r="H34" s="9"/>
      <c r="I34" s="112"/>
      <c r="K34" s="106"/>
      <c r="L34" s="4" t="str">
        <f>CONCATENATE("Did the Net State Education Fund Balance Increase Between FY",'1.1 Assumption Control YR1'!$D$5," and FY", '1.1 Assumption Control YR1'!$D$5+1,"?")</f>
        <v>Did the Net State Education Fund Balance Increase Between FY2026 and FY2027?</v>
      </c>
      <c r="M34" s="9"/>
      <c r="N34" s="35" t="str">
        <f>IF(N30=0,"No",IF(N32&gt;N30,"Yes","No"))</f>
        <v>Yes</v>
      </c>
      <c r="O34" s="12"/>
      <c r="P34" s="9"/>
      <c r="Q34" s="62"/>
      <c r="R34" s="9"/>
      <c r="S34" s="112"/>
    </row>
    <row r="35" spans="1:19" ht="15.75" customHeight="1" x14ac:dyDescent="0.3">
      <c r="A35" s="106"/>
      <c r="B35" s="9"/>
      <c r="C35" s="13" t="s">
        <v>1719</v>
      </c>
      <c r="D35" s="586">
        <f>IF(D30=0,0,(D32-D30)/D30)</f>
        <v>-2.6069910752052E-3</v>
      </c>
      <c r="E35" s="12"/>
      <c r="F35" s="9"/>
      <c r="G35" s="9"/>
      <c r="H35" s="9"/>
      <c r="I35" s="112"/>
      <c r="K35" s="106"/>
      <c r="L35" s="9"/>
      <c r="M35" s="13" t="s">
        <v>1719</v>
      </c>
      <c r="N35" s="586">
        <f>IF(N30=0,0,(N32-N30)/N30)</f>
        <v>6.3923859752090849E-3</v>
      </c>
      <c r="O35" s="12"/>
      <c r="P35" s="9"/>
      <c r="Q35" s="62"/>
      <c r="R35" s="9"/>
      <c r="S35" s="112"/>
    </row>
    <row r="36" spans="1:19" ht="15.75" customHeight="1" x14ac:dyDescent="0.3">
      <c r="A36" s="142"/>
      <c r="B36" s="137"/>
      <c r="C36" s="137"/>
      <c r="D36" s="137"/>
      <c r="E36" s="137"/>
      <c r="F36" s="137"/>
      <c r="G36" s="137"/>
      <c r="H36" s="137"/>
      <c r="I36" s="128"/>
      <c r="K36" s="142"/>
      <c r="L36" s="137"/>
      <c r="M36" s="137"/>
      <c r="N36" s="137"/>
      <c r="O36" s="137"/>
      <c r="P36" s="137"/>
      <c r="Q36" s="359"/>
      <c r="R36" s="137"/>
      <c r="S36" s="128"/>
    </row>
    <row r="37" spans="1:19" x14ac:dyDescent="0.3">
      <c r="B37" s="447"/>
      <c r="C37" s="447"/>
      <c r="D37" s="447"/>
      <c r="E37" s="447"/>
      <c r="F37" s="447"/>
      <c r="G37" s="447"/>
      <c r="H37" s="447"/>
      <c r="I37" s="447"/>
      <c r="J37" s="447"/>
      <c r="K37" s="447"/>
      <c r="L37" s="447"/>
      <c r="M37" s="447"/>
      <c r="N37" s="447"/>
      <c r="O37" s="447"/>
      <c r="P37" s="447"/>
      <c r="Q37" s="447"/>
      <c r="R37" s="447"/>
      <c r="S37" s="447"/>
    </row>
    <row r="38" spans="1:19" x14ac:dyDescent="0.3">
      <c r="B38" s="447"/>
      <c r="C38" s="447"/>
      <c r="D38" s="1906"/>
      <c r="E38" s="1906"/>
      <c r="F38" s="1906"/>
      <c r="G38" s="447"/>
      <c r="H38" s="1907"/>
      <c r="I38" s="1906"/>
      <c r="J38" s="447"/>
      <c r="K38" s="447"/>
      <c r="L38" s="447"/>
      <c r="M38" s="447"/>
      <c r="N38" s="447"/>
      <c r="O38" s="1906"/>
      <c r="P38" s="1906"/>
      <c r="Q38" s="447"/>
      <c r="R38" s="1907"/>
      <c r="S38" s="1906"/>
    </row>
    <row r="39" spans="1:19" x14ac:dyDescent="0.3">
      <c r="B39" s="447"/>
      <c r="C39" s="447"/>
      <c r="D39" s="1908"/>
      <c r="E39" s="1906"/>
      <c r="F39" s="1906"/>
      <c r="G39" s="447"/>
      <c r="H39" s="1907"/>
      <c r="I39" s="1906"/>
      <c r="J39" s="447"/>
      <c r="K39" s="447"/>
      <c r="L39" s="447"/>
      <c r="M39" s="447"/>
      <c r="N39" s="447"/>
      <c r="O39" s="1906"/>
      <c r="P39" s="1906"/>
      <c r="Q39" s="447"/>
      <c r="R39" s="1907"/>
      <c r="S39" s="1906"/>
    </row>
    <row r="40" spans="1:19" x14ac:dyDescent="0.3">
      <c r="B40" s="447"/>
      <c r="C40" s="447"/>
      <c r="D40" s="1906"/>
      <c r="E40" s="1906"/>
      <c r="F40" s="1906"/>
      <c r="G40" s="447"/>
      <c r="H40" s="1907"/>
      <c r="I40" s="1906"/>
      <c r="J40" s="447"/>
      <c r="K40" s="447"/>
      <c r="L40" s="447"/>
      <c r="M40" s="447"/>
      <c r="N40" s="447"/>
      <c r="O40" s="1906"/>
      <c r="P40" s="1906"/>
      <c r="Q40" s="447"/>
      <c r="R40" s="1907"/>
      <c r="S40" s="1906"/>
    </row>
    <row r="41" spans="1:19" x14ac:dyDescent="0.3">
      <c r="B41" s="447"/>
      <c r="C41" s="447"/>
      <c r="D41" s="1906"/>
      <c r="E41" s="1906"/>
      <c r="F41" s="1906"/>
      <c r="G41" s="447"/>
      <c r="H41" s="1907"/>
      <c r="I41" s="1906"/>
      <c r="J41" s="447"/>
      <c r="K41" s="447"/>
      <c r="L41" s="447"/>
      <c r="M41" s="447"/>
      <c r="N41" s="447"/>
      <c r="O41" s="1906"/>
      <c r="P41" s="1906"/>
      <c r="Q41" s="447"/>
      <c r="R41" s="1907"/>
      <c r="S41" s="1906"/>
    </row>
    <row r="42" spans="1:19" x14ac:dyDescent="0.3">
      <c r="B42" s="447"/>
      <c r="C42" s="447"/>
      <c r="D42" s="1908"/>
      <c r="E42" s="1906"/>
      <c r="F42" s="1906"/>
      <c r="G42" s="447"/>
      <c r="H42" s="1907"/>
      <c r="I42" s="1906"/>
      <c r="J42" s="447"/>
      <c r="K42" s="447"/>
      <c r="L42" s="447"/>
      <c r="M42" s="447"/>
      <c r="N42" s="447"/>
      <c r="O42" s="1906"/>
      <c r="P42" s="1906"/>
      <c r="Q42" s="447"/>
      <c r="R42" s="1907"/>
      <c r="S42" s="1906"/>
    </row>
    <row r="43" spans="1:19" x14ac:dyDescent="0.3">
      <c r="B43" s="447"/>
      <c r="C43" s="447"/>
      <c r="D43" s="447"/>
      <c r="E43" s="1906"/>
      <c r="F43" s="1906"/>
      <c r="G43" s="447"/>
      <c r="H43" s="1907"/>
      <c r="I43" s="1906"/>
      <c r="J43" s="447"/>
      <c r="K43" s="447"/>
      <c r="L43" s="447"/>
      <c r="M43" s="447"/>
      <c r="N43" s="447"/>
      <c r="O43" s="1906"/>
      <c r="P43" s="1906"/>
      <c r="Q43" s="447"/>
      <c r="R43" s="1907"/>
      <c r="S43" s="1906"/>
    </row>
    <row r="44" spans="1:19" x14ac:dyDescent="0.3">
      <c r="B44" s="447"/>
      <c r="C44" s="447"/>
      <c r="D44" s="447"/>
      <c r="E44" s="1906"/>
      <c r="F44" s="1906"/>
      <c r="G44" s="447"/>
      <c r="H44" s="1907"/>
      <c r="I44" s="1906"/>
      <c r="J44" s="447"/>
      <c r="K44" s="447"/>
      <c r="L44" s="447"/>
      <c r="M44" s="447"/>
      <c r="N44" s="447"/>
      <c r="O44" s="1906"/>
      <c r="P44" s="1906"/>
      <c r="Q44" s="447"/>
      <c r="R44" s="1907"/>
      <c r="S44" s="1906"/>
    </row>
    <row r="45" spans="1:19" x14ac:dyDescent="0.3">
      <c r="B45" s="447"/>
      <c r="C45" s="447"/>
      <c r="D45" s="447"/>
      <c r="E45" s="1908"/>
      <c r="F45" s="1908"/>
      <c r="G45" s="447"/>
      <c r="H45" s="1907"/>
      <c r="I45" s="1908"/>
      <c r="J45" s="447"/>
      <c r="K45" s="447"/>
      <c r="L45" s="447"/>
      <c r="M45" s="447"/>
      <c r="N45" s="447"/>
      <c r="O45" s="1908"/>
      <c r="P45" s="1908"/>
      <c r="Q45" s="447"/>
      <c r="R45" s="1907"/>
      <c r="S45" s="1906"/>
    </row>
    <row r="46" spans="1:19" x14ac:dyDescent="0.3">
      <c r="B46" s="447"/>
      <c r="C46" s="447"/>
      <c r="D46" s="447"/>
      <c r="E46" s="447"/>
      <c r="F46" s="447"/>
      <c r="G46" s="447"/>
      <c r="H46" s="447"/>
      <c r="I46" s="1908"/>
      <c r="J46" s="447"/>
      <c r="K46" s="447"/>
      <c r="L46" s="447"/>
      <c r="M46" s="447"/>
      <c r="N46" s="447"/>
      <c r="O46" s="447"/>
      <c r="P46" s="447"/>
      <c r="Q46" s="447"/>
      <c r="R46" s="447"/>
      <c r="S46" s="1908"/>
    </row>
  </sheetData>
  <customSheetViews>
    <customSheetView guid="{CA1C9262-C0F9-4BBB-95C8-A52990BD1149}" scale="80" fitToPage="1">
      <selection activeCell="D15" sqref="D15"/>
      <pageMargins left="0" right="0" top="0" bottom="0" header="0" footer="0"/>
      <pageSetup paperSize="3"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80" fitToPage="1">
      <selection activeCell="D15" sqref="D15"/>
      <pageMargins left="0" right="0" top="0" bottom="0" header="0" footer="0"/>
      <pageSetup paperSize="3"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80" fitToPage="1">
      <selection activeCell="B48" sqref="B48"/>
      <pageMargins left="0" right="0" top="0" bottom="0" header="0" footer="0"/>
      <pageSetup paperSize="3"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phoneticPr fontId="74" type="noConversion"/>
  <conditionalFormatting sqref="D26">
    <cfRule type="expression" dxfId="32" priority="29">
      <formula>ROUND(#REF!,-3)&lt;&gt;0</formula>
    </cfRule>
    <cfRule type="expression" dxfId="31" priority="30">
      <formula>ROUND(#REF!,-3)=0</formula>
    </cfRule>
  </conditionalFormatting>
  <conditionalFormatting sqref="D34">
    <cfRule type="cellIs" dxfId="30" priority="27" operator="equal">
      <formula>"No"</formula>
    </cfRule>
    <cfRule type="cellIs" dxfId="29" priority="28" operator="equal">
      <formula>"Yes"</formula>
    </cfRule>
  </conditionalFormatting>
  <conditionalFormatting sqref="D26:E26">
    <cfRule type="containsText" dxfId="28" priority="21" operator="containsText" text="Model is Out of Balance">
      <formula>NOT(ISERROR(SEARCH("Model is Out of Balance",D26)))</formula>
    </cfRule>
    <cfRule type="containsText" dxfId="27" priority="22" operator="containsText" text="Model is Balanced">
      <formula>NOT(ISERROR(SEARCH("Model is Balanced",D26)))</formula>
    </cfRule>
    <cfRule type="containsText" dxfId="26" priority="23" operator="containsText" text="&quot;Model is Balanced&quot;">
      <formula>NOT(ISERROR(SEARCH("""Model is Balanced""",D26)))</formula>
    </cfRule>
    <cfRule type="cellIs" dxfId="25" priority="24" operator="equal">
      <formula>$D$26</formula>
    </cfRule>
    <cfRule type="cellIs" dxfId="24" priority="25" operator="equal">
      <formula>$D$26</formula>
    </cfRule>
    <cfRule type="cellIs" dxfId="23" priority="26" operator="equal">
      <formula>"""Model is Balanced"""</formula>
    </cfRule>
  </conditionalFormatting>
  <conditionalFormatting sqref="N26">
    <cfRule type="expression" dxfId="22" priority="9">
      <formula>ROUND(#REF!,-3)&lt;&gt;0</formula>
    </cfRule>
    <cfRule type="expression" dxfId="21" priority="10">
      <formula>ROUND(#REF!,-3)=0</formula>
    </cfRule>
  </conditionalFormatting>
  <conditionalFormatting sqref="N34">
    <cfRule type="cellIs" dxfId="20" priority="7" operator="equal">
      <formula>"No"</formula>
    </cfRule>
    <cfRule type="cellIs" dxfId="19" priority="8" operator="equal">
      <formula>"Yes"</formula>
    </cfRule>
  </conditionalFormatting>
  <conditionalFormatting sqref="N26:O26">
    <cfRule type="containsText" dxfId="18" priority="1" operator="containsText" text="Model is Out of Balance">
      <formula>NOT(ISERROR(SEARCH("Model is Out of Balance",N26)))</formula>
    </cfRule>
    <cfRule type="containsText" dxfId="17" priority="2" operator="containsText" text="Model is Balanced">
      <formula>NOT(ISERROR(SEARCH("Model is Balanced",N26)))</formula>
    </cfRule>
    <cfRule type="containsText" dxfId="16" priority="3" operator="containsText" text="&quot;Model is Balanced&quot;">
      <formula>NOT(ISERROR(SEARCH("""Model is Balanced""",N26)))</formula>
    </cfRule>
    <cfRule type="cellIs" dxfId="15" priority="4" operator="equal">
      <formula>$D$26</formula>
    </cfRule>
    <cfRule type="cellIs" dxfId="14" priority="5" operator="equal">
      <formula>$D$26</formula>
    </cfRule>
    <cfRule type="cellIs" dxfId="13" priority="6" operator="equal">
      <formula>"""Model is Balanced"""</formula>
    </cfRule>
  </conditionalFormatting>
  <pageMargins left="0.7" right="0.7" top="0.75" bottom="0.75" header="0.3" footer="0.3"/>
  <pageSetup paperSize="3" scale="62" fitToHeight="0" orientation="landscape" r:id="rId4"/>
  <headerFooter>
    <oddHeader>&amp;R&amp;"Arial Narrow,Regular"&amp;10&amp;A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3EED7-71CE-4500-B1EC-F4C009017CF0}">
  <sheetPr>
    <tabColor theme="5" tint="-0.249977111117893"/>
  </sheetPr>
  <dimension ref="A1:O115"/>
  <sheetViews>
    <sheetView topLeftCell="A41" zoomScale="85" zoomScaleNormal="85" workbookViewId="0">
      <selection activeCell="F55" sqref="F55"/>
    </sheetView>
  </sheetViews>
  <sheetFormatPr defaultColWidth="8.7109375" defaultRowHeight="15" x14ac:dyDescent="0.25"/>
  <cols>
    <col min="1" max="1" width="57.140625" style="864" customWidth="1"/>
    <col min="2" max="2" width="6" style="864" customWidth="1"/>
    <col min="3" max="3" width="2.7109375" style="864" customWidth="1"/>
    <col min="4" max="4" width="18.42578125" style="864" bestFit="1" customWidth="1"/>
    <col min="5" max="5" width="28.7109375" style="864" customWidth="1"/>
    <col min="6" max="6" width="17.7109375" style="864" bestFit="1" customWidth="1"/>
    <col min="7" max="7" width="52.7109375" style="864" bestFit="1" customWidth="1"/>
    <col min="8" max="8" width="13.5703125" style="864" bestFit="1" customWidth="1"/>
    <col min="9" max="9" width="25.5703125" style="864" bestFit="1" customWidth="1"/>
    <col min="10" max="10" width="3" style="864" bestFit="1" customWidth="1"/>
    <col min="11" max="11" width="59.140625" style="864" bestFit="1" customWidth="1"/>
    <col min="12" max="12" width="8" style="950" bestFit="1" customWidth="1"/>
    <col min="13" max="13" width="25" style="864" bestFit="1" customWidth="1"/>
    <col min="14" max="14" width="19.7109375" style="864" bestFit="1" customWidth="1"/>
    <col min="15" max="15" width="11.5703125" style="864" bestFit="1" customWidth="1"/>
    <col min="16" max="16" width="37.140625" style="864" bestFit="1" customWidth="1"/>
    <col min="17" max="16384" width="8.7109375" style="864"/>
  </cols>
  <sheetData>
    <row r="1" spans="1:15" s="863" customFormat="1" x14ac:dyDescent="0.25">
      <c r="A1" s="863" t="s">
        <v>15</v>
      </c>
      <c r="L1" s="866"/>
    </row>
    <row r="2" spans="1:15" x14ac:dyDescent="0.25">
      <c r="A2" s="864" t="str">
        <f>CONCATENATE("Pupil Center Funding Plan | FY",'5.1 Assumption Control YR2'!D5)</f>
        <v>Pupil Center Funding Plan | FY2027</v>
      </c>
    </row>
    <row r="3" spans="1:15" x14ac:dyDescent="0.25">
      <c r="A3" s="864" t="s">
        <v>1720</v>
      </c>
      <c r="G3" s="2373" t="s">
        <v>152</v>
      </c>
      <c r="H3" s="2374"/>
      <c r="I3" s="2374"/>
      <c r="J3" s="2374"/>
      <c r="K3" s="2374"/>
      <c r="L3" s="2374"/>
      <c r="M3" s="2374"/>
      <c r="N3" s="2374"/>
      <c r="O3" s="2375"/>
    </row>
    <row r="4" spans="1:15" ht="15.75" thickBot="1" x14ac:dyDescent="0.3">
      <c r="B4" s="1123" t="s">
        <v>73</v>
      </c>
      <c r="G4" s="868"/>
      <c r="O4" s="1034"/>
    </row>
    <row r="5" spans="1:15" ht="16.5" thickTop="1" thickBot="1" x14ac:dyDescent="0.3">
      <c r="A5" s="864" t="s">
        <v>153</v>
      </c>
      <c r="B5" s="971"/>
      <c r="C5" s="971"/>
      <c r="D5" s="1124">
        <f>'1.1 Assumption Control YR1'!D5+1</f>
        <v>2027</v>
      </c>
      <c r="G5" s="1125" t="str">
        <f>CONCATENATE("Pupil Center Funding Plan Prior Year Outputs | FY ", D5-1)</f>
        <v>Pupil Center Funding Plan Prior Year Outputs | FY 2026</v>
      </c>
      <c r="H5" s="1126"/>
      <c r="I5" s="2033"/>
      <c r="J5" s="863"/>
      <c r="K5" s="1125" t="str">
        <f>CONCATENATE("Pupil Center Funding Plan Current Year Outputs | FY ",D5)</f>
        <v>Pupil Center Funding Plan Current Year Outputs | FY 2027</v>
      </c>
      <c r="L5" s="1127"/>
      <c r="M5" s="2034"/>
      <c r="N5" s="1060"/>
      <c r="O5" s="2034"/>
    </row>
    <row r="6" spans="1:15" ht="16.5" thickTop="1" thickBot="1" x14ac:dyDescent="0.3">
      <c r="B6" s="971"/>
      <c r="C6" s="971"/>
      <c r="D6" s="971"/>
      <c r="G6" s="1128" t="s">
        <v>1721</v>
      </c>
      <c r="H6" s="866" t="s">
        <v>155</v>
      </c>
      <c r="I6" s="909" t="s">
        <v>156</v>
      </c>
      <c r="J6" s="863"/>
      <c r="K6" s="1128" t="s">
        <v>157</v>
      </c>
      <c r="L6" s="866" t="s">
        <v>155</v>
      </c>
      <c r="M6" s="909" t="s">
        <v>158</v>
      </c>
      <c r="N6" s="1129" t="s">
        <v>159</v>
      </c>
      <c r="O6" s="909" t="s">
        <v>160</v>
      </c>
    </row>
    <row r="7" spans="1:15" ht="16.5" thickTop="1" thickBot="1" x14ac:dyDescent="0.3">
      <c r="A7" s="863" t="s">
        <v>161</v>
      </c>
      <c r="D7" s="866" t="s">
        <v>162</v>
      </c>
      <c r="E7" s="866" t="s">
        <v>163</v>
      </c>
      <c r="G7" s="1130" t="s">
        <v>166</v>
      </c>
      <c r="H7" s="950" t="s">
        <v>167</v>
      </c>
      <c r="I7" s="1131">
        <f>'1.1 Assumption Control YR1'!M7</f>
        <v>0.45</v>
      </c>
      <c r="J7" s="863"/>
      <c r="K7" s="1128" t="s">
        <v>166</v>
      </c>
      <c r="L7" s="950" t="s">
        <v>1722</v>
      </c>
      <c r="M7" s="1132">
        <f>D39</f>
        <v>0.45</v>
      </c>
      <c r="N7" s="1133">
        <f>M7-I7</f>
        <v>0</v>
      </c>
      <c r="O7" s="1134">
        <f>IF(I7=0,"",(M7-'5.1 Assumption Control YR2'!I7)/'5.1 Assumption Control YR2'!I7)</f>
        <v>0</v>
      </c>
    </row>
    <row r="8" spans="1:15" ht="16.5" thickTop="1" thickBot="1" x14ac:dyDescent="0.3">
      <c r="A8" s="863" t="s">
        <v>168</v>
      </c>
      <c r="G8" s="1130"/>
      <c r="H8" s="950"/>
      <c r="I8" s="1131"/>
      <c r="K8" s="1130"/>
      <c r="M8" s="1135"/>
      <c r="N8" s="1136"/>
      <c r="O8" s="1137"/>
    </row>
    <row r="9" spans="1:15" ht="16.5" thickTop="1" thickBot="1" x14ac:dyDescent="0.3">
      <c r="A9" s="950" t="str">
        <f>CONCATENATE("Prior Year Revenue | FY ",D5-1)</f>
        <v>Prior Year Revenue | FY 2026</v>
      </c>
      <c r="B9" s="971"/>
      <c r="E9" s="1138">
        <f>I13</f>
        <v>5724491159</v>
      </c>
      <c r="G9" s="1130" t="s">
        <v>170</v>
      </c>
      <c r="H9" s="950" t="s">
        <v>167</v>
      </c>
      <c r="I9" s="1131">
        <f>'1.1 Assumption Control YR1'!M9</f>
        <v>0.35</v>
      </c>
      <c r="K9" s="1130" t="s">
        <v>170</v>
      </c>
      <c r="L9" s="950" t="s">
        <v>1722</v>
      </c>
      <c r="M9" s="1132">
        <f>D40</f>
        <v>0.35</v>
      </c>
      <c r="N9" s="1133">
        <f>M9-I9</f>
        <v>0</v>
      </c>
      <c r="O9" s="1134">
        <f>IF(I9=0,"",(M9-'5.1 Assumption Control YR2'!I9)/'5.1 Assumption Control YR2'!I9)</f>
        <v>0</v>
      </c>
    </row>
    <row r="10" spans="1:15" ht="16.5" thickTop="1" thickBot="1" x14ac:dyDescent="0.3">
      <c r="A10" s="950" t="str">
        <f>CONCATENATE("Projected Revenue | FY ",D5)</f>
        <v>Projected Revenue | FY 2027</v>
      </c>
      <c r="B10" s="971"/>
      <c r="E10" s="1138">
        <f>'5.3 Budgeted Revenues YR2'!C40</f>
        <v>5761084316</v>
      </c>
      <c r="G10" s="1130"/>
      <c r="H10" s="950"/>
      <c r="I10" s="1131"/>
      <c r="K10" s="1130"/>
      <c r="M10" s="1139"/>
      <c r="N10" s="1136"/>
      <c r="O10" s="1137"/>
    </row>
    <row r="11" spans="1:15" ht="16.5" thickTop="1" thickBot="1" x14ac:dyDescent="0.3">
      <c r="A11" s="950" t="s">
        <v>171</v>
      </c>
      <c r="E11" s="1202">
        <f>E10-E9</f>
        <v>36593157</v>
      </c>
      <c r="G11" s="1130" t="s">
        <v>173</v>
      </c>
      <c r="H11" s="950" t="s">
        <v>167</v>
      </c>
      <c r="I11" s="1131">
        <f>'1.1 Assumption Control YR1'!M11</f>
        <v>0.12</v>
      </c>
      <c r="K11" s="1130" t="s">
        <v>173</v>
      </c>
      <c r="L11" s="950" t="s">
        <v>1722</v>
      </c>
      <c r="M11" s="1132">
        <f>D41</f>
        <v>0.12</v>
      </c>
      <c r="N11" s="1133">
        <f>M11-I11</f>
        <v>0</v>
      </c>
      <c r="O11" s="1134">
        <f>IF(I11=0,"",(M11-'5.1 Assumption Control YR2'!I11)/'5.1 Assumption Control YR2'!I11)</f>
        <v>0</v>
      </c>
    </row>
    <row r="12" spans="1:15" ht="16.5" thickTop="1" thickBot="1" x14ac:dyDescent="0.3">
      <c r="A12" s="950" t="s">
        <v>174</v>
      </c>
      <c r="E12" s="1140">
        <f>(E10-E9)/E9</f>
        <v>6.3923859752090849E-3</v>
      </c>
      <c r="G12" s="868"/>
      <c r="H12" s="950"/>
      <c r="I12" s="1131"/>
      <c r="K12" s="1141"/>
      <c r="L12" s="1026"/>
      <c r="M12" s="1142"/>
      <c r="N12" s="1143"/>
      <c r="O12" s="1142"/>
    </row>
    <row r="13" spans="1:15" ht="16.5" thickTop="1" thickBot="1" x14ac:dyDescent="0.3">
      <c r="D13" s="1144"/>
      <c r="G13" s="1130" t="s">
        <v>1723</v>
      </c>
      <c r="H13" s="950" t="s">
        <v>167</v>
      </c>
      <c r="I13" s="1145">
        <f>'1.1 Assumption Control YR1'!M13</f>
        <v>5724491159</v>
      </c>
      <c r="K13" s="1130" t="s">
        <v>176</v>
      </c>
      <c r="L13" s="950" t="s">
        <v>1697</v>
      </c>
      <c r="M13" s="1146">
        <f>'5.3 Budgeted Revenues YR2'!C40</f>
        <v>5761084316</v>
      </c>
      <c r="N13" s="1147">
        <f>M13-'5.1 Assumption Control YR2'!I13</f>
        <v>36593157</v>
      </c>
      <c r="O13" s="1134">
        <f>IF(I13=0,"",(M13-'5.1 Assumption Control YR2'!I13)/'5.1 Assumption Control YR2'!I13)</f>
        <v>6.3923859752090849E-3</v>
      </c>
    </row>
    <row r="14" spans="1:15" ht="17.25" customHeight="1" thickTop="1" thickBot="1" x14ac:dyDescent="0.3">
      <c r="A14" s="863" t="s">
        <v>178</v>
      </c>
      <c r="D14" s="1144"/>
      <c r="G14" s="1130"/>
      <c r="H14" s="950"/>
      <c r="I14" s="1131"/>
      <c r="K14" s="1130"/>
      <c r="M14" s="1148"/>
      <c r="N14" s="1035"/>
      <c r="O14" s="1137"/>
    </row>
    <row r="15" spans="1:15" ht="17.25" customHeight="1" thickTop="1" thickBot="1" x14ac:dyDescent="0.3">
      <c r="A15" s="950" t="str">
        <f>CONCATENATE("Calculated Federal CPI 3 Year Average Inflation Factor for FY ",D5)</f>
        <v>Calculated Federal CPI 3 Year Average Inflation Factor for FY 2027</v>
      </c>
      <c r="B15" s="971"/>
      <c r="D15" s="1149">
        <f>'1.1 Assumption Control YR1'!D15</f>
        <v>5.6099999999999997E-2</v>
      </c>
      <c r="G15" s="1130" t="s">
        <v>1724</v>
      </c>
      <c r="H15" s="950" t="s">
        <v>167</v>
      </c>
      <c r="I15" s="1145">
        <f>'1.1 Assumption Control YR1'!E54</f>
        <v>9416</v>
      </c>
      <c r="K15" s="1130" t="s">
        <v>181</v>
      </c>
      <c r="L15" s="950" t="s">
        <v>1725</v>
      </c>
      <c r="M15" s="1146">
        <f>D21</f>
        <v>9944.2376000000004</v>
      </c>
      <c r="N15" s="1150">
        <f>M15-'5.1 Assumption Control YR2'!I15</f>
        <v>528.23760000000038</v>
      </c>
      <c r="O15" s="1134">
        <f>(M15-'5.1 Assumption Control YR2'!I15)/'5.1 Assumption Control YR2'!I15</f>
        <v>5.6100000000000039E-2</v>
      </c>
    </row>
    <row r="16" spans="1:15" ht="16.5" thickTop="1" thickBot="1" x14ac:dyDescent="0.3">
      <c r="A16" s="1130" t="s">
        <v>1726</v>
      </c>
      <c r="B16" s="971"/>
      <c r="D16" s="1138">
        <f>(D19*D15)</f>
        <v>528.23759999999993</v>
      </c>
      <c r="E16" s="1151">
        <f>ROUND(I23*D16,0)</f>
        <v>244971220</v>
      </c>
      <c r="G16" s="1130"/>
      <c r="H16" s="950"/>
      <c r="I16" s="1131"/>
      <c r="K16" s="1130"/>
      <c r="M16" s="1148"/>
      <c r="N16" s="1152"/>
      <c r="O16" s="1137"/>
    </row>
    <row r="17" spans="1:15" ht="16.5" thickTop="1" thickBot="1" x14ac:dyDescent="0.3">
      <c r="A17" s="950"/>
      <c r="B17" s="971"/>
      <c r="D17" s="1153"/>
      <c r="G17" s="1130" t="s">
        <v>1727</v>
      </c>
      <c r="H17" s="950" t="s">
        <v>167</v>
      </c>
      <c r="I17" s="1145">
        <f>'1.1 Assumption Control YR1'!M17</f>
        <v>233115184</v>
      </c>
      <c r="K17" s="1130" t="s">
        <v>185</v>
      </c>
      <c r="L17" s="950" t="s">
        <v>1728</v>
      </c>
      <c r="M17" s="1146">
        <f>'6.7 Weighted Funding YR2'!E39</f>
        <v>234845260</v>
      </c>
      <c r="N17" s="1150">
        <f>M17-'5.1 Assumption Control YR2'!I17</f>
        <v>1730076</v>
      </c>
      <c r="O17" s="1134">
        <f>(M17-'5.1 Assumption Control YR2'!I17)/'5.1 Assumption Control YR2'!I17</f>
        <v>7.4215500265310905E-3</v>
      </c>
    </row>
    <row r="18" spans="1:15" ht="16.5" thickTop="1" thickBot="1" x14ac:dyDescent="0.3">
      <c r="A18" s="966" t="s">
        <v>187</v>
      </c>
      <c r="B18" s="877"/>
      <c r="C18" s="877"/>
      <c r="D18" s="877"/>
      <c r="E18" s="1154" t="s">
        <v>188</v>
      </c>
      <c r="F18" s="1026"/>
      <c r="G18" s="1130"/>
      <c r="H18" s="950"/>
      <c r="I18" s="1145"/>
      <c r="K18" s="1130"/>
      <c r="M18" s="1148"/>
      <c r="N18" s="1152"/>
      <c r="O18" s="1137"/>
    </row>
    <row r="19" spans="1:15" ht="16.5" thickTop="1" thickBot="1" x14ac:dyDescent="0.3">
      <c r="A19" s="1130" t="str">
        <f>CONCATENATE("Statewide Base Per Pupil Funding from the preceding Fiscal Year | FY",D5-1)</f>
        <v>Statewide Base Per Pupil Funding from the preceding Fiscal Year | FY2026</v>
      </c>
      <c r="B19" s="971"/>
      <c r="D19" s="1138">
        <f>I15</f>
        <v>9416</v>
      </c>
      <c r="E19" s="1151">
        <f>ROUND(I23*D19,0)</f>
        <v>4366688417</v>
      </c>
      <c r="F19" s="1155"/>
      <c r="G19" s="1130" t="s">
        <v>1729</v>
      </c>
      <c r="H19" s="950" t="s">
        <v>167</v>
      </c>
      <c r="I19" s="1145">
        <f>'1.1 Assumption Control YR1'!M19</f>
        <v>165304285</v>
      </c>
      <c r="K19" s="1130" t="s">
        <v>190</v>
      </c>
      <c r="L19" s="950" t="s">
        <v>1728</v>
      </c>
      <c r="M19" s="1146">
        <f>'6.7 Weighted Funding YR2'!I39</f>
        <v>166531106</v>
      </c>
      <c r="N19" s="1150">
        <f>M19-'5.1 Assumption Control YR2'!I19</f>
        <v>1226821</v>
      </c>
      <c r="O19" s="1134">
        <f>(M19-'5.1 Assumption Control YR2'!I19)/'5.1 Assumption Control YR2'!I19</f>
        <v>7.4215922472911089E-3</v>
      </c>
    </row>
    <row r="20" spans="1:15" ht="16.5" thickTop="1" thickBot="1" x14ac:dyDescent="0.3">
      <c r="A20" s="1130" t="s">
        <v>1730</v>
      </c>
      <c r="B20" s="971" t="s">
        <v>76</v>
      </c>
      <c r="D20" s="1156">
        <f>D16</f>
        <v>528.23759999999993</v>
      </c>
      <c r="E20" s="1151">
        <f>ROUND(I23*D20,0)</f>
        <v>244971220</v>
      </c>
      <c r="F20" s="866"/>
      <c r="G20" s="1130"/>
      <c r="H20" s="950"/>
      <c r="I20" s="1145"/>
      <c r="K20" s="1130"/>
      <c r="M20" s="1148"/>
      <c r="N20" s="1152"/>
      <c r="O20" s="1137"/>
    </row>
    <row r="21" spans="1:15" ht="16.5" thickTop="1" thickBot="1" x14ac:dyDescent="0.3">
      <c r="A21" s="1130" t="str">
        <f>CONCATENATE("Statewide Base Funding including Inflation for | FY",D5)</f>
        <v>Statewide Base Funding including Inflation for | FY2027</v>
      </c>
      <c r="B21" s="971"/>
      <c r="D21" s="1157">
        <f>(D19+D20)</f>
        <v>9944.2376000000004</v>
      </c>
      <c r="E21" s="1157">
        <f>ROUND(I23*D21,0)</f>
        <v>4611659637</v>
      </c>
      <c r="F21" s="866"/>
      <c r="G21" s="1130" t="s">
        <v>1731</v>
      </c>
      <c r="H21" s="950" t="s">
        <v>167</v>
      </c>
      <c r="I21" s="1145">
        <f>'1.1 Assumption Control YR1'!M21</f>
        <v>9871908</v>
      </c>
      <c r="K21" s="1130" t="s">
        <v>193</v>
      </c>
      <c r="L21" s="950" t="s">
        <v>1728</v>
      </c>
      <c r="M21" s="1146">
        <f>'6.7 Weighted Funding YR2'!M39</f>
        <v>9945172</v>
      </c>
      <c r="N21" s="1150">
        <f>M21-'5.1 Assumption Control YR2'!I21</f>
        <v>73264</v>
      </c>
      <c r="O21" s="1134">
        <f>(M21-'5.1 Assumption Control YR2'!I21)/'5.1 Assumption Control YR2'!I21</f>
        <v>7.4214630039096795E-3</v>
      </c>
    </row>
    <row r="22" spans="1:15" ht="17.25" customHeight="1" thickTop="1" thickBot="1" x14ac:dyDescent="0.3">
      <c r="A22" s="1125" t="str">
        <f>CONCATENATE("Inflation Adjustment For | FY ",D5)</f>
        <v>Inflation Adjustment For | FY 2027</v>
      </c>
      <c r="B22" s="967"/>
      <c r="C22" s="1126"/>
      <c r="D22" s="1158"/>
      <c r="E22" s="1157">
        <f>E21-E19</f>
        <v>244971220</v>
      </c>
      <c r="F22" s="1159"/>
      <c r="G22" s="1130"/>
      <c r="H22" s="950"/>
      <c r="I22" s="1131"/>
      <c r="K22" s="868"/>
      <c r="M22" s="1160"/>
      <c r="N22" s="1035"/>
      <c r="O22" s="1137"/>
    </row>
    <row r="23" spans="1:15" ht="16.5" thickTop="1" thickBot="1" x14ac:dyDescent="0.3">
      <c r="A23" s="1010" t="str">
        <f>CONCATENATE("Statewide Base Inflationary Growth % For | FY ",D5)</f>
        <v>Statewide Base Inflationary Growth % For | FY 2027</v>
      </c>
      <c r="B23" s="1161"/>
      <c r="C23" s="879"/>
      <c r="D23" s="1162"/>
      <c r="E23" s="1140">
        <f>E22/E19</f>
        <v>5.6099999955641446E-2</v>
      </c>
      <c r="F23" s="1159"/>
      <c r="G23" s="1130" t="s">
        <v>1732</v>
      </c>
      <c r="H23" s="950" t="s">
        <v>167</v>
      </c>
      <c r="I23" s="1163">
        <f>'1.1 Assumption Control YR1'!M23</f>
        <v>463751.95591146237</v>
      </c>
      <c r="K23" s="1130" t="s">
        <v>194</v>
      </c>
      <c r="L23" s="950" t="s">
        <v>1733</v>
      </c>
      <c r="M23" s="1164">
        <f>'5.2 Budgeted Enrollment YR2'!G30</f>
        <v>463751.95591146237</v>
      </c>
      <c r="N23" s="1165">
        <f>M23-'5.1 Assumption Control YR2'!I23</f>
        <v>0</v>
      </c>
      <c r="O23" s="1134">
        <f>(M23-'5.1 Assumption Control YR2'!I23)/'5.1 Assumption Control YR2'!I23</f>
        <v>0</v>
      </c>
    </row>
    <row r="24" spans="1:15" ht="16.5" thickTop="1" thickBot="1" x14ac:dyDescent="0.3">
      <c r="A24" s="868"/>
      <c r="B24" s="971"/>
      <c r="D24" s="1166"/>
      <c r="E24" s="949"/>
      <c r="F24" s="1167"/>
      <c r="G24" s="868"/>
      <c r="H24" s="950"/>
      <c r="I24" s="1163"/>
      <c r="K24" s="1130"/>
      <c r="M24" s="1168"/>
      <c r="N24" s="1169"/>
      <c r="O24" s="1137"/>
    </row>
    <row r="25" spans="1:15" ht="16.5" thickTop="1" thickBot="1" x14ac:dyDescent="0.3">
      <c r="A25" s="966" t="s">
        <v>196</v>
      </c>
      <c r="B25" s="1170"/>
      <c r="C25" s="877"/>
      <c r="D25" s="1171"/>
      <c r="E25" s="1029"/>
      <c r="F25" s="949"/>
      <c r="G25" s="1130" t="s">
        <v>1734</v>
      </c>
      <c r="H25" s="950" t="s">
        <v>167</v>
      </c>
      <c r="I25" s="1163">
        <f>'1.1 Assumption Control YR1'!M25</f>
        <v>54923</v>
      </c>
      <c r="K25" s="1130" t="s">
        <v>198</v>
      </c>
      <c r="L25" s="950" t="s">
        <v>1733</v>
      </c>
      <c r="M25" s="1164">
        <f>'5.2 Budgeted Enrollment YR2'!I30</f>
        <v>54923</v>
      </c>
      <c r="N25" s="1165">
        <f>M25-'5.1 Assumption Control YR2'!I25</f>
        <v>0</v>
      </c>
      <c r="O25" s="1134">
        <f>(M25-'5.1 Assumption Control YR2'!I25)/'5.1 Assumption Control YR2'!I25</f>
        <v>0</v>
      </c>
    </row>
    <row r="26" spans="1:15" ht="16.5" thickTop="1" thickBot="1" x14ac:dyDescent="0.3">
      <c r="A26" s="1130" t="str">
        <f>CONCATENATE("Statewide Base Funding including Inflation for | FY",D4)</f>
        <v>Statewide Base Funding including Inflation for | FY</v>
      </c>
      <c r="B26" s="971"/>
      <c r="D26" s="1157">
        <f>D21</f>
        <v>9944.2376000000004</v>
      </c>
      <c r="E26" s="1167"/>
      <c r="F26" s="949"/>
      <c r="G26" s="868"/>
      <c r="H26" s="950"/>
      <c r="I26" s="1163"/>
      <c r="K26" s="1130"/>
      <c r="M26" s="1168"/>
      <c r="N26" s="1169"/>
      <c r="O26" s="1137"/>
    </row>
    <row r="27" spans="1:15" ht="16.5" thickTop="1" thickBot="1" x14ac:dyDescent="0.3">
      <c r="A27" s="1130" t="s">
        <v>199</v>
      </c>
      <c r="B27" s="971" t="s">
        <v>1735</v>
      </c>
      <c r="D27" s="1138">
        <f>'6.8 Alloc of Residual Rev. YR2'!H6</f>
        <v>-442</v>
      </c>
      <c r="E27" s="1172" t="s">
        <v>1736</v>
      </c>
      <c r="F27" s="949"/>
      <c r="G27" s="1130" t="s">
        <v>1737</v>
      </c>
      <c r="H27" s="950" t="s">
        <v>167</v>
      </c>
      <c r="I27" s="1163">
        <f>'1.1 Assumption Control YR1'!M27</f>
        <v>50074</v>
      </c>
      <c r="K27" s="1130" t="s">
        <v>203</v>
      </c>
      <c r="L27" s="950" t="s">
        <v>1733</v>
      </c>
      <c r="M27" s="1164">
        <f>'5.2 Budgeted Enrollment YR2'!J30</f>
        <v>50074</v>
      </c>
      <c r="N27" s="1165">
        <f>M27-'5.1 Assumption Control YR2'!I27</f>
        <v>0</v>
      </c>
      <c r="O27" s="1134">
        <f>(M27-'5.1 Assumption Control YR2'!I27)/'5.1 Assumption Control YR2'!I27</f>
        <v>0</v>
      </c>
    </row>
    <row r="28" spans="1:15" ht="16.5" thickTop="1" thickBot="1" x14ac:dyDescent="0.3">
      <c r="A28" s="1173" t="str">
        <f>CONCATENATE("Modified Statewide Base Funding for | FY",D4)</f>
        <v>Modified Statewide Base Funding for | FY</v>
      </c>
      <c r="B28" s="1174"/>
      <c r="C28" s="874"/>
      <c r="D28" s="1157">
        <f>ROUND(D26+D27,0)</f>
        <v>9502</v>
      </c>
      <c r="E28" s="1175">
        <f>(D28-D19)/D19</f>
        <v>9.1333899745114702E-3</v>
      </c>
      <c r="F28" s="949"/>
      <c r="G28" s="868"/>
      <c r="H28" s="950"/>
      <c r="I28" s="1163"/>
      <c r="K28" s="1130"/>
      <c r="M28" s="1168"/>
      <c r="N28" s="1169"/>
      <c r="O28" s="1137"/>
    </row>
    <row r="29" spans="1:15" ht="16.5" thickTop="1" thickBot="1" x14ac:dyDescent="0.3">
      <c r="B29" s="971"/>
      <c r="D29" s="1166"/>
      <c r="E29" s="949"/>
      <c r="F29" s="949"/>
      <c r="G29" s="1130" t="s">
        <v>1738</v>
      </c>
      <c r="H29" s="950" t="s">
        <v>167</v>
      </c>
      <c r="I29" s="1163">
        <f>'1.1 Assumption Control YR1'!M29</f>
        <v>8722</v>
      </c>
      <c r="K29" s="1130" t="s">
        <v>205</v>
      </c>
      <c r="L29" s="950" t="s">
        <v>1733</v>
      </c>
      <c r="M29" s="1164">
        <f>'5.2 Budgeted Enrollment YR2'!K30</f>
        <v>8722</v>
      </c>
      <c r="N29" s="1165">
        <f>M29-'5.1 Assumption Control YR2'!I29</f>
        <v>0</v>
      </c>
      <c r="O29" s="1134">
        <f>(M29-'5.1 Assumption Control YR2'!I29)/'5.1 Assumption Control YR2'!I29</f>
        <v>0</v>
      </c>
    </row>
    <row r="30" spans="1:15" ht="16.5" thickTop="1" thickBot="1" x14ac:dyDescent="0.3">
      <c r="A30" s="966" t="s">
        <v>206</v>
      </c>
      <c r="B30" s="1170"/>
      <c r="C30" s="877"/>
      <c r="D30" s="1171"/>
      <c r="E30" s="1029"/>
      <c r="F30" s="1167"/>
      <c r="G30" s="1130"/>
      <c r="H30" s="950"/>
      <c r="I30" s="1163"/>
      <c r="K30" s="1130"/>
      <c r="M30" s="1168"/>
      <c r="N30" s="1169"/>
      <c r="O30" s="1137"/>
    </row>
    <row r="31" spans="1:15" ht="16.5" thickTop="1" thickBot="1" x14ac:dyDescent="0.3">
      <c r="A31" s="1130" t="str">
        <f>CONCATENATE("Prior Year Enrollment | FY ",D5-1)</f>
        <v>Prior Year Enrollment | FY 2026</v>
      </c>
      <c r="B31" s="971"/>
      <c r="D31" s="1176">
        <f>I23</f>
        <v>463751.95591146237</v>
      </c>
      <c r="E31" s="1203">
        <f>ROUND(D31*D21,0)</f>
        <v>4611659637</v>
      </c>
      <c r="F31" s="1159"/>
      <c r="G31" s="1130" t="s">
        <v>1739</v>
      </c>
      <c r="H31" s="950" t="s">
        <v>167</v>
      </c>
      <c r="I31" s="1163">
        <f>'1.1 Assumption Control YR1'!M31</f>
        <v>8524.8310092063148</v>
      </c>
      <c r="K31" s="1130" t="s">
        <v>209</v>
      </c>
      <c r="L31" s="950" t="s">
        <v>1733</v>
      </c>
      <c r="M31" s="1164">
        <f>'5.2 Budgeted Enrollment YR2'!L30</f>
        <v>8524.8310092063148</v>
      </c>
      <c r="N31" s="1165">
        <f>M31-'5.1 Assumption Control YR2'!I31</f>
        <v>0</v>
      </c>
      <c r="O31" s="1134">
        <f>(M31-'5.1 Assumption Control YR2'!I31)/'5.1 Assumption Control YR2'!I31</f>
        <v>0</v>
      </c>
    </row>
    <row r="32" spans="1:15" ht="16.5" thickTop="1" thickBot="1" x14ac:dyDescent="0.3">
      <c r="A32" s="1130" t="str">
        <f>CONCATENATE("Projected Enrollment | FY ",D5)</f>
        <v>Projected Enrollment | FY 2027</v>
      </c>
      <c r="B32" s="971"/>
      <c r="D32" s="1176">
        <f>M23</f>
        <v>463751.95591146237</v>
      </c>
      <c r="E32" s="1203">
        <f>ROUND(D32*D21,0)</f>
        <v>4611659637</v>
      </c>
      <c r="F32" s="1974"/>
      <c r="G32" s="870"/>
      <c r="H32" s="874"/>
      <c r="I32" s="1177"/>
      <c r="K32" s="870"/>
      <c r="L32" s="1178"/>
      <c r="M32" s="1036"/>
      <c r="N32" s="1014"/>
      <c r="O32" s="1036"/>
    </row>
    <row r="33" spans="1:15" ht="16.5" thickTop="1" thickBot="1" x14ac:dyDescent="0.3">
      <c r="A33" s="1130" t="s">
        <v>1740</v>
      </c>
      <c r="B33" s="971"/>
      <c r="D33" s="1179"/>
      <c r="E33" s="1203">
        <f>ROUND(E32-E31,0)</f>
        <v>0</v>
      </c>
      <c r="F33" s="1159"/>
      <c r="G33" s="1130" t="s">
        <v>88</v>
      </c>
      <c r="H33" s="971" t="s">
        <v>167</v>
      </c>
      <c r="I33" s="971" t="s">
        <v>167</v>
      </c>
      <c r="M33" s="971" t="s">
        <v>167</v>
      </c>
      <c r="N33" s="971" t="s">
        <v>1705</v>
      </c>
      <c r="O33" s="1034"/>
    </row>
    <row r="34" spans="1:15" ht="16.5" thickTop="1" thickBot="1" x14ac:dyDescent="0.3">
      <c r="A34" s="1128" t="str">
        <f>CONCATENATE("Enrollment Change For | FY ",D5)</f>
        <v>Enrollment Change For | FY 2027</v>
      </c>
      <c r="B34" s="1026"/>
      <c r="C34" s="863"/>
      <c r="D34" s="1180"/>
      <c r="E34" s="1181">
        <f>D32-D31</f>
        <v>0</v>
      </c>
      <c r="F34" s="1167"/>
      <c r="G34" s="1128" t="str">
        <f>CONCATENATE("District Prior Year Inputs | FY",D5-1)</f>
        <v>District Prior Year Inputs | FY2026</v>
      </c>
      <c r="H34" s="1026" t="str">
        <f>CONCATENATE("NCEI | FY ",D5-1)</f>
        <v>NCEI | FY 2026</v>
      </c>
      <c r="I34" s="866" t="s">
        <v>212</v>
      </c>
      <c r="K34" s="866" t="str">
        <f>CONCATENATE("District Current Year Outputs | FY",D5)</f>
        <v>District Current Year Outputs | FY2027</v>
      </c>
      <c r="L34" s="866"/>
      <c r="M34" s="1026" t="str">
        <f>CONCATENATE("NCEI | FY ",D5)</f>
        <v>NCEI | FY 2027</v>
      </c>
      <c r="N34" s="866" t="s">
        <v>212</v>
      </c>
      <c r="O34" s="1093"/>
    </row>
    <row r="35" spans="1:15" ht="16.5" thickTop="1" thickBot="1" x14ac:dyDescent="0.3">
      <c r="A35" s="1010" t="str">
        <f>CONCATENATE("Enrollment Growth % For | FY ",D5)</f>
        <v>Enrollment Growth % For | FY 2027</v>
      </c>
      <c r="B35" s="1161"/>
      <c r="C35" s="879"/>
      <c r="D35" s="1162"/>
      <c r="E35" s="1204">
        <f>E33/E31</f>
        <v>0</v>
      </c>
      <c r="F35" s="1182"/>
      <c r="G35" s="1130" t="str">
        <f>'2.5 NCEI Adj. YR1'!B7</f>
        <v>Carson City</v>
      </c>
      <c r="H35" s="1183">
        <f>'1.1 Assumption Control YR1'!M35</f>
        <v>1</v>
      </c>
      <c r="I35" s="1184" t="str">
        <f>'1.1 Assumption Control YR1'!N35</f>
        <v>PCFP</v>
      </c>
      <c r="K35" s="950" t="str">
        <f>'3.1b Allocation Adj. YR1 '!B11</f>
        <v>Carson City</v>
      </c>
      <c r="L35" s="971"/>
      <c r="M35" s="1183">
        <f>'1.1 Assumption Control YR1'!M35</f>
        <v>1</v>
      </c>
      <c r="N35" s="1185" t="str">
        <f>'7.1b Allocation Adj. YR2'!E11</f>
        <v>PCFP</v>
      </c>
      <c r="O35" s="1034"/>
    </row>
    <row r="36" spans="1:15" ht="16.5" thickTop="1" thickBot="1" x14ac:dyDescent="0.3">
      <c r="B36" s="971"/>
      <c r="D36" s="1166"/>
      <c r="E36" s="949"/>
      <c r="F36" s="949"/>
      <c r="G36" s="1130" t="str">
        <f>'2.5 NCEI Adj. YR1'!B8</f>
        <v>Churchill</v>
      </c>
      <c r="H36" s="1183">
        <f>'1.1 Assumption Control YR1'!M36</f>
        <v>1</v>
      </c>
      <c r="I36" s="1184" t="str">
        <f>'1.1 Assumption Control YR1'!N36</f>
        <v>PCFP</v>
      </c>
      <c r="K36" s="950" t="str">
        <f>'3.1b Allocation Adj. YR1 '!B12</f>
        <v>Churchill</v>
      </c>
      <c r="L36" s="971"/>
      <c r="M36" s="1183">
        <f>'1.1 Assumption Control YR1'!M36</f>
        <v>1</v>
      </c>
      <c r="N36" s="1185" t="str">
        <f>'7.1b Allocation Adj. YR2'!E12</f>
        <v>PCFP</v>
      </c>
      <c r="O36" s="1034"/>
    </row>
    <row r="37" spans="1:15" ht="16.5" thickTop="1" thickBot="1" x14ac:dyDescent="0.3">
      <c r="B37" s="971"/>
      <c r="D37" s="1166"/>
      <c r="E37" s="949"/>
      <c r="F37" s="949"/>
      <c r="G37" s="1130" t="str">
        <f>'2.5 NCEI Adj. YR1'!B9</f>
        <v>Clark</v>
      </c>
      <c r="H37" s="1183">
        <f>'1.1 Assumption Control YR1'!M37</f>
        <v>1</v>
      </c>
      <c r="I37" s="1184" t="str">
        <f>'1.1 Assumption Control YR1'!N37</f>
        <v>PCFP</v>
      </c>
      <c r="K37" s="950" t="str">
        <f>'3.1b Allocation Adj. YR1 '!B13</f>
        <v>Clark</v>
      </c>
      <c r="L37" s="971"/>
      <c r="M37" s="1183">
        <f>'1.1 Assumption Control YR1'!M37</f>
        <v>1</v>
      </c>
      <c r="N37" s="1185" t="str">
        <f>'7.1b Allocation Adj. YR2'!E13</f>
        <v>PCFP</v>
      </c>
      <c r="O37" s="1034"/>
    </row>
    <row r="38" spans="1:15" ht="16.5" thickTop="1" thickBot="1" x14ac:dyDescent="0.3">
      <c r="A38" s="966" t="s">
        <v>214</v>
      </c>
      <c r="B38" s="1170" t="s">
        <v>83</v>
      </c>
      <c r="C38" s="877"/>
      <c r="D38" s="1127" t="s">
        <v>215</v>
      </c>
      <c r="E38" s="1154" t="s">
        <v>216</v>
      </c>
      <c r="F38" s="1186" t="s">
        <v>2282</v>
      </c>
      <c r="G38" s="1130" t="str">
        <f>'2.5 NCEI Adj. YR1'!B10</f>
        <v>Douglas</v>
      </c>
      <c r="H38" s="1183">
        <f>'1.1 Assumption Control YR1'!M38</f>
        <v>1</v>
      </c>
      <c r="I38" s="1184" t="str">
        <f>'1.1 Assumption Control YR1'!N38</f>
        <v>PCFP</v>
      </c>
      <c r="K38" s="950" t="str">
        <f>'3.1b Allocation Adj. YR1 '!B14</f>
        <v>Douglas</v>
      </c>
      <c r="L38" s="971"/>
      <c r="M38" s="1183">
        <f>'1.1 Assumption Control YR1'!M38</f>
        <v>1</v>
      </c>
      <c r="N38" s="1185" t="str">
        <f>'7.1b Allocation Adj. YR2'!E14</f>
        <v>PCFP</v>
      </c>
      <c r="O38" s="1034"/>
    </row>
    <row r="39" spans="1:15" ht="16.5" thickTop="1" thickBot="1" x14ac:dyDescent="0.3">
      <c r="A39" s="1130" t="s">
        <v>217</v>
      </c>
      <c r="B39" s="971"/>
      <c r="D39" s="1187">
        <f>'1.1 Assumption Control YR1'!D39</f>
        <v>0.45</v>
      </c>
      <c r="E39" s="1188">
        <f>D28*D39</f>
        <v>4275.9000000000005</v>
      </c>
      <c r="F39" s="1189">
        <v>4236</v>
      </c>
      <c r="G39" s="1130" t="str">
        <f>'2.5 NCEI Adj. YR1'!B11</f>
        <v>Elko</v>
      </c>
      <c r="H39" s="1183">
        <f>'1.1 Assumption Control YR1'!M39</f>
        <v>1</v>
      </c>
      <c r="I39" s="1184" t="str">
        <f>'1.1 Assumption Control YR1'!N39</f>
        <v>PCFP</v>
      </c>
      <c r="K39" s="950" t="str">
        <f>'3.1b Allocation Adj. YR1 '!B15</f>
        <v>Elko</v>
      </c>
      <c r="L39" s="971"/>
      <c r="M39" s="1183">
        <f>'1.1 Assumption Control YR1'!M39</f>
        <v>1</v>
      </c>
      <c r="N39" s="1185" t="str">
        <f>'7.1b Allocation Adj. YR2'!E15</f>
        <v>PCFP</v>
      </c>
      <c r="O39" s="1034"/>
    </row>
    <row r="40" spans="1:15" ht="16.5" thickTop="1" thickBot="1" x14ac:dyDescent="0.3">
      <c r="A40" s="1130" t="s">
        <v>218</v>
      </c>
      <c r="B40" s="971"/>
      <c r="D40" s="1187">
        <f>'1.1 Assumption Control YR1'!D40</f>
        <v>0.35</v>
      </c>
      <c r="E40" s="1190">
        <f>D28*D40</f>
        <v>3325.7</v>
      </c>
      <c r="F40" s="1191">
        <v>3294</v>
      </c>
      <c r="G40" s="1130" t="str">
        <f>'2.5 NCEI Adj. YR1'!B12</f>
        <v>Esmeralda</v>
      </c>
      <c r="H40" s="1183">
        <f>'1.1 Assumption Control YR1'!M40</f>
        <v>1</v>
      </c>
      <c r="I40" s="1184" t="str">
        <f>'1.1 Assumption Control YR1'!N40</f>
        <v>FY 2020 Baseline</v>
      </c>
      <c r="K40" s="950" t="str">
        <f>'3.1b Allocation Adj. YR1 '!B16</f>
        <v>Esmeralda</v>
      </c>
      <c r="L40" s="971"/>
      <c r="M40" s="1183">
        <f>'1.1 Assumption Control YR1'!M40</f>
        <v>1</v>
      </c>
      <c r="N40" s="1185" t="str">
        <f>'7.1b Allocation Adj. YR2'!E16</f>
        <v>FY 2020 Baseline</v>
      </c>
      <c r="O40" s="1034"/>
    </row>
    <row r="41" spans="1:15" ht="16.5" thickTop="1" thickBot="1" x14ac:dyDescent="0.3">
      <c r="A41" s="1130" t="s">
        <v>220</v>
      </c>
      <c r="B41" s="971"/>
      <c r="D41" s="1187">
        <f>'1.1 Assumption Control YR1'!D41</f>
        <v>0.12</v>
      </c>
      <c r="E41" s="1190">
        <f>D41*D28</f>
        <v>1140.24</v>
      </c>
      <c r="F41" s="1191">
        <v>1129</v>
      </c>
      <c r="G41" s="1130" t="str">
        <f>'2.5 NCEI Adj. YR1'!B13</f>
        <v>Eureka</v>
      </c>
      <c r="H41" s="1183">
        <f>'1.1 Assumption Control YR1'!M41</f>
        <v>1</v>
      </c>
      <c r="I41" s="1184" t="str">
        <f>'1.1 Assumption Control YR1'!N41</f>
        <v>FY 2020 Baseline</v>
      </c>
      <c r="K41" s="950" t="str">
        <f>'3.1b Allocation Adj. YR1 '!B17</f>
        <v>Eureka</v>
      </c>
      <c r="L41" s="971"/>
      <c r="M41" s="1183">
        <f>'1.1 Assumption Control YR1'!M41</f>
        <v>1</v>
      </c>
      <c r="N41" s="1185" t="str">
        <f>'7.1b Allocation Adj. YR2'!E17</f>
        <v>FY 2020 Baseline</v>
      </c>
      <c r="O41" s="1034"/>
    </row>
    <row r="42" spans="1:15" ht="16.5" thickTop="1" thickBot="1" x14ac:dyDescent="0.3">
      <c r="A42" s="870"/>
      <c r="B42" s="1174"/>
      <c r="C42" s="874"/>
      <c r="D42" s="874"/>
      <c r="E42" s="1014"/>
      <c r="F42" s="1159"/>
      <c r="G42" s="1130" t="str">
        <f>'2.5 NCEI Adj. YR1'!B14</f>
        <v>Humboldt</v>
      </c>
      <c r="H42" s="1183">
        <f>'1.1 Assumption Control YR1'!M42</f>
        <v>1</v>
      </c>
      <c r="I42" s="1184" t="str">
        <f>'1.1 Assumption Control YR1'!N42</f>
        <v>PCFP</v>
      </c>
      <c r="K42" s="950" t="str">
        <f>'3.1b Allocation Adj. YR1 '!B18</f>
        <v>Humboldt</v>
      </c>
      <c r="L42" s="971"/>
      <c r="M42" s="1183">
        <f>'1.1 Assumption Control YR1'!M42</f>
        <v>1</v>
      </c>
      <c r="N42" s="1185" t="str">
        <f>'7.1b Allocation Adj. YR2'!E18</f>
        <v>PCFP</v>
      </c>
      <c r="O42" s="1034"/>
    </row>
    <row r="43" spans="1:15" ht="16.5" thickTop="1" thickBot="1" x14ac:dyDescent="0.3">
      <c r="G43" s="1130" t="str">
        <f>'2.5 NCEI Adj. YR1'!B15</f>
        <v>Lander</v>
      </c>
      <c r="H43" s="1183">
        <f>'1.1 Assumption Control YR1'!M43</f>
        <v>1</v>
      </c>
      <c r="I43" s="1184" t="str">
        <f>'1.1 Assumption Control YR1'!N43</f>
        <v>PCFP</v>
      </c>
      <c r="K43" s="950" t="str">
        <f>'3.1b Allocation Adj. YR1 '!B19</f>
        <v>Lander</v>
      </c>
      <c r="L43" s="971"/>
      <c r="M43" s="1183">
        <f>'1.1 Assumption Control YR1'!M43</f>
        <v>1</v>
      </c>
      <c r="N43" s="1185" t="str">
        <f>'7.1b Allocation Adj. YR2'!E19</f>
        <v>PCFP</v>
      </c>
      <c r="O43" s="1034"/>
    </row>
    <row r="44" spans="1:15" ht="16.5" thickTop="1" thickBot="1" x14ac:dyDescent="0.3">
      <c r="F44" s="1034"/>
      <c r="G44" s="1130" t="str">
        <f>'2.5 NCEI Adj. YR1'!B16</f>
        <v>Lincoln</v>
      </c>
      <c r="H44" s="1183">
        <f>'1.1 Assumption Control YR1'!M44</f>
        <v>1</v>
      </c>
      <c r="I44" s="1184" t="str">
        <f>'1.1 Assumption Control YR1'!N44</f>
        <v>PCFP</v>
      </c>
      <c r="K44" s="950" t="str">
        <f>'3.1b Allocation Adj. YR1 '!B20</f>
        <v>Lincoln</v>
      </c>
      <c r="L44" s="971"/>
      <c r="M44" s="1183">
        <f>'1.1 Assumption Control YR1'!M44</f>
        <v>1</v>
      </c>
      <c r="N44" s="1185" t="str">
        <f>'7.1b Allocation Adj. YR2'!E20</f>
        <v>PCFP</v>
      </c>
      <c r="O44" s="1034"/>
    </row>
    <row r="45" spans="1:15" ht="16.5" thickTop="1" thickBot="1" x14ac:dyDescent="0.3">
      <c r="A45" s="863" t="s">
        <v>221</v>
      </c>
      <c r="B45" s="971"/>
      <c r="D45" s="1166"/>
      <c r="E45" s="1192" t="str">
        <f>'4.0 PCFP Allocation Summary'!N26</f>
        <v>Model is Out of Balance</v>
      </c>
      <c r="F45" s="933"/>
      <c r="G45" s="1130" t="str">
        <f>'2.5 NCEI Adj. YR1'!B17</f>
        <v>Lyon</v>
      </c>
      <c r="H45" s="1183">
        <f>'1.1 Assumption Control YR1'!M45</f>
        <v>1</v>
      </c>
      <c r="I45" s="1184" t="str">
        <f>'1.1 Assumption Control YR1'!N45</f>
        <v>PCFP</v>
      </c>
      <c r="K45" s="950" t="str">
        <f>'3.1b Allocation Adj. YR1 '!B21</f>
        <v>Lyon</v>
      </c>
      <c r="L45" s="971"/>
      <c r="M45" s="1183">
        <f>'1.1 Assumption Control YR1'!M45</f>
        <v>1</v>
      </c>
      <c r="N45" s="1185" t="str">
        <f>'7.1b Allocation Adj. YR2'!E21</f>
        <v>PCFP</v>
      </c>
      <c r="O45" s="1034"/>
    </row>
    <row r="46" spans="1:15" ht="16.5" thickTop="1" thickBot="1" x14ac:dyDescent="0.3">
      <c r="A46" s="866" t="str">
        <f>CONCATENATE("Projected Revenue | FY",$D$5)</f>
        <v>Projected Revenue | FY2027</v>
      </c>
      <c r="B46" s="1026"/>
      <c r="C46" s="863"/>
      <c r="D46" s="1193"/>
      <c r="E46" s="1157">
        <f>E10</f>
        <v>5761084316</v>
      </c>
      <c r="G46" s="1130" t="str">
        <f>'2.5 NCEI Adj. YR1'!B18</f>
        <v>Mineral</v>
      </c>
      <c r="H46" s="1183">
        <f>'1.1 Assumption Control YR1'!M46</f>
        <v>1</v>
      </c>
      <c r="I46" s="1184" t="str">
        <f>'1.1 Assumption Control YR1'!N46</f>
        <v>PCFP</v>
      </c>
      <c r="K46" s="950" t="str">
        <f>'3.1b Allocation Adj. YR1 '!B22</f>
        <v>Mineral</v>
      </c>
      <c r="L46" s="971"/>
      <c r="M46" s="1183">
        <f>'1.1 Assumption Control YR1'!M46</f>
        <v>1</v>
      </c>
      <c r="N46" s="1185" t="str">
        <f>'7.1b Allocation Adj. YR2'!E22</f>
        <v>PCFP</v>
      </c>
      <c r="O46" s="1034"/>
    </row>
    <row r="47" spans="1:15" ht="16.5" thickTop="1" thickBot="1" x14ac:dyDescent="0.3">
      <c r="E47" s="1194"/>
      <c r="G47" s="1130" t="str">
        <f>'2.5 NCEI Adj. YR1'!B19</f>
        <v>Nye</v>
      </c>
      <c r="H47" s="1183">
        <f>'1.1 Assumption Control YR1'!M47</f>
        <v>1</v>
      </c>
      <c r="I47" s="1184" t="str">
        <f>'1.1 Assumption Control YR1'!N47</f>
        <v>PCFP</v>
      </c>
      <c r="K47" s="950" t="str">
        <f>'3.1b Allocation Adj. YR1 '!B23</f>
        <v>Nye</v>
      </c>
      <c r="L47" s="971"/>
      <c r="M47" s="1183">
        <f>'1.1 Assumption Control YR1'!M47</f>
        <v>1</v>
      </c>
      <c r="N47" s="1185" t="str">
        <f>'7.1b Allocation Adj. YR2'!E23</f>
        <v>PCFP</v>
      </c>
      <c r="O47" s="1034"/>
    </row>
    <row r="48" spans="1:15" ht="16.5" thickTop="1" thickBot="1" x14ac:dyDescent="0.3">
      <c r="A48" s="1195" t="s">
        <v>2319</v>
      </c>
      <c r="D48" s="950" t="s">
        <v>1741</v>
      </c>
      <c r="E48" s="2322">
        <f>'7.1a Initial Allocations YR2'!W39</f>
        <v>4975888962</v>
      </c>
      <c r="G48" s="1130" t="str">
        <f>'2.5 NCEI Adj. YR1'!B20</f>
        <v>Pershing</v>
      </c>
      <c r="H48" s="1183">
        <f>'1.1 Assumption Control YR1'!M48</f>
        <v>1</v>
      </c>
      <c r="I48" s="1184" t="str">
        <f>'1.1 Assumption Control YR1'!N48</f>
        <v>PCFP</v>
      </c>
      <c r="K48" s="950" t="str">
        <f>'3.1b Allocation Adj. YR1 '!B24</f>
        <v>Pershing</v>
      </c>
      <c r="L48" s="971"/>
      <c r="M48" s="1183">
        <f>'1.1 Assumption Control YR1'!M48</f>
        <v>1</v>
      </c>
      <c r="N48" s="1185" t="str">
        <f>'7.1b Allocation Adj. YR2'!E24</f>
        <v>PCFP</v>
      </c>
      <c r="O48" s="1034"/>
    </row>
    <row r="49" spans="1:15" ht="16.5" thickTop="1" thickBot="1" x14ac:dyDescent="0.3">
      <c r="A49" s="1195" t="s">
        <v>2320</v>
      </c>
      <c r="D49" s="950" t="s">
        <v>1705</v>
      </c>
      <c r="E49" s="1138">
        <f>'7.1b Allocation Adj. YR2'!F32+'7.1b Allocation Adj. YR2'!L32</f>
        <v>4967642193</v>
      </c>
      <c r="F49" s="949"/>
      <c r="G49" s="1130" t="str">
        <f>'2.5 NCEI Adj. YR1'!B21</f>
        <v>Storey</v>
      </c>
      <c r="H49" s="1183">
        <f>'1.1 Assumption Control YR1'!M49</f>
        <v>1</v>
      </c>
      <c r="I49" s="1184" t="str">
        <f>'1.1 Assumption Control YR1'!N49</f>
        <v>FY 2020 Baseline</v>
      </c>
      <c r="K49" s="950" t="str">
        <f>'3.1b Allocation Adj. YR1 '!B25</f>
        <v>Storey</v>
      </c>
      <c r="L49" s="971"/>
      <c r="M49" s="1183">
        <f>'1.1 Assumption Control YR1'!M49</f>
        <v>1</v>
      </c>
      <c r="N49" s="1185" t="str">
        <f>'7.1b Allocation Adj. YR2'!E25</f>
        <v>FY 2020 Baseline</v>
      </c>
      <c r="O49" s="1034"/>
    </row>
    <row r="50" spans="1:15" ht="16.5" thickTop="1" thickBot="1" x14ac:dyDescent="0.3">
      <c r="A50" s="1195" t="s">
        <v>223</v>
      </c>
      <c r="D50" s="950"/>
      <c r="E50" s="1196">
        <f>E49-E48</f>
        <v>-8246769</v>
      </c>
      <c r="F50" s="949"/>
      <c r="G50" s="1130" t="str">
        <f>'2.5 NCEI Adj. YR1'!B22</f>
        <v>Washoe</v>
      </c>
      <c r="H50" s="1183">
        <f>'1.1 Assumption Control YR1'!M50</f>
        <v>1</v>
      </c>
      <c r="I50" s="1184" t="str">
        <f>'1.1 Assumption Control YR1'!N50</f>
        <v>PCFP</v>
      </c>
      <c r="K50" s="950" t="str">
        <f>'3.1b Allocation Adj. YR1 '!B26</f>
        <v>Washoe</v>
      </c>
      <c r="L50" s="971"/>
      <c r="M50" s="1183">
        <f>'1.1 Assumption Control YR1'!M50</f>
        <v>1</v>
      </c>
      <c r="N50" s="1185" t="str">
        <f>'7.1b Allocation Adj. YR2'!E26</f>
        <v>PCFP</v>
      </c>
      <c r="O50" s="1034"/>
    </row>
    <row r="51" spans="1:15" ht="16.5" thickTop="1" thickBot="1" x14ac:dyDescent="0.3">
      <c r="A51" s="1195" t="s">
        <v>224</v>
      </c>
      <c r="B51" s="971"/>
      <c r="D51" s="950"/>
      <c r="E51" s="1140">
        <f>E50/E48</f>
        <v>-1.6573458658300341E-3</v>
      </c>
      <c r="F51" s="949"/>
      <c r="G51" s="1130" t="str">
        <f>'2.5 NCEI Adj. YR1'!B23</f>
        <v>White Pine</v>
      </c>
      <c r="H51" s="1183">
        <f>'1.1 Assumption Control YR1'!M51</f>
        <v>1</v>
      </c>
      <c r="I51" s="1184" t="str">
        <f>'1.1 Assumption Control YR1'!N51</f>
        <v>PCFP</v>
      </c>
      <c r="K51" s="950" t="str">
        <f>'3.1b Allocation Adj. YR1 '!B27</f>
        <v>White Pine</v>
      </c>
      <c r="L51" s="971"/>
      <c r="M51" s="1183">
        <f>'1.1 Assumption Control YR1'!M51</f>
        <v>1</v>
      </c>
      <c r="N51" s="1185" t="str">
        <f>'7.1b Allocation Adj. YR2'!E27</f>
        <v>PCFP</v>
      </c>
      <c r="O51" s="1034"/>
    </row>
    <row r="52" spans="1:15" ht="16.5" thickTop="1" thickBot="1" x14ac:dyDescent="0.3">
      <c r="A52" s="1195"/>
      <c r="B52" s="971"/>
      <c r="D52" s="950"/>
      <c r="E52" s="1166"/>
      <c r="F52" s="949"/>
      <c r="G52" s="1130" t="str">
        <f>'2.5 NCEI Adj. YR1'!B24</f>
        <v>Charter Schools</v>
      </c>
      <c r="H52" s="1197"/>
      <c r="I52" s="1184" t="str">
        <f>'1.1 Assumption Control YR1'!N52</f>
        <v>PCFP</v>
      </c>
      <c r="K52" s="950" t="str">
        <f>'3.1b Allocation Adj. YR1 '!B28</f>
        <v>Charter Schools</v>
      </c>
      <c r="L52" s="971"/>
      <c r="M52" s="1197"/>
      <c r="N52" s="1185" t="str">
        <f>'7.1b Allocation Adj. YR2'!E28</f>
        <v>PCFP</v>
      </c>
      <c r="O52" s="1034"/>
    </row>
    <row r="53" spans="1:15" ht="16.5" thickTop="1" thickBot="1" x14ac:dyDescent="0.3">
      <c r="A53" s="1195" t="str">
        <f>CONCATENATE("Statewide Base Per Pupil Funding (Prior to Reduction) | FY ",D5)</f>
        <v>Statewide Base Per Pupil Funding (Prior to Reduction) | FY 2027</v>
      </c>
      <c r="B53" s="971"/>
      <c r="D53" s="950" t="s">
        <v>1742</v>
      </c>
      <c r="E53" s="1138">
        <f>'6.3 Statewide Base Funding YR2'!C8</f>
        <v>9502</v>
      </c>
      <c r="F53" s="949"/>
      <c r="G53" s="1130" t="str">
        <f>'2.5 NCEI Adj. YR1'!B25</f>
        <v>University Schools</v>
      </c>
      <c r="H53" s="1197"/>
      <c r="I53" s="1184" t="str">
        <f>'1.1 Assumption Control YR1'!N53</f>
        <v>PCFP</v>
      </c>
      <c r="K53" s="950" t="str">
        <f>'3.1b Allocation Adj. YR1 '!B29</f>
        <v>University Schools</v>
      </c>
      <c r="L53" s="971"/>
      <c r="M53" s="1197"/>
      <c r="N53" s="1185" t="str">
        <f>'7.1b Allocation Adj. YR2'!E29</f>
        <v>PCFP</v>
      </c>
      <c r="O53" s="1034"/>
    </row>
    <row r="54" spans="1:15" ht="16.5" thickTop="1" thickBot="1" x14ac:dyDescent="0.3">
      <c r="A54" s="1195" t="str">
        <f>CONCATENATE("Statewide Base Per Pupil Funding (After Reduction) | FY ",D5)</f>
        <v>Statewide Base Per Pupil Funding (After Reduction) | FY 2027</v>
      </c>
      <c r="B54" s="971"/>
      <c r="D54" s="950"/>
      <c r="E54" s="1198">
        <f>ROUND(E53*(1+E51),0)</f>
        <v>9486</v>
      </c>
      <c r="F54" s="949"/>
      <c r="G54" s="1130" t="str">
        <f>'2.5 NCEI Adj. YR1'!B26</f>
        <v>City of Henderson</v>
      </c>
      <c r="H54" s="1197"/>
      <c r="I54" s="1184" t="str">
        <f>'1.1 Assumption Control YR1'!N54</f>
        <v>PCFP</v>
      </c>
      <c r="K54" s="950" t="str">
        <f>'3.1b Allocation Adj. YR1 '!B30</f>
        <v>City of Henderson</v>
      </c>
      <c r="L54" s="971"/>
      <c r="M54" s="1197"/>
      <c r="N54" s="1185">
        <f>'7.1b Allocation Adj. YR2'!E32</f>
        <v>0</v>
      </c>
      <c r="O54" s="1034"/>
    </row>
    <row r="55" spans="1:15" ht="16.5" thickTop="1" thickBot="1" x14ac:dyDescent="0.3">
      <c r="A55" s="1195"/>
      <c r="B55" s="971"/>
      <c r="D55" s="950"/>
      <c r="E55" s="933"/>
      <c r="F55" s="949"/>
      <c r="G55" s="1130" t="str">
        <f>'2.5 NCEI Adj. YR1'!B27</f>
        <v>City of North Las Vegas</v>
      </c>
      <c r="H55" s="1197"/>
      <c r="I55" s="1184" t="str">
        <f>'1.1 Assumption Control YR1'!N55</f>
        <v>PCFP</v>
      </c>
      <c r="K55" s="950" t="str">
        <f>'3.1b Allocation Adj. YR1 '!B31</f>
        <v>City of North Las Vegas</v>
      </c>
      <c r="L55" s="971"/>
      <c r="M55" s="1197"/>
      <c r="N55" s="1185">
        <f>'7.1b Allocation Adj. YR2'!E33</f>
        <v>0</v>
      </c>
      <c r="O55" s="1034"/>
    </row>
    <row r="56" spans="1:15" ht="16.5" thickTop="1" thickBot="1" x14ac:dyDescent="0.3">
      <c r="A56" s="1195" t="str">
        <f>CONCATENATE("State English Learner Funding FY (Prior to Red) | FY ",D5)</f>
        <v>State English Learner Funding FY (Prior to Red) | FY 2027</v>
      </c>
      <c r="B56" s="971"/>
      <c r="D56" s="950" t="s">
        <v>1741</v>
      </c>
      <c r="E56" s="1138">
        <f>'7.1a Initial Allocations YR2'!G33</f>
        <v>234818305</v>
      </c>
      <c r="F56" s="949"/>
      <c r="G56" s="1130"/>
      <c r="H56" s="950"/>
      <c r="I56" s="971"/>
      <c r="K56" s="950"/>
      <c r="L56" s="971"/>
      <c r="M56" s="971"/>
      <c r="N56" s="1199"/>
      <c r="O56" s="1034"/>
    </row>
    <row r="57" spans="1:15" ht="16.5" thickTop="1" thickBot="1" x14ac:dyDescent="0.3">
      <c r="A57" s="1195" t="str">
        <f>CONCATENATE("State English Learner Funding (After Red) | FY ",D5)</f>
        <v>State English Learner Funding (After Red) | FY 2027</v>
      </c>
      <c r="B57" s="971"/>
      <c r="D57" s="950" t="s">
        <v>1705</v>
      </c>
      <c r="E57" s="1138">
        <f>'7.1b Allocation Adj. YR2'!I32</f>
        <v>234429130</v>
      </c>
      <c r="F57" s="949"/>
      <c r="G57" s="1128" t="str">
        <f>CONCATENATE("PCFP Funding Status Determinations | FY ",D5-1)</f>
        <v>PCFP Funding Status Determinations | FY 2026</v>
      </c>
      <c r="H57" s="866"/>
      <c r="I57" s="1026" t="s">
        <v>231</v>
      </c>
      <c r="K57" s="866" t="str">
        <f>CONCATENATE("PCFP Funding Status Determinations | FY ",D5)</f>
        <v>PCFP Funding Status Determinations | FY 2027</v>
      </c>
      <c r="L57" s="997"/>
      <c r="M57" s="997"/>
      <c r="N57" s="1026" t="s">
        <v>231</v>
      </c>
      <c r="O57" s="1034"/>
    </row>
    <row r="58" spans="1:15" ht="16.5" thickTop="1" thickBot="1" x14ac:dyDescent="0.3">
      <c r="A58" s="1195"/>
      <c r="B58" s="971"/>
      <c r="D58" s="950"/>
      <c r="E58" s="933"/>
      <c r="F58" s="949"/>
      <c r="G58" s="1130" t="s">
        <v>232</v>
      </c>
      <c r="H58" s="950"/>
      <c r="I58" s="1200">
        <f>COUNTIF(I35:I53,"PCFP")</f>
        <v>16</v>
      </c>
      <c r="K58" s="950" t="s">
        <v>232</v>
      </c>
      <c r="L58" s="864"/>
      <c r="N58" s="1200">
        <f>COUNTIF(N35:N53,"PCFP")</f>
        <v>16</v>
      </c>
      <c r="O58" s="1014"/>
    </row>
    <row r="59" spans="1:15" ht="16.5" thickTop="1" thickBot="1" x14ac:dyDescent="0.3">
      <c r="A59" s="1195" t="str">
        <f>CONCATENATE("State At-Risk Student Funding  (Prior to Red) | FY ",D5)</f>
        <v>State At-Risk Student Funding  (Prior to Red) | FY 2027</v>
      </c>
      <c r="B59" s="971"/>
      <c r="D59" s="950" t="s">
        <v>1741</v>
      </c>
      <c r="E59" s="1138">
        <f>'7.1a Initial Allocations YR2'!H33</f>
        <v>166517923</v>
      </c>
      <c r="F59" s="949"/>
      <c r="G59" s="1130" t="s">
        <v>233</v>
      </c>
      <c r="H59" s="950"/>
      <c r="I59" s="1200">
        <f>COUNTIF(I35:I53,"FY 2020 Baseline")</f>
        <v>3</v>
      </c>
      <c r="K59" s="950" t="s">
        <v>233</v>
      </c>
      <c r="L59" s="864"/>
      <c r="N59" s="1200">
        <f>COUNTIF(N35:N53,"FY 2020 Baseline")</f>
        <v>3</v>
      </c>
    </row>
    <row r="60" spans="1:15" ht="16.5" thickTop="1" thickBot="1" x14ac:dyDescent="0.3">
      <c r="A60" s="1195" t="str">
        <f>CONCATENATE("State At-Risk Student Funding (After Red) | FY ",D5)</f>
        <v>State At-Risk Student Funding (After Red) | FY 2027</v>
      </c>
      <c r="B60" s="971"/>
      <c r="D60" s="950" t="s">
        <v>1705</v>
      </c>
      <c r="E60" s="1138">
        <f>'7.1b Allocation Adj. YR2'!J32</f>
        <v>166241943</v>
      </c>
      <c r="F60" s="949"/>
      <c r="G60" s="870"/>
      <c r="H60" s="874"/>
      <c r="I60" s="874"/>
      <c r="J60" s="874"/>
      <c r="K60" s="874"/>
      <c r="L60" s="1178"/>
      <c r="M60" s="874"/>
      <c r="N60" s="874"/>
    </row>
    <row r="61" spans="1:15" ht="16.5" thickTop="1" thickBot="1" x14ac:dyDescent="0.3">
      <c r="A61" s="1195"/>
      <c r="B61" s="971"/>
      <c r="D61" s="950"/>
      <c r="E61" s="933"/>
      <c r="F61" s="949"/>
    </row>
    <row r="62" spans="1:15" ht="16.5" thickTop="1" thickBot="1" x14ac:dyDescent="0.3">
      <c r="A62" s="1195" t="str">
        <f>CONCATENATE("State Gifted and Talented Funding (Prior to Red) | FY ",D5)</f>
        <v>State Gifted and Talented Funding (Prior to Red) | FY 2027</v>
      </c>
      <c r="B62" s="971"/>
      <c r="D62" s="950" t="s">
        <v>1741</v>
      </c>
      <c r="E62" s="1138">
        <f>'7.1a Initial Allocations YR2'!I33</f>
        <v>9945172</v>
      </c>
      <c r="F62" s="949"/>
    </row>
    <row r="63" spans="1:15" ht="16.5" thickTop="1" thickBot="1" x14ac:dyDescent="0.3">
      <c r="A63" s="1195" t="str">
        <f>CONCATENATE("State Gifted and Talented Funding (After Red) | FY ",D5)</f>
        <v>State Gifted and Talented Funding (After Red) | FY 2027</v>
      </c>
      <c r="B63" s="971"/>
      <c r="D63" s="950" t="s">
        <v>1705</v>
      </c>
      <c r="E63" s="1138">
        <f>'7.1b Allocation Adj. YR2'!K32</f>
        <v>9928690</v>
      </c>
      <c r="F63" s="949"/>
    </row>
    <row r="64" spans="1:15" ht="15.75" thickTop="1" x14ac:dyDescent="0.25">
      <c r="B64" s="971"/>
      <c r="F64" s="949"/>
    </row>
    <row r="65" spans="1:6" x14ac:dyDescent="0.25">
      <c r="B65" s="971"/>
      <c r="F65" s="949"/>
    </row>
    <row r="66" spans="1:6" x14ac:dyDescent="0.25">
      <c r="B66" s="971"/>
    </row>
    <row r="68" spans="1:6" x14ac:dyDescent="0.25">
      <c r="A68" s="863" t="s">
        <v>234</v>
      </c>
    </row>
    <row r="69" spans="1:6" x14ac:dyDescent="0.25">
      <c r="A69" s="863" t="str">
        <f>'1.1 Assumption Control YR1'!A69</f>
        <v>[1] The initial SWB/P funding amount is from the (FY 25 PCFP) final statewide base per pupil amount after the reduction adjustment was applied.</v>
      </c>
      <c r="B69" s="971"/>
    </row>
    <row r="70" spans="1:6" x14ac:dyDescent="0.25">
      <c r="A70" s="863" t="str">
        <f>'1.1 Assumption Control YR1'!A70</f>
        <v>[2] In accordance with Section 2, subsection 6 of AB523 passed during the 82nd Legislative session:  Rate of Inflation: “rate of inflation” means the average percentage of increase or decrease in the Consumer Price Index for All Urban Consumers, West Region (All Items), as published by the United States Department of Labor for the immediately preceding 3 calendar years. Please see "BLS Data Series" tab.</v>
      </c>
      <c r="B70" s="971"/>
    </row>
    <row r="71" spans="1:6" x14ac:dyDescent="0.25">
      <c r="A71" s="863" t="str">
        <f>'1.1 Assumption Control YR1'!A71</f>
        <v>[3] Weighed Funding multipliers remained the same as they were approved during the 82nd Legislative session for the FY 2024 and 2025 PCFP model.</v>
      </c>
      <c r="B71" s="971"/>
    </row>
    <row r="72" spans="1:6" x14ac:dyDescent="0.25">
      <c r="A72" s="863" t="str">
        <f>'1.1 Assumption Control YR1'!A72</f>
        <v>[4] At-risk enrollment is based on the new At-risk definition as codified in NRS 387.1211.</v>
      </c>
    </row>
    <row r="73" spans="1:6" x14ac:dyDescent="0.25">
      <c r="A73" s="863" t="str">
        <f>'1.1 Assumption Control YR1'!A73</f>
        <v>[5] Nevada Cost of Education Index remains at 1.0 to nullify the effect of the adjustment that was approved during the 82nd legislative session and was recomended by the Commission of School Funding on March 22, 2024. The Department has an updated NCEI as of June 30th 2024.  The data source for NCEI CWI update: Contractor Chris Stoddard. Data Source for NCEI RPP: U.S. Department of Labor and Statistics</v>
      </c>
    </row>
    <row r="74" spans="1:6" x14ac:dyDescent="0.25">
      <c r="F74" s="1201"/>
    </row>
    <row r="82" spans="6:12" x14ac:dyDescent="0.25">
      <c r="I82" s="950"/>
      <c r="L82" s="864"/>
    </row>
    <row r="83" spans="6:12" x14ac:dyDescent="0.25">
      <c r="I83" s="950"/>
      <c r="L83" s="864"/>
    </row>
    <row r="84" spans="6:12" x14ac:dyDescent="0.25">
      <c r="I84" s="950"/>
      <c r="L84" s="864"/>
    </row>
    <row r="85" spans="6:12" x14ac:dyDescent="0.25">
      <c r="I85" s="950"/>
      <c r="L85" s="864"/>
    </row>
    <row r="86" spans="6:12" x14ac:dyDescent="0.25">
      <c r="I86" s="950"/>
      <c r="L86" s="864"/>
    </row>
    <row r="88" spans="6:12" x14ac:dyDescent="0.25">
      <c r="F88" s="933"/>
    </row>
    <row r="89" spans="6:12" x14ac:dyDescent="0.25">
      <c r="F89" s="953"/>
    </row>
    <row r="90" spans="6:12" x14ac:dyDescent="0.25">
      <c r="F90" s="933"/>
    </row>
    <row r="91" spans="6:12" x14ac:dyDescent="0.25">
      <c r="F91" s="933"/>
    </row>
    <row r="114" spans="4:4" x14ac:dyDescent="0.25">
      <c r="D114" s="864" t="s">
        <v>240</v>
      </c>
    </row>
    <row r="115" spans="4:4" x14ac:dyDescent="0.25">
      <c r="D115" s="864" t="s">
        <v>241</v>
      </c>
    </row>
  </sheetData>
  <mergeCells count="1">
    <mergeCell ref="G3:O3"/>
  </mergeCells>
  <phoneticPr fontId="74" type="noConversion"/>
  <conditionalFormatting sqref="K9 E45">
    <cfRule type="containsText" dxfId="12" priority="2" operator="containsText" text="Model is Out of Balance">
      <formula>NOT(ISERROR(SEARCH("Model is Out of Balance",E9)))</formula>
    </cfRule>
    <cfRule type="cellIs" priority="3" operator="notEqual">
      <formula>"Model Is Balanced"</formula>
    </cfRule>
    <cfRule type="cellIs" dxfId="11" priority="4" operator="equal">
      <formula>"Model Is Balanced"</formula>
    </cfRule>
  </conditionalFormatting>
  <conditionalFormatting sqref="K10">
    <cfRule type="cellIs" dxfId="10" priority="1" operator="equal">
      <formula>"Hold Harmless, Out of Balance"</formula>
    </cfRule>
  </conditionalFormatting>
  <hyperlinks>
    <hyperlink ref="A39" location="'2.4 Weighted Funding, Initial'!A1" display="State only English Learner Funding" xr:uid="{85560A38-15AE-42E3-84F7-264F168517DF}"/>
  </hyperlinks>
  <pageMargins left="0.7" right="0.7" top="0.75" bottom="0.75" header="0.3" footer="0.3"/>
  <pageSetup scale="6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8333-6F34-469E-BF81-14D2F87565D3}">
  <sheetPr>
    <tabColor theme="5" tint="-0.249977111117893"/>
  </sheetPr>
  <dimension ref="A1:AC758"/>
  <sheetViews>
    <sheetView workbookViewId="0">
      <selection activeCell="H26" sqref="H26"/>
    </sheetView>
  </sheetViews>
  <sheetFormatPr defaultColWidth="8.7109375" defaultRowHeight="15" x14ac:dyDescent="0.25"/>
  <cols>
    <col min="1" max="1" width="21.140625" style="864" customWidth="1"/>
    <col min="2" max="2" width="8.7109375" style="971" customWidth="1"/>
    <col min="3" max="3" width="7.5703125" style="971" bestFit="1" customWidth="1"/>
    <col min="4" max="4" width="20.7109375" style="971" customWidth="1"/>
    <col min="5" max="5" width="48.42578125" style="864" bestFit="1" customWidth="1"/>
    <col min="6" max="6" width="46.140625" style="864" hidden="1" customWidth="1"/>
    <col min="7" max="7" width="12.140625" style="1079" bestFit="1" customWidth="1"/>
    <col min="8" max="8" width="13.140625" style="864" bestFit="1" customWidth="1"/>
    <col min="9" max="9" width="20.7109375" style="864" customWidth="1"/>
    <col min="10" max="10" width="18.140625" style="869" customWidth="1"/>
    <col min="11" max="11" width="19" style="864" bestFit="1" customWidth="1"/>
    <col min="12" max="12" width="16.140625" style="869" bestFit="1" customWidth="1"/>
    <col min="13" max="14" width="13.140625" style="864" customWidth="1"/>
    <col min="15" max="15" width="12.5703125" style="864" bestFit="1" customWidth="1"/>
    <col min="16" max="16" width="14.7109375" style="864" bestFit="1" customWidth="1"/>
    <col min="17" max="17" width="8.7109375" style="864" customWidth="1"/>
    <col min="18" max="18" width="16.140625" style="864" bestFit="1" customWidth="1"/>
    <col min="19" max="20" width="8.7109375" style="864" customWidth="1"/>
    <col min="21" max="21" width="13.140625" style="864" customWidth="1"/>
    <col min="22" max="22" width="38.140625" style="864" bestFit="1" customWidth="1"/>
    <col min="23" max="23" width="8.5703125" style="864" customWidth="1"/>
    <col min="24" max="24" width="12.7109375" style="864" customWidth="1"/>
    <col min="25" max="25" width="8.5703125" style="864" bestFit="1" customWidth="1"/>
    <col min="26" max="26" width="62.7109375" style="864" bestFit="1" customWidth="1"/>
    <col min="27" max="16384" width="8.7109375" style="864"/>
  </cols>
  <sheetData>
    <row r="1" spans="1:25" s="863" customFormat="1" x14ac:dyDescent="0.25">
      <c r="A1" s="863" t="s">
        <v>15</v>
      </c>
      <c r="D1" s="1026"/>
      <c r="G1" s="1037"/>
      <c r="I1" s="1038"/>
      <c r="J1" s="923"/>
      <c r="L1" s="923"/>
    </row>
    <row r="2" spans="1:25" x14ac:dyDescent="0.25">
      <c r="A2" s="864" t="str">
        <f>CONCATENATE("Pupil Center Funding Plan | FY",'1.1 Assumption Control YR1'!D5+1)</f>
        <v>Pupil Center Funding Plan | FY2027</v>
      </c>
      <c r="B2" s="864"/>
      <c r="C2" s="864"/>
      <c r="G2" s="1037"/>
      <c r="I2" s="1039"/>
    </row>
    <row r="3" spans="1:25" x14ac:dyDescent="0.25">
      <c r="A3" s="864" t="s">
        <v>1743</v>
      </c>
      <c r="B3" s="864"/>
      <c r="C3" s="864"/>
      <c r="G3" s="1037"/>
      <c r="I3" s="1039"/>
    </row>
    <row r="4" spans="1:25" x14ac:dyDescent="0.25">
      <c r="B4" s="864"/>
      <c r="C4" s="864"/>
      <c r="G4" s="1037"/>
      <c r="I4" s="1039"/>
    </row>
    <row r="5" spans="1:25" x14ac:dyDescent="0.25">
      <c r="B5" s="864"/>
      <c r="C5" s="864"/>
      <c r="G5" s="1037"/>
      <c r="I5" s="1039"/>
    </row>
    <row r="6" spans="1:25" ht="45.75" thickBot="1" x14ac:dyDescent="0.3">
      <c r="A6" s="863"/>
      <c r="B6" s="964"/>
      <c r="C6" s="1026"/>
      <c r="D6" s="1026"/>
      <c r="E6" s="863"/>
      <c r="F6" s="863"/>
      <c r="G6" s="2035" t="s">
        <v>1744</v>
      </c>
      <c r="H6" s="863"/>
      <c r="I6" s="1040"/>
      <c r="J6" s="1041"/>
      <c r="K6" s="1042"/>
      <c r="L6" s="923"/>
      <c r="M6" s="863"/>
      <c r="W6" s="1043"/>
      <c r="X6" s="1043"/>
      <c r="Y6" s="1043"/>
    </row>
    <row r="7" spans="1:25" ht="15.75" thickBot="1" x14ac:dyDescent="0.3">
      <c r="A7" s="863" t="s">
        <v>251</v>
      </c>
      <c r="B7" s="964"/>
      <c r="C7" s="1026"/>
      <c r="D7" s="1026"/>
      <c r="E7" s="863"/>
      <c r="F7" s="863"/>
      <c r="G7" s="1044">
        <v>0</v>
      </c>
      <c r="H7" s="863"/>
      <c r="I7" s="1040"/>
      <c r="J7" s="1041"/>
      <c r="K7" s="1042"/>
      <c r="L7" s="923"/>
      <c r="M7" s="863"/>
      <c r="N7" s="2376" t="s">
        <v>1745</v>
      </c>
      <c r="O7" s="2377"/>
      <c r="P7" s="2378"/>
      <c r="W7" s="1043"/>
      <c r="X7" s="1043"/>
      <c r="Y7" s="1043"/>
    </row>
    <row r="8" spans="1:25" ht="90" customHeight="1" thickBot="1" x14ac:dyDescent="0.3">
      <c r="A8" s="1045" t="s">
        <v>253</v>
      </c>
      <c r="B8" s="1045" t="s">
        <v>254</v>
      </c>
      <c r="C8" s="1045" t="s">
        <v>255</v>
      </c>
      <c r="D8" s="1045" t="s">
        <v>256</v>
      </c>
      <c r="E8" s="1045" t="s">
        <v>257</v>
      </c>
      <c r="F8" s="1965"/>
      <c r="G8" s="1966" t="s">
        <v>259</v>
      </c>
      <c r="H8" s="993"/>
      <c r="I8" s="1967" t="str">
        <f>'1.2 Budgeted Enrollment YR1'!I8</f>
        <v xml:space="preserve">English Learner, Not Also Special Education 
(actual count day data) </v>
      </c>
      <c r="J8" s="1968" t="str">
        <f>'1.2 Budgeted Enrollment YR1'!J8</f>
        <v>At-Risk, 
Not Also Special Education or English Learner (actual count day data)</v>
      </c>
      <c r="K8" s="1968" t="str">
        <f>'1.2 Budgeted Enrollment YR1'!K8</f>
        <v>GATE, 
Not Also Special Education or English Learner or At-Risk
(actual count day data)</v>
      </c>
      <c r="L8" s="1968" t="str">
        <f>'1.2 Budgeted Enrollment YR1'!L8</f>
        <v>Enrollment  
FT in Distance Ed, 
(projected)</v>
      </c>
      <c r="M8" s="863"/>
      <c r="N8" s="1046" t="s">
        <v>265</v>
      </c>
      <c r="O8" s="1047" t="s">
        <v>266</v>
      </c>
      <c r="P8" s="1048" t="s">
        <v>267</v>
      </c>
      <c r="Q8" s="863"/>
      <c r="R8" s="863"/>
      <c r="S8" s="863"/>
      <c r="T8" s="863"/>
      <c r="U8" s="863" t="s">
        <v>268</v>
      </c>
      <c r="V8" s="863" t="s">
        <v>269</v>
      </c>
    </row>
    <row r="9" spans="1:25" ht="16.5" thickTop="1" thickBot="1" x14ac:dyDescent="0.3">
      <c r="A9" s="1000" t="str">
        <f>'1.2 Budgeted Enrollment YR1'!A9</f>
        <v>Carson City</v>
      </c>
      <c r="B9" s="1313">
        <f>'1.2 Budgeted Enrollment YR1'!B9</f>
        <v>13</v>
      </c>
      <c r="C9" s="1313">
        <f>'1.2 Budgeted Enrollment YR1'!C9</f>
        <v>13</v>
      </c>
      <c r="D9" s="1000">
        <f>'1.2 Budgeted Enrollment YR1'!D9</f>
        <v>0</v>
      </c>
      <c r="E9" s="1000" t="str">
        <f>'1.2 Budgeted Enrollment YR1'!E9</f>
        <v>Carson City</v>
      </c>
      <c r="G9" s="1049">
        <f>'1.2 Budgeted Enrollment YR1'!G9+('1.2 Budgeted Enrollment YR1'!G9*$G$7)+H9</f>
        <v>6970.4860982512937</v>
      </c>
      <c r="H9" s="1049"/>
      <c r="I9" s="1050">
        <f>'1.2 Budgeted Enrollment YR1'!I9</f>
        <v>780</v>
      </c>
      <c r="J9" s="1050">
        <f>'1.2 Budgeted Enrollment YR1'!J9</f>
        <v>221</v>
      </c>
      <c r="K9" s="1050">
        <f>'1.2 Budgeted Enrollment YR1'!K9</f>
        <v>285</v>
      </c>
      <c r="L9" s="1050">
        <f>('1.2 Budgeted Enrollment YR1'!L9*$G$7)+'1.2 Budgeted Enrollment YR1'!L9</f>
        <v>0</v>
      </c>
      <c r="M9" s="1104"/>
      <c r="N9" s="1051">
        <f>I9/G9</f>
        <v>0.11190037380544822</v>
      </c>
      <c r="O9" s="1052">
        <f>J9/G9</f>
        <v>3.1705105911543664E-2</v>
      </c>
      <c r="P9" s="1053">
        <f>K9/G9</f>
        <v>4.0886675044298389E-2</v>
      </c>
      <c r="U9" s="872" t="s">
        <v>270</v>
      </c>
      <c r="V9" s="1033" t="s">
        <v>270</v>
      </c>
      <c r="W9" s="1054"/>
      <c r="X9" s="1054"/>
      <c r="Y9" s="1055"/>
    </row>
    <row r="10" spans="1:25" ht="16.5" thickTop="1" thickBot="1" x14ac:dyDescent="0.3">
      <c r="A10" s="1000" t="str">
        <f>'1.2 Budgeted Enrollment YR1'!A10</f>
        <v>Churchill</v>
      </c>
      <c r="B10" s="1313">
        <f>'1.2 Budgeted Enrollment YR1'!B10</f>
        <v>1</v>
      </c>
      <c r="C10" s="1313">
        <f>'1.2 Budgeted Enrollment YR1'!C10</f>
        <v>1</v>
      </c>
      <c r="D10" s="1000">
        <f>'1.2 Budgeted Enrollment YR1'!D10</f>
        <v>0</v>
      </c>
      <c r="E10" s="1000" t="str">
        <f>'1.2 Budgeted Enrollment YR1'!E10</f>
        <v>Churchill</v>
      </c>
      <c r="G10" s="1049">
        <f>'1.2 Budgeted Enrollment YR1'!G10+('1.2 Budgeted Enrollment YR1'!G10*$G$7)+H10</f>
        <v>3074.1458778318033</v>
      </c>
      <c r="H10" s="1049"/>
      <c r="I10" s="1050">
        <f>'1.2 Budgeted Enrollment YR1'!I10</f>
        <v>114</v>
      </c>
      <c r="J10" s="1050">
        <f>'1.2 Budgeted Enrollment YR1'!J10</f>
        <v>87</v>
      </c>
      <c r="K10" s="1050">
        <f>'1.2 Budgeted Enrollment YR1'!K10</f>
        <v>0</v>
      </c>
      <c r="L10" s="1050">
        <f>('1.2 Budgeted Enrollment YR1'!L10*$G$7)+'1.2 Budgeted Enrollment YR1'!L10</f>
        <v>0</v>
      </c>
      <c r="M10" s="1104"/>
      <c r="N10" s="1056">
        <f t="shared" ref="N10:N24" si="0">I10/G10</f>
        <v>3.7083471159281567E-2</v>
      </c>
      <c r="O10" s="1057">
        <f t="shared" ref="O10:O24" si="1">J10/G10</f>
        <v>2.8300543779451723E-2</v>
      </c>
      <c r="P10" s="1058">
        <f t="shared" ref="P10:P24" si="2">K10/G10</f>
        <v>0</v>
      </c>
      <c r="U10" s="872" t="s">
        <v>271</v>
      </c>
      <c r="V10" s="1033" t="s">
        <v>272</v>
      </c>
      <c r="W10" s="1054"/>
      <c r="X10" s="1054"/>
      <c r="Y10" s="1055"/>
    </row>
    <row r="11" spans="1:25" ht="16.5" thickTop="1" thickBot="1" x14ac:dyDescent="0.3">
      <c r="A11" s="1000" t="str">
        <f>'1.2 Budgeted Enrollment YR1'!A11</f>
        <v>Clark</v>
      </c>
      <c r="B11" s="1313">
        <f>'1.2 Budgeted Enrollment YR1'!B11</f>
        <v>2</v>
      </c>
      <c r="C11" s="1313">
        <f>'1.2 Budgeted Enrollment YR1'!C11</f>
        <v>2</v>
      </c>
      <c r="D11" s="1000">
        <f>'1.2 Budgeted Enrollment YR1'!D11</f>
        <v>0</v>
      </c>
      <c r="E11" s="1000" t="str">
        <f>'1.2 Budgeted Enrollment YR1'!E11</f>
        <v>Clark</v>
      </c>
      <c r="G11" s="1049">
        <f>'1.2 Budgeted Enrollment YR1'!G11+('1.2 Budgeted Enrollment YR1'!G11*$G$7)+H11</f>
        <v>285878.81775061262</v>
      </c>
      <c r="H11" s="1049"/>
      <c r="I11" s="1050">
        <f>'1.2 Budgeted Enrollment YR1'!I11</f>
        <v>38828</v>
      </c>
      <c r="J11" s="1050">
        <f>'1.2 Budgeted Enrollment YR1'!J11</f>
        <v>41674</v>
      </c>
      <c r="K11" s="1050">
        <f>'1.2 Budgeted Enrollment YR1'!K11</f>
        <v>5436</v>
      </c>
      <c r="L11" s="1050">
        <f>('1.2 Budgeted Enrollment YR1'!L11*$G$7)+'1.2 Budgeted Enrollment YR1'!L11</f>
        <v>4270.5052025537861</v>
      </c>
      <c r="M11" s="1104"/>
      <c r="N11" s="1056">
        <f t="shared" si="0"/>
        <v>0.13581978652882123</v>
      </c>
      <c r="O11" s="1057">
        <f t="shared" si="1"/>
        <v>0.14577505366751048</v>
      </c>
      <c r="P11" s="1058">
        <f t="shared" si="2"/>
        <v>1.9015049952886377E-2</v>
      </c>
      <c r="U11" s="876" t="s">
        <v>273</v>
      </c>
      <c r="V11" s="1059" t="s">
        <v>274</v>
      </c>
      <c r="W11" s="1054"/>
      <c r="X11" s="1054"/>
      <c r="Y11" s="1055"/>
    </row>
    <row r="12" spans="1:25" ht="16.5" thickTop="1" thickBot="1" x14ac:dyDescent="0.3">
      <c r="A12" s="1000" t="str">
        <f>'1.2 Budgeted Enrollment YR1'!A12</f>
        <v>Douglas</v>
      </c>
      <c r="B12" s="1313">
        <f>'1.2 Budgeted Enrollment YR1'!B12</f>
        <v>3</v>
      </c>
      <c r="C12" s="1313">
        <f>'1.2 Budgeted Enrollment YR1'!C12</f>
        <v>3</v>
      </c>
      <c r="D12" s="1000">
        <f>'1.2 Budgeted Enrollment YR1'!D12</f>
        <v>0</v>
      </c>
      <c r="E12" s="1000" t="str">
        <f>'1.2 Budgeted Enrollment YR1'!E12</f>
        <v>Douglas</v>
      </c>
      <c r="G12" s="1049">
        <f>'1.2 Budgeted Enrollment YR1'!G12+('1.2 Budgeted Enrollment YR1'!G12*$G$7)+H12</f>
        <v>4790.5859463145525</v>
      </c>
      <c r="H12" s="1049"/>
      <c r="I12" s="1050">
        <f>'1.2 Budgeted Enrollment YR1'!I12</f>
        <v>161</v>
      </c>
      <c r="J12" s="1050">
        <f>'1.2 Budgeted Enrollment YR1'!J12</f>
        <v>144</v>
      </c>
      <c r="K12" s="1050">
        <f>'1.2 Budgeted Enrollment YR1'!K12</f>
        <v>118</v>
      </c>
      <c r="L12" s="1050">
        <f>('1.2 Budgeted Enrollment YR1'!L12*$G$7)+'1.2 Budgeted Enrollment YR1'!L12</f>
        <v>15.264272057143687</v>
      </c>
      <c r="M12" s="1104"/>
      <c r="N12" s="1056">
        <f t="shared" si="0"/>
        <v>3.3607579908645407E-2</v>
      </c>
      <c r="O12" s="1057">
        <f t="shared" si="1"/>
        <v>3.0058953458664214E-2</v>
      </c>
      <c r="P12" s="1058">
        <f t="shared" si="2"/>
        <v>2.463164241751651E-2</v>
      </c>
      <c r="U12" s="868"/>
      <c r="V12" s="1034" t="s">
        <v>276</v>
      </c>
      <c r="W12" s="1054"/>
      <c r="X12" s="1054"/>
      <c r="Y12" s="1055"/>
    </row>
    <row r="13" spans="1:25" ht="16.5" thickTop="1" thickBot="1" x14ac:dyDescent="0.3">
      <c r="A13" s="1000" t="str">
        <f>'1.2 Budgeted Enrollment YR1'!A13</f>
        <v>Elko</v>
      </c>
      <c r="B13" s="1313">
        <f>'1.2 Budgeted Enrollment YR1'!B13</f>
        <v>4</v>
      </c>
      <c r="C13" s="1313">
        <f>'1.2 Budgeted Enrollment YR1'!C13</f>
        <v>4</v>
      </c>
      <c r="D13" s="1000">
        <f>'1.2 Budgeted Enrollment YR1'!D13</f>
        <v>0</v>
      </c>
      <c r="E13" s="1000" t="str">
        <f>'1.2 Budgeted Enrollment YR1'!E13</f>
        <v>Elko</v>
      </c>
      <c r="G13" s="1049">
        <f>'1.2 Budgeted Enrollment YR1'!G13+('1.2 Budgeted Enrollment YR1'!G13*$G$7)+H13</f>
        <v>9234.4483500865917</v>
      </c>
      <c r="H13" s="1049"/>
      <c r="I13" s="1050">
        <f>'1.2 Budgeted Enrollment YR1'!I13</f>
        <v>669</v>
      </c>
      <c r="J13" s="1050">
        <f>'1.2 Budgeted Enrollment YR1'!J13</f>
        <v>452</v>
      </c>
      <c r="K13" s="1050">
        <f>'1.2 Budgeted Enrollment YR1'!K13</f>
        <v>38</v>
      </c>
      <c r="L13" s="1050">
        <f>('1.2 Budgeted Enrollment YR1'!L13*$G$7)+'1.2 Budgeted Enrollment YR1'!L13</f>
        <v>66.516314588571021</v>
      </c>
      <c r="M13" s="1104"/>
      <c r="N13" s="1056">
        <f t="shared" si="0"/>
        <v>7.2446125056698896E-2</v>
      </c>
      <c r="O13" s="1057">
        <f t="shared" si="1"/>
        <v>4.8947157736364572E-2</v>
      </c>
      <c r="P13" s="1058">
        <f t="shared" si="2"/>
        <v>4.1150265353580833E-3</v>
      </c>
      <c r="U13" s="868"/>
      <c r="V13" s="1034" t="s">
        <v>278</v>
      </c>
      <c r="W13" s="1054"/>
      <c r="X13" s="1054"/>
      <c r="Y13" s="1055"/>
    </row>
    <row r="14" spans="1:25" ht="16.5" thickTop="1" thickBot="1" x14ac:dyDescent="0.3">
      <c r="A14" s="1000" t="str">
        <f>'1.2 Budgeted Enrollment YR1'!A14</f>
        <v>Esmeralda</v>
      </c>
      <c r="B14" s="1313">
        <f>'1.2 Budgeted Enrollment YR1'!B14</f>
        <v>5</v>
      </c>
      <c r="C14" s="1313">
        <f>'1.2 Budgeted Enrollment YR1'!C14</f>
        <v>5</v>
      </c>
      <c r="D14" s="1000">
        <f>'1.2 Budgeted Enrollment YR1'!D14</f>
        <v>0</v>
      </c>
      <c r="E14" s="1000" t="str">
        <f>'1.2 Budgeted Enrollment YR1'!E14</f>
        <v>Esmeralda</v>
      </c>
      <c r="G14" s="1049">
        <f>'1.2 Budgeted Enrollment YR1'!G14+('1.2 Budgeted Enrollment YR1'!G14*$G$7)+H14</f>
        <v>80.635895560117746</v>
      </c>
      <c r="H14" s="1049"/>
      <c r="I14" s="1050">
        <f>'1.2 Budgeted Enrollment YR1'!I14</f>
        <v>11</v>
      </c>
      <c r="J14" s="1050">
        <f>'1.2 Budgeted Enrollment YR1'!J14</f>
        <v>1</v>
      </c>
      <c r="K14" s="1050">
        <f>'1.2 Budgeted Enrollment YR1'!K14</f>
        <v>0</v>
      </c>
      <c r="L14" s="1050">
        <f>('1.2 Budgeted Enrollment YR1'!L14*$G$7)+'1.2 Budgeted Enrollment YR1'!L14</f>
        <v>11.270292041752496</v>
      </c>
      <c r="M14" s="1104"/>
      <c r="N14" s="1056">
        <f t="shared" si="0"/>
        <v>0.13641567348624531</v>
      </c>
      <c r="O14" s="1057">
        <f t="shared" si="1"/>
        <v>1.2401424862385936E-2</v>
      </c>
      <c r="P14" s="1058">
        <f t="shared" si="2"/>
        <v>0</v>
      </c>
      <c r="U14" s="868"/>
      <c r="V14" s="1034" t="s">
        <v>280</v>
      </c>
      <c r="W14" s="1054"/>
      <c r="X14" s="1054"/>
      <c r="Y14" s="1055"/>
    </row>
    <row r="15" spans="1:25" ht="16.5" thickTop="1" thickBot="1" x14ac:dyDescent="0.3">
      <c r="A15" s="1000" t="str">
        <f>'1.2 Budgeted Enrollment YR1'!A15</f>
        <v>Eureka</v>
      </c>
      <c r="B15" s="1313">
        <f>'1.2 Budgeted Enrollment YR1'!B15</f>
        <v>6</v>
      </c>
      <c r="C15" s="1313">
        <f>'1.2 Budgeted Enrollment YR1'!C15</f>
        <v>6</v>
      </c>
      <c r="D15" s="1000">
        <f>'1.2 Budgeted Enrollment YR1'!D15</f>
        <v>0</v>
      </c>
      <c r="E15" s="1000" t="str">
        <f>'1.2 Budgeted Enrollment YR1'!E15</f>
        <v>Eureka</v>
      </c>
      <c r="G15" s="1049">
        <f>'1.2 Budgeted Enrollment YR1'!G15+('1.2 Budgeted Enrollment YR1'!G15*$G$7)+H15</f>
        <v>297.58201989503061</v>
      </c>
      <c r="H15" s="1049"/>
      <c r="I15" s="1050">
        <f>'1.2 Budgeted Enrollment YR1'!I15</f>
        <v>4</v>
      </c>
      <c r="J15" s="1050">
        <f>'1.2 Budgeted Enrollment YR1'!J15</f>
        <v>1</v>
      </c>
      <c r="K15" s="1050">
        <f>'1.2 Budgeted Enrollment YR1'!K15</f>
        <v>0</v>
      </c>
      <c r="L15" s="1050">
        <f>('1.2 Budgeted Enrollment YR1'!L15*$G$7)+'1.2 Budgeted Enrollment YR1'!L15</f>
        <v>0</v>
      </c>
      <c r="M15" s="1104"/>
      <c r="N15" s="1056">
        <f t="shared" si="0"/>
        <v>1.3441672320830957E-2</v>
      </c>
      <c r="O15" s="1057">
        <f t="shared" si="1"/>
        <v>3.3604180802077393E-3</v>
      </c>
      <c r="P15" s="1058">
        <f t="shared" si="2"/>
        <v>0</v>
      </c>
      <c r="U15" s="868"/>
      <c r="V15" s="1034" t="s">
        <v>282</v>
      </c>
      <c r="W15" s="1054"/>
      <c r="X15" s="1054"/>
      <c r="Y15" s="1055"/>
    </row>
    <row r="16" spans="1:25" ht="16.5" thickTop="1" thickBot="1" x14ac:dyDescent="0.3">
      <c r="A16" s="1000" t="str">
        <f>'1.2 Budgeted Enrollment YR1'!A16</f>
        <v>Humboldt</v>
      </c>
      <c r="B16" s="1313">
        <f>'1.2 Budgeted Enrollment YR1'!B16</f>
        <v>7</v>
      </c>
      <c r="C16" s="1313">
        <f>'1.2 Budgeted Enrollment YR1'!C16</f>
        <v>7</v>
      </c>
      <c r="D16" s="1000">
        <f>'1.2 Budgeted Enrollment YR1'!D16</f>
        <v>0</v>
      </c>
      <c r="E16" s="1000" t="str">
        <f>'1.2 Budgeted Enrollment YR1'!E16</f>
        <v>Humboldt</v>
      </c>
      <c r="G16" s="1049">
        <f>'1.2 Budgeted Enrollment YR1'!G16+('1.2 Budgeted Enrollment YR1'!G16*$G$7)+H16</f>
        <v>3135.8857800940204</v>
      </c>
      <c r="H16" s="1049"/>
      <c r="I16" s="1050">
        <f>'1.2 Budgeted Enrollment YR1'!I16</f>
        <v>197</v>
      </c>
      <c r="J16" s="1050">
        <f>'1.2 Budgeted Enrollment YR1'!J16</f>
        <v>106</v>
      </c>
      <c r="K16" s="1050">
        <f>'1.2 Budgeted Enrollment YR1'!K16</f>
        <v>0</v>
      </c>
      <c r="L16" s="1050">
        <f>('1.2 Budgeted Enrollment YR1'!L16*$G$7)+'1.2 Budgeted Enrollment YR1'!L16</f>
        <v>0</v>
      </c>
      <c r="M16" s="1104"/>
      <c r="N16" s="1056">
        <f t="shared" si="0"/>
        <v>6.2821165633811293E-2</v>
      </c>
      <c r="O16" s="1057">
        <f t="shared" si="1"/>
        <v>3.3802251559309632E-2</v>
      </c>
      <c r="P16" s="1058">
        <f t="shared" si="2"/>
        <v>0</v>
      </c>
      <c r="U16" s="868"/>
      <c r="V16" s="1034" t="s">
        <v>284</v>
      </c>
      <c r="W16" s="1054"/>
      <c r="X16" s="1054"/>
      <c r="Y16" s="1055"/>
    </row>
    <row r="17" spans="1:25" ht="16.5" thickTop="1" thickBot="1" x14ac:dyDescent="0.3">
      <c r="A17" s="1000" t="str">
        <f>'1.2 Budgeted Enrollment YR1'!A17</f>
        <v>Lander</v>
      </c>
      <c r="B17" s="1313">
        <f>'1.2 Budgeted Enrollment YR1'!B17</f>
        <v>8</v>
      </c>
      <c r="C17" s="1313">
        <f>'1.2 Budgeted Enrollment YR1'!C17</f>
        <v>8</v>
      </c>
      <c r="D17" s="1000">
        <f>'1.2 Budgeted Enrollment YR1'!D17</f>
        <v>0</v>
      </c>
      <c r="E17" s="1000" t="str">
        <f>'1.2 Budgeted Enrollment YR1'!E17</f>
        <v>Lander</v>
      </c>
      <c r="G17" s="1049">
        <f>'1.2 Budgeted Enrollment YR1'!G17+('1.2 Budgeted Enrollment YR1'!G17*$G$7)+H17</f>
        <v>970.28169719049401</v>
      </c>
      <c r="H17" s="1049"/>
      <c r="I17" s="1050">
        <f>'1.2 Budgeted Enrollment YR1'!I17</f>
        <v>39</v>
      </c>
      <c r="J17" s="1050">
        <f>'1.2 Budgeted Enrollment YR1'!J17</f>
        <v>79</v>
      </c>
      <c r="K17" s="1050">
        <f>'1.2 Budgeted Enrollment YR1'!K17</f>
        <v>0</v>
      </c>
      <c r="L17" s="1050">
        <f>('1.2 Budgeted Enrollment YR1'!L17*$G$7)+'1.2 Budgeted Enrollment YR1'!L17</f>
        <v>0</v>
      </c>
      <c r="M17" s="1104"/>
      <c r="N17" s="1056">
        <f t="shared" si="0"/>
        <v>4.0194512699689919E-2</v>
      </c>
      <c r="O17" s="1057">
        <f t="shared" si="1"/>
        <v>8.1419653930141112E-2</v>
      </c>
      <c r="P17" s="1058">
        <f t="shared" si="2"/>
        <v>0</v>
      </c>
      <c r="U17" s="868"/>
      <c r="V17" s="1034" t="s">
        <v>286</v>
      </c>
      <c r="W17" s="1054"/>
      <c r="X17" s="1054"/>
      <c r="Y17" s="1055"/>
    </row>
    <row r="18" spans="1:25" ht="16.5" thickTop="1" thickBot="1" x14ac:dyDescent="0.3">
      <c r="A18" s="1000" t="str">
        <f>'1.2 Budgeted Enrollment YR1'!A18</f>
        <v>Lincoln</v>
      </c>
      <c r="B18" s="1313">
        <f>'1.2 Budgeted Enrollment YR1'!B18</f>
        <v>9</v>
      </c>
      <c r="C18" s="1313">
        <f>'1.2 Budgeted Enrollment YR1'!C18</f>
        <v>9</v>
      </c>
      <c r="D18" s="1000">
        <f>'1.2 Budgeted Enrollment YR1'!D18</f>
        <v>0</v>
      </c>
      <c r="E18" s="1000" t="str">
        <f>'1.2 Budgeted Enrollment YR1'!E18</f>
        <v>Lincoln</v>
      </c>
      <c r="G18" s="1049">
        <f>'1.2 Budgeted Enrollment YR1'!G18+('1.2 Budgeted Enrollment YR1'!G18*$G$7)+H18</f>
        <v>870.02699048734246</v>
      </c>
      <c r="H18" s="1049"/>
      <c r="I18" s="1050">
        <f>'1.2 Budgeted Enrollment YR1'!I18</f>
        <v>8</v>
      </c>
      <c r="J18" s="1050">
        <f>'1.2 Budgeted Enrollment YR1'!J18</f>
        <v>41</v>
      </c>
      <c r="K18" s="1050">
        <f>'1.2 Budgeted Enrollment YR1'!K18</f>
        <v>0</v>
      </c>
      <c r="L18" s="1050">
        <f>('1.2 Budgeted Enrollment YR1'!L18*$G$7)+'1.2 Budgeted Enrollment YR1'!L18</f>
        <v>0</v>
      </c>
      <c r="M18" s="1104"/>
      <c r="N18" s="1056">
        <f t="shared" si="0"/>
        <v>9.1951170336897585E-3</v>
      </c>
      <c r="O18" s="1057">
        <f t="shared" si="1"/>
        <v>4.7124974797660014E-2</v>
      </c>
      <c r="P18" s="1058">
        <f t="shared" si="2"/>
        <v>0</v>
      </c>
      <c r="U18" s="868"/>
      <c r="V18" s="1034" t="s">
        <v>288</v>
      </c>
      <c r="W18" s="1054"/>
      <c r="X18" s="1054"/>
      <c r="Y18" s="1055"/>
    </row>
    <row r="19" spans="1:25" ht="16.5" thickTop="1" thickBot="1" x14ac:dyDescent="0.3">
      <c r="A19" s="1000" t="str">
        <f>'1.2 Budgeted Enrollment YR1'!A19</f>
        <v>Lyon</v>
      </c>
      <c r="B19" s="1313">
        <f>'1.2 Budgeted Enrollment YR1'!B19</f>
        <v>10</v>
      </c>
      <c r="C19" s="1313">
        <f>'1.2 Budgeted Enrollment YR1'!C19</f>
        <v>10</v>
      </c>
      <c r="D19" s="1000">
        <f>'1.2 Budgeted Enrollment YR1'!D19</f>
        <v>0</v>
      </c>
      <c r="E19" s="1000" t="str">
        <f>'1.2 Budgeted Enrollment YR1'!E19</f>
        <v>Lyon</v>
      </c>
      <c r="G19" s="1049">
        <f>'1.2 Budgeted Enrollment YR1'!G19+('1.2 Budgeted Enrollment YR1'!G19*$G$7)+H19</f>
        <v>8933.9764767711295</v>
      </c>
      <c r="H19" s="1049"/>
      <c r="I19" s="1050">
        <f>'1.2 Budgeted Enrollment YR1'!I19</f>
        <v>536</v>
      </c>
      <c r="J19" s="1050">
        <f>'1.2 Budgeted Enrollment YR1'!J19</f>
        <v>389</v>
      </c>
      <c r="K19" s="1050">
        <f>'1.2 Budgeted Enrollment YR1'!K19</f>
        <v>60</v>
      </c>
      <c r="L19" s="1050">
        <f>('1.2 Budgeted Enrollment YR1'!L19*$G$7)+'1.2 Budgeted Enrollment YR1'!L19</f>
        <v>0</v>
      </c>
      <c r="M19" s="1104"/>
      <c r="N19" s="1056">
        <f t="shared" si="0"/>
        <v>5.9995680690858311E-2</v>
      </c>
      <c r="O19" s="1057">
        <f t="shared" si="1"/>
        <v>4.3541641396910226E-2</v>
      </c>
      <c r="P19" s="1058">
        <f t="shared" si="2"/>
        <v>6.7159344056930944E-3</v>
      </c>
      <c r="U19" s="868"/>
      <c r="V19" s="1034" t="s">
        <v>290</v>
      </c>
      <c r="W19" s="1054"/>
      <c r="X19" s="1054"/>
      <c r="Y19" s="1055"/>
    </row>
    <row r="20" spans="1:25" ht="16.5" thickTop="1" thickBot="1" x14ac:dyDescent="0.3">
      <c r="A20" s="1000" t="str">
        <f>'1.2 Budgeted Enrollment YR1'!A20</f>
        <v>Mineral</v>
      </c>
      <c r="B20" s="1313">
        <f>'1.2 Budgeted Enrollment YR1'!B20</f>
        <v>11</v>
      </c>
      <c r="C20" s="1313">
        <f>'1.2 Budgeted Enrollment YR1'!C20</f>
        <v>11</v>
      </c>
      <c r="D20" s="1000">
        <f>'1.2 Budgeted Enrollment YR1'!D20</f>
        <v>0</v>
      </c>
      <c r="E20" s="1000" t="str">
        <f>'1.2 Budgeted Enrollment YR1'!E20</f>
        <v>Mineral</v>
      </c>
      <c r="G20" s="1049">
        <f>'1.2 Budgeted Enrollment YR1'!G20+('1.2 Budgeted Enrollment YR1'!G20*$G$7)+H20</f>
        <v>509.60323278309136</v>
      </c>
      <c r="H20" s="1049"/>
      <c r="I20" s="1050">
        <f>'1.2 Budgeted Enrollment YR1'!I20</f>
        <v>34</v>
      </c>
      <c r="J20" s="1050">
        <f>'1.2 Budgeted Enrollment YR1'!J20</f>
        <v>43</v>
      </c>
      <c r="K20" s="1050">
        <f>'1.2 Budgeted Enrollment YR1'!K20</f>
        <v>0</v>
      </c>
      <c r="L20" s="1050">
        <f>('1.2 Budgeted Enrollment YR1'!L20*$G$7)+'1.2 Budgeted Enrollment YR1'!L20</f>
        <v>0</v>
      </c>
      <c r="M20" s="1104"/>
      <c r="N20" s="1056">
        <f t="shared" si="0"/>
        <v>6.6718572043423116E-2</v>
      </c>
      <c r="O20" s="1057">
        <f t="shared" si="1"/>
        <v>8.4379370525505704E-2</v>
      </c>
      <c r="P20" s="1058">
        <f t="shared" si="2"/>
        <v>0</v>
      </c>
      <c r="U20" s="868"/>
      <c r="V20" s="1034" t="s">
        <v>292</v>
      </c>
      <c r="W20" s="1054"/>
      <c r="X20" s="1054"/>
      <c r="Y20" s="1055"/>
    </row>
    <row r="21" spans="1:25" ht="16.5" thickTop="1" thickBot="1" x14ac:dyDescent="0.3">
      <c r="A21" s="1000" t="str">
        <f>'1.2 Budgeted Enrollment YR1'!A21</f>
        <v>Nye</v>
      </c>
      <c r="B21" s="1313">
        <f>'1.2 Budgeted Enrollment YR1'!B21</f>
        <v>12</v>
      </c>
      <c r="C21" s="1313">
        <f>'1.2 Budgeted Enrollment YR1'!C21</f>
        <v>12</v>
      </c>
      <c r="D21" s="1000">
        <f>'1.2 Budgeted Enrollment YR1'!D21</f>
        <v>0</v>
      </c>
      <c r="E21" s="1000" t="str">
        <f>'1.2 Budgeted Enrollment YR1'!E21</f>
        <v>Nye</v>
      </c>
      <c r="G21" s="1049">
        <f>'1.2 Budgeted Enrollment YR1'!G21+('1.2 Budgeted Enrollment YR1'!G21*$G$7)+H21</f>
        <v>5457.0457625112185</v>
      </c>
      <c r="H21" s="1049"/>
      <c r="I21" s="1050">
        <f>'1.2 Budgeted Enrollment YR1'!I21</f>
        <v>377</v>
      </c>
      <c r="J21" s="1050">
        <f>'1.2 Budgeted Enrollment YR1'!J21</f>
        <v>271</v>
      </c>
      <c r="K21" s="1050">
        <f>'1.2 Budgeted Enrollment YR1'!K21</f>
        <v>0</v>
      </c>
      <c r="L21" s="1050">
        <f>('1.2 Budgeted Enrollment YR1'!L21*$G$7)+'1.2 Budgeted Enrollment YR1'!L21</f>
        <v>161.24587053077215</v>
      </c>
      <c r="M21" s="1104"/>
      <c r="N21" s="1056">
        <f t="shared" si="0"/>
        <v>6.9084998808313536E-2</v>
      </c>
      <c r="O21" s="1057">
        <f t="shared" si="1"/>
        <v>4.9660569435153769E-2</v>
      </c>
      <c r="P21" s="1058">
        <f t="shared" si="2"/>
        <v>0</v>
      </c>
      <c r="U21" s="870"/>
      <c r="V21" s="1014" t="s">
        <v>294</v>
      </c>
      <c r="W21" s="1054"/>
      <c r="X21" s="1054"/>
      <c r="Y21" s="1055"/>
    </row>
    <row r="22" spans="1:25" ht="16.5" thickTop="1" thickBot="1" x14ac:dyDescent="0.3">
      <c r="A22" s="1000" t="str">
        <f>'1.2 Budgeted Enrollment YR1'!A22</f>
        <v>Pershing</v>
      </c>
      <c r="B22" s="1313">
        <f>'1.2 Budgeted Enrollment YR1'!B22</f>
        <v>14</v>
      </c>
      <c r="C22" s="1313">
        <f>'1.2 Budgeted Enrollment YR1'!C22</f>
        <v>14</v>
      </c>
      <c r="D22" s="1000">
        <f>'1.2 Budgeted Enrollment YR1'!D22</f>
        <v>0</v>
      </c>
      <c r="E22" s="1000" t="str">
        <f>'1.2 Budgeted Enrollment YR1'!E22</f>
        <v>Pershing</v>
      </c>
      <c r="G22" s="1049">
        <f>'1.2 Budgeted Enrollment YR1'!G22+('1.2 Budgeted Enrollment YR1'!G22*$G$7)+H22</f>
        <v>635.8592256998902</v>
      </c>
      <c r="H22" s="1049"/>
      <c r="I22" s="1050">
        <f>'1.2 Budgeted Enrollment YR1'!I22</f>
        <v>29</v>
      </c>
      <c r="J22" s="1050">
        <f>'1.2 Budgeted Enrollment YR1'!J22</f>
        <v>28</v>
      </c>
      <c r="K22" s="1050">
        <f>'1.2 Budgeted Enrollment YR1'!K22</f>
        <v>0</v>
      </c>
      <c r="L22" s="1050">
        <f>('1.2 Budgeted Enrollment YR1'!L22*$G$7)+'1.2 Budgeted Enrollment YR1'!L22</f>
        <v>0</v>
      </c>
      <c r="M22" s="1104"/>
      <c r="N22" s="1056">
        <f t="shared" si="0"/>
        <v>4.5607579206041561E-2</v>
      </c>
      <c r="O22" s="1057">
        <f t="shared" si="1"/>
        <v>4.4034904061005645E-2</v>
      </c>
      <c r="P22" s="1058">
        <f t="shared" si="2"/>
        <v>0</v>
      </c>
      <c r="U22" s="966" t="s">
        <v>275</v>
      </c>
      <c r="V22" s="1060" t="s">
        <v>296</v>
      </c>
      <c r="W22" s="1054"/>
      <c r="X22" s="1054"/>
      <c r="Y22" s="1055"/>
    </row>
    <row r="23" spans="1:25" ht="16.5" thickTop="1" thickBot="1" x14ac:dyDescent="0.3">
      <c r="A23" s="1000" t="str">
        <f>'1.2 Budgeted Enrollment YR1'!A23</f>
        <v>Storey</v>
      </c>
      <c r="B23" s="1313">
        <f>'1.2 Budgeted Enrollment YR1'!B23</f>
        <v>15</v>
      </c>
      <c r="C23" s="1313">
        <f>'1.2 Budgeted Enrollment YR1'!C23</f>
        <v>15</v>
      </c>
      <c r="D23" s="1000">
        <f>'1.2 Budgeted Enrollment YR1'!D23</f>
        <v>0</v>
      </c>
      <c r="E23" s="1000" t="str">
        <f>'1.2 Budgeted Enrollment YR1'!E23</f>
        <v>Storey</v>
      </c>
      <c r="G23" s="1049">
        <f>'1.2 Budgeted Enrollment YR1'!G23+('1.2 Budgeted Enrollment YR1'!G23*$G$7)+H23</f>
        <v>395.34078642383383</v>
      </c>
      <c r="H23" s="1049"/>
      <c r="I23" s="1050">
        <f>'1.2 Budgeted Enrollment YR1'!I23</f>
        <v>1</v>
      </c>
      <c r="J23" s="1050">
        <f>'1.2 Budgeted Enrollment YR1'!J23</f>
        <v>9</v>
      </c>
      <c r="K23" s="1050">
        <f>'1.2 Budgeted Enrollment YR1'!K23</f>
        <v>0</v>
      </c>
      <c r="L23" s="1050">
        <f>('1.2 Budgeted Enrollment YR1'!L23*$G$7)+'1.2 Budgeted Enrollment YR1'!L23</f>
        <v>0</v>
      </c>
      <c r="M23" s="1104"/>
      <c r="N23" s="1056">
        <f t="shared" si="0"/>
        <v>2.5294632740673713E-3</v>
      </c>
      <c r="O23" s="1057">
        <f t="shared" si="1"/>
        <v>2.2765169466606339E-2</v>
      </c>
      <c r="P23" s="1058">
        <f t="shared" si="2"/>
        <v>0</v>
      </c>
      <c r="U23" s="868"/>
      <c r="V23" s="1034" t="s">
        <v>298</v>
      </c>
      <c r="W23" s="1054"/>
      <c r="X23" s="1054"/>
      <c r="Y23" s="1055"/>
    </row>
    <row r="24" spans="1:25" ht="16.5" thickTop="1" thickBot="1" x14ac:dyDescent="0.3">
      <c r="A24" s="1000" t="str">
        <f>'1.2 Budgeted Enrollment YR1'!A24</f>
        <v>Washoe</v>
      </c>
      <c r="B24" s="1313">
        <f>'1.2 Budgeted Enrollment YR1'!B24</f>
        <v>16</v>
      </c>
      <c r="C24" s="1313">
        <f>'1.2 Budgeted Enrollment YR1'!C24</f>
        <v>16</v>
      </c>
      <c r="D24" s="1000">
        <f>'1.2 Budgeted Enrollment YR1'!D24</f>
        <v>0</v>
      </c>
      <c r="E24" s="1000" t="str">
        <f>'1.2 Budgeted Enrollment YR1'!E24</f>
        <v>Washoe</v>
      </c>
      <c r="G24" s="1049">
        <f>'1.2 Budgeted Enrollment YR1'!G24+('1.2 Budgeted Enrollment YR1'!G24*$G$7)+H24</f>
        <v>58816.718998091914</v>
      </c>
      <c r="H24" s="1049"/>
      <c r="I24" s="1050">
        <f>'1.2 Budgeted Enrollment YR1'!I24</f>
        <v>6736</v>
      </c>
      <c r="J24" s="1050">
        <f>'1.2 Budgeted Enrollment YR1'!J24</f>
        <v>4401</v>
      </c>
      <c r="K24" s="1050">
        <f>'1.2 Budgeted Enrollment YR1'!K24</f>
        <v>1294</v>
      </c>
      <c r="L24" s="1050">
        <f>('1.2 Budgeted Enrollment YR1'!L24*$G$7)+'1.2 Budgeted Enrollment YR1'!L24</f>
        <v>574.84482766713779</v>
      </c>
      <c r="M24" s="1104"/>
      <c r="N24" s="1056">
        <f t="shared" si="0"/>
        <v>0.11452525939467184</v>
      </c>
      <c r="O24" s="1057">
        <f t="shared" si="1"/>
        <v>7.4825663093223097E-2</v>
      </c>
      <c r="P24" s="1058">
        <f t="shared" si="2"/>
        <v>2.2000547158061962E-2</v>
      </c>
      <c r="U24" s="870"/>
      <c r="V24" s="1014" t="s">
        <v>300</v>
      </c>
      <c r="W24" s="1054"/>
      <c r="X24" s="1054"/>
      <c r="Y24" s="1055"/>
    </row>
    <row r="25" spans="1:25" ht="16.5" thickTop="1" thickBot="1" x14ac:dyDescent="0.3">
      <c r="A25" s="1066" t="str">
        <f>'1.2 Budgeted Enrollment YR1'!A25</f>
        <v>White Pine</v>
      </c>
      <c r="B25" s="1314">
        <f>'1.2 Budgeted Enrollment YR1'!B25</f>
        <v>17</v>
      </c>
      <c r="C25" s="1314">
        <f>'1.2 Budgeted Enrollment YR1'!C25</f>
        <v>17</v>
      </c>
      <c r="D25" s="1066">
        <f>'1.2 Budgeted Enrollment YR1'!D25</f>
        <v>0</v>
      </c>
      <c r="E25" s="1066" t="str">
        <f>'1.2 Budgeted Enrollment YR1'!E25</f>
        <v>White Pine</v>
      </c>
      <c r="F25" s="1311"/>
      <c r="G25" s="1096">
        <f>'1.2 Budgeted Enrollment YR1'!G25+('1.2 Budgeted Enrollment YR1'!G25*$G$7)+H25</f>
        <v>1231.0239819599622</v>
      </c>
      <c r="H25" s="1096"/>
      <c r="I25" s="1097">
        <f>'1.2 Budgeted Enrollment YR1'!I25</f>
        <v>15</v>
      </c>
      <c r="J25" s="1097">
        <f>'1.2 Budgeted Enrollment YR1'!J25</f>
        <v>120</v>
      </c>
      <c r="K25" s="1097">
        <f>'1.2 Budgeted Enrollment YR1'!K25</f>
        <v>0</v>
      </c>
      <c r="L25" s="1097">
        <f>('1.2 Budgeted Enrollment YR1'!L25*$G$7)+'1.2 Budgeted Enrollment YR1'!L25</f>
        <v>0</v>
      </c>
      <c r="M25" s="1104"/>
      <c r="N25" s="1319">
        <f t="shared" ref="N25:N26" si="3">I25/G25</f>
        <v>1.2184977888178836E-2</v>
      </c>
      <c r="O25" s="1320">
        <f t="shared" ref="O25:O26" si="4">J25/G25</f>
        <v>9.7479823105430685E-2</v>
      </c>
      <c r="P25" s="1321">
        <f t="shared" ref="P25:P26" si="5">K25/G25</f>
        <v>0</v>
      </c>
      <c r="U25" s="876" t="s">
        <v>277</v>
      </c>
      <c r="V25" s="1059" t="s">
        <v>302</v>
      </c>
      <c r="W25" s="1054"/>
      <c r="X25" s="1054"/>
      <c r="Y25" s="1055"/>
    </row>
    <row r="26" spans="1:25" ht="18.75" thickTop="1" thickBot="1" x14ac:dyDescent="0.45">
      <c r="A26" s="1315" t="str">
        <f>'1.2 Budgeted Enrollment YR1'!A26</f>
        <v>Statewide</v>
      </c>
      <c r="B26" s="1316">
        <f>'1.2 Budgeted Enrollment YR1'!B26</f>
        <v>18</v>
      </c>
      <c r="C26" s="1316" t="str">
        <f>'1.2 Budgeted Enrollment YR1'!C26</f>
        <v>All</v>
      </c>
      <c r="D26" s="1315">
        <f>'1.2 Budgeted Enrollment YR1'!D26</f>
        <v>0</v>
      </c>
      <c r="E26" s="1315" t="str">
        <f>'1.2 Budgeted Enrollment YR1'!E26</f>
        <v>Charter Schools</v>
      </c>
      <c r="F26" s="1000"/>
      <c r="G26" s="1309">
        <f>G96+H26</f>
        <v>72301.606666666703</v>
      </c>
      <c r="H26" s="1309"/>
      <c r="I26" s="1310">
        <f>I96</f>
        <v>6384</v>
      </c>
      <c r="J26" s="1310">
        <f>J96</f>
        <v>2007</v>
      </c>
      <c r="K26" s="1310">
        <f>K96</f>
        <v>1491</v>
      </c>
      <c r="L26" s="1309">
        <f>L96</f>
        <v>3425.1842297671528</v>
      </c>
      <c r="M26" s="1964"/>
      <c r="N26" s="1056">
        <f t="shared" si="3"/>
        <v>8.8296793035765597E-2</v>
      </c>
      <c r="O26" s="1057">
        <f t="shared" si="4"/>
        <v>2.7758719239157511E-2</v>
      </c>
      <c r="P26" s="1058">
        <f t="shared" si="5"/>
        <v>2.0621948373484727E-2</v>
      </c>
      <c r="U26" s="868"/>
      <c r="V26" s="1034" t="s">
        <v>277</v>
      </c>
      <c r="W26" s="1064"/>
      <c r="X26" s="1054"/>
      <c r="Y26" s="1065"/>
    </row>
    <row r="27" spans="1:25" ht="18.75" thickTop="1" thickBot="1" x14ac:dyDescent="0.45">
      <c r="A27" s="1315" t="str">
        <f>'1.2 Budgeted Enrollment YR1'!A27</f>
        <v>Washoe</v>
      </c>
      <c r="B27" s="1316">
        <f>'1.2 Budgeted Enrollment YR1'!B27</f>
        <v>19</v>
      </c>
      <c r="C27" s="1316" t="str">
        <f>'1.2 Budgeted Enrollment YR1'!C27</f>
        <v>All</v>
      </c>
      <c r="D27" s="1315">
        <f>'1.2 Budgeted Enrollment YR1'!D27</f>
        <v>0</v>
      </c>
      <c r="E27" s="1315" t="str">
        <f>'1.2 Budgeted Enrollment YR1'!E27</f>
        <v>University Schools</v>
      </c>
      <c r="F27" s="1066"/>
      <c r="G27" s="1062">
        <f>G102+H27</f>
        <v>167.88437423074134</v>
      </c>
      <c r="H27" s="1062"/>
      <c r="I27" s="1063">
        <f>I102</f>
        <v>0</v>
      </c>
      <c r="J27" s="1063">
        <f>J102</f>
        <v>0</v>
      </c>
      <c r="K27" s="1063">
        <f>K102</f>
        <v>0</v>
      </c>
      <c r="L27" s="1062">
        <f>L102</f>
        <v>0</v>
      </c>
      <c r="M27" s="1964"/>
      <c r="N27" s="1056">
        <f>IF(G27=0,0,I27/G27)</f>
        <v>0</v>
      </c>
      <c r="O27" s="1057">
        <f>IF(G27=0,0,J27/G27)</f>
        <v>0</v>
      </c>
      <c r="P27" s="1058">
        <f>IF(G27=0,0,K27/G27)</f>
        <v>0</v>
      </c>
      <c r="U27" s="868"/>
      <c r="V27" s="1034" t="s">
        <v>277</v>
      </c>
      <c r="W27" s="1064"/>
      <c r="X27" s="1054"/>
      <c r="Y27" s="1065"/>
    </row>
    <row r="28" spans="1:25" ht="18.75" thickTop="1" thickBot="1" x14ac:dyDescent="0.45">
      <c r="A28" s="1315" t="str">
        <f>'1.2 Budgeted Enrollment YR1'!A28</f>
        <v>Clark</v>
      </c>
      <c r="B28" s="1316">
        <f>'1.2 Budgeted Enrollment YR1'!B28</f>
        <v>20</v>
      </c>
      <c r="C28" s="1316">
        <f>'1.2 Budgeted Enrollment YR1'!C28</f>
        <v>20</v>
      </c>
      <c r="D28" s="1315">
        <f>'1.2 Budgeted Enrollment YR1'!D28</f>
        <v>0</v>
      </c>
      <c r="E28" s="1315" t="str">
        <f>'1.2 Budgeted Enrollment YR1'!E28</f>
        <v>City of Henderson</v>
      </c>
      <c r="F28" s="1000"/>
      <c r="G28" s="1062">
        <f>G109+H28</f>
        <v>0</v>
      </c>
      <c r="H28" s="1062"/>
      <c r="I28" s="1062">
        <f t="shared" ref="I28:L28" si="6">I109</f>
        <v>0</v>
      </c>
      <c r="J28" s="1062">
        <f t="shared" si="6"/>
        <v>0</v>
      </c>
      <c r="K28" s="1062">
        <f t="shared" si="6"/>
        <v>0</v>
      </c>
      <c r="L28" s="1062">
        <f t="shared" si="6"/>
        <v>0</v>
      </c>
      <c r="M28" s="1964"/>
      <c r="N28" s="1056">
        <f t="shared" ref="N28:N29" si="7">IF(G28=0,0,I28/G28)</f>
        <v>0</v>
      </c>
      <c r="O28" s="1057">
        <f t="shared" ref="O28:O29" si="8">IF(G28=0,0,J28/G28)</f>
        <v>0</v>
      </c>
      <c r="P28" s="1058">
        <f t="shared" ref="P28:P29" si="9">IF(G28=0,0,K28/G28)</f>
        <v>0</v>
      </c>
      <c r="U28" s="868"/>
      <c r="V28" s="1034" t="s">
        <v>307</v>
      </c>
      <c r="W28" s="1064"/>
      <c r="X28" s="1054"/>
      <c r="Y28" s="1065"/>
    </row>
    <row r="29" spans="1:25" ht="18.75" thickTop="1" thickBot="1" x14ac:dyDescent="0.45">
      <c r="A29" s="1317" t="str">
        <f>'1.2 Budgeted Enrollment YR1'!A29</f>
        <v>Clark</v>
      </c>
      <c r="B29" s="1318">
        <f>'1.2 Budgeted Enrollment YR1'!B29</f>
        <v>21</v>
      </c>
      <c r="C29" s="1318">
        <f>'1.2 Budgeted Enrollment YR1'!C29</f>
        <v>21</v>
      </c>
      <c r="D29" s="1317">
        <f>'1.2 Budgeted Enrollment YR1'!D29</f>
        <v>0</v>
      </c>
      <c r="E29" s="1317" t="str">
        <f>'1.2 Budgeted Enrollment YR1'!E29</f>
        <v>City of North Las Vegas</v>
      </c>
      <c r="F29" s="1066"/>
      <c r="G29" s="1312">
        <f>G115+H29</f>
        <v>0</v>
      </c>
      <c r="H29" s="1312"/>
      <c r="I29" s="1312">
        <f t="shared" ref="I29:L29" si="10">I115</f>
        <v>0</v>
      </c>
      <c r="J29" s="1312">
        <f t="shared" si="10"/>
        <v>0</v>
      </c>
      <c r="K29" s="1312">
        <f t="shared" si="10"/>
        <v>0</v>
      </c>
      <c r="L29" s="1312">
        <f t="shared" si="10"/>
        <v>0</v>
      </c>
      <c r="M29" s="1964"/>
      <c r="N29" s="1319">
        <f t="shared" si="7"/>
        <v>0</v>
      </c>
      <c r="O29" s="1320">
        <f t="shared" si="8"/>
        <v>0</v>
      </c>
      <c r="P29" s="1321">
        <f t="shared" si="9"/>
        <v>0</v>
      </c>
      <c r="U29" s="868"/>
      <c r="V29" s="1034" t="s">
        <v>308</v>
      </c>
      <c r="W29" s="1064"/>
      <c r="X29" s="1054"/>
      <c r="Y29" s="1065"/>
    </row>
    <row r="30" spans="1:25" s="863" customFormat="1" ht="16.5" thickTop="1" thickBot="1" x14ac:dyDescent="0.3">
      <c r="B30" s="1026"/>
      <c r="C30" s="1026"/>
      <c r="D30" s="1026"/>
      <c r="G30" s="1068">
        <f t="shared" ref="G30:L30" si="11">SUM(G9:G29)</f>
        <v>463751.95591146237</v>
      </c>
      <c r="H30" s="1068">
        <f t="shared" si="11"/>
        <v>0</v>
      </c>
      <c r="I30" s="1069">
        <f t="shared" si="11"/>
        <v>54923</v>
      </c>
      <c r="J30" s="1069">
        <f t="shared" si="11"/>
        <v>50074</v>
      </c>
      <c r="K30" s="1069">
        <f t="shared" si="11"/>
        <v>8722</v>
      </c>
      <c r="L30" s="1068">
        <f t="shared" si="11"/>
        <v>8524.8310092063148</v>
      </c>
      <c r="M30" s="1070"/>
      <c r="N30" s="1071">
        <f>I30/G30</f>
        <v>0.11843184551546274</v>
      </c>
      <c r="O30" s="1072">
        <f>J30/G30</f>
        <v>0.10797582492473611</v>
      </c>
      <c r="P30" s="1073">
        <f>K30/G30</f>
        <v>1.8807467847456731E-2</v>
      </c>
      <c r="U30" s="868"/>
      <c r="V30" s="1034" t="s">
        <v>309</v>
      </c>
      <c r="W30" s="1074"/>
      <c r="X30" s="1074"/>
      <c r="Y30" s="1074"/>
    </row>
    <row r="31" spans="1:25" s="863" customFormat="1" ht="15.75" thickTop="1" x14ac:dyDescent="0.25">
      <c r="B31" s="1026"/>
      <c r="C31" s="1026"/>
      <c r="D31" s="1026"/>
      <c r="G31" s="1075"/>
      <c r="H31" s="1070"/>
      <c r="I31" s="1076">
        <f>I30-'1.2 Budgeted Enrollment YR1'!I30</f>
        <v>0</v>
      </c>
      <c r="J31" s="1076">
        <f>J30-'1.2 Budgeted Enrollment YR1'!J30</f>
        <v>0</v>
      </c>
      <c r="K31" s="1076">
        <f>K30-'1.2 Budgeted Enrollment YR1'!K30</f>
        <v>0</v>
      </c>
      <c r="L31" s="1076"/>
      <c r="M31" s="1070"/>
      <c r="N31" s="2036" t="s">
        <v>310</v>
      </c>
      <c r="O31" s="1077"/>
      <c r="P31" s="1078">
        <f>(G30-G26)-G754-G27</f>
        <v>1.8411583369015716E-10</v>
      </c>
      <c r="R31" s="1973"/>
      <c r="U31" s="868"/>
      <c r="V31" s="1034" t="s">
        <v>311</v>
      </c>
      <c r="W31" s="1074"/>
      <c r="X31" s="1074"/>
      <c r="Y31" s="1074"/>
    </row>
    <row r="32" spans="1:25" s="863" customFormat="1" x14ac:dyDescent="0.25">
      <c r="A32" s="863" t="s">
        <v>312</v>
      </c>
      <c r="B32" s="1026"/>
      <c r="C32" s="1026"/>
      <c r="D32" s="1026"/>
      <c r="G32" s="1079"/>
      <c r="H32" s="1070"/>
      <c r="I32" s="864"/>
      <c r="J32" s="869"/>
      <c r="K32" s="864"/>
      <c r="L32" s="1080"/>
      <c r="M32" s="1070"/>
      <c r="N32" s="1081" t="s">
        <v>313</v>
      </c>
      <c r="O32" s="864"/>
      <c r="P32" s="1082">
        <f>G26-G96</f>
        <v>0</v>
      </c>
      <c r="U32" s="868"/>
      <c r="V32" s="1034" t="s">
        <v>314</v>
      </c>
      <c r="W32" s="1074"/>
      <c r="X32" s="1074"/>
      <c r="Y32" s="1074"/>
    </row>
    <row r="33" spans="1:26" s="863" customFormat="1" ht="15.75" thickBot="1" x14ac:dyDescent="0.3">
      <c r="A33" s="1083" t="str">
        <f>A8</f>
        <v>County</v>
      </c>
      <c r="B33" s="1083" t="str">
        <f>B8</f>
        <v>District #</v>
      </c>
      <c r="C33" s="1083" t="str">
        <f>C8</f>
        <v>DOHQ#</v>
      </c>
      <c r="D33" s="1083" t="str">
        <f>D8</f>
        <v>Attendance Area</v>
      </c>
      <c r="E33" s="1084" t="s">
        <v>315</v>
      </c>
      <c r="F33" s="863" t="s">
        <v>316</v>
      </c>
      <c r="G33" s="1085"/>
      <c r="H33" s="1070"/>
      <c r="J33" s="923"/>
      <c r="L33" s="923"/>
      <c r="M33" s="1070"/>
      <c r="N33" s="1086" t="s">
        <v>317</v>
      </c>
      <c r="O33" s="1087"/>
      <c r="P33" s="1088">
        <f>L26-L96</f>
        <v>0</v>
      </c>
      <c r="U33" s="868"/>
      <c r="V33" s="1034" t="s">
        <v>318</v>
      </c>
      <c r="W33" s="1074"/>
      <c r="X33" s="1074"/>
      <c r="Y33" s="1074"/>
    </row>
    <row r="34" spans="1:26" s="863" customFormat="1" ht="16.5" thickTop="1" thickBot="1" x14ac:dyDescent="0.3">
      <c r="A34" s="1000" t="str">
        <f>'1.2 Budgeted Enrollment YR1'!A34</f>
        <v>Clark</v>
      </c>
      <c r="B34" s="1089">
        <f>'1.2 Budgeted Enrollment YR1'!B34</f>
        <v>2</v>
      </c>
      <c r="C34" s="1089">
        <f>'1.2 Budgeted Enrollment YR1'!C34</f>
        <v>2</v>
      </c>
      <c r="D34" s="1000" t="str">
        <f>'1.2 Budgeted Enrollment YR1'!D34</f>
        <v>Las Vegas</v>
      </c>
      <c r="E34" s="1000" t="str">
        <f>'1.2 Budgeted Enrollment YR1'!E34</f>
        <v>FuturEdge (Formerly 100 Academy Of Excellence)</v>
      </c>
      <c r="F34" s="1000" t="str">
        <f>'1.2 Budgeted Enrollment YR1'!F34</f>
        <v>2341 Comstock Dr, North Las Vegas, NV 89032</v>
      </c>
      <c r="G34" s="1049">
        <f>'1.2 Budgeted Enrollment YR1'!G34+('1.2 Budgeted Enrollment YR1'!G34*$G$7)</f>
        <v>240.86136805673826</v>
      </c>
      <c r="H34" s="1049"/>
      <c r="I34" s="1050">
        <f>'1.2 Budgeted Enrollment YR1'!I34</f>
        <v>27</v>
      </c>
      <c r="J34" s="1050">
        <f>'1.2 Budgeted Enrollment YR1'!J34</f>
        <v>79</v>
      </c>
      <c r="K34" s="1050">
        <f>'1.2 Budgeted Enrollment YR1'!K34</f>
        <v>0</v>
      </c>
      <c r="L34" s="1050">
        <f>'1.2 Budgeted Enrollment YR1'!L34</f>
        <v>0</v>
      </c>
      <c r="M34" s="1070"/>
      <c r="N34" s="1090"/>
      <c r="O34" s="864"/>
      <c r="P34" s="864"/>
      <c r="U34" s="868"/>
      <c r="V34" s="1034" t="s">
        <v>322</v>
      </c>
      <c r="W34" s="1074"/>
      <c r="X34" s="1074"/>
      <c r="Y34" s="1074"/>
    </row>
    <row r="35" spans="1:26" s="863" customFormat="1" ht="16.5" thickTop="1" thickBot="1" x14ac:dyDescent="0.3">
      <c r="A35" s="1000" t="str">
        <f>'1.2 Budgeted Enrollment YR1'!A35</f>
        <v>Washoe</v>
      </c>
      <c r="B35" s="1089">
        <f>'1.2 Budgeted Enrollment YR1'!B35</f>
        <v>16</v>
      </c>
      <c r="C35" s="1089">
        <f>'1.2 Budgeted Enrollment YR1'!C35</f>
        <v>16</v>
      </c>
      <c r="D35" s="1000" t="str">
        <f>'1.2 Budgeted Enrollment YR1'!D35</f>
        <v>Reno</v>
      </c>
      <c r="E35" s="1000" t="str">
        <f>'1.2 Budgeted Enrollment YR1'!E35</f>
        <v>Academy For Career Education</v>
      </c>
      <c r="F35" s="1000" t="str">
        <f>'1.2 Budgeted Enrollment YR1'!F35</f>
        <v>2800 Vassar St, Reno, NV 89502</v>
      </c>
      <c r="G35" s="1049">
        <f>'1.2 Budgeted Enrollment YR1'!G35+('1.2 Budgeted Enrollment YR1'!G35*$G$7)</f>
        <v>253.57864951202251</v>
      </c>
      <c r="H35" s="1049"/>
      <c r="I35" s="1050">
        <f>'1.2 Budgeted Enrollment YR1'!I35</f>
        <v>27</v>
      </c>
      <c r="J35" s="1050">
        <f>'1.2 Budgeted Enrollment YR1'!J35</f>
        <v>4</v>
      </c>
      <c r="K35" s="1050">
        <f>'1.2 Budgeted Enrollment YR1'!K35</f>
        <v>0</v>
      </c>
      <c r="L35" s="1050">
        <f>'1.2 Budgeted Enrollment YR1'!L35</f>
        <v>0</v>
      </c>
      <c r="M35" s="1070"/>
      <c r="N35" s="1090"/>
      <c r="O35" s="864"/>
      <c r="P35" s="864"/>
      <c r="U35" s="868"/>
      <c r="V35" s="1034" t="s">
        <v>326</v>
      </c>
      <c r="W35" s="1074"/>
      <c r="X35" s="1074"/>
      <c r="Y35" s="1074"/>
    </row>
    <row r="36" spans="1:26" s="863" customFormat="1" ht="16.5" thickTop="1" thickBot="1" x14ac:dyDescent="0.3">
      <c r="A36" s="1000" t="str">
        <f>'1.2 Budgeted Enrollment YR1'!A36</f>
        <v>Washoe</v>
      </c>
      <c r="B36" s="1089">
        <f>'1.2 Budgeted Enrollment YR1'!B36</f>
        <v>18</v>
      </c>
      <c r="C36" s="1089">
        <f>'1.2 Budgeted Enrollment YR1'!C36</f>
        <v>16</v>
      </c>
      <c r="D36" s="1000" t="str">
        <f>'1.2 Budgeted Enrollment YR1'!D36</f>
        <v>Reno</v>
      </c>
      <c r="E36" s="1000" t="str">
        <f>'1.2 Budgeted Enrollment YR1'!E36</f>
        <v xml:space="preserve">Alpine Academy </v>
      </c>
      <c r="F36" s="1000" t="str">
        <f>'1.2 Budgeted Enrollment YR1'!F36</f>
        <v>605 Boxington Way Ste 112, Sparks, NV 89434</v>
      </c>
      <c r="G36" s="1049">
        <f>'1.2 Budgeted Enrollment YR1'!G36+('1.2 Budgeted Enrollment YR1'!G36*$G$7)</f>
        <v>164.31844740358281</v>
      </c>
      <c r="H36" s="1049"/>
      <c r="I36" s="1050">
        <f>'1.2 Budgeted Enrollment YR1'!I36</f>
        <v>5</v>
      </c>
      <c r="J36" s="1050">
        <f>'1.2 Budgeted Enrollment YR1'!J36</f>
        <v>8</v>
      </c>
      <c r="K36" s="1050">
        <f>'1.2 Budgeted Enrollment YR1'!K36</f>
        <v>0</v>
      </c>
      <c r="L36" s="1050">
        <f>'1.2 Budgeted Enrollment YR1'!L36</f>
        <v>0</v>
      </c>
      <c r="M36" s="1070"/>
      <c r="N36" s="968"/>
      <c r="O36" s="864"/>
      <c r="P36" s="864"/>
      <c r="U36" s="870"/>
      <c r="V36" s="1014" t="s">
        <v>329</v>
      </c>
      <c r="W36" s="1074"/>
    </row>
    <row r="37" spans="1:26" s="863" customFormat="1" ht="16.5" thickTop="1" thickBot="1" x14ac:dyDescent="0.3">
      <c r="A37" s="1000" t="str">
        <f>'1.2 Budgeted Enrollment YR1'!A37</f>
        <v>Clark</v>
      </c>
      <c r="B37" s="1089">
        <f>'1.2 Budgeted Enrollment YR1'!B37</f>
        <v>18</v>
      </c>
      <c r="C37" s="1089">
        <f>'1.2 Budgeted Enrollment YR1'!C37</f>
        <v>2</v>
      </c>
      <c r="D37" s="1000" t="str">
        <f>'1.2 Budgeted Enrollment YR1'!D37</f>
        <v>Las Vegas</v>
      </c>
      <c r="E37" s="1000" t="str">
        <f>'1.2 Budgeted Enrollment YR1'!E37</f>
        <v xml:space="preserve">Amplus (Formerly American Preparatory Academy) </v>
      </c>
      <c r="F37" s="1000" t="str">
        <f>'1.2 Budgeted Enrollment YR1'!F37</f>
        <v>6000 W Oakey Blvd, Las Vegas, NV 89146</v>
      </c>
      <c r="G37" s="1049">
        <f>'1.2 Budgeted Enrollment YR1'!G37+('1.2 Budgeted Enrollment YR1'!G37*$G$7)</f>
        <v>2368.9011816066622</v>
      </c>
      <c r="H37" s="1049"/>
      <c r="I37" s="1050">
        <f>'1.2 Budgeted Enrollment YR1'!I37</f>
        <v>149</v>
      </c>
      <c r="J37" s="1050">
        <f>'1.2 Budgeted Enrollment YR1'!J37</f>
        <v>9</v>
      </c>
      <c r="K37" s="1050">
        <f>'1.2 Budgeted Enrollment YR1'!K37</f>
        <v>59</v>
      </c>
      <c r="L37" s="1050">
        <f>'1.2 Budgeted Enrollment YR1'!L37</f>
        <v>0</v>
      </c>
      <c r="M37" s="1070"/>
      <c r="N37" s="968"/>
      <c r="O37" s="864"/>
      <c r="P37" s="864"/>
      <c r="Q37" s="864"/>
      <c r="R37" s="864"/>
      <c r="U37" s="876" t="s">
        <v>332</v>
      </c>
      <c r="V37" s="1059" t="s">
        <v>333</v>
      </c>
      <c r="W37" s="1074"/>
      <c r="X37" s="1074"/>
      <c r="Y37" s="1074"/>
    </row>
    <row r="38" spans="1:26" ht="16.5" thickTop="1" thickBot="1" x14ac:dyDescent="0.3">
      <c r="A38" s="1000" t="str">
        <f>'1.2 Budgeted Enrollment YR1'!A38</f>
        <v>Washoe</v>
      </c>
      <c r="B38" s="1089">
        <f>'1.2 Budgeted Enrollment YR1'!B38</f>
        <v>16</v>
      </c>
      <c r="C38" s="1089">
        <f>'1.2 Budgeted Enrollment YR1'!C38</f>
        <v>16</v>
      </c>
      <c r="D38" s="1000" t="str">
        <f>'1.2 Budgeted Enrollment YR1'!D38</f>
        <v>Reno</v>
      </c>
      <c r="E38" s="1000" t="str">
        <f>'1.2 Budgeted Enrollment YR1'!E38</f>
        <v>Bailey Charter School</v>
      </c>
      <c r="F38" s="1000" t="str">
        <f>'1.2 Budgeted Enrollment YR1'!F38</f>
        <v>210 Gentry Way, Reno, NV 89502</v>
      </c>
      <c r="G38" s="1049">
        <f>'1.2 Budgeted Enrollment YR1'!G38+('1.2 Budgeted Enrollment YR1'!G38*$G$7)</f>
        <v>166.53929996193739</v>
      </c>
      <c r="H38" s="1049"/>
      <c r="I38" s="1050">
        <f>'1.2 Budgeted Enrollment YR1'!I38</f>
        <v>65</v>
      </c>
      <c r="J38" s="1050">
        <f>'1.2 Budgeted Enrollment YR1'!J38</f>
        <v>31</v>
      </c>
      <c r="K38" s="1050">
        <f>'1.2 Budgeted Enrollment YR1'!K38</f>
        <v>0</v>
      </c>
      <c r="L38" s="1050">
        <f>'1.2 Budgeted Enrollment YR1'!L38</f>
        <v>0</v>
      </c>
      <c r="M38" s="1070"/>
      <c r="N38" s="968"/>
      <c r="U38" s="868"/>
      <c r="V38" s="1034" t="s">
        <v>336</v>
      </c>
      <c r="W38" s="1055"/>
      <c r="X38" s="1091"/>
    </row>
    <row r="39" spans="1:26" ht="16.5" thickTop="1" thickBot="1" x14ac:dyDescent="0.3">
      <c r="A39" s="1000" t="str">
        <f>'1.2 Budgeted Enrollment YR1'!A39</f>
        <v>Clark</v>
      </c>
      <c r="B39" s="1089">
        <f>'1.2 Budgeted Enrollment YR1'!B39</f>
        <v>18</v>
      </c>
      <c r="C39" s="1089">
        <f>'1.2 Budgeted Enrollment YR1'!C39</f>
        <v>2</v>
      </c>
      <c r="D39" s="1000" t="str">
        <f>'1.2 Budgeted Enrollment YR1'!D39</f>
        <v>Las Vegas</v>
      </c>
      <c r="E39" s="1000" t="str">
        <f>'1.2 Budgeted Enrollment YR1'!E39</f>
        <v>Battle Born Academy</v>
      </c>
      <c r="F39" s="1000" t="str">
        <f>'1.2 Budgeted Enrollment YR1'!F39</f>
        <v>2101 E. Owens Ave Las Vegas, NV 89030</v>
      </c>
      <c r="G39" s="1049">
        <f>'1.2 Budgeted Enrollment YR1'!G39+('1.2 Budgeted Enrollment YR1'!G39*$G$7)</f>
        <v>270.53331354166147</v>
      </c>
      <c r="H39" s="1049"/>
      <c r="I39" s="1050">
        <f>'1.2 Budgeted Enrollment YR1'!I39</f>
        <v>141</v>
      </c>
      <c r="J39" s="1050">
        <f>'1.2 Budgeted Enrollment YR1'!J39</f>
        <v>0</v>
      </c>
      <c r="K39" s="1050">
        <f>'1.2 Budgeted Enrollment YR1'!K39</f>
        <v>0</v>
      </c>
      <c r="L39" s="1050">
        <f>'1.2 Budgeted Enrollment YR1'!L39</f>
        <v>0</v>
      </c>
      <c r="M39" s="1070"/>
      <c r="N39" s="968"/>
      <c r="U39" s="870"/>
      <c r="V39" s="1014" t="s">
        <v>339</v>
      </c>
      <c r="W39" s="1055"/>
      <c r="X39" s="1055"/>
      <c r="Y39" s="1055"/>
      <c r="Z39" s="1091"/>
    </row>
    <row r="40" spans="1:26" ht="16.5" thickTop="1" thickBot="1" x14ac:dyDescent="0.3">
      <c r="A40" s="1000" t="str">
        <f>'1.2 Budgeted Enrollment YR1'!A40</f>
        <v>Clark</v>
      </c>
      <c r="B40" s="1089">
        <f>'1.2 Budgeted Enrollment YR1'!B40</f>
        <v>18</v>
      </c>
      <c r="C40" s="1089">
        <f>'1.2 Budgeted Enrollment YR1'!C40</f>
        <v>2</v>
      </c>
      <c r="D40" s="1000" t="str">
        <f>'1.2 Budgeted Enrollment YR1'!D40</f>
        <v>Las Vegas</v>
      </c>
      <c r="E40" s="1000" t="str">
        <f>'1.2 Budgeted Enrollment YR1'!E40</f>
        <v>Beacon Academy</v>
      </c>
      <c r="F40" s="1000" t="str">
        <f>'1.2 Budgeted Enrollment YR1'!F40</f>
        <v>7360 West Flamingo Road Las Vegas, NV 89147</v>
      </c>
      <c r="G40" s="1049">
        <f>'1.2 Budgeted Enrollment YR1'!G40+('1.2 Budgeted Enrollment YR1'!G40*$G$7)</f>
        <v>857.51912183963623</v>
      </c>
      <c r="H40" s="1049"/>
      <c r="I40" s="1050">
        <f>'1.2 Budgeted Enrollment YR1'!I40</f>
        <v>123</v>
      </c>
      <c r="J40" s="1050">
        <f>'1.2 Budgeted Enrollment YR1'!J40</f>
        <v>261</v>
      </c>
      <c r="K40" s="1050">
        <f>'1.2 Budgeted Enrollment YR1'!K40</f>
        <v>0</v>
      </c>
      <c r="L40" s="1050">
        <f>'1.2 Budgeted Enrollment YR1'!L40</f>
        <v>0</v>
      </c>
      <c r="M40" s="1070"/>
      <c r="N40" s="968"/>
      <c r="U40" s="876" t="s">
        <v>281</v>
      </c>
      <c r="V40" s="1059" t="s">
        <v>342</v>
      </c>
      <c r="X40" s="1092"/>
    </row>
    <row r="41" spans="1:26" ht="16.5" thickTop="1" thickBot="1" x14ac:dyDescent="0.3">
      <c r="A41" s="1000" t="str">
        <f>'1.2 Budgeted Enrollment YR1'!A41</f>
        <v>Clark</v>
      </c>
      <c r="B41" s="1089">
        <f>'1.2 Budgeted Enrollment YR1'!B41</f>
        <v>18</v>
      </c>
      <c r="C41" s="1089">
        <f>'1.2 Budgeted Enrollment YR1'!C41</f>
        <v>2</v>
      </c>
      <c r="D41" s="1000" t="str">
        <f>'1.2 Budgeted Enrollment YR1'!D41</f>
        <v>Las Vegas</v>
      </c>
      <c r="E41" s="1000" t="str">
        <f>'1.2 Budgeted Enrollment YR1'!E41</f>
        <v>Cactus Park</v>
      </c>
      <c r="F41" s="1000" t="str">
        <f>'1.2 Budgeted Enrollment YR1'!F41</f>
        <v>3115 Las Vegas Blvd N, Las Vegas, NV 89115</v>
      </c>
      <c r="G41" s="1049">
        <f>'1.2 Budgeted Enrollment YR1'!G41+('1.2 Budgeted Enrollment YR1'!G41*$G$7)</f>
        <v>301.59239347241777</v>
      </c>
      <c r="H41" s="1049"/>
      <c r="I41" s="1050">
        <f>'1.2 Budgeted Enrollment YR1'!I41</f>
        <v>64</v>
      </c>
      <c r="J41" s="1050">
        <f>'1.2 Budgeted Enrollment YR1'!J41</f>
        <v>0</v>
      </c>
      <c r="K41" s="1050">
        <f>'1.2 Budgeted Enrollment YR1'!K41</f>
        <v>0</v>
      </c>
      <c r="L41" s="1050">
        <f>'1.2 Budgeted Enrollment YR1'!L41</f>
        <v>0</v>
      </c>
      <c r="M41" s="1070"/>
      <c r="N41" s="968"/>
      <c r="U41" s="870"/>
      <c r="V41" s="1014" t="s">
        <v>281</v>
      </c>
      <c r="X41" s="1092"/>
    </row>
    <row r="42" spans="1:26" ht="16.5" thickTop="1" thickBot="1" x14ac:dyDescent="0.3">
      <c r="A42" s="1000" t="str">
        <f>'1.2 Budgeted Enrollment YR1'!A42</f>
        <v>Carson City</v>
      </c>
      <c r="B42" s="1089">
        <f>'1.2 Budgeted Enrollment YR1'!B42</f>
        <v>13</v>
      </c>
      <c r="C42" s="1089">
        <f>'1.2 Budgeted Enrollment YR1'!C42</f>
        <v>13</v>
      </c>
      <c r="D42" s="1000" t="str">
        <f>'1.2 Budgeted Enrollment YR1'!D42</f>
        <v>Carson City</v>
      </c>
      <c r="E42" s="1000" t="str">
        <f>'1.2 Budgeted Enrollment YR1'!E42</f>
        <v>Carson Montessori</v>
      </c>
      <c r="F42" s="1000" t="str">
        <f>'1.2 Budgeted Enrollment YR1'!F42</f>
        <v>2263 Mouton Dr, Carson City, NV 89706</v>
      </c>
      <c r="G42" s="1049">
        <f>'1.2 Budgeted Enrollment YR1'!G42+('1.2 Budgeted Enrollment YR1'!G42*$G$7)</f>
        <v>296.55722891108132</v>
      </c>
      <c r="H42" s="1049"/>
      <c r="I42" s="1050">
        <f>'1.2 Budgeted Enrollment YR1'!I42</f>
        <v>5</v>
      </c>
      <c r="J42" s="1050">
        <f>'1.2 Budgeted Enrollment YR1'!J42</f>
        <v>1</v>
      </c>
      <c r="K42" s="1050">
        <f>'1.2 Budgeted Enrollment YR1'!K42</f>
        <v>1</v>
      </c>
      <c r="L42" s="1050">
        <f>'1.2 Budgeted Enrollment YR1'!L42</f>
        <v>0</v>
      </c>
      <c r="M42" s="1070"/>
      <c r="N42" s="968"/>
      <c r="U42" s="876" t="s">
        <v>283</v>
      </c>
      <c r="V42" s="1059" t="s">
        <v>347</v>
      </c>
    </row>
    <row r="43" spans="1:26" ht="16.5" thickTop="1" thickBot="1" x14ac:dyDescent="0.3">
      <c r="A43" s="1000" t="str">
        <f>'1.2 Budgeted Enrollment YR1'!A43</f>
        <v>Clark</v>
      </c>
      <c r="B43" s="1089">
        <f>'1.2 Budgeted Enrollment YR1'!B43</f>
        <v>18</v>
      </c>
      <c r="C43" s="1089">
        <f>'1.2 Budgeted Enrollment YR1'!C43</f>
        <v>2</v>
      </c>
      <c r="D43" s="1000" t="str">
        <f>'1.2 Budgeted Enrollment YR1'!D43</f>
        <v>Las Vegas</v>
      </c>
      <c r="E43" s="1000" t="str">
        <f>'1.2 Budgeted Enrollment YR1'!E43</f>
        <v>CIVICA Nevada Career &amp; Collegiate Academy</v>
      </c>
      <c r="F43" s="1000" t="str">
        <f>'1.2 Budgeted Enrollment YR1'!F43</f>
        <v>1501 E Carey Ave, North Las Vegas, NV 89030</v>
      </c>
      <c r="G43" s="1049">
        <f>'1.2 Budgeted Enrollment YR1'!G43+('1.2 Budgeted Enrollment YR1'!G43*$G$7)</f>
        <v>916.3393721230467</v>
      </c>
      <c r="H43" s="1049"/>
      <c r="I43" s="1050">
        <f>'1.2 Budgeted Enrollment YR1'!I43</f>
        <v>338</v>
      </c>
      <c r="J43" s="1050">
        <f>'1.2 Budgeted Enrollment YR1'!J43</f>
        <v>5</v>
      </c>
      <c r="K43" s="1050">
        <f>'1.2 Budgeted Enrollment YR1'!K43</f>
        <v>0</v>
      </c>
      <c r="L43" s="1050">
        <f>'1.2 Budgeted Enrollment YR1'!L43</f>
        <v>0</v>
      </c>
      <c r="M43" s="1070"/>
      <c r="N43" s="968"/>
      <c r="U43" s="868"/>
      <c r="V43" s="1034" t="s">
        <v>350</v>
      </c>
    </row>
    <row r="44" spans="1:26" ht="16.5" thickTop="1" thickBot="1" x14ac:dyDescent="0.3">
      <c r="A44" s="1000" t="str">
        <f>'1.2 Budgeted Enrollment YR1'!A44</f>
        <v>Clark</v>
      </c>
      <c r="B44" s="1089">
        <f>'1.2 Budgeted Enrollment YR1'!B44</f>
        <v>18</v>
      </c>
      <c r="C44" s="1089">
        <f>'1.2 Budgeted Enrollment YR1'!C44</f>
        <v>2</v>
      </c>
      <c r="D44" s="1000" t="str">
        <f>'1.2 Budgeted Enrollment YR1'!D44</f>
        <v>Las Vegas</v>
      </c>
      <c r="E44" s="1000" t="str">
        <f>'1.2 Budgeted Enrollment YR1'!E44</f>
        <v>Coral Academy of Science Las Vegas</v>
      </c>
      <c r="F44" s="1000" t="str">
        <f>'1.2 Budgeted Enrollment YR1'!F44</f>
        <v>8185 Tamarus St, Las Vegas, NV 89123</v>
      </c>
      <c r="G44" s="1049">
        <f>'1.2 Budgeted Enrollment YR1'!G44+('1.2 Budgeted Enrollment YR1'!G44*$G$7)</f>
        <v>5480.3063751434274</v>
      </c>
      <c r="H44" s="1049"/>
      <c r="I44" s="1050">
        <f>'1.2 Budgeted Enrollment YR1'!I44</f>
        <v>264</v>
      </c>
      <c r="J44" s="1050">
        <f>'1.2 Budgeted Enrollment YR1'!J44</f>
        <v>17</v>
      </c>
      <c r="K44" s="1050">
        <f>'1.2 Budgeted Enrollment YR1'!K44</f>
        <v>61</v>
      </c>
      <c r="L44" s="1050">
        <f>'1.2 Budgeted Enrollment YR1'!L44</f>
        <v>0</v>
      </c>
      <c r="M44" s="1070"/>
      <c r="N44" s="968"/>
      <c r="U44" s="868"/>
      <c r="V44" s="1034" t="s">
        <v>353</v>
      </c>
    </row>
    <row r="45" spans="1:26" ht="16.5" thickTop="1" thickBot="1" x14ac:dyDescent="0.3">
      <c r="A45" s="1000" t="str">
        <f>'1.2 Budgeted Enrollment YR1'!A45</f>
        <v>Washoe</v>
      </c>
      <c r="B45" s="1089">
        <f>'1.2 Budgeted Enrollment YR1'!B45</f>
        <v>16</v>
      </c>
      <c r="C45" s="1089">
        <f>'1.2 Budgeted Enrollment YR1'!C45</f>
        <v>16</v>
      </c>
      <c r="D45" s="1000" t="str">
        <f>'1.2 Budgeted Enrollment YR1'!D45</f>
        <v>Reno</v>
      </c>
      <c r="E45" s="1000" t="str">
        <f>'1.2 Budgeted Enrollment YR1'!E45</f>
        <v>Coral Academy Washoe</v>
      </c>
      <c r="F45" s="1000" t="str">
        <f>'1.2 Budgeted Enrollment YR1'!F45</f>
        <v>1350 E 9th St, Reno, NV 89512 </v>
      </c>
      <c r="G45" s="1049">
        <f>'1.2 Budgeted Enrollment YR1'!G45+('1.2 Budgeted Enrollment YR1'!G45*$G$7)</f>
        <v>2027.9998005260131</v>
      </c>
      <c r="H45" s="1049"/>
      <c r="I45" s="1050">
        <f>'1.2 Budgeted Enrollment YR1'!I45</f>
        <v>162</v>
      </c>
      <c r="J45" s="1050">
        <f>'1.2 Budgeted Enrollment YR1'!J45</f>
        <v>42</v>
      </c>
      <c r="K45" s="1050">
        <f>'1.2 Budgeted Enrollment YR1'!K45</f>
        <v>1</v>
      </c>
      <c r="L45" s="1050">
        <f>'1.2 Budgeted Enrollment YR1'!L45</f>
        <v>0</v>
      </c>
      <c r="M45" s="1070"/>
      <c r="N45" s="968"/>
      <c r="R45" s="864" t="s">
        <v>1746</v>
      </c>
      <c r="U45" s="868"/>
      <c r="V45" s="1034" t="s">
        <v>356</v>
      </c>
    </row>
    <row r="46" spans="1:26" ht="16.5" thickTop="1" thickBot="1" x14ac:dyDescent="0.3">
      <c r="A46" s="1000" t="str">
        <f>'1.2 Budgeted Enrollment YR1'!A46</f>
        <v>Clark</v>
      </c>
      <c r="B46" s="1089">
        <f>'1.2 Budgeted Enrollment YR1'!B46</f>
        <v>2</v>
      </c>
      <c r="C46" s="1089">
        <f>'1.2 Budgeted Enrollment YR1'!C46</f>
        <v>2</v>
      </c>
      <c r="D46" s="1000" t="str">
        <f>'1.2 Budgeted Enrollment YR1'!D46</f>
        <v>Las Vegas</v>
      </c>
      <c r="E46" s="1000" t="str">
        <f>'1.2 Budgeted Enrollment YR1'!E46</f>
        <v>Delta Academy</v>
      </c>
      <c r="F46" s="1000" t="str">
        <f>'1.2 Budgeted Enrollment YR1'!F46</f>
        <v>818 W Brooks Ave, North Las Vegas, NV 89030</v>
      </c>
      <c r="G46" s="1049">
        <f>'1.2 Budgeted Enrollment YR1'!G46+('1.2 Budgeted Enrollment YR1'!G46*$G$7)</f>
        <v>1405.0080479301287</v>
      </c>
      <c r="H46" s="1049"/>
      <c r="I46" s="1050">
        <f>'1.2 Budgeted Enrollment YR1'!I46</f>
        <v>104</v>
      </c>
      <c r="J46" s="1050">
        <f>'1.2 Budgeted Enrollment YR1'!J46</f>
        <v>315</v>
      </c>
      <c r="K46" s="1050">
        <f>'1.2 Budgeted Enrollment YR1'!K46</f>
        <v>0</v>
      </c>
      <c r="L46" s="1050">
        <f>'1.2 Budgeted Enrollment YR1'!L46</f>
        <v>0</v>
      </c>
      <c r="M46" s="1070"/>
      <c r="N46" s="968"/>
      <c r="U46" s="868"/>
      <c r="V46" s="1034" t="s">
        <v>359</v>
      </c>
    </row>
    <row r="47" spans="1:26" ht="16.5" thickTop="1" thickBot="1" x14ac:dyDescent="0.3">
      <c r="A47" s="1000" t="str">
        <f>'1.2 Budgeted Enrollment YR1'!A47</f>
        <v>Clark</v>
      </c>
      <c r="B47" s="1089">
        <f>'1.2 Budgeted Enrollment YR1'!B47</f>
        <v>18</v>
      </c>
      <c r="C47" s="1089">
        <f>'1.2 Budgeted Enrollment YR1'!C47</f>
        <v>2</v>
      </c>
      <c r="D47" s="1000" t="str">
        <f>'1.2 Budgeted Enrollment YR1'!D47</f>
        <v>Las Vegas</v>
      </c>
      <c r="E47" s="1000" t="str">
        <f>'1.2 Budgeted Enrollment YR1'!E47</f>
        <v>Democracy Prep</v>
      </c>
      <c r="F47" s="1000" t="str">
        <f>'1.2 Budgeted Enrollment YR1'!F47</f>
        <v>1201 W Lake Mead Blvd, Las Vegas, NV 89106</v>
      </c>
      <c r="G47" s="1049">
        <f>'1.2 Budgeted Enrollment YR1'!G47+('1.2 Budgeted Enrollment YR1'!G47*$G$7)</f>
        <v>1279.0046975769933</v>
      </c>
      <c r="H47" s="1049"/>
      <c r="I47" s="1050">
        <f>'1.2 Budgeted Enrollment YR1'!I47</f>
        <v>104</v>
      </c>
      <c r="J47" s="1050">
        <f>'1.2 Budgeted Enrollment YR1'!J47</f>
        <v>177</v>
      </c>
      <c r="K47" s="1050">
        <f>'1.2 Budgeted Enrollment YR1'!K47</f>
        <v>0</v>
      </c>
      <c r="L47" s="1050">
        <f>'1.2 Budgeted Enrollment YR1'!L47</f>
        <v>0</v>
      </c>
      <c r="M47" s="1070"/>
      <c r="N47" s="968"/>
      <c r="U47" s="870"/>
      <c r="V47" s="1014" t="s">
        <v>362</v>
      </c>
    </row>
    <row r="48" spans="1:26" ht="16.5" thickTop="1" thickBot="1" x14ac:dyDescent="0.3">
      <c r="A48" s="1000" t="str">
        <f>'1.2 Budgeted Enrollment YR1'!A48</f>
        <v>Clark</v>
      </c>
      <c r="B48" s="1089">
        <f>'1.2 Budgeted Enrollment YR1'!B48</f>
        <v>18</v>
      </c>
      <c r="C48" s="1089">
        <f>'1.2 Budgeted Enrollment YR1'!C48</f>
        <v>2</v>
      </c>
      <c r="D48" s="1000" t="str">
        <f>'1.2 Budgeted Enrollment YR1'!D48</f>
        <v>Las Vegas</v>
      </c>
      <c r="E48" s="1000" t="str">
        <f>'1.2 Budgeted Enrollment YR1'!E48</f>
        <v>Discovery Charter</v>
      </c>
      <c r="F48" s="1000" t="str">
        <f>'1.2 Budgeted Enrollment YR1'!F48</f>
        <v>3975 S Sandhill Rd, Las Vegas, NV 89121</v>
      </c>
      <c r="G48" s="1049">
        <f>'1.2 Budgeted Enrollment YR1'!G48+('1.2 Budgeted Enrollment YR1'!G48*$G$7)</f>
        <v>499.79963400639872</v>
      </c>
      <c r="H48" s="1049"/>
      <c r="I48" s="1050">
        <f>'1.2 Budgeted Enrollment YR1'!I48</f>
        <v>55</v>
      </c>
      <c r="J48" s="1050">
        <f>'1.2 Budgeted Enrollment YR1'!J48</f>
        <v>3</v>
      </c>
      <c r="K48" s="1050">
        <f>'1.2 Budgeted Enrollment YR1'!K48</f>
        <v>0</v>
      </c>
      <c r="L48" s="1050">
        <f>'1.2 Budgeted Enrollment YR1'!L48</f>
        <v>0</v>
      </c>
      <c r="M48" s="1070"/>
      <c r="N48" s="968"/>
      <c r="U48" s="870"/>
      <c r="V48" s="1014" t="s">
        <v>362</v>
      </c>
    </row>
    <row r="49" spans="1:22" ht="16.5" thickTop="1" thickBot="1" x14ac:dyDescent="0.3">
      <c r="A49" s="1000" t="str">
        <f>'1.2 Budgeted Enrollment YR1'!A49</f>
        <v>Clark</v>
      </c>
      <c r="B49" s="1089">
        <f>'1.2 Budgeted Enrollment YR1'!B49</f>
        <v>18</v>
      </c>
      <c r="C49" s="1089">
        <f>'1.2 Budgeted Enrollment YR1'!C49</f>
        <v>2</v>
      </c>
      <c r="D49" s="1000" t="str">
        <f>'1.2 Budgeted Enrollment YR1'!D49</f>
        <v>Las Vegas</v>
      </c>
      <c r="E49" s="1000" t="str">
        <f>'1.2 Budgeted Enrollment YR1'!E49</f>
        <v>Do and Be Academy of Excellence</v>
      </c>
      <c r="F49" s="1000" t="str">
        <f>'1.2 Budgeted Enrollment YR1'!F48</f>
        <v>3975 S Sandhill Rd, Las Vegas, NV 89121</v>
      </c>
      <c r="G49" s="1049">
        <f>'1.2 Budgeted Enrollment YR1'!G49+('1.2 Budgeted Enrollment YR1'!G49*$G$7)</f>
        <v>55.444307975565003</v>
      </c>
      <c r="H49" s="1049"/>
      <c r="I49" s="1050">
        <f>'1.2 Budgeted Enrollment YR1'!I49</f>
        <v>0</v>
      </c>
      <c r="J49" s="1050">
        <f>'1.2 Budgeted Enrollment YR1'!J49</f>
        <v>0</v>
      </c>
      <c r="K49" s="1050">
        <f>'1.2 Budgeted Enrollment YR1'!K49</f>
        <v>0</v>
      </c>
      <c r="L49" s="1050">
        <f>'1.2 Budgeted Enrollment YR1'!L49</f>
        <v>0</v>
      </c>
      <c r="M49" s="1070" t="s">
        <v>370</v>
      </c>
      <c r="N49" s="968"/>
      <c r="U49" s="876" t="s">
        <v>366</v>
      </c>
      <c r="V49" s="1059" t="s">
        <v>367</v>
      </c>
    </row>
    <row r="50" spans="1:22" ht="16.5" thickTop="1" thickBot="1" x14ac:dyDescent="0.3">
      <c r="A50" s="1000" t="str">
        <f>'1.2 Budgeted Enrollment YR1'!A50</f>
        <v>Clark</v>
      </c>
      <c r="B50" s="1089">
        <f>'1.2 Budgeted Enrollment YR1'!B50</f>
        <v>18</v>
      </c>
      <c r="C50" s="1089">
        <f>'1.2 Budgeted Enrollment YR1'!C50</f>
        <v>2</v>
      </c>
      <c r="D50" s="1000" t="str">
        <f>'1.2 Budgeted Enrollment YR1'!D50</f>
        <v>Las Vegas</v>
      </c>
      <c r="E50" s="1000" t="str">
        <f>'1.2 Budgeted Enrollment YR1'!E50</f>
        <v>Doral Academy</v>
      </c>
      <c r="F50" s="1000" t="str">
        <f>'1.2 Budgeted Enrollment YR1'!F49</f>
        <v>North Las Vegas</v>
      </c>
      <c r="G50" s="1049">
        <f>'1.2 Budgeted Enrollment YR1'!G50+('1.2 Budgeted Enrollment YR1'!G50*$G$7)</f>
        <v>6463.7282261846876</v>
      </c>
      <c r="H50" s="1049"/>
      <c r="I50" s="1050">
        <f>'1.2 Budgeted Enrollment YR1'!I50</f>
        <v>232</v>
      </c>
      <c r="J50" s="1050">
        <f>'1.2 Budgeted Enrollment YR1'!J50</f>
        <v>7</v>
      </c>
      <c r="K50" s="1050">
        <f>'1.2 Budgeted Enrollment YR1'!K50</f>
        <v>330</v>
      </c>
      <c r="L50" s="1050">
        <f>'1.2 Budgeted Enrollment YR1'!L50</f>
        <v>0</v>
      </c>
      <c r="M50" s="1070"/>
      <c r="N50" s="968"/>
      <c r="U50" s="870"/>
      <c r="V50" s="1014" t="s">
        <v>371</v>
      </c>
    </row>
    <row r="51" spans="1:22" ht="16.5" thickTop="1" thickBot="1" x14ac:dyDescent="0.3">
      <c r="A51" s="1000" t="str">
        <f>'1.2 Budgeted Enrollment YR1'!A51</f>
        <v>Washoe</v>
      </c>
      <c r="B51" s="1089">
        <f>'1.2 Budgeted Enrollment YR1'!B51</f>
        <v>18</v>
      </c>
      <c r="C51" s="1089">
        <f>'1.2 Budgeted Enrollment YR1'!C51</f>
        <v>16</v>
      </c>
      <c r="D51" s="1000" t="str">
        <f>'1.2 Budgeted Enrollment YR1'!D51</f>
        <v>Reno</v>
      </c>
      <c r="E51" s="1000" t="str">
        <f>'1.2 Budgeted Enrollment YR1'!E51</f>
        <v>Doral Academy of Northern Nevada</v>
      </c>
      <c r="F51" s="1000" t="str">
        <f>'1.2 Budgeted Enrollment YR1'!F50</f>
        <v>9625 W Saddle Ave, Las Vegas, NV 89147</v>
      </c>
      <c r="G51" s="1049">
        <f>'1.2 Budgeted Enrollment YR1'!G51+('1.2 Budgeted Enrollment YR1'!G51*$G$7)</f>
        <v>1018.777864840123</v>
      </c>
      <c r="H51" s="1049"/>
      <c r="I51" s="1050">
        <f>'1.2 Budgeted Enrollment YR1'!I51</f>
        <v>10</v>
      </c>
      <c r="J51" s="1050">
        <f>'1.2 Budgeted Enrollment YR1'!J51</f>
        <v>0</v>
      </c>
      <c r="K51" s="1050">
        <f>'1.2 Budgeted Enrollment YR1'!K51</f>
        <v>79</v>
      </c>
      <c r="L51" s="1050">
        <f>'1.2 Budgeted Enrollment YR1'!L51</f>
        <v>0</v>
      </c>
      <c r="M51" s="1070"/>
      <c r="N51" s="968"/>
      <c r="U51" s="876" t="s">
        <v>287</v>
      </c>
      <c r="V51" s="1059" t="s">
        <v>374</v>
      </c>
    </row>
    <row r="52" spans="1:22" ht="16.5" thickTop="1" thickBot="1" x14ac:dyDescent="0.3">
      <c r="A52" s="1000" t="str">
        <f>'1.2 Budgeted Enrollment YR1'!A52</f>
        <v>Clark</v>
      </c>
      <c r="B52" s="1089">
        <f>'1.2 Budgeted Enrollment YR1'!B52</f>
        <v>18</v>
      </c>
      <c r="C52" s="1089">
        <f>'1.2 Budgeted Enrollment YR1'!C52</f>
        <v>2</v>
      </c>
      <c r="D52" s="1000" t="str">
        <f>'1.2 Budgeted Enrollment YR1'!D52</f>
        <v>Las Vegas</v>
      </c>
      <c r="E52" s="1000" t="str">
        <f>'1.2 Budgeted Enrollment YR1'!E52</f>
        <v>Eagle Charter School (CLOSED)</v>
      </c>
      <c r="F52" s="1000" t="str">
        <f>'1.2 Budgeted Enrollment YR1'!F51</f>
        <v>3725 Butch Cassidy Dr, Reno, NV 89511</v>
      </c>
      <c r="G52" s="1049">
        <f>'1.2 Budgeted Enrollment YR1'!G52+('1.2 Budgeted Enrollment YR1'!G52*$G$7)</f>
        <v>0</v>
      </c>
      <c r="H52" s="1049"/>
      <c r="I52" s="1050">
        <f>'1.2 Budgeted Enrollment YR1'!I52</f>
        <v>0</v>
      </c>
      <c r="J52" s="1050">
        <f>'1.2 Budgeted Enrollment YR1'!J52</f>
        <v>0</v>
      </c>
      <c r="K52" s="1050">
        <f>'1.2 Budgeted Enrollment YR1'!K52</f>
        <v>0</v>
      </c>
      <c r="L52" s="1050">
        <f>'1.2 Budgeted Enrollment YR1'!L52</f>
        <v>0</v>
      </c>
      <c r="M52" s="1070"/>
      <c r="N52" s="968"/>
      <c r="U52" s="868"/>
      <c r="V52" s="1034" t="s">
        <v>377</v>
      </c>
    </row>
    <row r="53" spans="1:22" ht="16.5" thickTop="1" thickBot="1" x14ac:dyDescent="0.3">
      <c r="A53" s="1000" t="str">
        <f>'1.2 Budgeted Enrollment YR1'!A53</f>
        <v>Elko</v>
      </c>
      <c r="B53" s="1089">
        <f>'1.2 Budgeted Enrollment YR1'!B53</f>
        <v>18</v>
      </c>
      <c r="C53" s="1089">
        <f>'1.2 Budgeted Enrollment YR1'!C53</f>
        <v>4</v>
      </c>
      <c r="D53" s="1000" t="str">
        <f>'1.2 Budgeted Enrollment YR1'!D53</f>
        <v>Elko</v>
      </c>
      <c r="E53" s="1000" t="str">
        <f>'1.2 Budgeted Enrollment YR1'!E53</f>
        <v>Elko Institute for Academic Achievement</v>
      </c>
      <c r="F53" s="1000" t="str">
        <f>'1.2 Budgeted Enrollment YR1'!F52</f>
        <v>999A Locust St NE, Salem, OR 97301</v>
      </c>
      <c r="G53" s="1049">
        <f>'1.2 Budgeted Enrollment YR1'!G53+('1.2 Budgeted Enrollment YR1'!G53*$G$7)</f>
        <v>315.7286385132989</v>
      </c>
      <c r="H53" s="1049"/>
      <c r="I53" s="1050">
        <f>'1.2 Budgeted Enrollment YR1'!I53</f>
        <v>8</v>
      </c>
      <c r="J53" s="1050">
        <f>'1.2 Budgeted Enrollment YR1'!J53</f>
        <v>8</v>
      </c>
      <c r="K53" s="1050">
        <f>'1.2 Budgeted Enrollment YR1'!K53</f>
        <v>0</v>
      </c>
      <c r="L53" s="1050">
        <f>'1.2 Budgeted Enrollment YR1'!L53</f>
        <v>0</v>
      </c>
      <c r="M53" s="1070"/>
      <c r="N53" s="968"/>
      <c r="U53" s="868"/>
      <c r="V53" s="1034" t="s">
        <v>380</v>
      </c>
    </row>
    <row r="54" spans="1:22" ht="16.5" thickTop="1" thickBot="1" x14ac:dyDescent="0.3">
      <c r="A54" s="1000" t="str">
        <f>'1.2 Budgeted Enrollment YR1'!A54</f>
        <v>Washoe</v>
      </c>
      <c r="B54" s="1089">
        <f>'1.2 Budgeted Enrollment YR1'!B54</f>
        <v>16</v>
      </c>
      <c r="C54" s="1089">
        <f>'1.2 Budgeted Enrollment YR1'!C54</f>
        <v>16</v>
      </c>
      <c r="D54" s="1000" t="str">
        <f>'1.2 Budgeted Enrollment YR1'!D54</f>
        <v>Reno</v>
      </c>
      <c r="E54" s="1000" t="str">
        <f>'1.2 Budgeted Enrollment YR1'!E54</f>
        <v>enCompass Academy</v>
      </c>
      <c r="F54" s="1000" t="str">
        <f>'1.2 Budgeted Enrollment YR1'!F53</f>
        <v>1031 Railroad St Ste 107, Elko, NV 89801</v>
      </c>
      <c r="G54" s="1049">
        <f>'1.2 Budgeted Enrollment YR1'!G54+('1.2 Budgeted Enrollment YR1'!G54*$G$7)</f>
        <v>129.86699722187711</v>
      </c>
      <c r="H54" s="1049"/>
      <c r="I54" s="1050">
        <f>'1.2 Budgeted Enrollment YR1'!I54</f>
        <v>15</v>
      </c>
      <c r="J54" s="1050">
        <f>'1.2 Budgeted Enrollment YR1'!J54</f>
        <v>10</v>
      </c>
      <c r="K54" s="1050">
        <f>'1.2 Budgeted Enrollment YR1'!K54</f>
        <v>0</v>
      </c>
      <c r="L54" s="1050">
        <f>'1.2 Budgeted Enrollment YR1'!L54</f>
        <v>0</v>
      </c>
      <c r="M54" s="1070"/>
      <c r="N54" s="968"/>
      <c r="U54" s="870"/>
      <c r="V54" s="1014" t="s">
        <v>383</v>
      </c>
    </row>
    <row r="55" spans="1:22" ht="16.5" thickTop="1" thickBot="1" x14ac:dyDescent="0.3">
      <c r="A55" s="1000" t="str">
        <f>'1.2 Budgeted Enrollment YR1'!A55</f>
        <v>Clark</v>
      </c>
      <c r="B55" s="1089">
        <f>'1.2 Budgeted Enrollment YR1'!B55</f>
        <v>18</v>
      </c>
      <c r="C55" s="1089">
        <f>'1.2 Budgeted Enrollment YR1'!C55</f>
        <v>2</v>
      </c>
      <c r="D55" s="1000" t="str">
        <f>'1.2 Budgeted Enrollment YR1'!D55</f>
        <v>Las Vegas</v>
      </c>
      <c r="E55" s="1000" t="str">
        <f>'1.2 Budgeted Enrollment YR1'!E55</f>
        <v>Equipo Academy</v>
      </c>
      <c r="F55" s="1000" t="str">
        <f>'1.2 Budgeted Enrollment YR1'!F54</f>
        <v>1300 Foster Dr, Reno, NV 89509</v>
      </c>
      <c r="G55" s="1049">
        <f>'1.2 Budgeted Enrollment YR1'!G55+('1.2 Budgeted Enrollment YR1'!G55*$G$7)</f>
        <v>900.7667088070209</v>
      </c>
      <c r="H55" s="1049"/>
      <c r="I55" s="1050">
        <f>'1.2 Budgeted Enrollment YR1'!I55</f>
        <v>249</v>
      </c>
      <c r="J55" s="1050">
        <f>'1.2 Budgeted Enrollment YR1'!J55</f>
        <v>22</v>
      </c>
      <c r="K55" s="1050">
        <f>'1.2 Budgeted Enrollment YR1'!K55</f>
        <v>0</v>
      </c>
      <c r="L55" s="1050">
        <f>'1.2 Budgeted Enrollment YR1'!L55</f>
        <v>0</v>
      </c>
      <c r="M55" s="1070"/>
      <c r="N55" s="968"/>
      <c r="U55" s="876" t="s">
        <v>289</v>
      </c>
      <c r="V55" s="1059" t="s">
        <v>386</v>
      </c>
    </row>
    <row r="56" spans="1:22" ht="16.5" thickTop="1" thickBot="1" x14ac:dyDescent="0.3">
      <c r="A56" s="1000" t="str">
        <f>'1.2 Budgeted Enrollment YR1'!A56</f>
        <v>Clark</v>
      </c>
      <c r="B56" s="1089">
        <f>'1.2 Budgeted Enrollment YR1'!B56</f>
        <v>18</v>
      </c>
      <c r="C56" s="1089">
        <f>'1.2 Budgeted Enrollment YR1'!C56</f>
        <v>2</v>
      </c>
      <c r="D56" s="1000" t="str">
        <f>'1.2 Budgeted Enrollment YR1'!D56</f>
        <v>Las Vegas</v>
      </c>
      <c r="E56" s="1000" t="str">
        <f>'1.2 Budgeted Enrollment YR1'!E56</f>
        <v>Explore Academy</v>
      </c>
      <c r="F56" s="1000" t="str">
        <f>'1.2 Budgeted Enrollment YR1'!F55</f>
        <v>4131 E Bonanza Rd. Las Vegas, NV 89110</v>
      </c>
      <c r="G56" s="1049">
        <f>'1.2 Budgeted Enrollment YR1'!G56+('1.2 Budgeted Enrollment YR1'!G56*$G$7)</f>
        <v>285.9150020191048</v>
      </c>
      <c r="H56" s="1049"/>
      <c r="I56" s="1050">
        <f>'1.2 Budgeted Enrollment YR1'!I56</f>
        <v>41</v>
      </c>
      <c r="J56" s="1050">
        <f>'1.2 Budgeted Enrollment YR1'!J56</f>
        <v>3</v>
      </c>
      <c r="K56" s="1050">
        <f>'1.2 Budgeted Enrollment YR1'!K56</f>
        <v>0</v>
      </c>
      <c r="L56" s="1050">
        <f>'1.2 Budgeted Enrollment YR1'!L56</f>
        <v>0</v>
      </c>
      <c r="M56" s="1070"/>
      <c r="N56" s="968"/>
      <c r="U56" s="868"/>
      <c r="V56" s="1034" t="s">
        <v>389</v>
      </c>
    </row>
    <row r="57" spans="1:22" ht="16.5" thickTop="1" thickBot="1" x14ac:dyDescent="0.3">
      <c r="A57" s="1000" t="str">
        <f>'1.2 Budgeted Enrollment YR1'!A57</f>
        <v>Clark</v>
      </c>
      <c r="B57" s="1089">
        <f>'1.2 Budgeted Enrollment YR1'!B57</f>
        <v>2</v>
      </c>
      <c r="C57" s="1089">
        <f>'1.2 Budgeted Enrollment YR1'!C57</f>
        <v>2</v>
      </c>
      <c r="D57" s="1000" t="str">
        <f>'1.2 Budgeted Enrollment YR1'!D57</f>
        <v>Las Vegas</v>
      </c>
      <c r="E57" s="1000" t="str">
        <f>'1.2 Budgeted Enrollment YR1'!E57</f>
        <v>Explore Knowledge Academy</v>
      </c>
      <c r="F57" s="1000" t="str">
        <f>'1.2 Budgeted Enrollment YR1'!F56</f>
        <v>4660 North Rancho, Las Vegas, NV 89130</v>
      </c>
      <c r="G57" s="1049">
        <f>'1.2 Budgeted Enrollment YR1'!G57+('1.2 Budgeted Enrollment YR1'!G57*$G$7)</f>
        <v>664.59038477421791</v>
      </c>
      <c r="H57" s="1049"/>
      <c r="I57" s="1050">
        <f>'1.2 Budgeted Enrollment YR1'!I57</f>
        <v>47</v>
      </c>
      <c r="J57" s="1050">
        <f>'1.2 Budgeted Enrollment YR1'!J57</f>
        <v>21</v>
      </c>
      <c r="K57" s="1050">
        <f>'1.2 Budgeted Enrollment YR1'!K57</f>
        <v>0</v>
      </c>
      <c r="L57" s="1050">
        <f>'1.2 Budgeted Enrollment YR1'!L57</f>
        <v>0</v>
      </c>
      <c r="M57" s="1070"/>
      <c r="N57" s="968"/>
      <c r="U57" s="868"/>
      <c r="V57" s="1034" t="s">
        <v>393</v>
      </c>
    </row>
    <row r="58" spans="1:22" ht="16.5" thickTop="1" thickBot="1" x14ac:dyDescent="0.3">
      <c r="A58" s="1000" t="str">
        <f>'1.2 Budgeted Enrollment YR1'!A58</f>
        <v>Clark</v>
      </c>
      <c r="B58" s="1089">
        <f>'1.2 Budgeted Enrollment YR1'!B58</f>
        <v>18</v>
      </c>
      <c r="C58" s="1089">
        <f>'1.2 Budgeted Enrollment YR1'!C58</f>
        <v>2</v>
      </c>
      <c r="D58" s="1000" t="str">
        <f>'1.2 Budgeted Enrollment YR1'!D58</f>
        <v>Las Vegas</v>
      </c>
      <c r="E58" s="1000" t="str">
        <f>'1.2 Budgeted Enrollment YR1'!E58</f>
        <v>Founders Academy of Las Vegas</v>
      </c>
      <c r="F58" s="1000" t="str">
        <f>'1.2 Budgeted Enrollment YR1'!F57</f>
        <v>5871 Mountain Vista St, Las Vegas, NV 89120</v>
      </c>
      <c r="G58" s="1049">
        <f>'1.2 Budgeted Enrollment YR1'!G58+('1.2 Budgeted Enrollment YR1'!G58*$G$7)</f>
        <v>1110.2866416609052</v>
      </c>
      <c r="H58" s="1049"/>
      <c r="I58" s="1050">
        <f>'1.2 Budgeted Enrollment YR1'!I58</f>
        <v>86</v>
      </c>
      <c r="J58" s="1050">
        <f>'1.2 Budgeted Enrollment YR1'!J58</f>
        <v>8</v>
      </c>
      <c r="K58" s="1050">
        <f>'1.2 Budgeted Enrollment YR1'!K58</f>
        <v>0</v>
      </c>
      <c r="L58" s="1050">
        <f>'1.2 Budgeted Enrollment YR1'!L58</f>
        <v>0</v>
      </c>
      <c r="M58" s="1070"/>
      <c r="N58" s="968"/>
      <c r="U58" s="868"/>
      <c r="V58" s="1034" t="s">
        <v>396</v>
      </c>
    </row>
    <row r="59" spans="1:22" ht="16.5" thickTop="1" thickBot="1" x14ac:dyDescent="0.3">
      <c r="A59" s="1000" t="str">
        <f>'1.2 Budgeted Enrollment YR1'!A59</f>
        <v>Clark</v>
      </c>
      <c r="B59" s="1089">
        <f>'1.2 Budgeted Enrollment YR1'!B59</f>
        <v>18</v>
      </c>
      <c r="C59" s="1089">
        <f>'1.2 Budgeted Enrollment YR1'!C59</f>
        <v>2</v>
      </c>
      <c r="D59" s="1000" t="str">
        <f>'1.2 Budgeted Enrollment YR1'!D59</f>
        <v>Las Vegas</v>
      </c>
      <c r="E59" s="1000" t="str">
        <f>'1.2 Budgeted Enrollment YR1'!E59</f>
        <v>Freedom Classical Academy</v>
      </c>
      <c r="F59" s="1000" t="str">
        <f>'1.2 Budgeted Enrollment YR1'!F58</f>
        <v>5730 W Alexander Rd, Las Vegas, NV 89130</v>
      </c>
      <c r="G59" s="1049">
        <f>'1.2 Budgeted Enrollment YR1'!G59+('1.2 Budgeted Enrollment YR1'!G59*$G$7)</f>
        <v>1074.7232250803561</v>
      </c>
      <c r="H59" s="1049"/>
      <c r="I59" s="1050">
        <f>'1.2 Budgeted Enrollment YR1'!I59</f>
        <v>137</v>
      </c>
      <c r="J59" s="1050">
        <f>'1.2 Budgeted Enrollment YR1'!J59</f>
        <v>21</v>
      </c>
      <c r="K59" s="1050">
        <f>'1.2 Budgeted Enrollment YR1'!K59</f>
        <v>48</v>
      </c>
      <c r="L59" s="1050">
        <f>'1.2 Budgeted Enrollment YR1'!L59</f>
        <v>0</v>
      </c>
      <c r="M59" s="1070"/>
      <c r="N59" s="968"/>
      <c r="U59" s="876" t="s">
        <v>291</v>
      </c>
      <c r="V59" s="1059" t="s">
        <v>400</v>
      </c>
    </row>
    <row r="60" spans="1:22" ht="16.5" thickTop="1" thickBot="1" x14ac:dyDescent="0.3">
      <c r="A60" s="1000" t="str">
        <f>'1.2 Budgeted Enrollment YR1'!A60</f>
        <v>Clark</v>
      </c>
      <c r="B60" s="1089">
        <f>'1.2 Budgeted Enrollment YR1'!B60</f>
        <v>18</v>
      </c>
      <c r="C60" s="1089">
        <f>'1.2 Budgeted Enrollment YR1'!C60</f>
        <v>2</v>
      </c>
      <c r="D60" s="1000" t="str">
        <f>'1.2 Budgeted Enrollment YR1'!D60</f>
        <v>Las Vegas</v>
      </c>
      <c r="E60" s="1000" t="str">
        <f>'1.2 Budgeted Enrollment YR1'!E60</f>
        <v>Futuro Academy Elementary</v>
      </c>
      <c r="F60" s="1000" t="str">
        <f>'1.2 Budgeted Enrollment YR1'!F59</f>
        <v>777 E Ann Rd North, Las Vegas, NV 89081</v>
      </c>
      <c r="G60" s="1049">
        <f>'1.2 Budgeted Enrollment YR1'!G60+('1.2 Budgeted Enrollment YR1'!G60*$G$7)</f>
        <v>467.88219404846518</v>
      </c>
      <c r="H60" s="1049"/>
      <c r="I60" s="1050">
        <f>'1.2 Budgeted Enrollment YR1'!I60</f>
        <v>173</v>
      </c>
      <c r="J60" s="1050">
        <f>'1.2 Budgeted Enrollment YR1'!J60</f>
        <v>0</v>
      </c>
      <c r="K60" s="1050">
        <f>'1.2 Budgeted Enrollment YR1'!K60</f>
        <v>0</v>
      </c>
      <c r="L60" s="1050">
        <f>'1.2 Budgeted Enrollment YR1'!L60</f>
        <v>0</v>
      </c>
      <c r="M60" s="1070"/>
      <c r="N60" s="968"/>
      <c r="U60" s="870"/>
      <c r="V60" s="1014" t="s">
        <v>404</v>
      </c>
    </row>
    <row r="61" spans="1:22" ht="16.5" thickTop="1" thickBot="1" x14ac:dyDescent="0.3">
      <c r="A61" s="1000" t="str">
        <f>'1.2 Budgeted Enrollment YR1'!A61</f>
        <v>Washoe</v>
      </c>
      <c r="B61" s="1089">
        <f>'1.2 Budgeted Enrollment YR1'!B61</f>
        <v>16</v>
      </c>
      <c r="C61" s="1089">
        <f>'1.2 Budgeted Enrollment YR1'!C61</f>
        <v>16</v>
      </c>
      <c r="D61" s="1000" t="str">
        <f>'1.2 Budgeted Enrollment YR1'!D61</f>
        <v>Reno</v>
      </c>
      <c r="E61" s="1000" t="str">
        <f>'1.2 Budgeted Enrollment YR1'!E61</f>
        <v>High Desert Montessori</v>
      </c>
      <c r="F61" s="1000" t="str">
        <f>'1.2 Budgeted Enrollment YR1'!F60</f>
        <v>920 N. Lamb Boulevard, Las Vegas, Nevada 89110</v>
      </c>
      <c r="G61" s="1049">
        <f>'1.2 Budgeted Enrollment YR1'!G61+('1.2 Budgeted Enrollment YR1'!G61*$G$7)</f>
        <v>411.94504777978403</v>
      </c>
      <c r="H61" s="1049"/>
      <c r="I61" s="1050">
        <f>'1.2 Budgeted Enrollment YR1'!I61</f>
        <v>18</v>
      </c>
      <c r="J61" s="1050">
        <f>'1.2 Budgeted Enrollment YR1'!J61</f>
        <v>16</v>
      </c>
      <c r="K61" s="1050">
        <f>'1.2 Budgeted Enrollment YR1'!K61</f>
        <v>0</v>
      </c>
      <c r="L61" s="1050">
        <f>'1.2 Budgeted Enrollment YR1'!L61</f>
        <v>0</v>
      </c>
      <c r="M61" s="1070"/>
      <c r="N61" s="968"/>
      <c r="U61" s="876" t="s">
        <v>293</v>
      </c>
      <c r="V61" s="1059" t="s">
        <v>408</v>
      </c>
    </row>
    <row r="62" spans="1:22" ht="16.5" thickTop="1" thickBot="1" x14ac:dyDescent="0.3">
      <c r="A62" s="1000" t="str">
        <f>'1.2 Budgeted Enrollment YR1'!A62</f>
        <v>Washoe</v>
      </c>
      <c r="B62" s="1089">
        <f>'1.2 Budgeted Enrollment YR1'!B62</f>
        <v>18</v>
      </c>
      <c r="C62" s="1089">
        <f>'1.2 Budgeted Enrollment YR1'!C62</f>
        <v>16</v>
      </c>
      <c r="D62" s="1000" t="str">
        <f>'1.2 Budgeted Enrollment YR1'!D62</f>
        <v>Reno</v>
      </c>
      <c r="E62" s="1000" t="str">
        <f>'1.2 Budgeted Enrollment YR1'!E62</f>
        <v>Honors Academy of Literature</v>
      </c>
      <c r="F62" s="1000" t="str">
        <f>'1.2 Budgeted Enrollment YR1'!F61</f>
        <v>2590 Orovada St, Reno, NV 89512</v>
      </c>
      <c r="G62" s="1049">
        <f>'1.2 Budgeted Enrollment YR1'!G62+('1.2 Budgeted Enrollment YR1'!G62*$G$7)</f>
        <v>219.20317856717219</v>
      </c>
      <c r="H62" s="1049"/>
      <c r="I62" s="1050">
        <f>'1.2 Budgeted Enrollment YR1'!I62</f>
        <v>2</v>
      </c>
      <c r="J62" s="1050">
        <f>'1.2 Budgeted Enrollment YR1'!J62</f>
        <v>0</v>
      </c>
      <c r="K62" s="1050">
        <f>'1.2 Budgeted Enrollment YR1'!K62</f>
        <v>2</v>
      </c>
      <c r="L62" s="1050">
        <f>'1.2 Budgeted Enrollment YR1'!L62</f>
        <v>0</v>
      </c>
      <c r="M62" s="1070"/>
      <c r="N62" s="968"/>
      <c r="U62" s="868"/>
      <c r="V62" s="1034" t="s">
        <v>412</v>
      </c>
    </row>
    <row r="63" spans="1:22" ht="16.5" thickTop="1" thickBot="1" x14ac:dyDescent="0.3">
      <c r="A63" s="1000" t="str">
        <f>'1.2 Budgeted Enrollment YR1'!A63</f>
        <v>Clark</v>
      </c>
      <c r="B63" s="1089">
        <f>'1.2 Budgeted Enrollment YR1'!B63</f>
        <v>18</v>
      </c>
      <c r="C63" s="1089">
        <f>'1.2 Budgeted Enrollment YR1'!C63</f>
        <v>2</v>
      </c>
      <c r="D63" s="1000" t="str">
        <f>'1.2 Budgeted Enrollment YR1'!D63</f>
        <v>Las Vegas</v>
      </c>
      <c r="E63" s="1000" t="str">
        <f>'1.2 Budgeted Enrollment YR1'!E63</f>
        <v>Imagine School Mountain View</v>
      </c>
      <c r="F63" s="1000" t="str">
        <f>'1.2 Budgeted Enrollment YR1'!F62</f>
        <v>195 N Arlington Ave, Reno, NV 89501</v>
      </c>
      <c r="G63" s="1049">
        <f>'1.2 Budgeted Enrollment YR1'!G63+('1.2 Budgeted Enrollment YR1'!G63*$G$7)</f>
        <v>695.95030141306381</v>
      </c>
      <c r="H63" s="1049"/>
      <c r="I63" s="1050">
        <f>'1.2 Budgeted Enrollment YR1'!I63</f>
        <v>82</v>
      </c>
      <c r="J63" s="1050">
        <f>'1.2 Budgeted Enrollment YR1'!J63</f>
        <v>0</v>
      </c>
      <c r="K63" s="1050">
        <f>'1.2 Budgeted Enrollment YR1'!K63</f>
        <v>0</v>
      </c>
      <c r="L63" s="1050">
        <f>'1.2 Budgeted Enrollment YR1'!L63</f>
        <v>0</v>
      </c>
      <c r="M63" s="1070"/>
      <c r="N63" s="968"/>
      <c r="U63" s="868"/>
      <c r="V63" s="1034" t="s">
        <v>1747</v>
      </c>
    </row>
    <row r="64" spans="1:22" ht="16.5" thickTop="1" thickBot="1" x14ac:dyDescent="0.3">
      <c r="A64" s="1000" t="str">
        <f>'1.2 Budgeted Enrollment YR1'!A64</f>
        <v>Clark</v>
      </c>
      <c r="B64" s="1089">
        <f>'1.2 Budgeted Enrollment YR1'!B64</f>
        <v>2</v>
      </c>
      <c r="C64" s="1089">
        <f>'1.2 Budgeted Enrollment YR1'!C64</f>
        <v>2</v>
      </c>
      <c r="D64" s="1000" t="str">
        <f>'1.2 Budgeted Enrollment YR1'!D64</f>
        <v>Las Vegas</v>
      </c>
      <c r="E64" s="1000" t="str">
        <f>'1.2 Budgeted Enrollment YR1'!E64</f>
        <v>Innovations Int'l Charter</v>
      </c>
      <c r="F64" s="1000" t="str">
        <f>'1.2 Budgeted Enrollment YR1'!F63</f>
        <v>6610 Grand Montecito Pkwy, Las Vegas, NV 89149</v>
      </c>
      <c r="G64" s="1049">
        <f>'1.2 Budgeted Enrollment YR1'!G64+('1.2 Budgeted Enrollment YR1'!G64*$G$7)</f>
        <v>682.14466872714809</v>
      </c>
      <c r="H64" s="1049"/>
      <c r="I64" s="1050">
        <f>'1.2 Budgeted Enrollment YR1'!I64</f>
        <v>180</v>
      </c>
      <c r="J64" s="1050">
        <f>'1.2 Budgeted Enrollment YR1'!J64</f>
        <v>61</v>
      </c>
      <c r="K64" s="1050">
        <f>'1.2 Budgeted Enrollment YR1'!K64</f>
        <v>0</v>
      </c>
      <c r="L64" s="1050">
        <f>'1.2 Budgeted Enrollment YR1'!L64</f>
        <v>0</v>
      </c>
      <c r="M64" s="1070"/>
      <c r="N64" s="968"/>
      <c r="U64" s="868"/>
      <c r="V64" s="1034" t="s">
        <v>415</v>
      </c>
    </row>
    <row r="65" spans="1:22" ht="16.5" thickTop="1" thickBot="1" x14ac:dyDescent="0.3">
      <c r="A65" s="1000" t="str">
        <f>'1.2 Budgeted Enrollment YR1'!A65</f>
        <v>Clark</v>
      </c>
      <c r="B65" s="1089">
        <f>'1.2 Budgeted Enrollment YR1'!B65</f>
        <v>18</v>
      </c>
      <c r="C65" s="1089">
        <f>'1.2 Budgeted Enrollment YR1'!C65</f>
        <v>2</v>
      </c>
      <c r="D65" s="1000" t="str">
        <f>'1.2 Budgeted Enrollment YR1'!D65</f>
        <v>Las Vegas</v>
      </c>
      <c r="E65" s="1000" t="str">
        <f>'1.2 Budgeted Enrollment YR1'!E65</f>
        <v>Leadership Academy of Nevada</v>
      </c>
      <c r="F65" s="1000" t="str">
        <f>'1.2 Budgeted Enrollment YR1'!F64</f>
        <v>1600 E Oakey Blvd, Las Vegas, NV 89104</v>
      </c>
      <c r="G65" s="1049">
        <f>'1.2 Budgeted Enrollment YR1'!G65+('1.2 Budgeted Enrollment YR1'!G65*$G$7)</f>
        <v>287.40686460222514</v>
      </c>
      <c r="H65" s="1049"/>
      <c r="I65" s="1050">
        <f>'1.2 Budgeted Enrollment YR1'!I65</f>
        <v>5</v>
      </c>
      <c r="J65" s="1050">
        <f>'1.2 Budgeted Enrollment YR1'!J65</f>
        <v>7</v>
      </c>
      <c r="K65" s="1050">
        <f>'1.2 Budgeted Enrollment YR1'!K65</f>
        <v>0</v>
      </c>
      <c r="L65" s="1050">
        <f>G65</f>
        <v>287.40686460222514</v>
      </c>
      <c r="M65" s="1070"/>
      <c r="N65" s="968"/>
      <c r="U65" s="873"/>
      <c r="V65" s="1093" t="s">
        <v>418</v>
      </c>
    </row>
    <row r="66" spans="1:22" ht="16.5" thickTop="1" thickBot="1" x14ac:dyDescent="0.3">
      <c r="A66" s="1000" t="str">
        <f>'1.2 Budgeted Enrollment YR1'!A66</f>
        <v>White Pine</v>
      </c>
      <c r="B66" s="1089">
        <f>'1.2 Budgeted Enrollment YR1'!B66</f>
        <v>18</v>
      </c>
      <c r="C66" s="1089">
        <f>'1.2 Budgeted Enrollment YR1'!C66</f>
        <v>17</v>
      </c>
      <c r="D66" s="1000" t="str">
        <f>'1.2 Budgeted Enrollment YR1'!D66</f>
        <v>Ely</v>
      </c>
      <c r="E66" s="1000" t="str">
        <f>'1.2 Budgeted Enrollment YR1'!E66</f>
        <v>Learning Bridge</v>
      </c>
      <c r="F66" s="1000" t="str">
        <f>'1.2 Budgeted Enrollment YR1'!F65</f>
        <v>7495 W Azure Dr Ste 120, Las Vegas, NV 89130</v>
      </c>
      <c r="G66" s="1049">
        <f>'1.2 Budgeted Enrollment YR1'!G66+('1.2 Budgeted Enrollment YR1'!G66*$G$7)</f>
        <v>170.53745061484202</v>
      </c>
      <c r="H66" s="1049"/>
      <c r="I66" s="1050">
        <f>'1.2 Budgeted Enrollment YR1'!I66</f>
        <v>0</v>
      </c>
      <c r="J66" s="1050">
        <f>'1.2 Budgeted Enrollment YR1'!J66</f>
        <v>0</v>
      </c>
      <c r="K66" s="1050">
        <f>'1.2 Budgeted Enrollment YR1'!K66</f>
        <v>0</v>
      </c>
      <c r="L66" s="1050">
        <f>'1.2 Budgeted Enrollment YR1'!L66</f>
        <v>0</v>
      </c>
      <c r="M66" s="1070"/>
      <c r="N66" s="968"/>
      <c r="U66" s="868"/>
      <c r="V66" s="1034" t="s">
        <v>421</v>
      </c>
    </row>
    <row r="67" spans="1:22" ht="16.5" thickTop="1" thickBot="1" x14ac:dyDescent="0.3">
      <c r="A67" s="1000" t="str">
        <f>'1.2 Budgeted Enrollment YR1'!A67</f>
        <v>Clark</v>
      </c>
      <c r="B67" s="1089">
        <f>'1.2 Budgeted Enrollment YR1'!B67</f>
        <v>18</v>
      </c>
      <c r="C67" s="1089">
        <f>'1.2 Budgeted Enrollment YR1'!C67</f>
        <v>2</v>
      </c>
      <c r="D67" s="1000" t="str">
        <f>'1.2 Budgeted Enrollment YR1'!D67</f>
        <v>Las Vegas</v>
      </c>
      <c r="E67" s="1000" t="str">
        <f>'1.2 Budgeted Enrollment YR1'!E67</f>
        <v>Legacy Traditional Schools</v>
      </c>
      <c r="F67" s="1000" t="str">
        <f>'1.2 Budgeted Enrollment YR1'!F66</f>
        <v>505 S Pioche Hwy, Ely, NV 89301-3156</v>
      </c>
      <c r="G67" s="1049">
        <f>'1.2 Budgeted Enrollment YR1'!G67+('1.2 Budgeted Enrollment YR1'!G67*$G$7)</f>
        <v>4125.1478938155515</v>
      </c>
      <c r="H67" s="1049"/>
      <c r="I67" s="1050">
        <f>'1.2 Budgeted Enrollment YR1'!I67</f>
        <v>280</v>
      </c>
      <c r="J67" s="1050">
        <f>'1.2 Budgeted Enrollment YR1'!J67</f>
        <v>36</v>
      </c>
      <c r="K67" s="1050">
        <f>'1.2 Budgeted Enrollment YR1'!K67</f>
        <v>209</v>
      </c>
      <c r="L67" s="1050">
        <f>'1.2 Budgeted Enrollment YR1'!L67</f>
        <v>0</v>
      </c>
      <c r="M67" s="1070"/>
      <c r="N67" s="968"/>
      <c r="U67" s="870"/>
      <c r="V67" s="1014" t="s">
        <v>424</v>
      </c>
    </row>
    <row r="68" spans="1:22" ht="16.5" thickTop="1" thickBot="1" x14ac:dyDescent="0.3">
      <c r="A68" s="1000" t="str">
        <f>'1.2 Budgeted Enrollment YR1'!A68</f>
        <v>Washoe</v>
      </c>
      <c r="B68" s="1089">
        <f>'1.2 Budgeted Enrollment YR1'!B68</f>
        <v>16</v>
      </c>
      <c r="C68" s="1089">
        <f>'1.2 Budgeted Enrollment YR1'!C68</f>
        <v>16</v>
      </c>
      <c r="D68" s="1000" t="str">
        <f>'1.2 Budgeted Enrollment YR1'!D68</f>
        <v>Reno</v>
      </c>
      <c r="E68" s="1000" t="str">
        <f>'1.2 Budgeted Enrollment YR1'!E68</f>
        <v xml:space="preserve">Mariposa Language and Learning Academy </v>
      </c>
      <c r="F68" s="1000" t="str">
        <f>'1.2 Budgeted Enrollment YR1'!F67</f>
        <v>7077 W Wigwam Ave, Las Vegas, NV 89113</v>
      </c>
      <c r="G68" s="1049">
        <f>'1.2 Budgeted Enrollment YR1'!G68+('1.2 Budgeted Enrollment YR1'!G68*$G$7)</f>
        <v>164.39442664043821</v>
      </c>
      <c r="H68" s="1049"/>
      <c r="I68" s="1050">
        <f>'1.2 Budgeted Enrollment YR1'!I68</f>
        <v>46</v>
      </c>
      <c r="J68" s="1050">
        <f>'1.2 Budgeted Enrollment YR1'!J68</f>
        <v>0</v>
      </c>
      <c r="K68" s="1050">
        <f>'1.2 Budgeted Enrollment YR1'!K68</f>
        <v>0</v>
      </c>
      <c r="L68" s="1050">
        <f>'1.2 Budgeted Enrollment YR1'!L68</f>
        <v>0</v>
      </c>
      <c r="M68" s="1070"/>
      <c r="N68" s="968"/>
      <c r="U68" s="876" t="s">
        <v>428</v>
      </c>
      <c r="V68" s="1059" t="s">
        <v>429</v>
      </c>
    </row>
    <row r="69" spans="1:22" ht="16.5" thickTop="1" thickBot="1" x14ac:dyDescent="0.3">
      <c r="A69" s="1000" t="str">
        <f>'1.2 Budgeted Enrollment YR1'!A69</f>
        <v>Clark</v>
      </c>
      <c r="B69" s="1089">
        <f>'1.2 Budgeted Enrollment YR1'!B69</f>
        <v>18</v>
      </c>
      <c r="C69" s="1089">
        <f>'1.2 Budgeted Enrollment YR1'!C69</f>
        <v>2</v>
      </c>
      <c r="D69" s="1000" t="str">
        <f>'1.2 Budgeted Enrollment YR1'!D69</f>
        <v>Las Vegas</v>
      </c>
      <c r="E69" s="1000" t="str">
        <f>'1.2 Budgeted Enrollment YR1'!E69</f>
        <v>Mater Academy</v>
      </c>
      <c r="F69" s="1000" t="str">
        <f>'1.2 Budgeted Enrollment YR1'!F68</f>
        <v>3875 Glen Street, Reno, NV 89502</v>
      </c>
      <c r="G69" s="1049">
        <f>'1.2 Budgeted Enrollment YR1'!G69+('1.2 Budgeted Enrollment YR1'!G69*$G$7)</f>
        <v>4489.9355041692297</v>
      </c>
      <c r="H69" s="1049"/>
      <c r="I69" s="1050">
        <f>'1.2 Budgeted Enrollment YR1'!I69</f>
        <v>1459</v>
      </c>
      <c r="J69" s="1050">
        <f>'1.2 Budgeted Enrollment YR1'!J69</f>
        <v>5</v>
      </c>
      <c r="K69" s="1050">
        <f>'1.2 Budgeted Enrollment YR1'!K69</f>
        <v>0</v>
      </c>
      <c r="L69" s="1050">
        <f>'1.2 Budgeted Enrollment YR1'!L69</f>
        <v>0</v>
      </c>
      <c r="M69" s="1070"/>
      <c r="N69" s="968"/>
      <c r="U69" s="870"/>
      <c r="V69" s="1014" t="s">
        <v>432</v>
      </c>
    </row>
    <row r="70" spans="1:22" ht="16.5" thickTop="1" thickBot="1" x14ac:dyDescent="0.3">
      <c r="A70" s="1000" t="str">
        <f>'1.2 Budgeted Enrollment YR1'!A70</f>
        <v>Washoe</v>
      </c>
      <c r="B70" s="1089">
        <f>'1.2 Budgeted Enrollment YR1'!B70</f>
        <v>18</v>
      </c>
      <c r="C70" s="1089">
        <f>'1.2 Budgeted Enrollment YR1'!C70</f>
        <v>2</v>
      </c>
      <c r="D70" s="1000" t="str">
        <f>'1.2 Budgeted Enrollment YR1'!D70</f>
        <v>Reno</v>
      </c>
      <c r="E70" s="1000" t="str">
        <f>'1.2 Budgeted Enrollment YR1'!E70</f>
        <v>Mater Academy of Northern Nevada</v>
      </c>
      <c r="F70" s="1000" t="str">
        <f>'1.2 Budgeted Enrollment YR1'!F69</f>
        <v>3445 Mountain Vista, Las Vegas, NV 89121</v>
      </c>
      <c r="G70" s="1049">
        <f>'1.2 Budgeted Enrollment YR1'!G70+('1.2 Budgeted Enrollment YR1'!G70*$G$7)</f>
        <v>502.85317793083078</v>
      </c>
      <c r="H70" s="1049"/>
      <c r="I70" s="1050">
        <f>'1.2 Budgeted Enrollment YR1'!I70</f>
        <v>133</v>
      </c>
      <c r="J70" s="1050">
        <f>'1.2 Budgeted Enrollment YR1'!J70</f>
        <v>2</v>
      </c>
      <c r="K70" s="1050">
        <f>'1.2 Budgeted Enrollment YR1'!K70</f>
        <v>0</v>
      </c>
      <c r="L70" s="1050">
        <f>'1.2 Budgeted Enrollment YR1'!L70</f>
        <v>0</v>
      </c>
      <c r="M70" s="1070"/>
      <c r="N70" s="968"/>
      <c r="U70" s="876" t="s">
        <v>297</v>
      </c>
      <c r="V70" s="1059" t="s">
        <v>435</v>
      </c>
    </row>
    <row r="71" spans="1:22" ht="16.5" thickTop="1" thickBot="1" x14ac:dyDescent="0.3">
      <c r="A71" s="1000" t="str">
        <f>'1.2 Budgeted Enrollment YR1'!A71</f>
        <v>Washoe</v>
      </c>
      <c r="B71" s="1089">
        <f>'1.2 Budgeted Enrollment YR1'!B71</f>
        <v>18</v>
      </c>
      <c r="C71" s="1089">
        <f>'1.2 Budgeted Enrollment YR1'!C71</f>
        <v>16</v>
      </c>
      <c r="D71" s="1000" t="str">
        <f>'1.2 Budgeted Enrollment YR1'!D71</f>
        <v>Reno</v>
      </c>
      <c r="E71" s="1000" t="str">
        <f>'1.2 Budgeted Enrollment YR1'!E71</f>
        <v>Nevada Connections Academy</v>
      </c>
      <c r="F71" s="1000" t="str">
        <f>'1.2 Budgeted Enrollment YR1'!F70</f>
        <v xml:space="preserve">2680 E 9th St, Reno, NV 89512 </v>
      </c>
      <c r="G71" s="1049">
        <f>'1.2 Budgeted Enrollment YR1'!G71+('1.2 Budgeted Enrollment YR1'!G71*$G$7)</f>
        <v>1200.806661656123</v>
      </c>
      <c r="H71" s="1049"/>
      <c r="I71" s="1050">
        <f>'1.2 Budgeted Enrollment YR1'!I71</f>
        <v>38</v>
      </c>
      <c r="J71" s="1050">
        <f>'1.2 Budgeted Enrollment YR1'!J71</f>
        <v>30</v>
      </c>
      <c r="K71" s="1050">
        <f>'1.2 Budgeted Enrollment YR1'!K71</f>
        <v>0</v>
      </c>
      <c r="L71" s="1050">
        <f>G71</f>
        <v>1200.806661656123</v>
      </c>
      <c r="M71" s="1070"/>
      <c r="N71" s="968"/>
      <c r="U71" s="870"/>
      <c r="V71" s="1014" t="s">
        <v>438</v>
      </c>
    </row>
    <row r="72" spans="1:22" ht="16.5" thickTop="1" thickBot="1" x14ac:dyDescent="0.3">
      <c r="A72" s="1000" t="str">
        <f>'1.2 Budgeted Enrollment YR1'!A72</f>
        <v>Clark</v>
      </c>
      <c r="B72" s="1089">
        <f>'1.2 Budgeted Enrollment YR1'!B72</f>
        <v>18</v>
      </c>
      <c r="C72" s="1089">
        <f>'1.2 Budgeted Enrollment YR1'!C72</f>
        <v>2</v>
      </c>
      <c r="D72" s="1000" t="str">
        <f>'1.2 Budgeted Enrollment YR1'!D72</f>
        <v>Las Vegas</v>
      </c>
      <c r="E72" s="1000" t="str">
        <f>'1.2 Budgeted Enrollment YR1'!E72</f>
        <v>Nevada Prep</v>
      </c>
      <c r="F72" s="1000" t="str">
        <f>'1.2 Budgeted Enrollment YR1'!F71</f>
        <v>555 Double Eagle Ct Ste 2000, Reno, NV 89521</v>
      </c>
      <c r="G72" s="1049">
        <f>'1.2 Budgeted Enrollment YR1'!G72+('1.2 Budgeted Enrollment YR1'!G72*$G$7)</f>
        <v>305.23837009503319</v>
      </c>
      <c r="H72" s="1049"/>
      <c r="I72" s="1050">
        <f>'1.2 Budgeted Enrollment YR1'!I72</f>
        <v>74</v>
      </c>
      <c r="J72" s="1050">
        <f>'1.2 Budgeted Enrollment YR1'!J72</f>
        <v>28</v>
      </c>
      <c r="K72" s="1050">
        <f>'1.2 Budgeted Enrollment YR1'!K72</f>
        <v>0</v>
      </c>
      <c r="L72" s="1050">
        <f>'1.2 Budgeted Enrollment YR1'!L72</f>
        <v>0</v>
      </c>
      <c r="M72" s="1070"/>
      <c r="N72" s="968"/>
      <c r="U72" s="876" t="s">
        <v>299</v>
      </c>
      <c r="V72" s="1059" t="s">
        <v>441</v>
      </c>
    </row>
    <row r="73" spans="1:22" ht="16.5" thickTop="1" thickBot="1" x14ac:dyDescent="0.3">
      <c r="A73" s="1000" t="str">
        <f>'1.2 Budgeted Enrollment YR1'!A73</f>
        <v>Clark</v>
      </c>
      <c r="B73" s="1089">
        <f>'1.2 Budgeted Enrollment YR1'!B73</f>
        <v>18</v>
      </c>
      <c r="C73" s="1089">
        <f>'1.2 Budgeted Enrollment YR1'!C73</f>
        <v>2</v>
      </c>
      <c r="D73" s="1000" t="str">
        <f>'1.2 Budgeted Enrollment YR1'!D73</f>
        <v>Las Vegas</v>
      </c>
      <c r="E73" s="1000" t="str">
        <f>'1.2 Budgeted Enrollment YR1'!E73</f>
        <v xml:space="preserve">Nevada Rise </v>
      </c>
      <c r="F73" s="1000" t="str">
        <f>'1.2 Budgeted Enrollment YR1'!F72</f>
        <v>2525 Emerson Ave Las Vegas, NV 89121</v>
      </c>
      <c r="G73" s="1049">
        <f>'1.2 Budgeted Enrollment YR1'!G73+('1.2 Budgeted Enrollment YR1'!G73*$G$7)</f>
        <v>372.57548213135692</v>
      </c>
      <c r="H73" s="1049"/>
      <c r="I73" s="1050">
        <f>'1.2 Budgeted Enrollment YR1'!I73</f>
        <v>35</v>
      </c>
      <c r="J73" s="1050">
        <f>'1.2 Budgeted Enrollment YR1'!J73</f>
        <v>1</v>
      </c>
      <c r="K73" s="1050">
        <f>'1.2 Budgeted Enrollment YR1'!K73</f>
        <v>0</v>
      </c>
      <c r="L73" s="1050">
        <f>'1.2 Budgeted Enrollment YR1'!L73</f>
        <v>0</v>
      </c>
      <c r="M73" s="1070"/>
      <c r="N73" s="968"/>
      <c r="U73" s="868"/>
      <c r="V73" s="1034" t="s">
        <v>444</v>
      </c>
    </row>
    <row r="74" spans="1:22" ht="16.5" thickTop="1" thickBot="1" x14ac:dyDescent="0.3">
      <c r="A74" s="1000" t="str">
        <f>'1.2 Budgeted Enrollment YR1'!A74</f>
        <v>Clark</v>
      </c>
      <c r="B74" s="1089">
        <f>'1.2 Budgeted Enrollment YR1'!B74</f>
        <v>18</v>
      </c>
      <c r="C74" s="1089">
        <f>'1.2 Budgeted Enrollment YR1'!C74</f>
        <v>2</v>
      </c>
      <c r="D74" s="1000" t="str">
        <f>'1.2 Budgeted Enrollment YR1'!D74</f>
        <v>Las Vegas</v>
      </c>
      <c r="E74" s="1000" t="str">
        <f>'1.2 Budgeted Enrollment YR1'!E74</f>
        <v>Nevada State High School</v>
      </c>
      <c r="F74" s="1000" t="str">
        <f>'1.2 Budgeted Enrollment YR1'!F73</f>
        <v>2525 Emerson Ave Las Vegas, NV 89121</v>
      </c>
      <c r="G74" s="1049">
        <f>'1.2 Budgeted Enrollment YR1'!G74+('1.2 Budgeted Enrollment YR1'!G74*$G$7)</f>
        <v>913.27248049484274</v>
      </c>
      <c r="H74" s="1049"/>
      <c r="I74" s="1050">
        <f>'1.2 Budgeted Enrollment YR1'!I74</f>
        <v>24</v>
      </c>
      <c r="J74" s="1050">
        <f>'1.2 Budgeted Enrollment YR1'!J74</f>
        <v>1</v>
      </c>
      <c r="K74" s="1050">
        <f>'1.2 Budgeted Enrollment YR1'!K74</f>
        <v>0</v>
      </c>
      <c r="L74" s="1050">
        <f>'1.2 Budgeted Enrollment YR1'!L74</f>
        <v>0</v>
      </c>
      <c r="M74" s="1070"/>
      <c r="N74" s="968"/>
      <c r="U74" s="868"/>
      <c r="V74" s="1034" t="s">
        <v>1102</v>
      </c>
    </row>
    <row r="75" spans="1:22" ht="16.5" thickTop="1" thickBot="1" x14ac:dyDescent="0.3">
      <c r="A75" s="1000" t="str">
        <f>'1.2 Budgeted Enrollment YR1'!A75</f>
        <v>Washoe</v>
      </c>
      <c r="B75" s="1089">
        <f>'1.2 Budgeted Enrollment YR1'!B75</f>
        <v>18</v>
      </c>
      <c r="C75" s="1089">
        <f>'1.2 Budgeted Enrollment YR1'!C75</f>
        <v>2</v>
      </c>
      <c r="D75" s="1000" t="str">
        <f>'1.2 Budgeted Enrollment YR1'!D75</f>
        <v>Reno</v>
      </c>
      <c r="E75" s="1000" t="str">
        <f>'1.2 Budgeted Enrollment YR1'!E75</f>
        <v>Nevada State High School-Meadowwood</v>
      </c>
      <c r="F75" s="1000" t="str">
        <f>'1.2 Budgeted Enrollment YR1'!F74</f>
        <v>303 South Water Street, Suite 120 Henderson, NV 89015</v>
      </c>
      <c r="G75" s="1049">
        <f>'1.2 Budgeted Enrollment YR1'!G75+('1.2 Budgeted Enrollment YR1'!G75*$G$7)</f>
        <v>30.196612917803087</v>
      </c>
      <c r="H75" s="1049"/>
      <c r="I75" s="1050">
        <f>'1.2 Budgeted Enrollment YR1'!I75</f>
        <v>0</v>
      </c>
      <c r="J75" s="1050">
        <f>'1.2 Budgeted Enrollment YR1'!J75</f>
        <v>0</v>
      </c>
      <c r="K75" s="1050">
        <f>'1.2 Budgeted Enrollment YR1'!K75</f>
        <v>0</v>
      </c>
      <c r="L75" s="1050">
        <f>'1.2 Budgeted Enrollment YR1'!L75</f>
        <v>0</v>
      </c>
      <c r="M75" s="1070"/>
      <c r="N75" s="968"/>
      <c r="U75" s="868"/>
      <c r="V75" s="1034" t="s">
        <v>449</v>
      </c>
    </row>
    <row r="76" spans="1:22" ht="16.5" thickTop="1" thickBot="1" x14ac:dyDescent="0.3">
      <c r="A76" s="1000" t="str">
        <f>'1.2 Budgeted Enrollment YR1'!A76</f>
        <v>Clark</v>
      </c>
      <c r="B76" s="1089">
        <f>'1.2 Budgeted Enrollment YR1'!B76</f>
        <v>18</v>
      </c>
      <c r="C76" s="1089">
        <f>'1.2 Budgeted Enrollment YR1'!C76</f>
        <v>2</v>
      </c>
      <c r="D76" s="1000" t="str">
        <f>'1.2 Budgeted Enrollment YR1'!D76</f>
        <v>Las Vegas</v>
      </c>
      <c r="E76" s="1000" t="str">
        <f>'1.2 Budgeted Enrollment YR1'!E76</f>
        <v>Nevada Virtual Academy</v>
      </c>
      <c r="F76" s="1000" t="str">
        <f>'1.2 Budgeted Enrollment YR1'!F75</f>
        <v>7530 Longley Lane, Suite 103 Reno, NV 89115</v>
      </c>
      <c r="G76" s="1049">
        <f>'1.2 Budgeted Enrollment YR1'!G76+('1.2 Budgeted Enrollment YR1'!G76*$G$7)</f>
        <v>1819.9707035088049</v>
      </c>
      <c r="H76" s="1049"/>
      <c r="I76" s="1050">
        <f>'1.2 Budgeted Enrollment YR1'!I76</f>
        <v>79</v>
      </c>
      <c r="J76" s="1050">
        <f>'1.2 Budgeted Enrollment YR1'!J76</f>
        <v>78</v>
      </c>
      <c r="K76" s="1050">
        <f>'1.2 Budgeted Enrollment YR1'!K76</f>
        <v>0</v>
      </c>
      <c r="L76" s="1050">
        <f>G76</f>
        <v>1819.9707035088049</v>
      </c>
      <c r="M76" s="1070"/>
      <c r="N76" s="968"/>
      <c r="U76" s="868"/>
      <c r="V76" s="1034" t="s">
        <v>452</v>
      </c>
    </row>
    <row r="77" spans="1:22" ht="16.5" thickTop="1" thickBot="1" x14ac:dyDescent="0.3">
      <c r="A77" s="1000" t="str">
        <f>'1.2 Budgeted Enrollment YR1'!A77</f>
        <v>Churchill</v>
      </c>
      <c r="B77" s="1089">
        <f>'1.2 Budgeted Enrollment YR1'!B77</f>
        <v>18</v>
      </c>
      <c r="C77" s="1089">
        <f>'1.2 Budgeted Enrollment YR1'!C77</f>
        <v>1</v>
      </c>
      <c r="D77" s="1000" t="str">
        <f>'1.2 Budgeted Enrollment YR1'!D77</f>
        <v>Fallon</v>
      </c>
      <c r="E77" s="1000" t="str">
        <f>'1.2 Budgeted Enrollment YR1'!E77</f>
        <v>Oasis Academy</v>
      </c>
      <c r="F77" s="1000" t="str">
        <f>'1.2 Budgeted Enrollment YR1'!F76</f>
        <v>4801 S. Sandhill Road, Las Vegas, NV 89121</v>
      </c>
      <c r="G77" s="1049">
        <f>'1.2 Budgeted Enrollment YR1'!G77+('1.2 Budgeted Enrollment YR1'!G77*$G$7)</f>
        <v>785.63660329576021</v>
      </c>
      <c r="H77" s="1049"/>
      <c r="I77" s="1050">
        <f>'1.2 Budgeted Enrollment YR1'!I77</f>
        <v>20</v>
      </c>
      <c r="J77" s="1050">
        <f>'1.2 Budgeted Enrollment YR1'!J77</f>
        <v>0</v>
      </c>
      <c r="K77" s="1050">
        <f>'1.2 Budgeted Enrollment YR1'!K77</f>
        <v>0</v>
      </c>
      <c r="L77" s="1050">
        <f>'1.2 Budgeted Enrollment YR1'!L77</f>
        <v>0</v>
      </c>
      <c r="M77" s="1070"/>
      <c r="N77" s="968"/>
      <c r="U77" s="868"/>
      <c r="V77" s="1034" t="s">
        <v>455</v>
      </c>
    </row>
    <row r="78" spans="1:22" ht="16.5" thickTop="1" thickBot="1" x14ac:dyDescent="0.3">
      <c r="A78" s="1000" t="str">
        <f>'1.2 Budgeted Enrollment YR1'!A78</f>
        <v>Clark</v>
      </c>
      <c r="B78" s="1089">
        <f>'1.2 Budgeted Enrollment YR1'!B78</f>
        <v>2</v>
      </c>
      <c r="C78" s="1089">
        <f>'1.2 Budgeted Enrollment YR1'!C78</f>
        <v>2</v>
      </c>
      <c r="D78" s="1000" t="str">
        <f>'1.2 Budgeted Enrollment YR1'!D78</f>
        <v>Las Vegas</v>
      </c>
      <c r="E78" s="1000" t="str">
        <f>'1.2 Budgeted Enrollment YR1'!E78</f>
        <v>Odyssey Charter Schools</v>
      </c>
      <c r="F78" s="1000" t="str">
        <f>'1.2 Budgeted Enrollment YR1'!F77</f>
        <v>920 West Williams Avenue, Fallon, NV 89406</v>
      </c>
      <c r="G78" s="1049">
        <f>'1.2 Budgeted Enrollment YR1'!G78+('1.2 Budgeted Enrollment YR1'!G78*$G$7)</f>
        <v>2400.7898726641642</v>
      </c>
      <c r="H78" s="1049"/>
      <c r="I78" s="1050">
        <f>'1.2 Budgeted Enrollment YR1'!I78</f>
        <v>111</v>
      </c>
      <c r="J78" s="1050">
        <f>'1.2 Budgeted Enrollment YR1'!J78</f>
        <v>281</v>
      </c>
      <c r="K78" s="1050">
        <f>'1.2 Budgeted Enrollment YR1'!K78</f>
        <v>0</v>
      </c>
      <c r="L78" s="1050">
        <f>'1.2 Budgeted Enrollment YR1'!L78</f>
        <v>0</v>
      </c>
      <c r="M78" s="1070"/>
      <c r="N78" s="968"/>
      <c r="U78" s="870"/>
      <c r="V78" s="1014" t="s">
        <v>458</v>
      </c>
    </row>
    <row r="79" spans="1:22" ht="16.5" thickTop="1" thickBot="1" x14ac:dyDescent="0.3">
      <c r="A79" s="1000" t="str">
        <f>'1.2 Budgeted Enrollment YR1'!A79</f>
        <v>Washoe</v>
      </c>
      <c r="B79" s="1089">
        <f>'1.2 Budgeted Enrollment YR1'!B79</f>
        <v>18</v>
      </c>
      <c r="C79" s="1089">
        <f>'1.2 Budgeted Enrollment YR1'!C79</f>
        <v>16</v>
      </c>
      <c r="D79" s="1000" t="str">
        <f>'1.2 Budgeted Enrollment YR1'!D79</f>
        <v>Reno</v>
      </c>
      <c r="E79" s="1000" t="str">
        <f>'1.2 Budgeted Enrollment YR1'!E79</f>
        <v>Pinecrest Academy of Northern Nevada</v>
      </c>
      <c r="F79" s="1000" t="str">
        <f>'1.2 Budgeted Enrollment YR1'!F78</f>
        <v>2251 S. Jones Blvd. Las Vegas, NV 89146</v>
      </c>
      <c r="G79" s="1049">
        <f>'1.2 Budgeted Enrollment YR1'!G79+('1.2 Budgeted Enrollment YR1'!G79*$G$7)</f>
        <v>1022.3920123229747</v>
      </c>
      <c r="H79" s="1049"/>
      <c r="I79" s="1050">
        <f>'1.2 Budgeted Enrollment YR1'!I79</f>
        <v>18</v>
      </c>
      <c r="J79" s="1050">
        <f>'1.2 Budgeted Enrollment YR1'!J79</f>
        <v>0</v>
      </c>
      <c r="K79" s="1050">
        <f>'1.2 Budgeted Enrollment YR1'!K79</f>
        <v>62</v>
      </c>
      <c r="L79" s="1050">
        <f>'1.2 Budgeted Enrollment YR1'!L79</f>
        <v>0</v>
      </c>
      <c r="M79" s="1070"/>
      <c r="N79" s="968"/>
      <c r="U79" s="868"/>
      <c r="V79" s="1034"/>
    </row>
    <row r="80" spans="1:22" ht="16.5" thickTop="1" thickBot="1" x14ac:dyDescent="0.3">
      <c r="A80" s="1000" t="str">
        <f>'1.2 Budgeted Enrollment YR1'!A80</f>
        <v>Clark</v>
      </c>
      <c r="B80" s="1089">
        <f>'1.2 Budgeted Enrollment YR1'!B80</f>
        <v>18</v>
      </c>
      <c r="C80" s="1089">
        <f>'1.2 Budgeted Enrollment YR1'!C80</f>
        <v>2</v>
      </c>
      <c r="D80" s="1000" t="str">
        <f>'1.2 Budgeted Enrollment YR1'!D80</f>
        <v>Las Vegas</v>
      </c>
      <c r="E80" s="1000" t="str">
        <f>'1.2 Budgeted Enrollment YR1'!E80</f>
        <v>Pinecrest Academy of Nevada</v>
      </c>
      <c r="F80" s="1000" t="str">
        <f>'1.2 Budgeted Enrollment YR1'!F79</f>
        <v>1150 Silent Sparrow Dr. Sparks, NV 89441</v>
      </c>
      <c r="G80" s="1049">
        <f>'1.2 Budgeted Enrollment YR1'!G80+('1.2 Budgeted Enrollment YR1'!G80*$G$7)</f>
        <v>8054.8515217779041</v>
      </c>
      <c r="H80" s="1049"/>
      <c r="I80" s="1050">
        <f>'1.2 Budgeted Enrollment YR1'!I80</f>
        <v>195</v>
      </c>
      <c r="J80" s="1050">
        <f>'1.2 Budgeted Enrollment YR1'!J80</f>
        <v>127</v>
      </c>
      <c r="K80" s="1050">
        <f>'1.2 Budgeted Enrollment YR1'!K80</f>
        <v>396</v>
      </c>
      <c r="L80" s="1050">
        <f>'1.2 Budgeted Enrollment YR1'!L80</f>
        <v>117</v>
      </c>
      <c r="M80" s="1070"/>
      <c r="N80" s="968"/>
      <c r="U80" s="876" t="s">
        <v>461</v>
      </c>
      <c r="V80" s="1059" t="s">
        <v>462</v>
      </c>
    </row>
    <row r="81" spans="1:22" ht="16.5" thickTop="1" thickBot="1" x14ac:dyDescent="0.3">
      <c r="A81" s="1000" t="str">
        <f>'1.2 Budgeted Enrollment YR1'!A81</f>
        <v>Clark</v>
      </c>
      <c r="B81" s="1089">
        <f>'1.2 Budgeted Enrollment YR1'!B81</f>
        <v>18</v>
      </c>
      <c r="C81" s="1089">
        <f>'1.2 Budgeted Enrollment YR1'!C81</f>
        <v>2</v>
      </c>
      <c r="D81" s="1000" t="str">
        <f>'1.2 Budgeted Enrollment YR1'!D81</f>
        <v>Las Vegas</v>
      </c>
      <c r="E81" s="1000" t="str">
        <f>'1.2 Budgeted Enrollment YR1'!E81</f>
        <v>Pioneer Technical Arts Academy</v>
      </c>
      <c r="F81" s="1000" t="str">
        <f>'1.2 Budgeted Enrollment YR1'!F80</f>
        <v>1360 S Boulder Hwy, Henderson, NV 89015</v>
      </c>
      <c r="G81" s="1049">
        <f>'1.2 Budgeted Enrollment YR1'!G81+('1.2 Budgeted Enrollment YR1'!G81*$G$7)</f>
        <v>263.87383610592974</v>
      </c>
      <c r="H81" s="1049"/>
      <c r="I81" s="1050">
        <f>'1.2 Budgeted Enrollment YR1'!I81</f>
        <v>0</v>
      </c>
      <c r="J81" s="1050">
        <f>'1.2 Budgeted Enrollment YR1'!J81</f>
        <v>0</v>
      </c>
      <c r="K81" s="1050">
        <f>'1.2 Budgeted Enrollment YR1'!K81</f>
        <v>0</v>
      </c>
      <c r="L81" s="1050">
        <f>'1.2 Budgeted Enrollment YR1'!L81</f>
        <v>0</v>
      </c>
      <c r="M81" s="1070" t="s">
        <v>370</v>
      </c>
      <c r="N81" s="968"/>
      <c r="U81" s="868"/>
      <c r="V81" s="1034" t="s">
        <v>425</v>
      </c>
    </row>
    <row r="82" spans="1:22" ht="16.5" thickTop="1" thickBot="1" x14ac:dyDescent="0.3">
      <c r="A82" s="1000" t="str">
        <f>'1.2 Budgeted Enrollment YR1'!A82</f>
        <v>Clark</v>
      </c>
      <c r="B82" s="1089">
        <f>'1.2 Budgeted Enrollment YR1'!B82</f>
        <v>18</v>
      </c>
      <c r="C82" s="1089">
        <f>'1.2 Budgeted Enrollment YR1'!C82</f>
        <v>2</v>
      </c>
      <c r="D82" s="1000" t="str">
        <f>'1.2 Budgeted Enrollment YR1'!D82</f>
        <v>Las Vegas</v>
      </c>
      <c r="E82" s="1000" t="str">
        <f>'1.2 Budgeted Enrollment YR1'!E82</f>
        <v>Quest Academy</v>
      </c>
      <c r="F82" s="1000">
        <f>'1.2 Budgeted Enrollment YR1'!F81</f>
        <v>89107</v>
      </c>
      <c r="G82" s="1049">
        <f>'1.2 Budgeted Enrollment YR1'!G82+('1.2 Budgeted Enrollment YR1'!G82*$G$7)</f>
        <v>455.57355767788971</v>
      </c>
      <c r="H82" s="1049"/>
      <c r="I82" s="1050">
        <f>'1.2 Budgeted Enrollment YR1'!I82</f>
        <v>48</v>
      </c>
      <c r="J82" s="1050">
        <f>'1.2 Budgeted Enrollment YR1'!J82</f>
        <v>16</v>
      </c>
      <c r="K82" s="1050">
        <f>'1.2 Budgeted Enrollment YR1'!K82</f>
        <v>0</v>
      </c>
      <c r="L82" s="1050">
        <f>'1.2 Budgeted Enrollment YR1'!L82</f>
        <v>0</v>
      </c>
      <c r="M82" s="1070"/>
      <c r="N82" s="968"/>
      <c r="U82" s="868"/>
      <c r="V82" s="1034" t="s">
        <v>467</v>
      </c>
    </row>
    <row r="83" spans="1:22" ht="16.5" thickTop="1" thickBot="1" x14ac:dyDescent="0.3">
      <c r="A83" s="1000" t="str">
        <f>'1.2 Budgeted Enrollment YR1'!A83</f>
        <v>Clark</v>
      </c>
      <c r="B83" s="1089">
        <f>'1.2 Budgeted Enrollment YR1'!B83</f>
        <v>18</v>
      </c>
      <c r="C83" s="1089">
        <f>'1.2 Budgeted Enrollment YR1'!C83</f>
        <v>2</v>
      </c>
      <c r="D83" s="1000" t="str">
        <f>'1.2 Budgeted Enrollment YR1'!D83</f>
        <v>Las Vegas</v>
      </c>
      <c r="E83" s="1000" t="str">
        <f>'1.2 Budgeted Enrollment YR1'!E83</f>
        <v>Rainbow Dreams Academy</v>
      </c>
      <c r="F83" s="1000" t="str">
        <f>'1.2 Budgeted Enrollment YR1'!F82</f>
        <v>7550 W Alexander Rd, Las Vegas, NV 89129</v>
      </c>
      <c r="G83" s="1049">
        <f>'1.2 Budgeted Enrollment YR1'!G83+('1.2 Budgeted Enrollment YR1'!G83*$G$7)</f>
        <v>63.383111480510713</v>
      </c>
      <c r="H83" s="1049"/>
      <c r="I83" s="1050">
        <f>'1.2 Budgeted Enrollment YR1'!I83</f>
        <v>6</v>
      </c>
      <c r="J83" s="1050">
        <f>'1.2 Budgeted Enrollment YR1'!J83</f>
        <v>5</v>
      </c>
      <c r="K83" s="1050">
        <f>'1.2 Budgeted Enrollment YR1'!K83</f>
        <v>0</v>
      </c>
      <c r="L83" s="1050">
        <f>'1.2 Budgeted Enrollment YR1'!L83</f>
        <v>0</v>
      </c>
      <c r="M83" s="1070"/>
      <c r="N83" s="968"/>
      <c r="U83" s="868"/>
      <c r="V83" s="1034" t="s">
        <v>467</v>
      </c>
    </row>
    <row r="84" spans="1:22" ht="16.5" thickTop="1" thickBot="1" x14ac:dyDescent="0.3">
      <c r="A84" s="1000" t="str">
        <f>'1.2 Budgeted Enrollment YR1'!A84</f>
        <v>Clark</v>
      </c>
      <c r="B84" s="1089">
        <f>'1.2 Budgeted Enrollment YR1'!B84</f>
        <v>18</v>
      </c>
      <c r="C84" s="1089">
        <f>'1.2 Budgeted Enrollment YR1'!C84</f>
        <v>2</v>
      </c>
      <c r="D84" s="1000" t="str">
        <f>'1.2 Budgeted Enrollment YR1'!D84</f>
        <v>Las Vegas</v>
      </c>
      <c r="E84" s="1000" t="str">
        <f>'1.2 Budgeted Enrollment YR1'!E84</f>
        <v>Rooted Charter School</v>
      </c>
      <c r="F84" s="1000" t="str">
        <f>'1.2 Budgeted Enrollment YR1'!F83</f>
        <v>950 W Lake Mead Blvd, Las Vegas, NV 89106</v>
      </c>
      <c r="G84" s="1049">
        <f>'1.2 Budgeted Enrollment YR1'!G84+('1.2 Budgeted Enrollment YR1'!G84*$G$7)</f>
        <v>23.615168211814723</v>
      </c>
      <c r="H84" s="1049"/>
      <c r="I84" s="1050">
        <f>'1.2 Budgeted Enrollment YR1'!I84</f>
        <v>0</v>
      </c>
      <c r="J84" s="1050">
        <f>'1.2 Budgeted Enrollment YR1'!J84</f>
        <v>0</v>
      </c>
      <c r="K84" s="1050">
        <f>'1.2 Budgeted Enrollment YR1'!K84</f>
        <v>0</v>
      </c>
      <c r="L84" s="1050">
        <f>'1.2 Budgeted Enrollment YR1'!L84</f>
        <v>0</v>
      </c>
      <c r="M84" s="1070"/>
      <c r="N84" s="968"/>
      <c r="U84" s="870"/>
      <c r="V84" s="1014" t="s">
        <v>470</v>
      </c>
    </row>
    <row r="85" spans="1:22" ht="16.5" thickTop="1" thickBot="1" x14ac:dyDescent="0.3">
      <c r="A85" s="1000" t="str">
        <f>'1.2 Budgeted Enrollment YR1'!A85</f>
        <v>Clark</v>
      </c>
      <c r="B85" s="1089">
        <f>'1.2 Budgeted Enrollment YR1'!B85</f>
        <v>18</v>
      </c>
      <c r="C85" s="1089">
        <f>'1.2 Budgeted Enrollment YR1'!C85</f>
        <v>2</v>
      </c>
      <c r="D85" s="1000" t="str">
        <f>'1.2 Budgeted Enrollment YR1'!D85</f>
        <v>Las Vegas</v>
      </c>
      <c r="E85" s="1000" t="str">
        <f>'1.2 Budgeted Enrollment YR1'!E85</f>
        <v>Sage Collegiate Academy</v>
      </c>
      <c r="F85" s="1000" t="str">
        <f>'1.2 Budgeted Enrollment YR1'!F84</f>
        <v>2401 E Tonopah Ave Las Vegas, NV 89030</v>
      </c>
      <c r="G85" s="1049">
        <f>'1.2 Budgeted Enrollment YR1'!G85+('1.2 Budgeted Enrollment YR1'!G85*$G$7)</f>
        <v>236.13114718926738</v>
      </c>
      <c r="H85" s="1049"/>
      <c r="I85" s="1050">
        <f>'1.2 Budgeted Enrollment YR1'!I85</f>
        <v>69</v>
      </c>
      <c r="J85" s="1050">
        <f>'1.2 Budgeted Enrollment YR1'!J85</f>
        <v>0</v>
      </c>
      <c r="K85" s="1050">
        <f>'1.2 Budgeted Enrollment YR1'!K85</f>
        <v>0</v>
      </c>
      <c r="L85" s="1050">
        <f>'1.2 Budgeted Enrollment YR1'!L85</f>
        <v>0</v>
      </c>
      <c r="M85" s="1070"/>
      <c r="N85" s="968"/>
    </row>
    <row r="86" spans="1:22" ht="16.5" thickTop="1" thickBot="1" x14ac:dyDescent="0.3">
      <c r="A86" s="1000" t="str">
        <f>'1.2 Budgeted Enrollment YR1'!A86</f>
        <v>Washoe</v>
      </c>
      <c r="B86" s="1089">
        <f>'1.2 Budgeted Enrollment YR1'!B86</f>
        <v>16</v>
      </c>
      <c r="C86" s="1089">
        <f>'1.2 Budgeted Enrollment YR1'!C86</f>
        <v>16</v>
      </c>
      <c r="D86" s="1000" t="str">
        <f>'1.2 Budgeted Enrollment YR1'!D86</f>
        <v>Stead</v>
      </c>
      <c r="E86" s="1000" t="str">
        <f>'1.2 Budgeted Enrollment YR1'!E86</f>
        <v>Sierra Nevada Academy Charter</v>
      </c>
      <c r="F86" s="1000" t="str">
        <f>'1.2 Budgeted Enrollment YR1'!F85</f>
        <v>10303 Songsparrow Ct, Las Vegas, NV 89135</v>
      </c>
      <c r="G86" s="1049">
        <f>'1.2 Budgeted Enrollment YR1'!G86+('1.2 Budgeted Enrollment YR1'!G86*$G$7)</f>
        <v>265.07102245962432</v>
      </c>
      <c r="H86" s="1049"/>
      <c r="I86" s="1050">
        <f>'1.2 Budgeted Enrollment YR1'!I86</f>
        <v>22</v>
      </c>
      <c r="J86" s="1050">
        <f>'1.2 Budgeted Enrollment YR1'!J86</f>
        <v>30</v>
      </c>
      <c r="K86" s="1050">
        <f>'1.2 Budgeted Enrollment YR1'!K86</f>
        <v>0</v>
      </c>
      <c r="L86" s="1050">
        <f>'1.2 Budgeted Enrollment YR1'!L86</f>
        <v>0</v>
      </c>
      <c r="M86" s="1070"/>
      <c r="N86" s="968"/>
    </row>
    <row r="87" spans="1:22" ht="16.5" thickTop="1" thickBot="1" x14ac:dyDescent="0.3">
      <c r="A87" s="1000" t="str">
        <f>'1.2 Budgeted Enrollment YR1'!A87</f>
        <v>Clark</v>
      </c>
      <c r="B87" s="1089">
        <f>'1.2 Budgeted Enrollment YR1'!B87</f>
        <v>18</v>
      </c>
      <c r="C87" s="1089">
        <f>'1.2 Budgeted Enrollment YR1'!C87</f>
        <v>2</v>
      </c>
      <c r="D87" s="1000" t="str">
        <f>'1.2 Budgeted Enrollment YR1'!D87</f>
        <v>Las Vegas</v>
      </c>
      <c r="E87" s="1000" t="str">
        <f>'1.2 Budgeted Enrollment YR1'!E87</f>
        <v>Signature Preparatory</v>
      </c>
      <c r="F87" s="1000" t="str">
        <f>'1.2 Budgeted Enrollment YR1'!F86</f>
        <v>13880 Stead Blvd, Reno, NV 89506</v>
      </c>
      <c r="G87" s="1049">
        <f>'1.2 Budgeted Enrollment YR1'!G87+('1.2 Budgeted Enrollment YR1'!G87*$G$7)</f>
        <v>995.39371457820653</v>
      </c>
      <c r="H87" s="1049"/>
      <c r="I87" s="1050">
        <f>'1.2 Budgeted Enrollment YR1'!I87</f>
        <v>67</v>
      </c>
      <c r="J87" s="1050">
        <f>'1.2 Budgeted Enrollment YR1'!J87</f>
        <v>17</v>
      </c>
      <c r="K87" s="1050">
        <f>'1.2 Budgeted Enrollment YR1'!K87</f>
        <v>0</v>
      </c>
      <c r="L87" s="1050">
        <f>'1.2 Budgeted Enrollment YR1'!L87</f>
        <v>0</v>
      </c>
      <c r="M87" s="1070"/>
      <c r="N87" s="968"/>
    </row>
    <row r="88" spans="1:22" ht="16.5" thickTop="1" thickBot="1" x14ac:dyDescent="0.3">
      <c r="A88" s="1000" t="str">
        <f>'1.2 Budgeted Enrollment YR1'!A88</f>
        <v>Clark</v>
      </c>
      <c r="B88" s="1089">
        <f>'1.2 Budgeted Enrollment YR1'!B88</f>
        <v>18</v>
      </c>
      <c r="C88" s="1089">
        <f>'1.2 Budgeted Enrollment YR1'!C88</f>
        <v>2</v>
      </c>
      <c r="D88" s="1000" t="str">
        <f>'1.2 Budgeted Enrollment YR1'!D88</f>
        <v>Las Vegas</v>
      </c>
      <c r="E88" s="1000" t="str">
        <f>'1.2 Budgeted Enrollment YR1'!E88</f>
        <v>Silver Sands Montessori</v>
      </c>
      <c r="F88" s="1000" t="str">
        <f>'1.2 Budgeted Enrollment YR1'!F87</f>
        <v>498 S Boulder Hwy, Henderson, NV 89015</v>
      </c>
      <c r="G88" s="1049">
        <f>'1.2 Budgeted Enrollment YR1'!G88+('1.2 Budgeted Enrollment YR1'!G88*$G$7)</f>
        <v>239.7637761081109</v>
      </c>
      <c r="H88" s="1049"/>
      <c r="I88" s="1050">
        <f>'1.2 Budgeted Enrollment YR1'!I88</f>
        <v>24</v>
      </c>
      <c r="J88" s="1050">
        <f>'1.2 Budgeted Enrollment YR1'!J88</f>
        <v>0</v>
      </c>
      <c r="K88" s="1050">
        <f>'1.2 Budgeted Enrollment YR1'!K88</f>
        <v>0</v>
      </c>
      <c r="L88" s="1050">
        <f>'1.2 Budgeted Enrollment YR1'!L88</f>
        <v>0</v>
      </c>
      <c r="M88" s="1070"/>
      <c r="N88" s="968"/>
    </row>
    <row r="89" spans="1:22" ht="16.5" thickTop="1" thickBot="1" x14ac:dyDescent="0.3">
      <c r="A89" s="1000" t="str">
        <f>'1.2 Budgeted Enrollment YR1'!A89</f>
        <v>Clark</v>
      </c>
      <c r="B89" s="1089">
        <f>'1.2 Budgeted Enrollment YR1'!B89</f>
        <v>18</v>
      </c>
      <c r="C89" s="1089">
        <f>'1.2 Budgeted Enrollment YR1'!C89</f>
        <v>2</v>
      </c>
      <c r="D89" s="1000" t="str">
        <f>'1.2 Budgeted Enrollment YR1'!D89</f>
        <v>Las Vegas</v>
      </c>
      <c r="E89" s="1000" t="str">
        <f>'1.2 Budgeted Enrollment YR1'!E89</f>
        <v>Somerset Academy</v>
      </c>
      <c r="F89" s="1000" t="str">
        <f>'1.2 Budgeted Enrollment YR1'!F88</f>
        <v>1841 Whitney Mesa Dr, Henderson, NV 89014</v>
      </c>
      <c r="G89" s="1049">
        <f>'1.2 Budgeted Enrollment YR1'!G89+('1.2 Budgeted Enrollment YR1'!G89*$G$7)</f>
        <v>9613.0429519265235</v>
      </c>
      <c r="H89" s="1049"/>
      <c r="I89" s="1050">
        <f>'1.2 Budgeted Enrollment YR1'!I89</f>
        <v>346</v>
      </c>
      <c r="J89" s="1050">
        <f>'1.2 Budgeted Enrollment YR1'!J89</f>
        <v>109</v>
      </c>
      <c r="K89" s="1050">
        <f>'1.2 Budgeted Enrollment YR1'!K89</f>
        <v>243</v>
      </c>
      <c r="L89" s="1050">
        <f>'1.2 Budgeted Enrollment YR1'!L89</f>
        <v>0</v>
      </c>
      <c r="M89" s="1070"/>
      <c r="N89" s="968"/>
    </row>
    <row r="90" spans="1:22" ht="16.5" thickTop="1" thickBot="1" x14ac:dyDescent="0.3">
      <c r="A90" s="1000" t="str">
        <f>'1.2 Budgeted Enrollment YR1'!A90</f>
        <v>Clark</v>
      </c>
      <c r="B90" s="1089">
        <f>'1.2 Budgeted Enrollment YR1'!B90</f>
        <v>18</v>
      </c>
      <c r="C90" s="1089">
        <f>'1.2 Budgeted Enrollment YR1'!C90</f>
        <v>2</v>
      </c>
      <c r="D90" s="1000" t="str">
        <f>'1.2 Budgeted Enrollment YR1'!D90</f>
        <v>Las Vegas</v>
      </c>
      <c r="E90" s="1000" t="str">
        <f>'1.2 Budgeted Enrollment YR1'!E90</f>
        <v>Southern Nevada Trade High School</v>
      </c>
      <c r="F90" s="1000" t="str">
        <f>'1.2 Budgeted Enrollment YR1'!F89</f>
        <v>385 W. Centennial Parkway, North Las Vegas, NV 89084</v>
      </c>
      <c r="G90" s="1049">
        <f>'1.2 Budgeted Enrollment YR1'!G90+('1.2 Budgeted Enrollment YR1'!G90*$G$7)</f>
        <v>81.083193428487846</v>
      </c>
      <c r="H90" s="1049"/>
      <c r="I90" s="1050">
        <f>'1.2 Budgeted Enrollment YR1'!I90</f>
        <v>25</v>
      </c>
      <c r="J90" s="1050">
        <f>'1.2 Budgeted Enrollment YR1'!J90</f>
        <v>32</v>
      </c>
      <c r="K90" s="1050">
        <f>'1.2 Budgeted Enrollment YR1'!K90</f>
        <v>0</v>
      </c>
      <c r="L90" s="1050">
        <f>'1.2 Budgeted Enrollment YR1'!L90</f>
        <v>0</v>
      </c>
      <c r="M90" s="1070"/>
      <c r="N90" s="968"/>
    </row>
    <row r="91" spans="1:22" ht="16.5" thickTop="1" thickBot="1" x14ac:dyDescent="0.3">
      <c r="A91" s="1000" t="str">
        <f>'1.2 Budgeted Enrollment YR1'!A91</f>
        <v>Clark</v>
      </c>
      <c r="B91" s="1089">
        <f>'1.2 Budgeted Enrollment YR1'!B91</f>
        <v>18</v>
      </c>
      <c r="C91" s="1089">
        <f>'1.2 Budgeted Enrollment YR1'!C91</f>
        <v>2</v>
      </c>
      <c r="D91" s="1000" t="str">
        <f>'1.2 Budgeted Enrollment YR1'!D91</f>
        <v>Las Vegas</v>
      </c>
      <c r="E91" s="1000" t="str">
        <f>'1.2 Budgeted Enrollment YR1'!E91</f>
        <v>Sports Leadership and Management Academy</v>
      </c>
      <c r="F91" s="1000" t="str">
        <f>'1.2 Budgeted Enrollment YR1'!F90</f>
        <v>1580 Bledsoe Ln Las Vegas, NV 89110,</v>
      </c>
      <c r="G91" s="1049">
        <f>'1.2 Budgeted Enrollment YR1'!G91+('1.2 Budgeted Enrollment YR1'!G91*$G$7)</f>
        <v>1868.7586142879702</v>
      </c>
      <c r="H91" s="1049"/>
      <c r="I91" s="1050">
        <f>'1.2 Budgeted Enrollment YR1'!I91</f>
        <v>194</v>
      </c>
      <c r="J91" s="1050">
        <f>'1.2 Budgeted Enrollment YR1'!J91</f>
        <v>22</v>
      </c>
      <c r="K91" s="1050">
        <f>'1.2 Budgeted Enrollment YR1'!K91</f>
        <v>0</v>
      </c>
      <c r="L91" s="1050">
        <f>'1.2 Budgeted Enrollment YR1'!L91</f>
        <v>0</v>
      </c>
      <c r="M91" s="1070"/>
      <c r="N91" s="968"/>
    </row>
    <row r="92" spans="1:22" ht="16.5" thickTop="1" thickBot="1" x14ac:dyDescent="0.3">
      <c r="A92" s="1000" t="str">
        <f>'1.2 Budgeted Enrollment YR1'!A92</f>
        <v>Clark</v>
      </c>
      <c r="B92" s="1089">
        <f>'1.2 Budgeted Enrollment YR1'!B92</f>
        <v>18</v>
      </c>
      <c r="C92" s="1089">
        <f>'1.2 Budgeted Enrollment YR1'!C92</f>
        <v>2</v>
      </c>
      <c r="D92" s="1000" t="str">
        <f>'1.2 Budgeted Enrollment YR1'!D92</f>
        <v>Las Vegas</v>
      </c>
      <c r="E92" s="1000" t="str">
        <f>'1.2 Budgeted Enrollment YR1'!E92</f>
        <v>Strong Start Academy</v>
      </c>
      <c r="F92" s="1000" t="str">
        <f>'1.2 Budgeted Enrollment YR1'!F91</f>
        <v>1095 Fielders St., Henderson, NV 89011</v>
      </c>
      <c r="G92" s="1049">
        <f>'1.2 Budgeted Enrollment YR1'!G92+('1.2 Budgeted Enrollment YR1'!G92*$G$7)</f>
        <v>147.52292907276259</v>
      </c>
      <c r="H92" s="1049"/>
      <c r="I92" s="1050">
        <f>'1.2 Budgeted Enrollment YR1'!I92</f>
        <v>56</v>
      </c>
      <c r="J92" s="1050">
        <f>'1.2 Budgeted Enrollment YR1'!J92</f>
        <v>0</v>
      </c>
      <c r="K92" s="1050">
        <f>'1.2 Budgeted Enrollment YR1'!K92</f>
        <v>0</v>
      </c>
      <c r="L92" s="1050">
        <f>'1.2 Budgeted Enrollment YR1'!L92</f>
        <v>0</v>
      </c>
      <c r="M92" s="1070"/>
      <c r="N92" s="968"/>
      <c r="U92" s="1026"/>
      <c r="V92" s="1026"/>
    </row>
    <row r="93" spans="1:22" ht="16.5" thickTop="1" thickBot="1" x14ac:dyDescent="0.3">
      <c r="A93" s="1000" t="str">
        <f>'1.2 Budgeted Enrollment YR1'!A93</f>
        <v>Clark</v>
      </c>
      <c r="B93" s="1089">
        <f>'1.2 Budgeted Enrollment YR1'!B93</f>
        <v>18</v>
      </c>
      <c r="C93" s="1089">
        <f>'1.2 Budgeted Enrollment YR1'!C93</f>
        <v>2</v>
      </c>
      <c r="D93" s="1000" t="str">
        <f>'1.2 Budgeted Enrollment YR1'!D93</f>
        <v>Las Vegas</v>
      </c>
      <c r="E93" s="1000" t="str">
        <f>'1.2 Budgeted Enrollment YR1'!E93</f>
        <v>ThrivePoint</v>
      </c>
      <c r="F93" s="1000" t="e">
        <f>'1.2 Budgeted Enrollment YR1'!#REF!</f>
        <v>#REF!</v>
      </c>
      <c r="G93" s="1049">
        <f>'1.2 Budgeted Enrollment YR1'!G93+('1.2 Budgeted Enrollment YR1'!G93*$G$7)</f>
        <v>152.98522015479972</v>
      </c>
      <c r="H93" s="1049"/>
      <c r="I93" s="1050">
        <f>'1.2 Budgeted Enrollment YR1'!I93</f>
        <v>42</v>
      </c>
      <c r="J93" s="1050">
        <f>'1.2 Budgeted Enrollment YR1'!J93</f>
        <v>49</v>
      </c>
      <c r="K93" s="1050">
        <f>'1.2 Budgeted Enrollment YR1'!K93</f>
        <v>0</v>
      </c>
      <c r="L93" s="1050">
        <f>'1.2 Budgeted Enrollment YR1'!L93</f>
        <v>0</v>
      </c>
      <c r="M93" s="1070" t="s">
        <v>370</v>
      </c>
      <c r="U93" s="1026"/>
      <c r="V93" s="1026"/>
    </row>
    <row r="94" spans="1:22" ht="16.5" thickTop="1" thickBot="1" x14ac:dyDescent="0.3">
      <c r="A94" s="1000" t="str">
        <f>'1.2 Budgeted Enrollment YR1'!A94</f>
        <v>Clark</v>
      </c>
      <c r="B94" s="1089">
        <f>'1.2 Budgeted Enrollment YR1'!B94</f>
        <v>18</v>
      </c>
      <c r="C94" s="1089">
        <f>'1.2 Budgeted Enrollment YR1'!C94</f>
        <v>2</v>
      </c>
      <c r="D94" s="1000" t="str">
        <f>'1.2 Budgeted Enrollment YR1'!D94</f>
        <v>Las Vegas</v>
      </c>
      <c r="E94" s="1000" t="str">
        <f>'1.2 Budgeted Enrollment YR1'!E94</f>
        <v>Vegas Vista Academy</v>
      </c>
      <c r="F94" s="1000" t="str">
        <f>'1.2 Budgeted Enrollment YR1'!F93</f>
        <v>3802 Meadows Lane, Las Vegas, NV 89107</v>
      </c>
      <c r="G94" s="1049">
        <f>'1.2 Budgeted Enrollment YR1'!G94+('1.2 Budgeted Enrollment YR1'!G94*$G$7)</f>
        <v>104.72813728717834</v>
      </c>
      <c r="H94" s="1049"/>
      <c r="I94" s="1050">
        <f>'1.2 Budgeted Enrollment YR1'!I94</f>
        <v>36</v>
      </c>
      <c r="J94" s="1050">
        <f>'1.2 Budgeted Enrollment YR1'!J94</f>
        <v>0</v>
      </c>
      <c r="K94" s="1050">
        <f>'1.2 Budgeted Enrollment YR1'!K94</f>
        <v>0</v>
      </c>
      <c r="L94" s="1050">
        <f>'1.2 Budgeted Enrollment YR1'!L94</f>
        <v>0</v>
      </c>
      <c r="M94" s="1070" t="s">
        <v>370</v>
      </c>
    </row>
    <row r="95" spans="1:22" ht="16.5" thickTop="1" thickBot="1" x14ac:dyDescent="0.3">
      <c r="A95" s="1066" t="str">
        <f>'1.2 Budgeted Enrollment YR1'!A95</f>
        <v>Clark</v>
      </c>
      <c r="B95" s="1094">
        <f>'1.2 Budgeted Enrollment YR1'!B95</f>
        <v>18</v>
      </c>
      <c r="C95" s="1094">
        <f>'1.2 Budgeted Enrollment YR1'!C95</f>
        <v>2</v>
      </c>
      <c r="D95" s="1066" t="str">
        <f>'1.2 Budgeted Enrollment YR1'!D95</f>
        <v>Las Vegas</v>
      </c>
      <c r="E95" s="1066" t="str">
        <f>'1.2 Budgeted Enrollment YR1'!E95</f>
        <v>Young Women's Leadership Academy</v>
      </c>
      <c r="F95" s="1095" t="str">
        <f>'1.2 Budgeted Enrollment YR1'!F94</f>
        <v>5355 Madre Mesa Dr. Las Vegas, NV 89108</v>
      </c>
      <c r="G95" s="1096">
        <f>'1.2 Budgeted Enrollment YR1'!G95+('1.2 Budgeted Enrollment YR1'!G95*$G$7)</f>
        <v>118.86232883517145</v>
      </c>
      <c r="H95" s="1096"/>
      <c r="I95" s="1097">
        <f>'1.2 Budgeted Enrollment YR1'!I95</f>
        <v>19</v>
      </c>
      <c r="J95" s="1097">
        <f>'1.2 Budgeted Enrollment YR1'!J95</f>
        <v>2</v>
      </c>
      <c r="K95" s="1097">
        <f>'1.2 Budgeted Enrollment YR1'!K95</f>
        <v>0</v>
      </c>
      <c r="L95" s="1097">
        <f>'1.2 Budgeted Enrollment YR1'!L95</f>
        <v>0</v>
      </c>
      <c r="M95" s="1070"/>
    </row>
    <row r="96" spans="1:22" ht="16.5" thickTop="1" thickBot="1" x14ac:dyDescent="0.3">
      <c r="A96" s="863"/>
      <c r="B96" s="1026"/>
      <c r="C96" s="1026"/>
      <c r="D96" s="1026"/>
      <c r="E96" s="863" t="s">
        <v>499</v>
      </c>
      <c r="F96" s="863"/>
      <c r="G96" s="1098">
        <f>SUM(G34:G95)</f>
        <v>72301.606666666703</v>
      </c>
      <c r="H96" s="1098"/>
      <c r="I96" s="1099">
        <f>SUM(I34:I95)</f>
        <v>6384</v>
      </c>
      <c r="J96" s="1099">
        <f>SUM(J34:J95)</f>
        <v>2007</v>
      </c>
      <c r="K96" s="1099">
        <f>SUM(K34:K95)</f>
        <v>1491</v>
      </c>
      <c r="L96" s="1098">
        <f>SUM(L34:L95)</f>
        <v>3425.1842297671528</v>
      </c>
    </row>
    <row r="97" spans="1:27" ht="15.75" thickTop="1" x14ac:dyDescent="0.25">
      <c r="A97" s="1026"/>
      <c r="B97" s="1026"/>
      <c r="C97" s="1026"/>
      <c r="D97" s="1026"/>
      <c r="E97" s="1026"/>
      <c r="F97" s="1026"/>
      <c r="G97" s="1100"/>
      <c r="H97" s="1100"/>
      <c r="I97" s="1026"/>
      <c r="J97" s="1026"/>
      <c r="K97" s="1026"/>
      <c r="L97" s="1101"/>
      <c r="O97" s="863"/>
      <c r="P97" s="863"/>
    </row>
    <row r="98" spans="1:27" s="1026" customFormat="1" x14ac:dyDescent="0.25">
      <c r="A98" s="863" t="str">
        <f>E27</f>
        <v>University Schools</v>
      </c>
      <c r="E98" s="863"/>
      <c r="F98" s="863"/>
      <c r="G98" s="1102"/>
      <c r="H98" s="1102"/>
      <c r="I98" s="1070"/>
      <c r="J98" s="1070"/>
      <c r="K98" s="1070"/>
      <c r="L98" s="1103"/>
      <c r="N98" s="864"/>
      <c r="U98" s="864"/>
      <c r="V98" s="864"/>
    </row>
    <row r="99" spans="1:27" ht="15.75" thickBot="1" x14ac:dyDescent="0.3">
      <c r="A99" s="863" t="s">
        <v>253</v>
      </c>
      <c r="B99" s="1026" t="s">
        <v>254</v>
      </c>
      <c r="C99" s="1026" t="s">
        <v>255</v>
      </c>
      <c r="D99" s="1026" t="s">
        <v>256</v>
      </c>
      <c r="E99" s="863" t="s">
        <v>315</v>
      </c>
      <c r="F99" s="863" t="s">
        <v>316</v>
      </c>
      <c r="G99" s="1102"/>
      <c r="H99" s="1102"/>
      <c r="I99" s="1070"/>
      <c r="J99" s="1070"/>
      <c r="K99" s="1070"/>
      <c r="L99" s="1103"/>
      <c r="M99" s="1104"/>
    </row>
    <row r="100" spans="1:27" ht="16.5" thickTop="1" thickBot="1" x14ac:dyDescent="0.3">
      <c r="A100" s="1329" t="str">
        <f>'1.2 Budgeted Enrollment YR1'!A100</f>
        <v>Washoe</v>
      </c>
      <c r="B100" s="1330">
        <f>'1.2 Budgeted Enrollment YR1'!B100</f>
        <v>19</v>
      </c>
      <c r="C100" s="1330">
        <f>'1.2 Budgeted Enrollment YR1'!C100</f>
        <v>16</v>
      </c>
      <c r="D100" s="1330" t="str">
        <f>'1.2 Budgeted Enrollment YR1'!D100</f>
        <v>Reno</v>
      </c>
      <c r="E100" s="1330" t="str">
        <f>'1.2 Budgeted Enrollment YR1'!E100</f>
        <v>Davidson Academy</v>
      </c>
      <c r="F100" s="1330" t="s">
        <v>500</v>
      </c>
      <c r="G100" s="1871">
        <f>'1.2 Budgeted Enrollment YR1'!G100+('1.2 Budgeted Enrollment YR1'!G100*$G$7)</f>
        <v>167.88437423074134</v>
      </c>
      <c r="H100" s="1871"/>
      <c r="I100" s="1050">
        <f>'1.2 Budgeted Enrollment YR1'!I100</f>
        <v>0</v>
      </c>
      <c r="J100" s="1050">
        <f>'1.2 Budgeted Enrollment YR1'!J100</f>
        <v>0</v>
      </c>
      <c r="K100" s="1050">
        <f>'1.2 Budgeted Enrollment YR1'!K100</f>
        <v>0</v>
      </c>
      <c r="L100" s="1050">
        <v>0</v>
      </c>
      <c r="M100" s="1104"/>
    </row>
    <row r="101" spans="1:27" ht="16.5" thickTop="1" thickBot="1" x14ac:dyDescent="0.3">
      <c r="A101" s="1331">
        <f>'1.2 Budgeted Enrollment YR1'!A101</f>
        <v>0</v>
      </c>
      <c r="B101" s="1332">
        <f>'1.2 Budgeted Enrollment YR1'!B101</f>
        <v>0</v>
      </c>
      <c r="C101" s="1332">
        <f>'1.2 Budgeted Enrollment YR1'!C101</f>
        <v>0</v>
      </c>
      <c r="D101" s="1332">
        <f>'1.2 Budgeted Enrollment YR1'!D101</f>
        <v>0</v>
      </c>
      <c r="E101" s="1332" t="str">
        <f>'1.2 Budgeted Enrollment YR1'!E101</f>
        <v>TBD</v>
      </c>
      <c r="F101" s="1333"/>
      <c r="G101" s="1049">
        <f>'1.2 Budgeted Enrollment YR1'!G101+('1.2 Budgeted Enrollment YR1'!G101*$G$7)</f>
        <v>0</v>
      </c>
      <c r="H101" s="1049"/>
      <c r="I101" s="1050">
        <f>'1.2 Budgeted Enrollment YR1'!I101</f>
        <v>0</v>
      </c>
      <c r="J101" s="1050">
        <f>'1.2 Budgeted Enrollment YR1'!J101</f>
        <v>0</v>
      </c>
      <c r="K101" s="1050">
        <f>'1.2 Budgeted Enrollment YR1'!K101</f>
        <v>0</v>
      </c>
      <c r="L101" s="1050">
        <f>G101</f>
        <v>0</v>
      </c>
      <c r="M101" s="1104"/>
    </row>
    <row r="102" spans="1:27" ht="16.5" thickTop="1" thickBot="1" x14ac:dyDescent="0.3">
      <c r="A102" s="863"/>
      <c r="B102" s="1026"/>
      <c r="C102" s="1026"/>
      <c r="D102" s="1026"/>
      <c r="E102" s="866" t="s">
        <v>502</v>
      </c>
      <c r="F102" s="863"/>
      <c r="G102" s="1098">
        <f>SUM(G100:G101)</f>
        <v>167.88437423074134</v>
      </c>
      <c r="H102" s="1098"/>
      <c r="I102" s="1099">
        <f>SUM(I100:I101)</f>
        <v>0</v>
      </c>
      <c r="J102" s="1099">
        <f>SUM(J100:J101)</f>
        <v>0</v>
      </c>
      <c r="K102" s="1099">
        <f>SUM(K100:K101)</f>
        <v>0</v>
      </c>
      <c r="L102" s="1098">
        <f>SUM(L100:L101)</f>
        <v>0</v>
      </c>
      <c r="M102" s="1104"/>
      <c r="N102" s="863"/>
    </row>
    <row r="103" spans="1:27" ht="15.75" thickTop="1" x14ac:dyDescent="0.25">
      <c r="A103" s="863"/>
      <c r="B103" s="1026"/>
      <c r="C103" s="1026"/>
      <c r="D103" s="1026"/>
      <c r="E103" s="863"/>
      <c r="F103" s="863"/>
      <c r="G103" s="1105">
        <f>G96+G102</f>
        <v>72469.491040897439</v>
      </c>
      <c r="H103" s="1105"/>
      <c r="I103" s="1106">
        <f>I96+I102</f>
        <v>6384</v>
      </c>
      <c r="J103" s="1106">
        <f>J96+J102</f>
        <v>2007</v>
      </c>
      <c r="K103" s="1106">
        <f>K96+K102</f>
        <v>1491</v>
      </c>
      <c r="L103" s="1105">
        <f>L96+L102</f>
        <v>3425.1842297671528</v>
      </c>
      <c r="M103" s="1104"/>
      <c r="N103" s="1026"/>
    </row>
    <row r="104" spans="1:27" x14ac:dyDescent="0.25">
      <c r="A104" s="863"/>
      <c r="B104" s="1026"/>
      <c r="C104" s="1026"/>
      <c r="D104" s="1026"/>
      <c r="E104" s="863"/>
      <c r="F104" s="863"/>
      <c r="G104" s="1105"/>
      <c r="H104" s="1105"/>
      <c r="I104" s="1106"/>
      <c r="J104" s="1106"/>
      <c r="K104" s="1106"/>
      <c r="L104" s="1105"/>
      <c r="M104" s="1104"/>
      <c r="N104" s="1026"/>
      <c r="U104" s="863"/>
      <c r="V104" s="863"/>
    </row>
    <row r="105" spans="1:27" x14ac:dyDescent="0.25">
      <c r="A105" s="863" t="str">
        <f>E28</f>
        <v>City of Henderson</v>
      </c>
      <c r="B105" s="1026"/>
      <c r="C105" s="1026"/>
      <c r="D105" s="1026"/>
      <c r="E105" s="863"/>
      <c r="F105" s="863"/>
      <c r="G105" s="1107"/>
      <c r="H105" s="1107"/>
      <c r="I105" s="1070"/>
      <c r="J105" s="1070"/>
      <c r="K105" s="1070"/>
      <c r="L105" s="1103"/>
      <c r="M105" s="1104"/>
    </row>
    <row r="106" spans="1:27" ht="15.75" thickBot="1" x14ac:dyDescent="0.3">
      <c r="A106" s="863" t="s">
        <v>253</v>
      </c>
      <c r="B106" s="1026" t="s">
        <v>254</v>
      </c>
      <c r="C106" s="1026" t="s">
        <v>255</v>
      </c>
      <c r="D106" s="1026" t="s">
        <v>256</v>
      </c>
      <c r="E106" s="863" t="s">
        <v>315</v>
      </c>
      <c r="F106" s="863" t="s">
        <v>316</v>
      </c>
      <c r="G106" s="1107"/>
      <c r="H106" s="1107"/>
      <c r="I106" s="1070"/>
      <c r="J106" s="1070"/>
      <c r="K106" s="1070"/>
      <c r="L106" s="1103"/>
      <c r="M106" s="1104"/>
      <c r="N106" s="875"/>
      <c r="Q106" s="863"/>
      <c r="R106" s="863"/>
      <c r="S106" s="863"/>
      <c r="T106" s="863"/>
      <c r="W106" s="863"/>
      <c r="X106" s="863"/>
      <c r="Y106" s="863"/>
    </row>
    <row r="107" spans="1:27" s="863" customFormat="1" ht="16.5" thickTop="1" thickBot="1" x14ac:dyDescent="0.3">
      <c r="A107" s="1329" t="str">
        <f>'1.2 Budgeted Enrollment YR1'!A107</f>
        <v>Clark</v>
      </c>
      <c r="B107" s="1330">
        <f>'1.2 Budgeted Enrollment YR1'!B107</f>
        <v>20</v>
      </c>
      <c r="C107" s="1330">
        <f>'1.2 Budgeted Enrollment YR1'!C107</f>
        <v>20</v>
      </c>
      <c r="D107" s="1330" t="str">
        <f>'1.2 Budgeted Enrollment YR1'!D107</f>
        <v>Las Vegas</v>
      </c>
      <c r="E107" s="1330" t="str">
        <f>'1.2 Budgeted Enrollment YR1'!E107</f>
        <v>TBD</v>
      </c>
      <c r="F107" s="1330" t="s">
        <v>500</v>
      </c>
      <c r="G107" s="1049">
        <f>'1.2 Budgeted Enrollment YR1'!G107+('1.2 Budgeted Enrollment YR1'!G107*$G$7)</f>
        <v>0</v>
      </c>
      <c r="H107" s="1049"/>
      <c r="I107" s="1050">
        <f>'1.2 Budgeted Enrollment YR1'!I107</f>
        <v>0</v>
      </c>
      <c r="J107" s="1108">
        <f>'1.2 Budgeted Enrollment YR1'!J107</f>
        <v>0</v>
      </c>
      <c r="K107" s="1050">
        <f>'1.2 Budgeted Enrollment YR1'!K107</f>
        <v>0</v>
      </c>
      <c r="L107" s="1108">
        <f>G107</f>
        <v>0</v>
      </c>
      <c r="M107" s="1109"/>
      <c r="N107" s="864"/>
      <c r="O107" s="864"/>
      <c r="P107" s="864"/>
      <c r="Q107" s="864"/>
      <c r="R107" s="864"/>
      <c r="S107" s="864"/>
      <c r="T107" s="864"/>
      <c r="U107" s="864"/>
      <c r="V107" s="864"/>
      <c r="W107" s="864"/>
      <c r="X107" s="864"/>
      <c r="Y107" s="864"/>
      <c r="Z107" s="864"/>
      <c r="AA107" s="864"/>
    </row>
    <row r="108" spans="1:27" ht="16.5" thickTop="1" thickBot="1" x14ac:dyDescent="0.3">
      <c r="A108" s="1331" t="str">
        <f>'1.2 Budgeted Enrollment YR1'!A108</f>
        <v>Clark</v>
      </c>
      <c r="B108" s="1332">
        <f>'1.2 Budgeted Enrollment YR1'!B108</f>
        <v>20</v>
      </c>
      <c r="C108" s="1332">
        <f>'1.2 Budgeted Enrollment YR1'!C108</f>
        <v>20</v>
      </c>
      <c r="D108" s="1332" t="str">
        <f>'1.2 Budgeted Enrollment YR1'!D108</f>
        <v>Las Vegas</v>
      </c>
      <c r="E108" s="1332" t="str">
        <f>'1.2 Budgeted Enrollment YR1'!E108</f>
        <v>TBD</v>
      </c>
      <c r="F108" s="1333"/>
      <c r="G108" s="1049">
        <v>0</v>
      </c>
      <c r="H108" s="1049"/>
      <c r="I108" s="1050">
        <v>0</v>
      </c>
      <c r="J108" s="1108">
        <v>0</v>
      </c>
      <c r="K108" s="1050">
        <v>0</v>
      </c>
      <c r="L108" s="1108">
        <f>G108</f>
        <v>0</v>
      </c>
      <c r="M108" s="1109"/>
    </row>
    <row r="109" spans="1:27" ht="16.5" thickTop="1" thickBot="1" x14ac:dyDescent="0.3">
      <c r="A109" s="863"/>
      <c r="B109" s="1026"/>
      <c r="C109" s="1026"/>
      <c r="D109" s="1026"/>
      <c r="E109" s="866" t="s">
        <v>156</v>
      </c>
      <c r="F109" s="863"/>
      <c r="G109" s="1098">
        <f>SUM(G107:G108)</f>
        <v>0</v>
      </c>
      <c r="H109" s="1098"/>
      <c r="I109" s="1099">
        <f>SUM(I107:I108)</f>
        <v>0</v>
      </c>
      <c r="J109" s="1099">
        <f>SUM(J107:J108)</f>
        <v>0</v>
      </c>
      <c r="K109" s="1099">
        <f>SUM(K107:K108)</f>
        <v>0</v>
      </c>
      <c r="L109" s="1098">
        <f>SUM(L107:L108)</f>
        <v>0</v>
      </c>
      <c r="M109" s="1110"/>
    </row>
    <row r="110" spans="1:27" ht="15.75" thickTop="1" x14ac:dyDescent="0.25">
      <c r="A110" s="863"/>
      <c r="B110" s="1026"/>
      <c r="C110" s="1026"/>
      <c r="D110" s="1026"/>
      <c r="E110" s="866"/>
      <c r="F110" s="863"/>
      <c r="G110" s="1111"/>
      <c r="H110" s="1111"/>
      <c r="I110" s="1106"/>
      <c r="J110" s="1106"/>
      <c r="K110" s="1106"/>
      <c r="L110" s="1105"/>
      <c r="M110" s="1104"/>
      <c r="U110" s="863"/>
      <c r="V110" s="863"/>
    </row>
    <row r="111" spans="1:27" x14ac:dyDescent="0.25">
      <c r="A111" s="863" t="str">
        <f>E29</f>
        <v>City of North Las Vegas</v>
      </c>
      <c r="B111" s="1026"/>
      <c r="C111" s="1026"/>
      <c r="D111" s="1026"/>
      <c r="E111" s="863"/>
      <c r="F111" s="863"/>
      <c r="G111" s="1107"/>
      <c r="H111" s="1107"/>
      <c r="I111" s="1070"/>
      <c r="J111" s="1070"/>
      <c r="K111" s="1070"/>
      <c r="L111" s="1103"/>
      <c r="M111" s="1104"/>
    </row>
    <row r="112" spans="1:27" ht="15.75" thickBot="1" x14ac:dyDescent="0.3">
      <c r="A112" s="863" t="s">
        <v>253</v>
      </c>
      <c r="B112" s="1026" t="s">
        <v>254</v>
      </c>
      <c r="C112" s="1026" t="s">
        <v>255</v>
      </c>
      <c r="D112" s="1026" t="s">
        <v>256</v>
      </c>
      <c r="E112" s="863" t="s">
        <v>315</v>
      </c>
      <c r="F112" s="863" t="s">
        <v>316</v>
      </c>
      <c r="G112" s="1107"/>
      <c r="H112" s="1107"/>
      <c r="I112" s="1070"/>
      <c r="J112" s="1070"/>
      <c r="K112" s="1070"/>
      <c r="L112" s="1103"/>
      <c r="M112" s="1104"/>
      <c r="N112" s="875"/>
      <c r="Q112" s="863"/>
      <c r="R112" s="863"/>
      <c r="S112" s="863"/>
      <c r="T112" s="863"/>
      <c r="W112" s="863"/>
      <c r="X112" s="863"/>
      <c r="Y112" s="863"/>
    </row>
    <row r="113" spans="1:27" s="863" customFormat="1" ht="16.5" thickTop="1" thickBot="1" x14ac:dyDescent="0.3">
      <c r="A113" s="1329" t="str">
        <f>'1.2 Budgeted Enrollment YR1'!A113</f>
        <v>Clark</v>
      </c>
      <c r="B113" s="1330">
        <f>'1.2 Budgeted Enrollment YR1'!B113</f>
        <v>21</v>
      </c>
      <c r="C113" s="1330">
        <f>'1.2 Budgeted Enrollment YR1'!C113</f>
        <v>21</v>
      </c>
      <c r="D113" s="1330" t="str">
        <f>'1.2 Budgeted Enrollment YR1'!D113</f>
        <v>Las Vegas</v>
      </c>
      <c r="E113" s="1330" t="str">
        <f>'1.2 Budgeted Enrollment YR1'!E113</f>
        <v>TBD</v>
      </c>
      <c r="F113" s="1330" t="s">
        <v>500</v>
      </c>
      <c r="G113" s="1049">
        <f>'1.2 Budgeted Enrollment YR1'!G113+('1.2 Budgeted Enrollment YR1'!G113*$G$7)</f>
        <v>0</v>
      </c>
      <c r="H113" s="1049"/>
      <c r="I113" s="1050">
        <f>'1.2 Budgeted Enrollment YR1'!I113</f>
        <v>0</v>
      </c>
      <c r="J113" s="1108">
        <f>'1.2 Budgeted Enrollment YR1'!J113</f>
        <v>0</v>
      </c>
      <c r="K113" s="1050">
        <f>'1.2 Budgeted Enrollment YR1'!K113</f>
        <v>0</v>
      </c>
      <c r="L113" s="1108">
        <f>G113</f>
        <v>0</v>
      </c>
      <c r="M113" s="1109"/>
      <c r="N113" s="864"/>
      <c r="O113" s="864"/>
      <c r="P113" s="864"/>
      <c r="Q113" s="864"/>
      <c r="R113" s="864"/>
      <c r="S113" s="864"/>
      <c r="T113" s="864"/>
      <c r="U113" s="864"/>
      <c r="V113" s="864"/>
      <c r="W113" s="864"/>
      <c r="X113" s="864"/>
      <c r="Y113" s="864"/>
      <c r="Z113" s="864"/>
      <c r="AA113" s="864"/>
    </row>
    <row r="114" spans="1:27" ht="16.5" thickTop="1" thickBot="1" x14ac:dyDescent="0.3">
      <c r="A114" s="1331" t="str">
        <f>'1.2 Budgeted Enrollment YR1'!A114</f>
        <v>Clark</v>
      </c>
      <c r="B114" s="1332">
        <f>'1.2 Budgeted Enrollment YR1'!B114</f>
        <v>21</v>
      </c>
      <c r="C114" s="1332">
        <f>'1.2 Budgeted Enrollment YR1'!C114</f>
        <v>21</v>
      </c>
      <c r="D114" s="1332" t="str">
        <f>'1.2 Budgeted Enrollment YR1'!D114</f>
        <v>Las Vegas</v>
      </c>
      <c r="E114" s="1332" t="str">
        <f>'1.2 Budgeted Enrollment YR1'!E114</f>
        <v>TBD</v>
      </c>
      <c r="F114" s="1333"/>
      <c r="G114" s="1049">
        <v>0</v>
      </c>
      <c r="H114" s="1049"/>
      <c r="I114" s="1050">
        <v>0</v>
      </c>
      <c r="J114" s="1108">
        <v>0</v>
      </c>
      <c r="K114" s="1050">
        <v>0</v>
      </c>
      <c r="L114" s="1108">
        <f>G114</f>
        <v>0</v>
      </c>
      <c r="M114" s="1109"/>
    </row>
    <row r="115" spans="1:27" ht="16.5" thickTop="1" thickBot="1" x14ac:dyDescent="0.3">
      <c r="A115" s="863"/>
      <c r="B115" s="1026"/>
      <c r="C115" s="1026"/>
      <c r="D115" s="1026"/>
      <c r="E115" s="866" t="s">
        <v>156</v>
      </c>
      <c r="F115" s="863"/>
      <c r="G115" s="1098">
        <f>SUM(G113:G114)</f>
        <v>0</v>
      </c>
      <c r="H115" s="1098"/>
      <c r="I115" s="1099">
        <f>SUM(I113:I114)</f>
        <v>0</v>
      </c>
      <c r="J115" s="1099">
        <f>SUM(J113:J114)</f>
        <v>0</v>
      </c>
      <c r="K115" s="1099">
        <f>SUM(K113:K114)</f>
        <v>0</v>
      </c>
      <c r="L115" s="1098">
        <f>SUM(L113:L114)</f>
        <v>0</v>
      </c>
      <c r="M115" s="1110"/>
    </row>
    <row r="116" spans="1:27" ht="15.75" thickTop="1" x14ac:dyDescent="0.25">
      <c r="A116" s="863"/>
      <c r="B116" s="1026"/>
      <c r="C116" s="1026"/>
      <c r="D116" s="1026"/>
      <c r="E116" s="866"/>
      <c r="F116" s="863"/>
      <c r="G116" s="1105"/>
      <c r="H116" s="1105"/>
      <c r="I116" s="1106"/>
      <c r="J116" s="1106"/>
      <c r="K116" s="1106"/>
      <c r="L116" s="1105"/>
      <c r="M116" s="1110"/>
    </row>
    <row r="117" spans="1:27" x14ac:dyDescent="0.25">
      <c r="A117" s="863" t="s">
        <v>504</v>
      </c>
      <c r="H117" s="1079"/>
      <c r="I117" s="1110"/>
      <c r="J117" s="1112"/>
      <c r="K117" s="1110"/>
      <c r="L117" s="1112"/>
      <c r="M117" s="1104"/>
      <c r="Q117" s="863"/>
      <c r="R117" s="863"/>
    </row>
    <row r="118" spans="1:27" s="863" customFormat="1" ht="18" thickBot="1" x14ac:dyDescent="0.45">
      <c r="A118" s="1083" t="str">
        <f>A8</f>
        <v>County</v>
      </c>
      <c r="B118" s="1083" t="str">
        <f>B8</f>
        <v>District #</v>
      </c>
      <c r="C118" s="1083" t="str">
        <f>C8</f>
        <v>DOHQ#</v>
      </c>
      <c r="D118" s="1083" t="str">
        <f>D8</f>
        <v>Attendance Area</v>
      </c>
      <c r="E118" s="1084" t="s">
        <v>505</v>
      </c>
      <c r="G118" s="1085"/>
      <c r="H118" s="1085"/>
      <c r="J118" s="923"/>
      <c r="L118" s="923"/>
      <c r="M118" s="1113"/>
      <c r="N118" s="864"/>
      <c r="O118" s="864"/>
      <c r="P118" s="864"/>
      <c r="Q118" s="864"/>
      <c r="R118" s="864"/>
      <c r="U118" s="864"/>
      <c r="V118" s="864"/>
    </row>
    <row r="119" spans="1:27" ht="16.5" thickTop="1" thickBot="1" x14ac:dyDescent="0.3">
      <c r="A119" s="968" t="str">
        <f>'1.2 Budgeted Enrollment YR1'!A119</f>
        <v>Carson City</v>
      </c>
      <c r="B119" s="971">
        <f>'1.2 Budgeted Enrollment YR1'!B119</f>
        <v>13</v>
      </c>
      <c r="C119" s="971">
        <f>'1.2 Budgeted Enrollment YR1'!C119</f>
        <v>13</v>
      </c>
      <c r="D119" s="971" t="str">
        <f>'1.2 Budgeted Enrollment YR1'!D119</f>
        <v>Carson City</v>
      </c>
      <c r="E119" s="968" t="str">
        <f>'1.2 Budgeted Enrollment YR1'!E119</f>
        <v>Al Seeliger Elementary</v>
      </c>
      <c r="F119" s="1061"/>
      <c r="G119" s="1108">
        <f>'1.2 Budgeted Enrollment YR1'!G119+('1.2 Budgeted Enrollment YR1'!G119*$G$7)</f>
        <v>520.76639743924079</v>
      </c>
      <c r="H119" s="1108"/>
      <c r="I119" s="1114">
        <v>0</v>
      </c>
      <c r="J119" s="1115">
        <v>0</v>
      </c>
      <c r="K119" s="1114">
        <v>0</v>
      </c>
      <c r="L119" s="1108">
        <f>'1.2 Budgeted Enrollment YR1'!L119</f>
        <v>0</v>
      </c>
      <c r="M119" s="1106"/>
      <c r="N119" s="875"/>
    </row>
    <row r="120" spans="1:27" ht="16.5" thickTop="1" thickBot="1" x14ac:dyDescent="0.3">
      <c r="A120" s="968" t="str">
        <f>'1.2 Budgeted Enrollment YR1'!A120</f>
        <v>Carson City</v>
      </c>
      <c r="B120" s="971">
        <f>'1.2 Budgeted Enrollment YR1'!B120</f>
        <v>13</v>
      </c>
      <c r="C120" s="971">
        <f>'1.2 Budgeted Enrollment YR1'!C120</f>
        <v>13</v>
      </c>
      <c r="D120" s="971" t="str">
        <f>'1.2 Budgeted Enrollment YR1'!D120</f>
        <v>Carson City</v>
      </c>
      <c r="E120" s="968" t="str">
        <f>'1.2 Budgeted Enrollment YR1'!E120</f>
        <v>Bordewich/Bray Elementary</v>
      </c>
      <c r="F120" s="1061"/>
      <c r="G120" s="1108">
        <f>'1.2 Budgeted Enrollment YR1'!G120+('1.2 Budgeted Enrollment YR1'!G120*$G$7)</f>
        <v>504.66459730843565</v>
      </c>
      <c r="H120" s="1108"/>
      <c r="I120" s="1114">
        <v>0</v>
      </c>
      <c r="J120" s="1115">
        <v>0</v>
      </c>
      <c r="K120" s="1114">
        <v>0</v>
      </c>
      <c r="L120" s="1108">
        <f>'1.2 Budgeted Enrollment YR1'!L120</f>
        <v>0</v>
      </c>
      <c r="M120" s="1110"/>
      <c r="N120" s="875"/>
    </row>
    <row r="121" spans="1:27" ht="16.5" thickTop="1" thickBot="1" x14ac:dyDescent="0.3">
      <c r="A121" s="968" t="str">
        <f>'1.2 Budgeted Enrollment YR1'!A121</f>
        <v>Carson City</v>
      </c>
      <c r="B121" s="971">
        <f>'1.2 Budgeted Enrollment YR1'!B121</f>
        <v>13</v>
      </c>
      <c r="C121" s="971">
        <f>'1.2 Budgeted Enrollment YR1'!C121</f>
        <v>13</v>
      </c>
      <c r="D121" s="971" t="str">
        <f>'1.2 Budgeted Enrollment YR1'!D121</f>
        <v>Carson City</v>
      </c>
      <c r="E121" s="968" t="str">
        <f>'1.2 Budgeted Enrollment YR1'!E121</f>
        <v>Carson High School</v>
      </c>
      <c r="F121" s="1061"/>
      <c r="G121" s="1108">
        <f>'1.2 Budgeted Enrollment YR1'!G121+('1.2 Budgeted Enrollment YR1'!G121*$G$7)</f>
        <v>2189.594693805439</v>
      </c>
      <c r="H121" s="1108"/>
      <c r="I121" s="1114">
        <v>0</v>
      </c>
      <c r="J121" s="1115">
        <v>0</v>
      </c>
      <c r="K121" s="1114">
        <v>0</v>
      </c>
      <c r="L121" s="1108">
        <f>'1.2 Budgeted Enrollment YR1'!L121</f>
        <v>0</v>
      </c>
      <c r="M121" s="1104"/>
      <c r="N121" s="875"/>
    </row>
    <row r="122" spans="1:27" ht="16.5" thickTop="1" thickBot="1" x14ac:dyDescent="0.3">
      <c r="A122" s="968" t="str">
        <f>'1.2 Budgeted Enrollment YR1'!A122</f>
        <v>Carson City</v>
      </c>
      <c r="B122" s="971">
        <f>'1.2 Budgeted Enrollment YR1'!B122</f>
        <v>13</v>
      </c>
      <c r="C122" s="971">
        <f>'1.2 Budgeted Enrollment YR1'!C122</f>
        <v>13</v>
      </c>
      <c r="D122" s="971" t="str">
        <f>'1.2 Budgeted Enrollment YR1'!D122</f>
        <v>Carson City</v>
      </c>
      <c r="E122" s="968" t="str">
        <f>'1.2 Budgeted Enrollment YR1'!E122</f>
        <v>Carson Middle School</v>
      </c>
      <c r="F122" s="1061"/>
      <c r="G122" s="1108">
        <f>'1.2 Budgeted Enrollment YR1'!G122+('1.2 Budgeted Enrollment YR1'!G122*$G$7)</f>
        <v>829.17204037143472</v>
      </c>
      <c r="H122" s="1108"/>
      <c r="I122" s="1114">
        <v>0</v>
      </c>
      <c r="J122" s="1115">
        <v>0</v>
      </c>
      <c r="K122" s="1114">
        <v>0</v>
      </c>
      <c r="L122" s="1108">
        <f>'1.2 Budgeted Enrollment YR1'!L122</f>
        <v>0</v>
      </c>
      <c r="M122" s="1104"/>
      <c r="N122" s="875"/>
    </row>
    <row r="123" spans="1:27" ht="16.5" thickTop="1" thickBot="1" x14ac:dyDescent="0.3">
      <c r="A123" s="968" t="str">
        <f>'1.2 Budgeted Enrollment YR1'!A123</f>
        <v>Carson City</v>
      </c>
      <c r="B123" s="971">
        <f>'1.2 Budgeted Enrollment YR1'!B123</f>
        <v>13</v>
      </c>
      <c r="C123" s="971">
        <f>'1.2 Budgeted Enrollment YR1'!C123</f>
        <v>13</v>
      </c>
      <c r="D123" s="971" t="str">
        <f>'1.2 Budgeted Enrollment YR1'!D123</f>
        <v>Carson City</v>
      </c>
      <c r="E123" s="968" t="str">
        <f>'1.2 Budgeted Enrollment YR1'!E123</f>
        <v>Eagle Valley Middle School</v>
      </c>
      <c r="F123" s="1061"/>
      <c r="G123" s="1108">
        <f>'1.2 Budgeted Enrollment YR1'!G123+('1.2 Budgeted Enrollment YR1'!G123*$G$7)</f>
        <v>798.89317004747932</v>
      </c>
      <c r="H123" s="1108"/>
      <c r="I123" s="1114">
        <v>0</v>
      </c>
      <c r="J123" s="1115">
        <v>0</v>
      </c>
      <c r="K123" s="1114">
        <v>0</v>
      </c>
      <c r="L123" s="1108">
        <f>'1.2 Budgeted Enrollment YR1'!L123</f>
        <v>0</v>
      </c>
      <c r="M123" s="1104"/>
      <c r="N123" s="875"/>
    </row>
    <row r="124" spans="1:27" ht="16.5" thickTop="1" thickBot="1" x14ac:dyDescent="0.3">
      <c r="A124" s="968" t="str">
        <f>'1.2 Budgeted Enrollment YR1'!A124</f>
        <v>Carson City</v>
      </c>
      <c r="B124" s="971">
        <f>'1.2 Budgeted Enrollment YR1'!B124</f>
        <v>13</v>
      </c>
      <c r="C124" s="971">
        <f>'1.2 Budgeted Enrollment YR1'!C124</f>
        <v>13</v>
      </c>
      <c r="D124" s="971" t="str">
        <f>'1.2 Budgeted Enrollment YR1'!D124</f>
        <v>Carson City</v>
      </c>
      <c r="E124" s="968" t="str">
        <f>'1.2 Budgeted Enrollment YR1'!E124</f>
        <v>Early Childhood Center</v>
      </c>
      <c r="F124" s="1061"/>
      <c r="G124" s="1108">
        <f>'1.2 Budgeted Enrollment YR1'!G124+('1.2 Budgeted Enrollment YR1'!G124*$G$7)</f>
        <v>21.317812870954906</v>
      </c>
      <c r="H124" s="1108"/>
      <c r="I124" s="1114">
        <v>0</v>
      </c>
      <c r="J124" s="1115">
        <v>0</v>
      </c>
      <c r="K124" s="1114">
        <v>0</v>
      </c>
      <c r="L124" s="1108">
        <f>'1.2 Budgeted Enrollment YR1'!L124</f>
        <v>0</v>
      </c>
      <c r="M124" s="1104"/>
      <c r="N124" s="875"/>
    </row>
    <row r="125" spans="1:27" ht="16.5" thickTop="1" thickBot="1" x14ac:dyDescent="0.3">
      <c r="A125" s="968" t="str">
        <f>'1.2 Budgeted Enrollment YR1'!A125</f>
        <v>Carson City</v>
      </c>
      <c r="B125" s="971">
        <f>'1.2 Budgeted Enrollment YR1'!B125</f>
        <v>13</v>
      </c>
      <c r="C125" s="971">
        <f>'1.2 Budgeted Enrollment YR1'!C125</f>
        <v>13</v>
      </c>
      <c r="D125" s="971" t="str">
        <f>'1.2 Budgeted Enrollment YR1'!D125</f>
        <v>Carson City</v>
      </c>
      <c r="E125" s="968" t="str">
        <f>'1.2 Budgeted Enrollment YR1'!E125</f>
        <v>Edith W. Fritsch Elementary</v>
      </c>
      <c r="F125" s="1061"/>
      <c r="G125" s="1108">
        <f>'1.2 Budgeted Enrollment YR1'!G125+('1.2 Budgeted Enrollment YR1'!G125*$G$7)</f>
        <v>484.4962287147884</v>
      </c>
      <c r="H125" s="1108"/>
      <c r="I125" s="1114">
        <v>0</v>
      </c>
      <c r="J125" s="1115">
        <v>0</v>
      </c>
      <c r="K125" s="1114">
        <v>0</v>
      </c>
      <c r="L125" s="1108">
        <f>'1.2 Budgeted Enrollment YR1'!L125</f>
        <v>0</v>
      </c>
      <c r="M125" s="1104"/>
      <c r="N125" s="875"/>
    </row>
    <row r="126" spans="1:27" ht="16.5" thickTop="1" thickBot="1" x14ac:dyDescent="0.3">
      <c r="A126" s="968" t="str">
        <f>'1.2 Budgeted Enrollment YR1'!A126</f>
        <v>Carson City</v>
      </c>
      <c r="B126" s="971">
        <f>'1.2 Budgeted Enrollment YR1'!B126</f>
        <v>13</v>
      </c>
      <c r="C126" s="971">
        <f>'1.2 Budgeted Enrollment YR1'!C126</f>
        <v>13</v>
      </c>
      <c r="D126" s="971" t="str">
        <f>'1.2 Budgeted Enrollment YR1'!D126</f>
        <v>Carson City</v>
      </c>
      <c r="E126" s="968" t="str">
        <f>'1.2 Budgeted Enrollment YR1'!E126</f>
        <v>Empire Elementary</v>
      </c>
      <c r="F126" s="1061"/>
      <c r="G126" s="1108">
        <f>'1.2 Budgeted Enrollment YR1'!G126+('1.2 Budgeted Enrollment YR1'!G126*$G$7)</f>
        <v>406.96904298837552</v>
      </c>
      <c r="H126" s="1108"/>
      <c r="I126" s="1114">
        <v>0</v>
      </c>
      <c r="J126" s="1115">
        <v>0</v>
      </c>
      <c r="K126" s="1114">
        <v>0</v>
      </c>
      <c r="L126" s="1108">
        <f>'1.2 Budgeted Enrollment YR1'!L126</f>
        <v>0</v>
      </c>
      <c r="M126" s="1104"/>
      <c r="N126" s="875"/>
    </row>
    <row r="127" spans="1:27" ht="16.5" thickTop="1" thickBot="1" x14ac:dyDescent="0.3">
      <c r="A127" s="968" t="str">
        <f>'1.2 Budgeted Enrollment YR1'!A127</f>
        <v>Carson City</v>
      </c>
      <c r="B127" s="971">
        <f>'1.2 Budgeted Enrollment YR1'!B127</f>
        <v>13</v>
      </c>
      <c r="C127" s="971">
        <f>'1.2 Budgeted Enrollment YR1'!C127</f>
        <v>13</v>
      </c>
      <c r="D127" s="971" t="str">
        <f>'1.2 Budgeted Enrollment YR1'!D127</f>
        <v>Carson City</v>
      </c>
      <c r="E127" s="968" t="str">
        <f>'1.2 Budgeted Enrollment YR1'!E127</f>
        <v>Fremont Elementary</v>
      </c>
      <c r="F127" s="1061"/>
      <c r="G127" s="1108">
        <f>'1.2 Budgeted Enrollment YR1'!G127+('1.2 Budgeted Enrollment YR1'!G127*$G$7)</f>
        <v>528.49608375603623</v>
      </c>
      <c r="H127" s="1108"/>
      <c r="I127" s="1114">
        <v>0</v>
      </c>
      <c r="J127" s="1115">
        <v>0</v>
      </c>
      <c r="K127" s="1114">
        <v>0</v>
      </c>
      <c r="L127" s="1108">
        <f>'1.2 Budgeted Enrollment YR1'!L127</f>
        <v>0</v>
      </c>
      <c r="M127" s="1104"/>
      <c r="N127" s="875"/>
    </row>
    <row r="128" spans="1:27" ht="16.5" thickTop="1" thickBot="1" x14ac:dyDescent="0.3">
      <c r="A128" s="968" t="str">
        <f>'1.2 Budgeted Enrollment YR1'!A128</f>
        <v>Carson City</v>
      </c>
      <c r="B128" s="971">
        <f>'1.2 Budgeted Enrollment YR1'!B128</f>
        <v>13</v>
      </c>
      <c r="C128" s="971">
        <f>'1.2 Budgeted Enrollment YR1'!C128</f>
        <v>13</v>
      </c>
      <c r="D128" s="971" t="str">
        <f>'1.2 Budgeted Enrollment YR1'!D128</f>
        <v>Carson City</v>
      </c>
      <c r="E128" s="968" t="str">
        <f>'1.2 Budgeted Enrollment YR1'!E128</f>
        <v>Mark Twain Elementary</v>
      </c>
      <c r="F128" s="1061"/>
      <c r="G128" s="1108">
        <f>'1.2 Budgeted Enrollment YR1'!G128+('1.2 Budgeted Enrollment YR1'!G128*$G$7)</f>
        <v>483.12823864327419</v>
      </c>
      <c r="H128" s="1108"/>
      <c r="I128" s="1114">
        <v>0</v>
      </c>
      <c r="J128" s="1115">
        <v>0</v>
      </c>
      <c r="K128" s="1114">
        <v>0</v>
      </c>
      <c r="L128" s="1108">
        <f>'1.2 Budgeted Enrollment YR1'!L128</f>
        <v>0</v>
      </c>
      <c r="M128" s="1104"/>
      <c r="N128" s="875"/>
    </row>
    <row r="129" spans="1:14" ht="16.5" thickTop="1" thickBot="1" x14ac:dyDescent="0.3">
      <c r="A129" s="968" t="str">
        <f>'1.2 Budgeted Enrollment YR1'!A129</f>
        <v>Carson City</v>
      </c>
      <c r="B129" s="971">
        <f>'1.2 Budgeted Enrollment YR1'!B129</f>
        <v>13</v>
      </c>
      <c r="C129" s="971">
        <f>'1.2 Budgeted Enrollment YR1'!C129</f>
        <v>13</v>
      </c>
      <c r="D129" s="971" t="str">
        <f>'1.2 Budgeted Enrollment YR1'!D129</f>
        <v>Carson City</v>
      </c>
      <c r="E129" s="968" t="str">
        <f>'1.2 Budgeted Enrollment YR1'!E129</f>
        <v>Pioneer Academy</v>
      </c>
      <c r="F129" s="1061"/>
      <c r="G129" s="1108">
        <f>'1.2 Budgeted Enrollment YR1'!G129+('1.2 Budgeted Enrollment YR1'!G129*$G$7)</f>
        <v>202.9877923058344</v>
      </c>
      <c r="H129" s="1108"/>
      <c r="I129" s="1114">
        <v>0</v>
      </c>
      <c r="J129" s="1115">
        <v>0</v>
      </c>
      <c r="K129" s="1114">
        <v>0</v>
      </c>
      <c r="L129" s="1108">
        <f>'1.2 Budgeted Enrollment YR1'!L129</f>
        <v>0</v>
      </c>
      <c r="M129" s="1104"/>
      <c r="N129" s="875"/>
    </row>
    <row r="130" spans="1:14" ht="16.5" thickTop="1" thickBot="1" x14ac:dyDescent="0.3">
      <c r="A130" s="968" t="str">
        <f>'1.2 Budgeted Enrollment YR1'!A130</f>
        <v>Churchill</v>
      </c>
      <c r="B130" s="971">
        <f>'1.2 Budgeted Enrollment YR1'!B130</f>
        <v>1</v>
      </c>
      <c r="C130" s="971">
        <f>'1.2 Budgeted Enrollment YR1'!C130</f>
        <v>1</v>
      </c>
      <c r="D130" s="971" t="str">
        <f>'1.2 Budgeted Enrollment YR1'!D130</f>
        <v>Fallon</v>
      </c>
      <c r="E130" s="968" t="str">
        <f>'1.2 Budgeted Enrollment YR1'!E130</f>
        <v>Churchill County High School</v>
      </c>
      <c r="F130" s="1061"/>
      <c r="G130" s="1108">
        <f>'1.2 Budgeted Enrollment YR1'!G130+('1.2 Budgeted Enrollment YR1'!G130*$G$7)</f>
        <v>1030.109800095044</v>
      </c>
      <c r="H130" s="1108"/>
      <c r="I130" s="1114">
        <v>0</v>
      </c>
      <c r="J130" s="1115">
        <v>0</v>
      </c>
      <c r="K130" s="1114">
        <v>0</v>
      </c>
      <c r="L130" s="1108">
        <f>'1.2 Budgeted Enrollment YR1'!L130</f>
        <v>0</v>
      </c>
      <c r="M130" s="1104"/>
      <c r="N130" s="875"/>
    </row>
    <row r="131" spans="1:14" ht="16.5" thickTop="1" thickBot="1" x14ac:dyDescent="0.3">
      <c r="A131" s="968" t="str">
        <f>'1.2 Budgeted Enrollment YR1'!A131</f>
        <v>Churchill</v>
      </c>
      <c r="B131" s="971">
        <f>'1.2 Budgeted Enrollment YR1'!B131</f>
        <v>1</v>
      </c>
      <c r="C131" s="971">
        <f>'1.2 Budgeted Enrollment YR1'!C131</f>
        <v>1</v>
      </c>
      <c r="D131" s="971" t="str">
        <f>'1.2 Budgeted Enrollment YR1'!D131</f>
        <v>Fallon</v>
      </c>
      <c r="E131" s="968" t="str">
        <f>'1.2 Budgeted Enrollment YR1'!E131</f>
        <v>Churchill County Middle School</v>
      </c>
      <c r="F131" s="1061"/>
      <c r="G131" s="1108">
        <f>'1.2 Budgeted Enrollment YR1'!G131+('1.2 Budgeted Enrollment YR1'!G131*$G$7)</f>
        <v>695.95021910671119</v>
      </c>
      <c r="H131" s="1108"/>
      <c r="I131" s="1114">
        <v>0</v>
      </c>
      <c r="J131" s="1115">
        <v>0</v>
      </c>
      <c r="K131" s="1114">
        <v>0</v>
      </c>
      <c r="L131" s="1108">
        <f>'1.2 Budgeted Enrollment YR1'!L131</f>
        <v>0</v>
      </c>
      <c r="M131" s="1104"/>
      <c r="N131" s="875"/>
    </row>
    <row r="132" spans="1:14" ht="16.5" thickTop="1" thickBot="1" x14ac:dyDescent="0.3">
      <c r="A132" s="968" t="str">
        <f>'1.2 Budgeted Enrollment YR1'!A132</f>
        <v>Churchill</v>
      </c>
      <c r="B132" s="971">
        <f>'1.2 Budgeted Enrollment YR1'!B132</f>
        <v>1</v>
      </c>
      <c r="C132" s="971">
        <f>'1.2 Budgeted Enrollment YR1'!C132</f>
        <v>1</v>
      </c>
      <c r="D132" s="971" t="str">
        <f>'1.2 Budgeted Enrollment YR1'!D132</f>
        <v>Fallon</v>
      </c>
      <c r="E132" s="968" t="str">
        <f>'1.2 Budgeted Enrollment YR1'!E132</f>
        <v>E C Best Elementary</v>
      </c>
      <c r="F132" s="1061"/>
      <c r="G132" s="1108">
        <f>'1.2 Budgeted Enrollment YR1'!G132+('1.2 Budgeted Enrollment YR1'!G132*$G$7)</f>
        <v>453.5190137387915</v>
      </c>
      <c r="H132" s="1108"/>
      <c r="I132" s="1114">
        <v>0</v>
      </c>
      <c r="J132" s="1115">
        <v>0</v>
      </c>
      <c r="K132" s="1114">
        <v>0</v>
      </c>
      <c r="L132" s="1108">
        <f>'1.2 Budgeted Enrollment YR1'!L132</f>
        <v>0</v>
      </c>
      <c r="M132" s="1104"/>
      <c r="N132" s="875"/>
    </row>
    <row r="133" spans="1:14" ht="16.5" thickTop="1" thickBot="1" x14ac:dyDescent="0.3">
      <c r="A133" s="968" t="str">
        <f>'1.2 Budgeted Enrollment YR1'!A133</f>
        <v>Churchill</v>
      </c>
      <c r="B133" s="971">
        <f>'1.2 Budgeted Enrollment YR1'!B133</f>
        <v>1</v>
      </c>
      <c r="C133" s="971">
        <f>'1.2 Budgeted Enrollment YR1'!C133</f>
        <v>1</v>
      </c>
      <c r="D133" s="971" t="str">
        <f>'1.2 Budgeted Enrollment YR1'!D133</f>
        <v>Fallon</v>
      </c>
      <c r="E133" s="968" t="str">
        <f>'1.2 Budgeted Enrollment YR1'!E133</f>
        <v>Lahontan Elementary School</v>
      </c>
      <c r="F133" s="1061"/>
      <c r="G133" s="1108">
        <f>'1.2 Budgeted Enrollment YR1'!G133+('1.2 Budgeted Enrollment YR1'!G133*$G$7)</f>
        <v>429.54409495925148</v>
      </c>
      <c r="H133" s="1108"/>
      <c r="I133" s="1114">
        <v>0</v>
      </c>
      <c r="J133" s="1115">
        <v>0</v>
      </c>
      <c r="K133" s="1114">
        <v>0</v>
      </c>
      <c r="L133" s="1108">
        <f>'1.2 Budgeted Enrollment YR1'!L133</f>
        <v>0</v>
      </c>
      <c r="M133" s="1104"/>
      <c r="N133" s="875"/>
    </row>
    <row r="134" spans="1:14" ht="16.5" thickTop="1" thickBot="1" x14ac:dyDescent="0.3">
      <c r="A134" s="968" t="str">
        <f>'1.2 Budgeted Enrollment YR1'!A134</f>
        <v>Churchill</v>
      </c>
      <c r="B134" s="971">
        <f>'1.2 Budgeted Enrollment YR1'!B134</f>
        <v>1</v>
      </c>
      <c r="C134" s="971">
        <f>'1.2 Budgeted Enrollment YR1'!C134</f>
        <v>1</v>
      </c>
      <c r="D134" s="971" t="str">
        <f>'1.2 Budgeted Enrollment YR1'!D134</f>
        <v>Fallon</v>
      </c>
      <c r="E134" s="968" t="str">
        <f>'1.2 Budgeted Enrollment YR1'!E134</f>
        <v>Northside Early Learning Center</v>
      </c>
      <c r="F134" s="1061"/>
      <c r="G134" s="1108">
        <f>'1.2 Budgeted Enrollment YR1'!G134+('1.2 Budgeted Enrollment YR1'!G134*$G$7)</f>
        <v>23.508480426996279</v>
      </c>
      <c r="H134" s="1108"/>
      <c r="I134" s="1114">
        <v>0</v>
      </c>
      <c r="J134" s="1115">
        <v>0</v>
      </c>
      <c r="K134" s="1114">
        <v>0</v>
      </c>
      <c r="L134" s="1108">
        <f>'1.2 Budgeted Enrollment YR1'!L134</f>
        <v>0</v>
      </c>
      <c r="M134" s="1104"/>
      <c r="N134" s="875"/>
    </row>
    <row r="135" spans="1:14" ht="16.5" thickTop="1" thickBot="1" x14ac:dyDescent="0.3">
      <c r="A135" s="968" t="str">
        <f>'1.2 Budgeted Enrollment YR1'!A135</f>
        <v>Churchill</v>
      </c>
      <c r="B135" s="971">
        <f>'1.2 Budgeted Enrollment YR1'!B135</f>
        <v>1</v>
      </c>
      <c r="C135" s="971">
        <f>'1.2 Budgeted Enrollment YR1'!C135</f>
        <v>1</v>
      </c>
      <c r="D135" s="971" t="str">
        <f>'1.2 Budgeted Enrollment YR1'!D135</f>
        <v>Fallon</v>
      </c>
      <c r="E135" s="968" t="str">
        <f>'1.2 Budgeted Enrollment YR1'!E135</f>
        <v>Numa Elementary School</v>
      </c>
      <c r="F135" s="1061"/>
      <c r="G135" s="1108">
        <f>'1.2 Budgeted Enrollment YR1'!G135+('1.2 Budgeted Enrollment YR1'!G135*$G$7)</f>
        <v>441.51426950500888</v>
      </c>
      <c r="H135" s="1108"/>
      <c r="I135" s="1114">
        <v>0</v>
      </c>
      <c r="J135" s="1115">
        <v>0</v>
      </c>
      <c r="K135" s="1114">
        <v>0</v>
      </c>
      <c r="L135" s="1108">
        <f>'1.2 Budgeted Enrollment YR1'!L135</f>
        <v>0</v>
      </c>
      <c r="M135" s="1104"/>
      <c r="N135" s="875"/>
    </row>
    <row r="136" spans="1:14" ht="16.5" thickTop="1" thickBot="1" x14ac:dyDescent="0.3">
      <c r="A136" s="968" t="str">
        <f>'1.2 Budgeted Enrollment YR1'!A136</f>
        <v>Clark</v>
      </c>
      <c r="B136" s="971">
        <f>'1.2 Budgeted Enrollment YR1'!B136</f>
        <v>2</v>
      </c>
      <c r="C136" s="971">
        <f>'1.2 Budgeted Enrollment YR1'!C136</f>
        <v>2</v>
      </c>
      <c r="D136" s="971" t="str">
        <f>'1.2 Budgeted Enrollment YR1'!D136</f>
        <v>Las Vegas</v>
      </c>
      <c r="E136" s="968" t="str">
        <f>'1.2 Budgeted Enrollment YR1'!E136</f>
        <v>Abston, Sandra B ES</v>
      </c>
      <c r="F136" s="1061"/>
      <c r="G136" s="1108">
        <f>'1.2 Budgeted Enrollment YR1'!G136+('1.2 Budgeted Enrollment YR1'!G136*$G$7)</f>
        <v>664.95618411768464</v>
      </c>
      <c r="H136" s="1108"/>
      <c r="I136" s="1114"/>
      <c r="J136" s="1115"/>
      <c r="K136" s="1114"/>
      <c r="L136" s="1108">
        <f>'1.2 Budgeted Enrollment YR1'!L136</f>
        <v>0</v>
      </c>
      <c r="M136" s="1104"/>
      <c r="N136" s="875"/>
    </row>
    <row r="137" spans="1:14" ht="16.5" thickTop="1" thickBot="1" x14ac:dyDescent="0.3">
      <c r="A137" s="968" t="str">
        <f>'1.2 Budgeted Enrollment YR1'!A137</f>
        <v>Clark</v>
      </c>
      <c r="B137" s="971">
        <f>'1.2 Budgeted Enrollment YR1'!B137</f>
        <v>3</v>
      </c>
      <c r="C137" s="971">
        <f>'1.2 Budgeted Enrollment YR1'!C137</f>
        <v>2</v>
      </c>
      <c r="D137" s="971" t="str">
        <f>'1.2 Budgeted Enrollment YR1'!D137</f>
        <v>Las Vegas</v>
      </c>
      <c r="E137" s="968" t="str">
        <f>'1.2 Budgeted Enrollment YR1'!E137</f>
        <v>Acceleration Academy</v>
      </c>
      <c r="F137" s="1061"/>
      <c r="G137" s="1108">
        <f>'1.2 Budgeted Enrollment YR1'!G137+('1.2 Budgeted Enrollment YR1'!G137*$G$7)</f>
        <v>1713.1549407481252</v>
      </c>
      <c r="H137" s="1108"/>
      <c r="I137" s="1114">
        <v>0</v>
      </c>
      <c r="J137" s="1115">
        <v>0</v>
      </c>
      <c r="K137" s="1114">
        <v>0</v>
      </c>
      <c r="L137" s="1108">
        <f>'1.2 Budgeted Enrollment YR1'!L137</f>
        <v>0</v>
      </c>
      <c r="M137" s="1104"/>
      <c r="N137" s="875"/>
    </row>
    <row r="138" spans="1:14" ht="16.5" thickTop="1" thickBot="1" x14ac:dyDescent="0.3">
      <c r="A138" s="968" t="str">
        <f>'1.2 Budgeted Enrollment YR1'!A138</f>
        <v>Clark</v>
      </c>
      <c r="B138" s="971">
        <f>'1.2 Budgeted Enrollment YR1'!B138</f>
        <v>2</v>
      </c>
      <c r="C138" s="971">
        <f>'1.2 Budgeted Enrollment YR1'!C138</f>
        <v>2</v>
      </c>
      <c r="D138" s="971" t="str">
        <f>'1.2 Budgeted Enrollment YR1'!D138</f>
        <v>Las Vegas</v>
      </c>
      <c r="E138" s="968" t="str">
        <f>'1.2 Budgeted Enrollment YR1'!E138</f>
        <v>Adams, Kirk ES</v>
      </c>
      <c r="F138" s="1061"/>
      <c r="G138" s="1108">
        <f>'1.2 Budgeted Enrollment YR1'!G138+('1.2 Budgeted Enrollment YR1'!G138*$G$7)</f>
        <v>368.53280654281559</v>
      </c>
      <c r="H138" s="1108"/>
      <c r="I138" s="1114"/>
      <c r="J138" s="1115"/>
      <c r="K138" s="1114"/>
      <c r="L138" s="1108">
        <f>'1.2 Budgeted Enrollment YR1'!L138</f>
        <v>0</v>
      </c>
      <c r="M138" s="1104"/>
      <c r="N138" s="875"/>
    </row>
    <row r="139" spans="1:14" ht="16.5" thickTop="1" thickBot="1" x14ac:dyDescent="0.3">
      <c r="A139" s="968" t="str">
        <f>'1.2 Budgeted Enrollment YR1'!A139</f>
        <v>Clark</v>
      </c>
      <c r="B139" s="971">
        <f>'1.2 Budgeted Enrollment YR1'!B139</f>
        <v>2</v>
      </c>
      <c r="C139" s="971">
        <f>'1.2 Budgeted Enrollment YR1'!C139</f>
        <v>2</v>
      </c>
      <c r="D139" s="971" t="str">
        <f>'1.2 Budgeted Enrollment YR1'!D139</f>
        <v>Las Vegas</v>
      </c>
      <c r="E139" s="968" t="str">
        <f>'1.2 Budgeted Enrollment YR1'!E139</f>
        <v>Adcock, O K ES</v>
      </c>
      <c r="F139" s="1061"/>
      <c r="G139" s="1108">
        <f>'1.2 Budgeted Enrollment YR1'!G139+('1.2 Budgeted Enrollment YR1'!G139*$G$7)</f>
        <v>406.78589853601005</v>
      </c>
      <c r="H139" s="1108"/>
      <c r="I139" s="1114">
        <v>0</v>
      </c>
      <c r="J139" s="1115">
        <v>0</v>
      </c>
      <c r="K139" s="1114">
        <v>0</v>
      </c>
      <c r="L139" s="1108">
        <f>'1.2 Budgeted Enrollment YR1'!L139</f>
        <v>0</v>
      </c>
      <c r="M139" s="1104"/>
      <c r="N139" s="875"/>
    </row>
    <row r="140" spans="1:14" ht="16.5" thickTop="1" thickBot="1" x14ac:dyDescent="0.3">
      <c r="A140" s="968" t="str">
        <f>'1.2 Budgeted Enrollment YR1'!A140</f>
        <v>Clark</v>
      </c>
      <c r="B140" s="971">
        <f>'1.2 Budgeted Enrollment YR1'!B140</f>
        <v>2</v>
      </c>
      <c r="C140" s="971">
        <f>'1.2 Budgeted Enrollment YR1'!C140</f>
        <v>2</v>
      </c>
      <c r="D140" s="971" t="str">
        <f>'1.2 Budgeted Enrollment YR1'!D140</f>
        <v>Las Vegas</v>
      </c>
      <c r="E140" s="968" t="str">
        <f>'1.2 Budgeted Enrollment YR1'!E140</f>
        <v>Advanced Technologies Academy HS</v>
      </c>
      <c r="F140" s="1061"/>
      <c r="G140" s="1108">
        <f>'1.2 Budgeted Enrollment YR1'!G140+('1.2 Budgeted Enrollment YR1'!G140*$G$7)</f>
        <v>1189.9029548041337</v>
      </c>
      <c r="H140" s="1108"/>
      <c r="I140" s="1114">
        <v>0</v>
      </c>
      <c r="J140" s="1115">
        <v>0</v>
      </c>
      <c r="K140" s="1114">
        <v>0</v>
      </c>
      <c r="L140" s="1108">
        <f>'1.2 Budgeted Enrollment YR1'!L140</f>
        <v>0</v>
      </c>
      <c r="M140" s="1104"/>
      <c r="N140" s="875"/>
    </row>
    <row r="141" spans="1:14" ht="16.5" thickTop="1" thickBot="1" x14ac:dyDescent="0.3">
      <c r="A141" s="968" t="str">
        <f>'1.2 Budgeted Enrollment YR1'!A141</f>
        <v>Clark</v>
      </c>
      <c r="B141" s="971">
        <f>'1.2 Budgeted Enrollment YR1'!B141</f>
        <v>2</v>
      </c>
      <c r="C141" s="971">
        <f>'1.2 Budgeted Enrollment YR1'!C141</f>
        <v>2</v>
      </c>
      <c r="D141" s="971" t="str">
        <f>'1.2 Budgeted Enrollment YR1'!D141</f>
        <v>Las Vegas</v>
      </c>
      <c r="E141" s="968" t="str">
        <f>'1.2 Budgeted Enrollment YR1'!E141</f>
        <v>Alamo, Tony ES</v>
      </c>
      <c r="F141" s="1061"/>
      <c r="G141" s="1108">
        <f>'1.2 Budgeted Enrollment YR1'!G141+('1.2 Budgeted Enrollment YR1'!G141*$G$7)</f>
        <v>836.93756161885301</v>
      </c>
      <c r="H141" s="1108"/>
      <c r="I141" s="1114">
        <v>0</v>
      </c>
      <c r="J141" s="1115">
        <v>0</v>
      </c>
      <c r="K141" s="1114">
        <v>0</v>
      </c>
      <c r="L141" s="1108">
        <f>'1.2 Budgeted Enrollment YR1'!L141</f>
        <v>0</v>
      </c>
      <c r="M141" s="1104"/>
      <c r="N141" s="875"/>
    </row>
    <row r="142" spans="1:14" ht="16.5" thickTop="1" thickBot="1" x14ac:dyDescent="0.3">
      <c r="A142" s="968" t="str">
        <f>'1.2 Budgeted Enrollment YR1'!A142</f>
        <v>Clark</v>
      </c>
      <c r="B142" s="971">
        <f>'1.2 Budgeted Enrollment YR1'!B142</f>
        <v>2</v>
      </c>
      <c r="C142" s="971">
        <f>'1.2 Budgeted Enrollment YR1'!C142</f>
        <v>2</v>
      </c>
      <c r="D142" s="971" t="str">
        <f>'1.2 Budgeted Enrollment YR1'!D142</f>
        <v>Las Vegas</v>
      </c>
      <c r="E142" s="968" t="str">
        <f>'1.2 Budgeted Enrollment YR1'!E142</f>
        <v>Allen, Dean LaMar ES</v>
      </c>
      <c r="F142" s="1061"/>
      <c r="G142" s="1108">
        <f>'1.2 Budgeted Enrollment YR1'!G142+('1.2 Budgeted Enrollment YR1'!G142*$G$7)</f>
        <v>388.29310966770026</v>
      </c>
      <c r="H142" s="1108"/>
      <c r="I142" s="1114">
        <v>0</v>
      </c>
      <c r="J142" s="1115">
        <v>0</v>
      </c>
      <c r="K142" s="1114">
        <v>0</v>
      </c>
      <c r="L142" s="1108">
        <f>'1.2 Budgeted Enrollment YR1'!L142</f>
        <v>0</v>
      </c>
      <c r="M142" s="1104"/>
      <c r="N142" s="875"/>
    </row>
    <row r="143" spans="1:14" ht="16.5" thickTop="1" thickBot="1" x14ac:dyDescent="0.3">
      <c r="A143" s="968" t="str">
        <f>'1.2 Budgeted Enrollment YR1'!A143</f>
        <v>Clark</v>
      </c>
      <c r="B143" s="971">
        <f>'1.2 Budgeted Enrollment YR1'!B143</f>
        <v>2</v>
      </c>
      <c r="C143" s="971">
        <f>'1.2 Budgeted Enrollment YR1'!C143</f>
        <v>2</v>
      </c>
      <c r="D143" s="971" t="str">
        <f>'1.2 Budgeted Enrollment YR1'!D143</f>
        <v>Las Vegas</v>
      </c>
      <c r="E143" s="968" t="str">
        <f>'1.2 Budgeted Enrollment YR1'!E143</f>
        <v>Antonello, Lee ES</v>
      </c>
      <c r="F143" s="1061"/>
      <c r="G143" s="1108">
        <f>'1.2 Budgeted Enrollment YR1'!G143+('1.2 Budgeted Enrollment YR1'!G143*$G$7)</f>
        <v>488.03542552851383</v>
      </c>
      <c r="H143" s="1108"/>
      <c r="I143" s="1114">
        <v>0</v>
      </c>
      <c r="J143" s="1115">
        <v>0</v>
      </c>
      <c r="K143" s="1114">
        <v>0</v>
      </c>
      <c r="L143" s="1108">
        <f>'1.2 Budgeted Enrollment YR1'!L143</f>
        <v>0</v>
      </c>
      <c r="M143" s="1104"/>
      <c r="N143" s="875"/>
    </row>
    <row r="144" spans="1:14" ht="16.5" thickTop="1" thickBot="1" x14ac:dyDescent="0.3">
      <c r="A144" s="968" t="str">
        <f>'1.2 Budgeted Enrollment YR1'!A144</f>
        <v>Clark</v>
      </c>
      <c r="B144" s="971">
        <f>'1.2 Budgeted Enrollment YR1'!B144</f>
        <v>2</v>
      </c>
      <c r="C144" s="971">
        <f>'1.2 Budgeted Enrollment YR1'!C144</f>
        <v>2</v>
      </c>
      <c r="D144" s="971" t="str">
        <f>'1.2 Budgeted Enrollment YR1'!D144</f>
        <v>Las Vegas</v>
      </c>
      <c r="E144" s="968" t="str">
        <f>'1.2 Budgeted Enrollment YR1'!E144</f>
        <v>Arbor View HS</v>
      </c>
      <c r="F144" s="1061"/>
      <c r="G144" s="1108">
        <f>'1.2 Budgeted Enrollment YR1'!G144+('1.2 Budgeted Enrollment YR1'!G144*$G$7)</f>
        <v>3096.3111391572188</v>
      </c>
      <c r="H144" s="1108"/>
      <c r="I144" s="1114">
        <v>0</v>
      </c>
      <c r="J144" s="1115">
        <v>0</v>
      </c>
      <c r="K144" s="1114">
        <v>0</v>
      </c>
      <c r="L144" s="1108">
        <f>'1.2 Budgeted Enrollment YR1'!L144</f>
        <v>0</v>
      </c>
      <c r="M144" s="1104"/>
      <c r="N144" s="875"/>
    </row>
    <row r="145" spans="1:14" ht="16.5" thickTop="1" thickBot="1" x14ac:dyDescent="0.3">
      <c r="A145" s="968" t="str">
        <f>'1.2 Budgeted Enrollment YR1'!A145</f>
        <v>Clark</v>
      </c>
      <c r="B145" s="971">
        <f>'1.2 Budgeted Enrollment YR1'!B145</f>
        <v>2</v>
      </c>
      <c r="C145" s="971">
        <f>'1.2 Budgeted Enrollment YR1'!C145</f>
        <v>2</v>
      </c>
      <c r="D145" s="971" t="str">
        <f>'1.2 Budgeted Enrollment YR1'!D145</f>
        <v>Las Vegas</v>
      </c>
      <c r="E145" s="968" t="str">
        <f>'1.2 Budgeted Enrollment YR1'!E145</f>
        <v>Bailey, Dr William H MS</v>
      </c>
      <c r="F145" s="1061"/>
      <c r="G145" s="1108">
        <f>'1.2 Budgeted Enrollment YR1'!G145+('1.2 Budgeted Enrollment YR1'!G145*$G$7)</f>
        <v>1148.5528982980352</v>
      </c>
      <c r="H145" s="1108"/>
      <c r="I145" s="1114">
        <v>0</v>
      </c>
      <c r="J145" s="1115">
        <v>0</v>
      </c>
      <c r="K145" s="1114">
        <v>0</v>
      </c>
      <c r="L145" s="1108">
        <f>'1.2 Budgeted Enrollment YR1'!L145</f>
        <v>0</v>
      </c>
      <c r="M145" s="1104"/>
      <c r="N145" s="875"/>
    </row>
    <row r="146" spans="1:14" ht="16.5" thickTop="1" thickBot="1" x14ac:dyDescent="0.3">
      <c r="A146" s="968" t="str">
        <f>'1.2 Budgeted Enrollment YR1'!A146</f>
        <v>Clark</v>
      </c>
      <c r="B146" s="971">
        <f>'1.2 Budgeted Enrollment YR1'!B146</f>
        <v>2</v>
      </c>
      <c r="C146" s="971">
        <f>'1.2 Budgeted Enrollment YR1'!C146</f>
        <v>2</v>
      </c>
      <c r="D146" s="971" t="str">
        <f>'1.2 Budgeted Enrollment YR1'!D146</f>
        <v>Las Vegas</v>
      </c>
      <c r="E146" s="968" t="str">
        <f>'1.2 Budgeted Enrollment YR1'!E146</f>
        <v>Bailey, Sister Robert Joseph ES</v>
      </c>
      <c r="F146" s="1061"/>
      <c r="G146" s="1108">
        <f>'1.2 Budgeted Enrollment YR1'!G146+('1.2 Budgeted Enrollment YR1'!G146*$G$7)</f>
        <v>548.09465593913114</v>
      </c>
      <c r="H146" s="1108"/>
      <c r="I146" s="1114">
        <v>0</v>
      </c>
      <c r="J146" s="1115">
        <v>0</v>
      </c>
      <c r="K146" s="1114">
        <v>0</v>
      </c>
      <c r="L146" s="1108">
        <f>'1.2 Budgeted Enrollment YR1'!L146</f>
        <v>0</v>
      </c>
      <c r="M146" s="1104"/>
      <c r="N146" s="875"/>
    </row>
    <row r="147" spans="1:14" ht="16.5" thickTop="1" thickBot="1" x14ac:dyDescent="0.3">
      <c r="A147" s="968" t="str">
        <f>'1.2 Budgeted Enrollment YR1'!A147</f>
        <v>Clark</v>
      </c>
      <c r="B147" s="971">
        <f>'1.2 Budgeted Enrollment YR1'!B147</f>
        <v>2</v>
      </c>
      <c r="C147" s="971">
        <f>'1.2 Budgeted Enrollment YR1'!C147</f>
        <v>2</v>
      </c>
      <c r="D147" s="971" t="str">
        <f>'1.2 Budgeted Enrollment YR1'!D147</f>
        <v>Las Vegas</v>
      </c>
      <c r="E147" s="968" t="str">
        <f>'1.2 Budgeted Enrollment YR1'!E147</f>
        <v>Barber, Shirley A ES</v>
      </c>
      <c r="F147" s="1061"/>
      <c r="G147" s="1108">
        <f>'1.2 Budgeted Enrollment YR1'!G147+('1.2 Budgeted Enrollment YR1'!G147*$G$7)</f>
        <v>750.25529735989085</v>
      </c>
      <c r="H147" s="1108"/>
      <c r="I147" s="1114">
        <v>0</v>
      </c>
      <c r="J147" s="1115">
        <v>0</v>
      </c>
      <c r="K147" s="1114">
        <v>0</v>
      </c>
      <c r="L147" s="1108">
        <f>'1.2 Budgeted Enrollment YR1'!L147</f>
        <v>0</v>
      </c>
      <c r="M147" s="1104"/>
      <c r="N147" s="875"/>
    </row>
    <row r="148" spans="1:14" ht="16.5" thickTop="1" thickBot="1" x14ac:dyDescent="0.3">
      <c r="A148" s="968" t="str">
        <f>'1.2 Budgeted Enrollment YR1'!A148</f>
        <v>Clark</v>
      </c>
      <c r="B148" s="971">
        <f>'1.2 Budgeted Enrollment YR1'!B148</f>
        <v>2</v>
      </c>
      <c r="C148" s="971">
        <f>'1.2 Budgeted Enrollment YR1'!C148</f>
        <v>2</v>
      </c>
      <c r="D148" s="971" t="str">
        <f>'1.2 Budgeted Enrollment YR1'!D148</f>
        <v>Las Vegas</v>
      </c>
      <c r="E148" s="968" t="str">
        <f>'1.2 Budgeted Enrollment YR1'!E148</f>
        <v>Bartlett, Selma F ES</v>
      </c>
      <c r="F148" s="1061"/>
      <c r="G148" s="1108">
        <f>'1.2 Budgeted Enrollment YR1'!G148+('1.2 Budgeted Enrollment YR1'!G148*$G$7)</f>
        <v>503.47832653884342</v>
      </c>
      <c r="H148" s="1108"/>
      <c r="I148" s="1114">
        <v>0</v>
      </c>
      <c r="J148" s="1115">
        <v>0</v>
      </c>
      <c r="K148" s="1114">
        <v>0</v>
      </c>
      <c r="L148" s="1108">
        <f>'1.2 Budgeted Enrollment YR1'!L148</f>
        <v>0</v>
      </c>
      <c r="M148" s="1104"/>
      <c r="N148" s="875"/>
    </row>
    <row r="149" spans="1:14" ht="16.5" thickTop="1" thickBot="1" x14ac:dyDescent="0.3">
      <c r="A149" s="968" t="str">
        <f>'1.2 Budgeted Enrollment YR1'!A149</f>
        <v>Clark</v>
      </c>
      <c r="B149" s="971">
        <f>'1.2 Budgeted Enrollment YR1'!B149</f>
        <v>2</v>
      </c>
      <c r="C149" s="971">
        <f>'1.2 Budgeted Enrollment YR1'!C149</f>
        <v>2</v>
      </c>
      <c r="D149" s="971" t="str">
        <f>'1.2 Budgeted Enrollment YR1'!D149</f>
        <v>Las Vegas</v>
      </c>
      <c r="E149" s="968" t="str">
        <f>'1.2 Budgeted Enrollment YR1'!E149</f>
        <v>Basic Academy of Int'l Studies HS</v>
      </c>
      <c r="F149" s="1061"/>
      <c r="G149" s="1108">
        <f>'1.2 Budgeted Enrollment YR1'!G149+('1.2 Budgeted Enrollment YR1'!G149*$G$7)</f>
        <v>2403.7214752783784</v>
      </c>
      <c r="H149" s="1108"/>
      <c r="I149" s="1114">
        <v>0</v>
      </c>
      <c r="J149" s="1115">
        <v>0</v>
      </c>
      <c r="K149" s="1114">
        <v>0</v>
      </c>
      <c r="L149" s="1108">
        <f>'1.2 Budgeted Enrollment YR1'!L149</f>
        <v>0</v>
      </c>
      <c r="M149" s="1104"/>
      <c r="N149" s="875"/>
    </row>
    <row r="150" spans="1:14" ht="16.5" thickTop="1" thickBot="1" x14ac:dyDescent="0.3">
      <c r="A150" s="968" t="str">
        <f>'1.2 Budgeted Enrollment YR1'!A150</f>
        <v>Clark</v>
      </c>
      <c r="B150" s="971">
        <f>'1.2 Budgeted Enrollment YR1'!B150</f>
        <v>2</v>
      </c>
      <c r="C150" s="971">
        <f>'1.2 Budgeted Enrollment YR1'!C150</f>
        <v>2</v>
      </c>
      <c r="D150" s="971" t="str">
        <f>'1.2 Budgeted Enrollment YR1'!D150</f>
        <v>Las Vegas</v>
      </c>
      <c r="E150" s="968" t="str">
        <f>'1.2 Budgeted Enrollment YR1'!E150</f>
        <v>Bass, John C ES</v>
      </c>
      <c r="F150" s="1061"/>
      <c r="G150" s="1108">
        <f>'1.2 Budgeted Enrollment YR1'!G150+('1.2 Budgeted Enrollment YR1'!G150*$G$7)</f>
        <v>502.35988972673982</v>
      </c>
      <c r="H150" s="1108"/>
      <c r="I150" s="1114">
        <v>0</v>
      </c>
      <c r="J150" s="1115">
        <v>0</v>
      </c>
      <c r="K150" s="1114">
        <v>0</v>
      </c>
      <c r="L150" s="1108">
        <f>'1.2 Budgeted Enrollment YR1'!L150</f>
        <v>0</v>
      </c>
      <c r="M150" s="1104"/>
      <c r="N150" s="875"/>
    </row>
    <row r="151" spans="1:14" ht="16.5" thickTop="1" thickBot="1" x14ac:dyDescent="0.3">
      <c r="A151" s="968" t="str">
        <f>'1.2 Budgeted Enrollment YR1'!A151</f>
        <v>Clark</v>
      </c>
      <c r="B151" s="971">
        <f>'1.2 Budgeted Enrollment YR1'!B151</f>
        <v>2</v>
      </c>
      <c r="C151" s="971">
        <f>'1.2 Budgeted Enrollment YR1'!C151</f>
        <v>2</v>
      </c>
      <c r="D151" s="971" t="str">
        <f>'1.2 Budgeted Enrollment YR1'!D151</f>
        <v>Las Vegas</v>
      </c>
      <c r="E151" s="968" t="str">
        <f>'1.2 Budgeted Enrollment YR1'!E151</f>
        <v>Batterman, Kathy L ES</v>
      </c>
      <c r="F151" s="1061"/>
      <c r="G151" s="1108">
        <f>'1.2 Budgeted Enrollment YR1'!G151+('1.2 Budgeted Enrollment YR1'!G151*$G$7)</f>
        <v>616.04628790936363</v>
      </c>
      <c r="H151" s="1108"/>
      <c r="I151" s="1114">
        <v>0</v>
      </c>
      <c r="J151" s="1115">
        <v>0</v>
      </c>
      <c r="K151" s="1114">
        <v>0</v>
      </c>
      <c r="L151" s="1108">
        <f>'1.2 Budgeted Enrollment YR1'!L151</f>
        <v>0</v>
      </c>
      <c r="M151" s="1104"/>
      <c r="N151" s="875"/>
    </row>
    <row r="152" spans="1:14" ht="16.5" thickTop="1" thickBot="1" x14ac:dyDescent="0.3">
      <c r="A152" s="968" t="str">
        <f>'1.2 Budgeted Enrollment YR1'!A152</f>
        <v>Clark</v>
      </c>
      <c r="B152" s="971">
        <f>'1.2 Budgeted Enrollment YR1'!B152</f>
        <v>2</v>
      </c>
      <c r="C152" s="971">
        <f>'1.2 Budgeted Enrollment YR1'!C152</f>
        <v>2</v>
      </c>
      <c r="D152" s="971" t="str">
        <f>'1.2 Budgeted Enrollment YR1'!D152</f>
        <v>Las Vegas</v>
      </c>
      <c r="E152" s="968" t="str">
        <f>'1.2 Budgeted Enrollment YR1'!E152</f>
        <v>Beatty, John R ES</v>
      </c>
      <c r="F152" s="1061"/>
      <c r="G152" s="1108">
        <f>'1.2 Budgeted Enrollment YR1'!G152+('1.2 Budgeted Enrollment YR1'!G152*$G$7)</f>
        <v>477.5135637435132</v>
      </c>
      <c r="H152" s="1108"/>
      <c r="I152" s="1114">
        <v>0</v>
      </c>
      <c r="J152" s="1115">
        <v>0</v>
      </c>
      <c r="K152" s="1114">
        <v>0</v>
      </c>
      <c r="L152" s="1108">
        <f>'1.2 Budgeted Enrollment YR1'!L152</f>
        <v>0</v>
      </c>
      <c r="M152" s="1104"/>
      <c r="N152" s="875"/>
    </row>
    <row r="153" spans="1:14" ht="16.5" thickTop="1" thickBot="1" x14ac:dyDescent="0.3">
      <c r="A153" s="968" t="str">
        <f>'1.2 Budgeted Enrollment YR1'!A153</f>
        <v>Clark</v>
      </c>
      <c r="B153" s="971">
        <f>'1.2 Budgeted Enrollment YR1'!B153</f>
        <v>2</v>
      </c>
      <c r="C153" s="971">
        <f>'1.2 Budgeted Enrollment YR1'!C153</f>
        <v>2</v>
      </c>
      <c r="D153" s="971" t="str">
        <f>'1.2 Budgeted Enrollment YR1'!D153</f>
        <v>Las Vegas</v>
      </c>
      <c r="E153" s="968" t="str">
        <f>'1.2 Budgeted Enrollment YR1'!E153</f>
        <v>Becker, Ernest MS</v>
      </c>
      <c r="F153" s="1061"/>
      <c r="G153" s="1108">
        <f>'1.2 Budgeted Enrollment YR1'!G153+('1.2 Budgeted Enrollment YR1'!G153*$G$7)</f>
        <v>1032.2545311888198</v>
      </c>
      <c r="H153" s="1108"/>
      <c r="I153" s="1114">
        <v>0</v>
      </c>
      <c r="J153" s="1115">
        <v>0</v>
      </c>
      <c r="K153" s="1114">
        <v>0</v>
      </c>
      <c r="L153" s="1108">
        <f>'1.2 Budgeted Enrollment YR1'!L153</f>
        <v>0</v>
      </c>
      <c r="M153" s="1104"/>
      <c r="N153" s="875"/>
    </row>
    <row r="154" spans="1:14" ht="16.5" thickTop="1" thickBot="1" x14ac:dyDescent="0.3">
      <c r="A154" s="968" t="str">
        <f>'1.2 Budgeted Enrollment YR1'!A154</f>
        <v>Clark</v>
      </c>
      <c r="B154" s="971">
        <f>'1.2 Budgeted Enrollment YR1'!B154</f>
        <v>2</v>
      </c>
      <c r="C154" s="971">
        <f>'1.2 Budgeted Enrollment YR1'!C154</f>
        <v>2</v>
      </c>
      <c r="D154" s="971" t="str">
        <f>'1.2 Budgeted Enrollment YR1'!D154</f>
        <v>Las Vegas</v>
      </c>
      <c r="E154" s="968" t="str">
        <f>'1.2 Budgeted Enrollment YR1'!E154</f>
        <v>Beckley, Will ES</v>
      </c>
      <c r="F154" s="1061"/>
      <c r="G154" s="1108">
        <f>'1.2 Budgeted Enrollment YR1'!G154+('1.2 Budgeted Enrollment YR1'!G154*$G$7)</f>
        <v>678.54264063927576</v>
      </c>
      <c r="H154" s="1108"/>
      <c r="I154" s="1114">
        <v>0</v>
      </c>
      <c r="J154" s="1115">
        <v>0</v>
      </c>
      <c r="K154" s="1114">
        <v>0</v>
      </c>
      <c r="L154" s="1108">
        <f>'1.2 Budgeted Enrollment YR1'!L154</f>
        <v>0</v>
      </c>
      <c r="M154" s="1104"/>
      <c r="N154" s="875"/>
    </row>
    <row r="155" spans="1:14" ht="16.5" thickTop="1" thickBot="1" x14ac:dyDescent="0.3">
      <c r="A155" s="968" t="str">
        <f>'1.2 Budgeted Enrollment YR1'!A155</f>
        <v>Clark</v>
      </c>
      <c r="B155" s="971">
        <f>'1.2 Budgeted Enrollment YR1'!B155</f>
        <v>2</v>
      </c>
      <c r="C155" s="971">
        <f>'1.2 Budgeted Enrollment YR1'!C155</f>
        <v>2</v>
      </c>
      <c r="D155" s="971" t="str">
        <f>'1.2 Budgeted Enrollment YR1'!D155</f>
        <v>Las Vegas</v>
      </c>
      <c r="E155" s="968" t="str">
        <f>'1.2 Budgeted Enrollment YR1'!E155</f>
        <v>Bell, Rex ES</v>
      </c>
      <c r="F155" s="1061"/>
      <c r="G155" s="1108">
        <f>'1.2 Budgeted Enrollment YR1'!G155+('1.2 Budgeted Enrollment YR1'!G155*$G$7)</f>
        <v>501.57821349615944</v>
      </c>
      <c r="H155" s="1108"/>
      <c r="I155" s="1114">
        <v>0</v>
      </c>
      <c r="J155" s="1115">
        <v>0</v>
      </c>
      <c r="K155" s="1114">
        <v>0</v>
      </c>
      <c r="L155" s="1108">
        <f>'1.2 Budgeted Enrollment YR1'!L155</f>
        <v>0</v>
      </c>
      <c r="M155" s="1104"/>
      <c r="N155" s="875"/>
    </row>
    <row r="156" spans="1:14" ht="16.5" thickTop="1" thickBot="1" x14ac:dyDescent="0.3">
      <c r="A156" s="968" t="str">
        <f>'1.2 Budgeted Enrollment YR1'!A156</f>
        <v>Clark</v>
      </c>
      <c r="B156" s="971">
        <f>'1.2 Budgeted Enrollment YR1'!B156</f>
        <v>2</v>
      </c>
      <c r="C156" s="971">
        <f>'1.2 Budgeted Enrollment YR1'!C156</f>
        <v>2</v>
      </c>
      <c r="D156" s="971" t="str">
        <f>'1.2 Budgeted Enrollment YR1'!D156</f>
        <v>Las Vegas</v>
      </c>
      <c r="E156" s="968" t="str">
        <f>'1.2 Budgeted Enrollment YR1'!E156</f>
        <v>Bendorf, Patricia A ES</v>
      </c>
      <c r="F156" s="1061"/>
      <c r="G156" s="1108">
        <f>'1.2 Budgeted Enrollment YR1'!G156+('1.2 Budgeted Enrollment YR1'!G156*$G$7)</f>
        <v>496.33107669892343</v>
      </c>
      <c r="H156" s="1108"/>
      <c r="I156" s="1114">
        <v>0</v>
      </c>
      <c r="J156" s="1115">
        <v>0</v>
      </c>
      <c r="K156" s="1114">
        <v>0</v>
      </c>
      <c r="L156" s="1108">
        <f>'1.2 Budgeted Enrollment YR1'!L156</f>
        <v>0</v>
      </c>
      <c r="M156" s="1104"/>
      <c r="N156" s="875"/>
    </row>
    <row r="157" spans="1:14" ht="16.5" thickTop="1" thickBot="1" x14ac:dyDescent="0.3">
      <c r="A157" s="968" t="str">
        <f>'1.2 Budgeted Enrollment YR1'!A157</f>
        <v>Clark</v>
      </c>
      <c r="B157" s="971">
        <f>'1.2 Budgeted Enrollment YR1'!B157</f>
        <v>2</v>
      </c>
      <c r="C157" s="971">
        <f>'1.2 Budgeted Enrollment YR1'!C157</f>
        <v>2</v>
      </c>
      <c r="D157" s="971" t="str">
        <f>'1.2 Budgeted Enrollment YR1'!D157</f>
        <v>Laughlin</v>
      </c>
      <c r="E157" s="968" t="str">
        <f>'1.2 Budgeted Enrollment YR1'!E157</f>
        <v>Bennett, William G ES</v>
      </c>
      <c r="F157" s="1061"/>
      <c r="G157" s="1108">
        <f>'1.2 Budgeted Enrollment YR1'!G157+('1.2 Budgeted Enrollment YR1'!G157*$G$7)</f>
        <v>311.85669510313437</v>
      </c>
      <c r="H157" s="1108"/>
      <c r="I157" s="1114">
        <v>0</v>
      </c>
      <c r="J157" s="1115">
        <v>0</v>
      </c>
      <c r="K157" s="1114">
        <v>0</v>
      </c>
      <c r="L157" s="1108">
        <f>'1.2 Budgeted Enrollment YR1'!L157</f>
        <v>0</v>
      </c>
      <c r="M157" s="1104"/>
      <c r="N157" s="875"/>
    </row>
    <row r="158" spans="1:14" ht="16.5" thickTop="1" thickBot="1" x14ac:dyDescent="0.3">
      <c r="A158" s="968" t="str">
        <f>'1.2 Budgeted Enrollment YR1'!A158</f>
        <v>Clark</v>
      </c>
      <c r="B158" s="971">
        <f>'1.2 Budgeted Enrollment YR1'!B158</f>
        <v>2</v>
      </c>
      <c r="C158" s="971">
        <f>'1.2 Budgeted Enrollment YR1'!C158</f>
        <v>2</v>
      </c>
      <c r="D158" s="971" t="str">
        <f>'1.2 Budgeted Enrollment YR1'!D158</f>
        <v>Las Vegas</v>
      </c>
      <c r="E158" s="968" t="str">
        <f>'1.2 Budgeted Enrollment YR1'!E158</f>
        <v>Berkley, Shelley ES</v>
      </c>
      <c r="F158" s="1061"/>
      <c r="G158" s="1108">
        <f>'1.2 Budgeted Enrollment YR1'!G158+('1.2 Budgeted Enrollment YR1'!G158*$G$7)</f>
        <v>679.14298021742195</v>
      </c>
      <c r="H158" s="1108"/>
      <c r="I158" s="1114">
        <v>0</v>
      </c>
      <c r="J158" s="1115">
        <v>0</v>
      </c>
      <c r="K158" s="1114">
        <v>0</v>
      </c>
      <c r="L158" s="1108">
        <f>'1.2 Budgeted Enrollment YR1'!L158</f>
        <v>0</v>
      </c>
      <c r="M158" s="1104"/>
      <c r="N158" s="875"/>
    </row>
    <row r="159" spans="1:14" ht="16.5" thickTop="1" thickBot="1" x14ac:dyDescent="0.3">
      <c r="A159" s="968" t="str">
        <f>'1.2 Budgeted Enrollment YR1'!A159</f>
        <v>Clark</v>
      </c>
      <c r="B159" s="971">
        <f>'1.2 Budgeted Enrollment YR1'!B159</f>
        <v>2</v>
      </c>
      <c r="C159" s="971">
        <f>'1.2 Budgeted Enrollment YR1'!C159</f>
        <v>2</v>
      </c>
      <c r="D159" s="971" t="str">
        <f>'1.2 Budgeted Enrollment YR1'!D159</f>
        <v>Las Vegas</v>
      </c>
      <c r="E159" s="968" t="str">
        <f>'1.2 Budgeted Enrollment YR1'!E159</f>
        <v>Bilbray, James ES</v>
      </c>
      <c r="F159" s="1061"/>
      <c r="G159" s="1108">
        <f>'1.2 Budgeted Enrollment YR1'!G159+('1.2 Budgeted Enrollment YR1'!G159*$G$7)</f>
        <v>620.15427475681997</v>
      </c>
      <c r="H159" s="1108"/>
      <c r="I159" s="1114">
        <v>0</v>
      </c>
      <c r="J159" s="1115">
        <v>0</v>
      </c>
      <c r="K159" s="1114">
        <v>0</v>
      </c>
      <c r="L159" s="1108">
        <f>'1.2 Budgeted Enrollment YR1'!L159</f>
        <v>0</v>
      </c>
      <c r="M159" s="1104"/>
      <c r="N159" s="875"/>
    </row>
    <row r="160" spans="1:14" ht="16.5" thickTop="1" thickBot="1" x14ac:dyDescent="0.3">
      <c r="A160" s="968" t="str">
        <f>'1.2 Budgeted Enrollment YR1'!A160</f>
        <v>Clark</v>
      </c>
      <c r="B160" s="971">
        <f>'1.2 Budgeted Enrollment YR1'!B160</f>
        <v>2</v>
      </c>
      <c r="C160" s="971">
        <f>'1.2 Budgeted Enrollment YR1'!C160</f>
        <v>2</v>
      </c>
      <c r="D160" s="971" t="str">
        <f>'1.2 Budgeted Enrollment YR1'!D160</f>
        <v>Blue Diamond</v>
      </c>
      <c r="E160" s="968" t="str">
        <f>'1.2 Budgeted Enrollment YR1'!E160</f>
        <v>Blue Diamond ES</v>
      </c>
      <c r="F160" s="1061"/>
      <c r="G160" s="1108">
        <f>'1.2 Budgeted Enrollment YR1'!G160+('1.2 Budgeted Enrollment YR1'!G160*$G$7)</f>
        <v>38.612530926119462</v>
      </c>
      <c r="H160" s="1108"/>
      <c r="I160" s="1114">
        <v>0</v>
      </c>
      <c r="J160" s="1115">
        <v>0</v>
      </c>
      <c r="K160" s="1114">
        <v>0</v>
      </c>
      <c r="L160" s="1108">
        <f>'1.2 Budgeted Enrollment YR1'!L160</f>
        <v>0</v>
      </c>
      <c r="M160" s="1104"/>
      <c r="N160" s="875"/>
    </row>
    <row r="161" spans="1:14" ht="16.5" thickTop="1" thickBot="1" x14ac:dyDescent="0.3">
      <c r="A161" s="968" t="str">
        <f>'1.2 Budgeted Enrollment YR1'!A161</f>
        <v>Clark</v>
      </c>
      <c r="B161" s="971">
        <f>'1.2 Budgeted Enrollment YR1'!B161</f>
        <v>2</v>
      </c>
      <c r="C161" s="971">
        <f>'1.2 Budgeted Enrollment YR1'!C161</f>
        <v>2</v>
      </c>
      <c r="D161" s="971" t="str">
        <f>'1.2 Budgeted Enrollment YR1'!D161</f>
        <v>Las Vegas</v>
      </c>
      <c r="E161" s="968" t="str">
        <f>'1.2 Budgeted Enrollment YR1'!E161</f>
        <v>Bonanza HS</v>
      </c>
      <c r="F161" s="1061"/>
      <c r="G161" s="1108">
        <f>'1.2 Budgeted Enrollment YR1'!G161+('1.2 Budgeted Enrollment YR1'!G161*$G$7)</f>
        <v>1934.342354743653</v>
      </c>
      <c r="H161" s="1108"/>
      <c r="I161" s="1114">
        <v>0</v>
      </c>
      <c r="J161" s="1115">
        <v>0</v>
      </c>
      <c r="K161" s="1114">
        <v>0</v>
      </c>
      <c r="L161" s="1108">
        <f>'1.2 Budgeted Enrollment YR1'!L161</f>
        <v>0</v>
      </c>
      <c r="M161" s="1104"/>
      <c r="N161" s="875"/>
    </row>
    <row r="162" spans="1:14" ht="16.5" thickTop="1" thickBot="1" x14ac:dyDescent="0.3">
      <c r="A162" s="968" t="str">
        <f>'1.2 Budgeted Enrollment YR1'!A162</f>
        <v>Clark</v>
      </c>
      <c r="B162" s="971">
        <f>'1.2 Budgeted Enrollment YR1'!B162</f>
        <v>2</v>
      </c>
      <c r="C162" s="971">
        <f>'1.2 Budgeted Enrollment YR1'!C162</f>
        <v>2</v>
      </c>
      <c r="D162" s="971" t="str">
        <f>'1.2 Budgeted Enrollment YR1'!D162</f>
        <v>Las Vegas</v>
      </c>
      <c r="E162" s="968" t="str">
        <f>'1.2 Budgeted Enrollment YR1'!E162</f>
        <v>Bonner, John W ES</v>
      </c>
      <c r="F162" s="1061"/>
      <c r="G162" s="1108">
        <f>'1.2 Budgeted Enrollment YR1'!G162+('1.2 Budgeted Enrollment YR1'!G162*$G$7)</f>
        <v>758.90015359949689</v>
      </c>
      <c r="H162" s="1108"/>
      <c r="I162" s="1114">
        <v>0</v>
      </c>
      <c r="J162" s="1115">
        <v>0</v>
      </c>
      <c r="K162" s="1114">
        <v>0</v>
      </c>
      <c r="L162" s="1108">
        <f>'1.2 Budgeted Enrollment YR1'!L162</f>
        <v>0</v>
      </c>
      <c r="M162" s="1104"/>
      <c r="N162" s="875"/>
    </row>
    <row r="163" spans="1:14" ht="16.5" thickTop="1" thickBot="1" x14ac:dyDescent="0.3">
      <c r="A163" s="968" t="str">
        <f>'1.2 Budgeted Enrollment YR1'!A163</f>
        <v>Clark</v>
      </c>
      <c r="B163" s="971">
        <f>'1.2 Budgeted Enrollment YR1'!B163</f>
        <v>2</v>
      </c>
      <c r="C163" s="971">
        <f>'1.2 Budgeted Enrollment YR1'!C163</f>
        <v>2</v>
      </c>
      <c r="D163" s="971" t="str">
        <f>'1.2 Budgeted Enrollment YR1'!D163</f>
        <v>Las Vegas</v>
      </c>
      <c r="E163" s="968" t="str">
        <f>'1.2 Budgeted Enrollment YR1'!E163</f>
        <v>Booker, Kermit R Sr ES</v>
      </c>
      <c r="F163" s="1061"/>
      <c r="G163" s="1108">
        <f>'1.2 Budgeted Enrollment YR1'!G163+('1.2 Budgeted Enrollment YR1'!G163*$G$7)</f>
        <v>316.52742343483476</v>
      </c>
      <c r="H163" s="1108"/>
      <c r="I163" s="1114">
        <v>0</v>
      </c>
      <c r="J163" s="1115">
        <v>0</v>
      </c>
      <c r="K163" s="1114">
        <v>0</v>
      </c>
      <c r="L163" s="1108">
        <f>'1.2 Budgeted Enrollment YR1'!L163</f>
        <v>0</v>
      </c>
      <c r="M163" s="1104"/>
      <c r="N163" s="875"/>
    </row>
    <row r="164" spans="1:14" ht="16.5" thickTop="1" thickBot="1" x14ac:dyDescent="0.3">
      <c r="A164" s="968" t="str">
        <f>'1.2 Budgeted Enrollment YR1'!A164</f>
        <v>Clark</v>
      </c>
      <c r="B164" s="971">
        <f>'1.2 Budgeted Enrollment YR1'!B164</f>
        <v>2</v>
      </c>
      <c r="C164" s="971">
        <f>'1.2 Budgeted Enrollment YR1'!C164</f>
        <v>2</v>
      </c>
      <c r="D164" s="971" t="str">
        <f>'1.2 Budgeted Enrollment YR1'!D164</f>
        <v>Boulder City</v>
      </c>
      <c r="E164" s="968" t="str">
        <f>'1.2 Budgeted Enrollment YR1'!E164</f>
        <v>Boulder City HS</v>
      </c>
      <c r="F164" s="1061"/>
      <c r="G164" s="1108">
        <f>'1.2 Budgeted Enrollment YR1'!G164+('1.2 Budgeted Enrollment YR1'!G164*$G$7)</f>
        <v>640.67393555386275</v>
      </c>
      <c r="H164" s="1108"/>
      <c r="I164" s="1114">
        <v>0</v>
      </c>
      <c r="J164" s="1115">
        <v>0</v>
      </c>
      <c r="K164" s="1114">
        <v>0</v>
      </c>
      <c r="L164" s="1108">
        <f>'1.2 Budgeted Enrollment YR1'!L164</f>
        <v>0</v>
      </c>
      <c r="M164" s="1104"/>
      <c r="N164" s="875"/>
    </row>
    <row r="165" spans="1:14" ht="16.5" thickTop="1" thickBot="1" x14ac:dyDescent="0.3">
      <c r="A165" s="968" t="str">
        <f>'1.2 Budgeted Enrollment YR1'!A165</f>
        <v>Clark</v>
      </c>
      <c r="B165" s="971">
        <f>'1.2 Budgeted Enrollment YR1'!B165</f>
        <v>2</v>
      </c>
      <c r="C165" s="971">
        <f>'1.2 Budgeted Enrollment YR1'!C165</f>
        <v>2</v>
      </c>
      <c r="D165" s="971" t="str">
        <f>'1.2 Budgeted Enrollment YR1'!D165</f>
        <v>Moapa Valley</v>
      </c>
      <c r="E165" s="968" t="str">
        <f>'1.2 Budgeted Enrollment YR1'!E165</f>
        <v>Bowler, Grant ES</v>
      </c>
      <c r="F165" s="1061"/>
      <c r="G165" s="1108">
        <f>'1.2 Budgeted Enrollment YR1'!G165+('1.2 Budgeted Enrollment YR1'!G165*$G$7)</f>
        <v>617.75195877965052</v>
      </c>
      <c r="H165" s="1108"/>
      <c r="I165" s="1114">
        <v>0</v>
      </c>
      <c r="J165" s="1115">
        <v>0</v>
      </c>
      <c r="K165" s="1114">
        <v>0</v>
      </c>
      <c r="L165" s="1108">
        <f>'1.2 Budgeted Enrollment YR1'!L165</f>
        <v>0</v>
      </c>
      <c r="M165" s="1104"/>
      <c r="N165" s="875"/>
    </row>
    <row r="166" spans="1:14" ht="16.5" thickTop="1" thickBot="1" x14ac:dyDescent="0.3">
      <c r="A166" s="968" t="str">
        <f>'1.2 Budgeted Enrollment YR1'!A166</f>
        <v>Clark</v>
      </c>
      <c r="B166" s="971">
        <f>'1.2 Budgeted Enrollment YR1'!B166</f>
        <v>2</v>
      </c>
      <c r="C166" s="971">
        <f>'1.2 Budgeted Enrollment YR1'!C166</f>
        <v>2</v>
      </c>
      <c r="D166" s="971" t="str">
        <f>'1.2 Budgeted Enrollment YR1'!D166</f>
        <v>Mesquite</v>
      </c>
      <c r="E166" s="968" t="str">
        <f>'1.2 Budgeted Enrollment YR1'!E166</f>
        <v>Bowler, Joseph L ES</v>
      </c>
      <c r="F166" s="1061"/>
      <c r="G166" s="1108">
        <f>'1.2 Budgeted Enrollment YR1'!G166+('1.2 Budgeted Enrollment YR1'!G166*$G$7)</f>
        <v>408.05601788596317</v>
      </c>
      <c r="H166" s="1108"/>
      <c r="I166" s="1114">
        <v>0</v>
      </c>
      <c r="J166" s="1115">
        <v>0</v>
      </c>
      <c r="K166" s="1114">
        <v>0</v>
      </c>
      <c r="L166" s="1108">
        <f>'1.2 Budgeted Enrollment YR1'!L166</f>
        <v>0</v>
      </c>
      <c r="M166" s="1104"/>
      <c r="N166" s="875"/>
    </row>
    <row r="167" spans="1:14" ht="16.5" thickTop="1" thickBot="1" x14ac:dyDescent="0.3">
      <c r="A167" s="968" t="str">
        <f>'1.2 Budgeted Enrollment YR1'!A167</f>
        <v>Clark</v>
      </c>
      <c r="B167" s="971">
        <f>'1.2 Budgeted Enrollment YR1'!B167</f>
        <v>2</v>
      </c>
      <c r="C167" s="971">
        <f>'1.2 Budgeted Enrollment YR1'!C167</f>
        <v>2</v>
      </c>
      <c r="D167" s="971" t="str">
        <f>'1.2 Budgeted Enrollment YR1'!D167</f>
        <v>Las Vegas</v>
      </c>
      <c r="E167" s="968" t="str">
        <f>'1.2 Budgeted Enrollment YR1'!E167</f>
        <v>Bozarth, Henry &amp; Evelyn ES</v>
      </c>
      <c r="F167" s="1061"/>
      <c r="G167" s="1108">
        <f>'1.2 Budgeted Enrollment YR1'!G167+('1.2 Budgeted Enrollment YR1'!G167*$G$7)</f>
        <v>720.50682933265125</v>
      </c>
      <c r="H167" s="1108"/>
      <c r="I167" s="1114">
        <v>0</v>
      </c>
      <c r="J167" s="1115">
        <v>0</v>
      </c>
      <c r="K167" s="1114">
        <v>0</v>
      </c>
      <c r="L167" s="1108">
        <f>'1.2 Budgeted Enrollment YR1'!L167</f>
        <v>0</v>
      </c>
      <c r="M167" s="1104"/>
      <c r="N167" s="875"/>
    </row>
    <row r="168" spans="1:14" ht="16.5" thickTop="1" thickBot="1" x14ac:dyDescent="0.3">
      <c r="A168" s="968" t="str">
        <f>'1.2 Budgeted Enrollment YR1'!A168</f>
        <v>Clark</v>
      </c>
      <c r="B168" s="971">
        <f>'1.2 Budgeted Enrollment YR1'!B168</f>
        <v>2</v>
      </c>
      <c r="C168" s="971">
        <f>'1.2 Budgeted Enrollment YR1'!C168</f>
        <v>2</v>
      </c>
      <c r="D168" s="971" t="str">
        <f>'1.2 Budgeted Enrollment YR1'!D168</f>
        <v>Las Vegas</v>
      </c>
      <c r="E168" s="968" t="str">
        <f>'1.2 Budgeted Enrollment YR1'!E168</f>
        <v>Bracken, Walter ES</v>
      </c>
      <c r="F168" s="1061"/>
      <c r="G168" s="1108">
        <f>'1.2 Budgeted Enrollment YR1'!G168+('1.2 Budgeted Enrollment YR1'!G168*$G$7)</f>
        <v>509.04664824520529</v>
      </c>
      <c r="H168" s="1108"/>
      <c r="I168" s="1114">
        <v>0</v>
      </c>
      <c r="J168" s="1115">
        <v>0</v>
      </c>
      <c r="K168" s="1114">
        <v>0</v>
      </c>
      <c r="L168" s="1108">
        <f>'1.2 Budgeted Enrollment YR1'!L168</f>
        <v>0</v>
      </c>
      <c r="M168" s="1104"/>
      <c r="N168" s="875"/>
    </row>
    <row r="169" spans="1:14" ht="16.5" thickTop="1" thickBot="1" x14ac:dyDescent="0.3">
      <c r="A169" s="968" t="str">
        <f>'1.2 Budgeted Enrollment YR1'!A169</f>
        <v>Clark</v>
      </c>
      <c r="B169" s="971">
        <f>'1.2 Budgeted Enrollment YR1'!B169</f>
        <v>2</v>
      </c>
      <c r="C169" s="971">
        <f>'1.2 Budgeted Enrollment YR1'!C169</f>
        <v>2</v>
      </c>
      <c r="D169" s="971" t="str">
        <f>'1.2 Budgeted Enrollment YR1'!D169</f>
        <v>Las Vegas</v>
      </c>
      <c r="E169" s="968" t="str">
        <f>'1.2 Budgeted Enrollment YR1'!E169</f>
        <v>Bridger, Jim MS</v>
      </c>
      <c r="F169" s="1061"/>
      <c r="G169" s="1108">
        <f>'1.2 Budgeted Enrollment YR1'!G169+('1.2 Budgeted Enrollment YR1'!G169*$G$7)</f>
        <v>1081.3346608471438</v>
      </c>
      <c r="H169" s="1108"/>
      <c r="I169" s="1114">
        <v>0</v>
      </c>
      <c r="J169" s="1115">
        <v>0</v>
      </c>
      <c r="K169" s="1114">
        <v>0</v>
      </c>
      <c r="L169" s="1108">
        <f>'1.2 Budgeted Enrollment YR1'!L169</f>
        <v>0</v>
      </c>
      <c r="M169" s="1104"/>
      <c r="N169" s="875"/>
    </row>
    <row r="170" spans="1:14" ht="16.5" thickTop="1" thickBot="1" x14ac:dyDescent="0.3">
      <c r="A170" s="968" t="str">
        <f>'1.2 Budgeted Enrollment YR1'!A170</f>
        <v>Clark</v>
      </c>
      <c r="B170" s="971">
        <f>'1.2 Budgeted Enrollment YR1'!B170</f>
        <v>2</v>
      </c>
      <c r="C170" s="971">
        <f>'1.2 Budgeted Enrollment YR1'!C170</f>
        <v>2</v>
      </c>
      <c r="D170" s="971" t="str">
        <f>'1.2 Budgeted Enrollment YR1'!D170</f>
        <v>Las Vegas</v>
      </c>
      <c r="E170" s="968" t="str">
        <f>'1.2 Budgeted Enrollment YR1'!E170</f>
        <v>Brinley, J Harold MS</v>
      </c>
      <c r="F170" s="1061"/>
      <c r="G170" s="1108">
        <f>'1.2 Budgeted Enrollment YR1'!G170+('1.2 Budgeted Enrollment YR1'!G170*$G$7)</f>
        <v>874.35693079807515</v>
      </c>
      <c r="H170" s="1108"/>
      <c r="I170" s="1114">
        <v>0</v>
      </c>
      <c r="J170" s="1115">
        <v>0</v>
      </c>
      <c r="K170" s="1114">
        <v>0</v>
      </c>
      <c r="L170" s="1108">
        <f>'1.2 Budgeted Enrollment YR1'!L170</f>
        <v>0</v>
      </c>
      <c r="M170" s="1104"/>
      <c r="N170" s="875"/>
    </row>
    <row r="171" spans="1:14" ht="16.5" thickTop="1" thickBot="1" x14ac:dyDescent="0.3">
      <c r="A171" s="968" t="str">
        <f>'1.2 Budgeted Enrollment YR1'!A171</f>
        <v>Clark</v>
      </c>
      <c r="B171" s="971">
        <f>'1.2 Budgeted Enrollment YR1'!B171</f>
        <v>2</v>
      </c>
      <c r="C171" s="971">
        <f>'1.2 Budgeted Enrollment YR1'!C171</f>
        <v>2</v>
      </c>
      <c r="D171" s="971" t="str">
        <f>'1.2 Budgeted Enrollment YR1'!D171</f>
        <v>Las Vegas</v>
      </c>
      <c r="E171" s="968" t="str">
        <f>'1.2 Budgeted Enrollment YR1'!E171</f>
        <v>Brookman, Eileen B ES</v>
      </c>
      <c r="F171" s="1061"/>
      <c r="G171" s="1108">
        <f>'1.2 Budgeted Enrollment YR1'!G171+('1.2 Budgeted Enrollment YR1'!G171*$G$7)</f>
        <v>601.46832000777272</v>
      </c>
      <c r="H171" s="1108"/>
      <c r="I171" s="1114">
        <v>0</v>
      </c>
      <c r="J171" s="1115">
        <v>0</v>
      </c>
      <c r="K171" s="1114">
        <v>0</v>
      </c>
      <c r="L171" s="1108">
        <f>'1.2 Budgeted Enrollment YR1'!L171</f>
        <v>0</v>
      </c>
      <c r="M171" s="1104"/>
      <c r="N171" s="875"/>
    </row>
    <row r="172" spans="1:14" ht="16.5" thickTop="1" thickBot="1" x14ac:dyDescent="0.3">
      <c r="A172" s="968" t="str">
        <f>'1.2 Budgeted Enrollment YR1'!A172</f>
        <v>Clark</v>
      </c>
      <c r="B172" s="971">
        <f>'1.2 Budgeted Enrollment YR1'!B172</f>
        <v>2</v>
      </c>
      <c r="C172" s="971">
        <f>'1.2 Budgeted Enrollment YR1'!C172</f>
        <v>2</v>
      </c>
      <c r="D172" s="971" t="str">
        <f>'1.2 Budgeted Enrollment YR1'!D172</f>
        <v>Las Vegas</v>
      </c>
      <c r="E172" s="968" t="str">
        <f>'1.2 Budgeted Enrollment YR1'!E172</f>
        <v>Brown, B Mahlon JHS</v>
      </c>
      <c r="F172" s="1061"/>
      <c r="G172" s="1108">
        <f>'1.2 Budgeted Enrollment YR1'!G172+('1.2 Budgeted Enrollment YR1'!G172*$G$7)</f>
        <v>774.14585298429267</v>
      </c>
      <c r="H172" s="1108"/>
      <c r="I172" s="1114">
        <v>0</v>
      </c>
      <c r="J172" s="1115">
        <v>0</v>
      </c>
      <c r="K172" s="1114">
        <v>0</v>
      </c>
      <c r="L172" s="1108">
        <f>'1.2 Budgeted Enrollment YR1'!L172</f>
        <v>0</v>
      </c>
      <c r="M172" s="1104"/>
      <c r="N172" s="875"/>
    </row>
    <row r="173" spans="1:14" ht="16.5" thickTop="1" thickBot="1" x14ac:dyDescent="0.3">
      <c r="A173" s="968" t="str">
        <f>'1.2 Budgeted Enrollment YR1'!A173</f>
        <v>Clark</v>
      </c>
      <c r="B173" s="971">
        <f>'1.2 Budgeted Enrollment YR1'!B173</f>
        <v>2</v>
      </c>
      <c r="C173" s="971">
        <f>'1.2 Budgeted Enrollment YR1'!C173</f>
        <v>2</v>
      </c>
      <c r="D173" s="971" t="str">
        <f>'1.2 Budgeted Enrollment YR1'!D173</f>
        <v>Las Vegas</v>
      </c>
      <c r="E173" s="968" t="str">
        <f>'1.2 Budgeted Enrollment YR1'!E173</f>
        <v>Brown, Hannah Marie ES</v>
      </c>
      <c r="F173" s="1061"/>
      <c r="G173" s="1108">
        <f>'1.2 Budgeted Enrollment YR1'!G173+('1.2 Budgeted Enrollment YR1'!G173*$G$7)</f>
        <v>616.43552496323321</v>
      </c>
      <c r="H173" s="1108"/>
      <c r="I173" s="1114">
        <v>0</v>
      </c>
      <c r="J173" s="1115">
        <v>0</v>
      </c>
      <c r="K173" s="1114">
        <v>0</v>
      </c>
      <c r="L173" s="1108">
        <f>'1.2 Budgeted Enrollment YR1'!L173</f>
        <v>0</v>
      </c>
      <c r="M173" s="1104"/>
      <c r="N173" s="875"/>
    </row>
    <row r="174" spans="1:14" ht="16.5" thickTop="1" thickBot="1" x14ac:dyDescent="0.3">
      <c r="A174" s="968" t="str">
        <f>'1.2 Budgeted Enrollment YR1'!A174</f>
        <v>Clark</v>
      </c>
      <c r="B174" s="971">
        <f>'1.2 Budgeted Enrollment YR1'!B174</f>
        <v>2</v>
      </c>
      <c r="C174" s="971">
        <f>'1.2 Budgeted Enrollment YR1'!C174</f>
        <v>2</v>
      </c>
      <c r="D174" s="971" t="str">
        <f>'1.2 Budgeted Enrollment YR1'!D174</f>
        <v>Las Vegas</v>
      </c>
      <c r="E174" s="968" t="str">
        <f>'1.2 Budgeted Enrollment YR1'!E174</f>
        <v>Bruner, Lucile ES</v>
      </c>
      <c r="F174" s="1061"/>
      <c r="G174" s="1108">
        <f>'1.2 Budgeted Enrollment YR1'!G174+('1.2 Budgeted Enrollment YR1'!G174*$G$7)</f>
        <v>508.78632388148259</v>
      </c>
      <c r="H174" s="1108"/>
      <c r="I174" s="1114">
        <v>0</v>
      </c>
      <c r="J174" s="1115">
        <v>0</v>
      </c>
      <c r="K174" s="1114">
        <v>0</v>
      </c>
      <c r="L174" s="1108">
        <f>'1.2 Budgeted Enrollment YR1'!L174</f>
        <v>0</v>
      </c>
      <c r="M174" s="1104"/>
      <c r="N174" s="875"/>
    </row>
    <row r="175" spans="1:14" ht="16.5" thickTop="1" thickBot="1" x14ac:dyDescent="0.3">
      <c r="A175" s="968" t="str">
        <f>'1.2 Budgeted Enrollment YR1'!A175</f>
        <v>Clark</v>
      </c>
      <c r="B175" s="971">
        <f>'1.2 Budgeted Enrollment YR1'!B175</f>
        <v>2</v>
      </c>
      <c r="C175" s="971">
        <f>'1.2 Budgeted Enrollment YR1'!C175</f>
        <v>2</v>
      </c>
      <c r="D175" s="971" t="str">
        <f>'1.2 Budgeted Enrollment YR1'!D175</f>
        <v>Las Vegas</v>
      </c>
      <c r="E175" s="968" t="str">
        <f>'1.2 Budgeted Enrollment YR1'!E175</f>
        <v>Bryan, Richard H ES</v>
      </c>
      <c r="F175" s="1061"/>
      <c r="G175" s="1108">
        <f>'1.2 Budgeted Enrollment YR1'!G175+('1.2 Budgeted Enrollment YR1'!G175*$G$7)</f>
        <v>424.90479735640207</v>
      </c>
      <c r="H175" s="1108"/>
      <c r="I175" s="1114">
        <v>0</v>
      </c>
      <c r="J175" s="1115">
        <v>0</v>
      </c>
      <c r="K175" s="1114">
        <v>0</v>
      </c>
      <c r="L175" s="1108">
        <f>'1.2 Budgeted Enrollment YR1'!L175</f>
        <v>0</v>
      </c>
      <c r="M175" s="1104"/>
      <c r="N175" s="875"/>
    </row>
    <row r="176" spans="1:14" ht="16.5" thickTop="1" thickBot="1" x14ac:dyDescent="0.3">
      <c r="A176" s="968" t="str">
        <f>'1.2 Budgeted Enrollment YR1'!A176</f>
        <v>Clark</v>
      </c>
      <c r="B176" s="971">
        <f>'1.2 Budgeted Enrollment YR1'!B176</f>
        <v>2</v>
      </c>
      <c r="C176" s="971">
        <f>'1.2 Budgeted Enrollment YR1'!C176</f>
        <v>2</v>
      </c>
      <c r="D176" s="971" t="str">
        <f>'1.2 Budgeted Enrollment YR1'!D176</f>
        <v>Las Vegas</v>
      </c>
      <c r="E176" s="968" t="str">
        <f>'1.2 Budgeted Enrollment YR1'!E176</f>
        <v>Bryan, Roger M ES</v>
      </c>
      <c r="F176" s="1061"/>
      <c r="G176" s="1108">
        <f>'1.2 Budgeted Enrollment YR1'!G176+('1.2 Budgeted Enrollment YR1'!G176*$G$7)</f>
        <v>553.12983915283291</v>
      </c>
      <c r="H176" s="1108"/>
      <c r="I176" s="1114">
        <v>0</v>
      </c>
      <c r="J176" s="1115">
        <v>0</v>
      </c>
      <c r="K176" s="1114">
        <v>0</v>
      </c>
      <c r="L176" s="1108">
        <f>'1.2 Budgeted Enrollment YR1'!L176</f>
        <v>0</v>
      </c>
      <c r="M176" s="1104"/>
      <c r="N176" s="875"/>
    </row>
    <row r="177" spans="1:14" ht="16.5" thickTop="1" thickBot="1" x14ac:dyDescent="0.3">
      <c r="A177" s="968" t="str">
        <f>'1.2 Budgeted Enrollment YR1'!A177</f>
        <v>Clark</v>
      </c>
      <c r="B177" s="971">
        <f>'1.2 Budgeted Enrollment YR1'!B177</f>
        <v>2</v>
      </c>
      <c r="C177" s="971">
        <f>'1.2 Budgeted Enrollment YR1'!C177</f>
        <v>2</v>
      </c>
      <c r="D177" s="971" t="str">
        <f>'1.2 Budgeted Enrollment YR1'!D177</f>
        <v>Las Vegas</v>
      </c>
      <c r="E177" s="968" t="str">
        <f>'1.2 Budgeted Enrollment YR1'!E177</f>
        <v>Bunker, Berkeley L ES</v>
      </c>
      <c r="F177" s="1061"/>
      <c r="G177" s="1108">
        <f>'1.2 Budgeted Enrollment YR1'!G177+('1.2 Budgeted Enrollment YR1'!G177*$G$7)</f>
        <v>619.15423514879012</v>
      </c>
      <c r="H177" s="1108"/>
      <c r="I177" s="1114">
        <v>0</v>
      </c>
      <c r="J177" s="1115">
        <v>0</v>
      </c>
      <c r="K177" s="1114">
        <v>0</v>
      </c>
      <c r="L177" s="1108">
        <f>'1.2 Budgeted Enrollment YR1'!L177</f>
        <v>0</v>
      </c>
      <c r="M177" s="1104"/>
      <c r="N177" s="875"/>
    </row>
    <row r="178" spans="1:14" ht="16.5" thickTop="1" thickBot="1" x14ac:dyDescent="0.3">
      <c r="A178" s="968" t="str">
        <f>'1.2 Budgeted Enrollment YR1'!A178</f>
        <v>Clark</v>
      </c>
      <c r="B178" s="971">
        <f>'1.2 Budgeted Enrollment YR1'!B178</f>
        <v>2</v>
      </c>
      <c r="C178" s="971">
        <f>'1.2 Budgeted Enrollment YR1'!C178</f>
        <v>2</v>
      </c>
      <c r="D178" s="971" t="str">
        <f>'1.2 Budgeted Enrollment YR1'!D178</f>
        <v>Las Vegas</v>
      </c>
      <c r="E178" s="968" t="str">
        <f>'1.2 Budgeted Enrollment YR1'!E178</f>
        <v>Burk Horizon-Southwest Sunset HS</v>
      </c>
      <c r="F178" s="1061"/>
      <c r="G178" s="1108">
        <f>'1.2 Budgeted Enrollment YR1'!G178+('1.2 Budgeted Enrollment YR1'!G178*$G$7)</f>
        <v>29.470517374241322</v>
      </c>
      <c r="H178" s="1108"/>
      <c r="I178" s="1114">
        <v>0</v>
      </c>
      <c r="J178" s="1115">
        <v>0</v>
      </c>
      <c r="K178" s="1114">
        <v>0</v>
      </c>
      <c r="L178" s="1108">
        <f>'1.2 Budgeted Enrollment YR1'!L178</f>
        <v>0</v>
      </c>
      <c r="M178" s="1104"/>
      <c r="N178" s="875"/>
    </row>
    <row r="179" spans="1:14" ht="16.5" thickTop="1" thickBot="1" x14ac:dyDescent="0.3">
      <c r="A179" s="968" t="str">
        <f>'1.2 Budgeted Enrollment YR1'!A179</f>
        <v>Clark</v>
      </c>
      <c r="B179" s="971">
        <f>'1.2 Budgeted Enrollment YR1'!B179</f>
        <v>2</v>
      </c>
      <c r="C179" s="971">
        <f>'1.2 Budgeted Enrollment YR1'!C179</f>
        <v>2</v>
      </c>
      <c r="D179" s="971" t="str">
        <f>'1.2 Budgeted Enrollment YR1'!D179</f>
        <v>Las Vegas</v>
      </c>
      <c r="E179" s="968" t="str">
        <f>'1.2 Budgeted Enrollment YR1'!E179</f>
        <v>Burkholder, Lyal MS</v>
      </c>
      <c r="F179" s="1061"/>
      <c r="G179" s="1108">
        <f>'1.2 Budgeted Enrollment YR1'!G179+('1.2 Budgeted Enrollment YR1'!G179*$G$7)</f>
        <v>491.45712126196048</v>
      </c>
      <c r="H179" s="1108"/>
      <c r="I179" s="1114">
        <v>0</v>
      </c>
      <c r="J179" s="1115">
        <v>0</v>
      </c>
      <c r="K179" s="1114">
        <v>0</v>
      </c>
      <c r="L179" s="1108">
        <f>'1.2 Budgeted Enrollment YR1'!L179</f>
        <v>0</v>
      </c>
      <c r="M179" s="1104"/>
      <c r="N179" s="875"/>
    </row>
    <row r="180" spans="1:14" ht="16.5" thickTop="1" thickBot="1" x14ac:dyDescent="0.3">
      <c r="A180" s="968" t="str">
        <f>'1.2 Budgeted Enrollment YR1'!A180</f>
        <v>Clark</v>
      </c>
      <c r="B180" s="971">
        <f>'1.2 Budgeted Enrollment YR1'!B180</f>
        <v>2</v>
      </c>
      <c r="C180" s="971">
        <f>'1.2 Budgeted Enrollment YR1'!C180</f>
        <v>2</v>
      </c>
      <c r="D180" s="971" t="str">
        <f>'1.2 Budgeted Enrollment YR1'!D180</f>
        <v>Las Vegas</v>
      </c>
      <c r="E180" s="968" t="str">
        <f>'1.2 Budgeted Enrollment YR1'!E180</f>
        <v>Cadwallader, Ralph MS</v>
      </c>
      <c r="F180" s="1061"/>
      <c r="G180" s="1108">
        <f>'1.2 Budgeted Enrollment YR1'!G180+('1.2 Budgeted Enrollment YR1'!G180*$G$7)</f>
        <v>1494.2087670340479</v>
      </c>
      <c r="H180" s="1108"/>
      <c r="I180" s="1114">
        <v>0</v>
      </c>
      <c r="J180" s="1115">
        <v>0</v>
      </c>
      <c r="K180" s="1114">
        <v>0</v>
      </c>
      <c r="L180" s="1108">
        <f>'1.2 Budgeted Enrollment YR1'!L180</f>
        <v>0</v>
      </c>
      <c r="M180" s="1104"/>
      <c r="N180" s="875"/>
    </row>
    <row r="181" spans="1:14" ht="16.5" thickTop="1" thickBot="1" x14ac:dyDescent="0.3">
      <c r="A181" s="968" t="str">
        <f>'1.2 Budgeted Enrollment YR1'!A181</f>
        <v>Clark</v>
      </c>
      <c r="B181" s="971">
        <f>'1.2 Budgeted Enrollment YR1'!B181</f>
        <v>2</v>
      </c>
      <c r="C181" s="971">
        <f>'1.2 Budgeted Enrollment YR1'!C181</f>
        <v>2</v>
      </c>
      <c r="D181" s="971" t="str">
        <f>'1.2 Budgeted Enrollment YR1'!D181</f>
        <v>Las Vegas</v>
      </c>
      <c r="E181" s="968" t="str">
        <f>'1.2 Budgeted Enrollment YR1'!E181</f>
        <v>Cahlan, Marion ES</v>
      </c>
      <c r="F181" s="1061"/>
      <c r="G181" s="1108">
        <f>'1.2 Budgeted Enrollment YR1'!G181+('1.2 Budgeted Enrollment YR1'!G181*$G$7)</f>
        <v>477.30666380731464</v>
      </c>
      <c r="H181" s="1108"/>
      <c r="I181" s="1114">
        <v>0</v>
      </c>
      <c r="J181" s="1115">
        <v>0</v>
      </c>
      <c r="K181" s="1114">
        <v>0</v>
      </c>
      <c r="L181" s="1108">
        <f>'1.2 Budgeted Enrollment YR1'!L181</f>
        <v>0</v>
      </c>
      <c r="M181" s="1104"/>
      <c r="N181" s="875"/>
    </row>
    <row r="182" spans="1:14" ht="16.5" thickTop="1" thickBot="1" x14ac:dyDescent="0.3">
      <c r="A182" s="968" t="str">
        <f>'1.2 Budgeted Enrollment YR1'!A182</f>
        <v>Clark</v>
      </c>
      <c r="B182" s="971">
        <f>'1.2 Budgeted Enrollment YR1'!B182</f>
        <v>2</v>
      </c>
      <c r="C182" s="971">
        <f>'1.2 Budgeted Enrollment YR1'!C182</f>
        <v>2</v>
      </c>
      <c r="D182" s="971" t="str">
        <f>'1.2 Budgeted Enrollment YR1'!D182</f>
        <v>Las Vegas</v>
      </c>
      <c r="E182" s="968" t="str">
        <f>'1.2 Budgeted Enrollment YR1'!E182</f>
        <v>Cambeiro, Arturo ES</v>
      </c>
      <c r="F182" s="1061"/>
      <c r="G182" s="1108">
        <f>'1.2 Budgeted Enrollment YR1'!G182+('1.2 Budgeted Enrollment YR1'!G182*$G$7)</f>
        <v>468.25906403499187</v>
      </c>
      <c r="H182" s="1108"/>
      <c r="I182" s="1114">
        <v>0</v>
      </c>
      <c r="J182" s="1115">
        <v>0</v>
      </c>
      <c r="K182" s="1114">
        <v>0</v>
      </c>
      <c r="L182" s="1108">
        <f>'1.2 Budgeted Enrollment YR1'!L182</f>
        <v>0</v>
      </c>
      <c r="M182" s="1104"/>
      <c r="N182" s="875"/>
    </row>
    <row r="183" spans="1:14" ht="16.5" thickTop="1" thickBot="1" x14ac:dyDescent="0.3">
      <c r="A183" s="968" t="str">
        <f>'1.2 Budgeted Enrollment YR1'!A183</f>
        <v>Clark</v>
      </c>
      <c r="B183" s="971">
        <f>'1.2 Budgeted Enrollment YR1'!B183</f>
        <v>2</v>
      </c>
      <c r="C183" s="971">
        <f>'1.2 Budgeted Enrollment YR1'!C183</f>
        <v>2</v>
      </c>
      <c r="D183" s="971" t="str">
        <f>'1.2 Budgeted Enrollment YR1'!D183</f>
        <v>Las Vegas</v>
      </c>
      <c r="E183" s="968" t="str">
        <f>'1.2 Budgeted Enrollment YR1'!E183</f>
        <v>Canarelli, Lawrence &amp; Heidi MS</v>
      </c>
      <c r="F183" s="1061"/>
      <c r="G183" s="1108">
        <f>'1.2 Budgeted Enrollment YR1'!G183+('1.2 Budgeted Enrollment YR1'!G183*$G$7)</f>
        <v>1500.9835960178698</v>
      </c>
      <c r="H183" s="1108"/>
      <c r="I183" s="1114">
        <v>0</v>
      </c>
      <c r="J183" s="1115">
        <v>0</v>
      </c>
      <c r="K183" s="1114">
        <v>0</v>
      </c>
      <c r="L183" s="1108">
        <f>'1.2 Budgeted Enrollment YR1'!L183</f>
        <v>0</v>
      </c>
      <c r="M183" s="1104"/>
      <c r="N183" s="875"/>
    </row>
    <row r="184" spans="1:14" ht="16.5" thickTop="1" thickBot="1" x14ac:dyDescent="0.3">
      <c r="A184" s="968" t="str">
        <f>'1.2 Budgeted Enrollment YR1'!A184</f>
        <v>Clark</v>
      </c>
      <c r="B184" s="971">
        <f>'1.2 Budgeted Enrollment YR1'!B184</f>
        <v>2</v>
      </c>
      <c r="C184" s="971">
        <f>'1.2 Budgeted Enrollment YR1'!C184</f>
        <v>2</v>
      </c>
      <c r="D184" s="971" t="str">
        <f>'1.2 Budgeted Enrollment YR1'!D184</f>
        <v>Las Vegas</v>
      </c>
      <c r="E184" s="968" t="str">
        <f>'1.2 Budgeted Enrollment YR1'!E184</f>
        <v>Cannon, Helen C JHS</v>
      </c>
      <c r="F184" s="1061"/>
      <c r="G184" s="1108">
        <f>'1.2 Budgeted Enrollment YR1'!G184+('1.2 Budgeted Enrollment YR1'!G184*$G$7)</f>
        <v>765.62695856767061</v>
      </c>
      <c r="H184" s="1108"/>
      <c r="I184" s="1114">
        <v>0</v>
      </c>
      <c r="J184" s="1115">
        <v>0</v>
      </c>
      <c r="K184" s="1114">
        <v>0</v>
      </c>
      <c r="L184" s="1108">
        <f>'1.2 Budgeted Enrollment YR1'!L184</f>
        <v>0</v>
      </c>
      <c r="M184" s="1104"/>
      <c r="N184" s="875"/>
    </row>
    <row r="185" spans="1:14" ht="16.5" thickTop="1" thickBot="1" x14ac:dyDescent="0.3">
      <c r="A185" s="968" t="str">
        <f>'1.2 Budgeted Enrollment YR1'!A185</f>
        <v>Clark</v>
      </c>
      <c r="B185" s="971">
        <f>'1.2 Budgeted Enrollment YR1'!B185</f>
        <v>2</v>
      </c>
      <c r="C185" s="971">
        <f>'1.2 Budgeted Enrollment YR1'!C185</f>
        <v>2</v>
      </c>
      <c r="D185" s="971" t="str">
        <f>'1.2 Budgeted Enrollment YR1'!D185</f>
        <v>Las Vegas</v>
      </c>
      <c r="E185" s="968" t="str">
        <f>'1.2 Budgeted Enrollment YR1'!E185</f>
        <v>Canyon Springs HS</v>
      </c>
      <c r="F185" s="1061"/>
      <c r="G185" s="1108">
        <f>'1.2 Budgeted Enrollment YR1'!G185+('1.2 Budgeted Enrollment YR1'!G185*$G$7)</f>
        <v>2703.2343714397903</v>
      </c>
      <c r="H185" s="1108"/>
      <c r="I185" s="1114">
        <v>0</v>
      </c>
      <c r="J185" s="1115">
        <v>0</v>
      </c>
      <c r="K185" s="1114">
        <v>0</v>
      </c>
      <c r="L185" s="1108">
        <f>'1.2 Budgeted Enrollment YR1'!L185</f>
        <v>0</v>
      </c>
      <c r="M185" s="1104"/>
      <c r="N185" s="875"/>
    </row>
    <row r="186" spans="1:14" ht="16.5" thickTop="1" thickBot="1" x14ac:dyDescent="0.3">
      <c r="A186" s="968" t="str">
        <f>'1.2 Budgeted Enrollment YR1'!A186</f>
        <v>Clark</v>
      </c>
      <c r="B186" s="971">
        <f>'1.2 Budgeted Enrollment YR1'!B186</f>
        <v>2</v>
      </c>
      <c r="C186" s="971">
        <f>'1.2 Budgeted Enrollment YR1'!C186</f>
        <v>2</v>
      </c>
      <c r="D186" s="971" t="str">
        <f>'1.2 Budgeted Enrollment YR1'!D186</f>
        <v>Las Vegas</v>
      </c>
      <c r="E186" s="968" t="str">
        <f>'1.2 Budgeted Enrollment YR1'!E186</f>
        <v>Carl, Kay ES</v>
      </c>
      <c r="F186" s="1061"/>
      <c r="G186" s="1108">
        <f>'1.2 Budgeted Enrollment YR1'!G186+('1.2 Budgeted Enrollment YR1'!G186*$G$7)</f>
        <v>654.91848518872155</v>
      </c>
      <c r="H186" s="1108"/>
      <c r="I186" s="1114">
        <v>0</v>
      </c>
      <c r="J186" s="1115">
        <v>0</v>
      </c>
      <c r="K186" s="1114">
        <v>0</v>
      </c>
      <c r="L186" s="1108">
        <f>'1.2 Budgeted Enrollment YR1'!L186</f>
        <v>0</v>
      </c>
      <c r="M186" s="1104"/>
      <c r="N186" s="875"/>
    </row>
    <row r="187" spans="1:14" ht="16.5" thickTop="1" thickBot="1" x14ac:dyDescent="0.3">
      <c r="A187" s="968" t="str">
        <f>'1.2 Budgeted Enrollment YR1'!A187</f>
        <v>Clark</v>
      </c>
      <c r="B187" s="971">
        <f>'1.2 Budgeted Enrollment YR1'!B187</f>
        <v>2</v>
      </c>
      <c r="C187" s="971">
        <f>'1.2 Budgeted Enrollment YR1'!C187</f>
        <v>2</v>
      </c>
      <c r="D187" s="971" t="str">
        <f>'1.2 Budgeted Enrollment YR1'!D187</f>
        <v>Las Vegas</v>
      </c>
      <c r="E187" s="968" t="str">
        <f>'1.2 Budgeted Enrollment YR1'!E187</f>
        <v>Cartwright, Roberta C ES</v>
      </c>
      <c r="F187" s="1061"/>
      <c r="G187" s="1108">
        <f>'1.2 Budgeted Enrollment YR1'!G187+('1.2 Budgeted Enrollment YR1'!G187*$G$7)</f>
        <v>509.31148233131324</v>
      </c>
      <c r="H187" s="1108"/>
      <c r="I187" s="1114">
        <v>0</v>
      </c>
      <c r="J187" s="1115">
        <v>0</v>
      </c>
      <c r="K187" s="1114">
        <v>0</v>
      </c>
      <c r="L187" s="1108">
        <f>'1.2 Budgeted Enrollment YR1'!L187</f>
        <v>0</v>
      </c>
      <c r="M187" s="1104"/>
      <c r="N187" s="875"/>
    </row>
    <row r="188" spans="1:14" ht="16.5" thickTop="1" thickBot="1" x14ac:dyDescent="0.3">
      <c r="A188" s="968" t="str">
        <f>'1.2 Budgeted Enrollment YR1'!A188</f>
        <v>Clark</v>
      </c>
      <c r="B188" s="971">
        <f>'1.2 Budgeted Enrollment YR1'!B188</f>
        <v>2</v>
      </c>
      <c r="C188" s="971">
        <f>'1.2 Budgeted Enrollment YR1'!C188</f>
        <v>2</v>
      </c>
      <c r="D188" s="971" t="str">
        <f>'1.2 Budgeted Enrollment YR1'!D188</f>
        <v>Las Vegas</v>
      </c>
      <c r="E188" s="968" t="str">
        <f>'1.2 Budgeted Enrollment YR1'!E188</f>
        <v>Cashman, James MS</v>
      </c>
      <c r="F188" s="1061"/>
      <c r="G188" s="1108">
        <f>'1.2 Budgeted Enrollment YR1'!G188+('1.2 Budgeted Enrollment YR1'!G188*$G$7)</f>
        <v>1052.4537925479581</v>
      </c>
      <c r="H188" s="1108"/>
      <c r="I188" s="1114">
        <v>0</v>
      </c>
      <c r="J188" s="1115">
        <v>0</v>
      </c>
      <c r="K188" s="1114">
        <v>0</v>
      </c>
      <c r="L188" s="1108">
        <f>'1.2 Budgeted Enrollment YR1'!L188</f>
        <v>0</v>
      </c>
      <c r="M188" s="1104"/>
      <c r="N188" s="875"/>
    </row>
    <row r="189" spans="1:14" ht="16.5" thickTop="1" thickBot="1" x14ac:dyDescent="0.3">
      <c r="A189" s="968" t="str">
        <f>'1.2 Budgeted Enrollment YR1'!A189</f>
        <v>Clark</v>
      </c>
      <c r="B189" s="971">
        <f>'1.2 Budgeted Enrollment YR1'!B189</f>
        <v>2</v>
      </c>
      <c r="C189" s="971">
        <f>'1.2 Budgeted Enrollment YR1'!C189</f>
        <v>2</v>
      </c>
      <c r="D189" s="971" t="str">
        <f>'1.2 Budgeted Enrollment YR1'!D189</f>
        <v>Las Vegas</v>
      </c>
      <c r="E189" s="968" t="str">
        <f>'1.2 Budgeted Enrollment YR1'!E189</f>
        <v>Centennial HS</v>
      </c>
      <c r="F189" s="1061"/>
      <c r="G189" s="1108">
        <f>'1.2 Budgeted Enrollment YR1'!G189+('1.2 Budgeted Enrollment YR1'!G189*$G$7)</f>
        <v>2901.5176972529871</v>
      </c>
      <c r="H189" s="1108"/>
      <c r="I189" s="1114">
        <v>0</v>
      </c>
      <c r="J189" s="1115">
        <v>0</v>
      </c>
      <c r="K189" s="1114">
        <v>0</v>
      </c>
      <c r="L189" s="1108">
        <f>'1.2 Budgeted Enrollment YR1'!L189</f>
        <v>0</v>
      </c>
      <c r="M189" s="1104"/>
      <c r="N189" s="875"/>
    </row>
    <row r="190" spans="1:14" ht="16.5" thickTop="1" thickBot="1" x14ac:dyDescent="0.3">
      <c r="A190" s="968" t="str">
        <f>'1.2 Budgeted Enrollment YR1'!A190</f>
        <v>Clark</v>
      </c>
      <c r="B190" s="971">
        <f>'1.2 Budgeted Enrollment YR1'!B190</f>
        <v>2</v>
      </c>
      <c r="C190" s="971">
        <f>'1.2 Budgeted Enrollment YR1'!C190</f>
        <v>2</v>
      </c>
      <c r="D190" s="971" t="str">
        <f>'1.2 Budgeted Enrollment YR1'!D190</f>
        <v>Las Vegas</v>
      </c>
      <c r="E190" s="968" t="str">
        <f>'1.2 Budgeted Enrollment YR1'!E190</f>
        <v>Central Technical Training Academy</v>
      </c>
      <c r="F190" s="1061"/>
      <c r="G190" s="1108">
        <f>'1.2 Budgeted Enrollment YR1'!G190+('1.2 Budgeted Enrollment YR1'!G190*$G$7)</f>
        <v>108.65966245035207</v>
      </c>
      <c r="H190" s="1108"/>
      <c r="I190" s="1114">
        <v>0</v>
      </c>
      <c r="J190" s="1115">
        <v>0</v>
      </c>
      <c r="K190" s="1114">
        <v>0</v>
      </c>
      <c r="L190" s="1108">
        <f>'1.2 Budgeted Enrollment YR1'!L190</f>
        <v>0</v>
      </c>
      <c r="M190" s="1104"/>
      <c r="N190" s="875"/>
    </row>
    <row r="191" spans="1:14" ht="16.5" thickTop="1" thickBot="1" x14ac:dyDescent="0.3">
      <c r="A191" s="968" t="str">
        <f>'1.2 Budgeted Enrollment YR1'!A191</f>
        <v>Clark</v>
      </c>
      <c r="B191" s="971">
        <f>'1.2 Budgeted Enrollment YR1'!B191</f>
        <v>2</v>
      </c>
      <c r="C191" s="971">
        <f>'1.2 Budgeted Enrollment YR1'!C191</f>
        <v>2</v>
      </c>
      <c r="D191" s="971" t="str">
        <f>'1.2 Budgeted Enrollment YR1'!D191</f>
        <v>Las Vegas</v>
      </c>
      <c r="E191" s="968" t="str">
        <f>'1.2 Budgeted Enrollment YR1'!E191</f>
        <v>Chaparral HS</v>
      </c>
      <c r="F191" s="1061"/>
      <c r="G191" s="1108">
        <f>'1.2 Budgeted Enrollment YR1'!G191+('1.2 Budgeted Enrollment YR1'!G191*$G$7)</f>
        <v>2125.0963761474472</v>
      </c>
      <c r="H191" s="1108"/>
      <c r="I191" s="1114">
        <v>0</v>
      </c>
      <c r="J191" s="1115">
        <v>0</v>
      </c>
      <c r="K191" s="1114">
        <v>0</v>
      </c>
      <c r="L191" s="1108">
        <f>'1.2 Budgeted Enrollment YR1'!L191</f>
        <v>0</v>
      </c>
      <c r="M191" s="1104"/>
      <c r="N191" s="875"/>
    </row>
    <row r="192" spans="1:14" ht="16.5" thickTop="1" thickBot="1" x14ac:dyDescent="0.3">
      <c r="A192" s="968" t="str">
        <f>'1.2 Budgeted Enrollment YR1'!A192</f>
        <v>Clark</v>
      </c>
      <c r="B192" s="971">
        <f>'1.2 Budgeted Enrollment YR1'!B192</f>
        <v>2</v>
      </c>
      <c r="C192" s="971">
        <f>'1.2 Budgeted Enrollment YR1'!C192</f>
        <v>2</v>
      </c>
      <c r="D192" s="971" t="str">
        <f>'1.2 Budgeted Enrollment YR1'!D192</f>
        <v>Las Vegas</v>
      </c>
      <c r="E192" s="968" t="str">
        <f>'1.2 Budgeted Enrollment YR1'!E192</f>
        <v>Cheyenne HS</v>
      </c>
      <c r="F192" s="1061"/>
      <c r="G192" s="1108">
        <f>'1.2 Budgeted Enrollment YR1'!G192+('1.2 Budgeted Enrollment YR1'!G192*$G$7)</f>
        <v>1891.7192275250604</v>
      </c>
      <c r="H192" s="1108"/>
      <c r="I192" s="1114">
        <v>0</v>
      </c>
      <c r="J192" s="1115">
        <v>0</v>
      </c>
      <c r="K192" s="1114">
        <v>0</v>
      </c>
      <c r="L192" s="1108">
        <f>'1.2 Budgeted Enrollment YR1'!L192</f>
        <v>0</v>
      </c>
      <c r="M192" s="1104"/>
      <c r="N192" s="875"/>
    </row>
    <row r="193" spans="1:14" ht="16.5" thickTop="1" thickBot="1" x14ac:dyDescent="0.3">
      <c r="A193" s="968" t="str">
        <f>'1.2 Budgeted Enrollment YR1'!A193</f>
        <v>Clark</v>
      </c>
      <c r="B193" s="971">
        <f>'1.2 Budgeted Enrollment YR1'!B193</f>
        <v>2</v>
      </c>
      <c r="C193" s="971">
        <f>'1.2 Budgeted Enrollment YR1'!C193</f>
        <v>2</v>
      </c>
      <c r="D193" s="971" t="str">
        <f>'1.2 Budgeted Enrollment YR1'!D193</f>
        <v>Las Vegas</v>
      </c>
      <c r="E193" s="968" t="str">
        <f>'1.2 Budgeted Enrollment YR1'!E193</f>
        <v>Christensen, M J ES</v>
      </c>
      <c r="F193" s="1061"/>
      <c r="G193" s="1108">
        <f>'1.2 Budgeted Enrollment YR1'!G193+('1.2 Budgeted Enrollment YR1'!G193*$G$7)</f>
        <v>460.43512578378949</v>
      </c>
      <c r="H193" s="1108"/>
      <c r="I193" s="1114">
        <v>0</v>
      </c>
      <c r="J193" s="1115">
        <v>0</v>
      </c>
      <c r="K193" s="1114">
        <v>0</v>
      </c>
      <c r="L193" s="1108">
        <f>'1.2 Budgeted Enrollment YR1'!L193</f>
        <v>0</v>
      </c>
      <c r="M193" s="1104"/>
      <c r="N193" s="875"/>
    </row>
    <row r="194" spans="1:14" ht="16.5" thickTop="1" thickBot="1" x14ac:dyDescent="0.3">
      <c r="A194" s="968" t="str">
        <f>'1.2 Budgeted Enrollment YR1'!A194</f>
        <v>Clark</v>
      </c>
      <c r="B194" s="971">
        <f>'1.2 Budgeted Enrollment YR1'!B194</f>
        <v>2</v>
      </c>
      <c r="C194" s="971">
        <f>'1.2 Budgeted Enrollment YR1'!C194</f>
        <v>2</v>
      </c>
      <c r="D194" s="971" t="str">
        <f>'1.2 Budgeted Enrollment YR1'!D194</f>
        <v>Las Vegas</v>
      </c>
      <c r="E194" s="968" t="str">
        <f>'1.2 Budgeted Enrollment YR1'!E194</f>
        <v>Cimarron-Memorial HS</v>
      </c>
      <c r="F194" s="1061"/>
      <c r="G194" s="1108">
        <f>'1.2 Budgeted Enrollment YR1'!G194+('1.2 Budgeted Enrollment YR1'!G194*$G$7)</f>
        <v>2420.8852183057875</v>
      </c>
      <c r="H194" s="1108"/>
      <c r="I194" s="1114">
        <v>0</v>
      </c>
      <c r="J194" s="1115">
        <v>0</v>
      </c>
      <c r="K194" s="1114">
        <v>0</v>
      </c>
      <c r="L194" s="1108">
        <f>'1.2 Budgeted Enrollment YR1'!L194</f>
        <v>0</v>
      </c>
      <c r="M194" s="1104"/>
      <c r="N194" s="875"/>
    </row>
    <row r="195" spans="1:14" ht="16.5" thickTop="1" thickBot="1" x14ac:dyDescent="0.3">
      <c r="A195" s="968" t="str">
        <f>'1.2 Budgeted Enrollment YR1'!A195</f>
        <v>Clark</v>
      </c>
      <c r="B195" s="971">
        <f>'1.2 Budgeted Enrollment YR1'!B195</f>
        <v>2</v>
      </c>
      <c r="C195" s="971">
        <f>'1.2 Budgeted Enrollment YR1'!C195</f>
        <v>2</v>
      </c>
      <c r="D195" s="971" t="str">
        <f>'1.2 Budgeted Enrollment YR1'!D195</f>
        <v>Las Vegas</v>
      </c>
      <c r="E195" s="968" t="str">
        <f>'1.2 Budgeted Enrollment YR1'!E195</f>
        <v>Clark County Detention Ctr J-SHS</v>
      </c>
      <c r="F195" s="1061"/>
      <c r="G195" s="1108">
        <f>'1.2 Budgeted Enrollment YR1'!G195+('1.2 Budgeted Enrollment YR1'!G195*$G$7)</f>
        <v>42.573503479044142</v>
      </c>
      <c r="H195" s="1108"/>
      <c r="I195" s="1114">
        <v>0</v>
      </c>
      <c r="J195" s="1115">
        <v>0</v>
      </c>
      <c r="K195" s="1114">
        <v>0</v>
      </c>
      <c r="L195" s="1108">
        <f>'1.2 Budgeted Enrollment YR1'!L195</f>
        <v>0</v>
      </c>
      <c r="M195" s="1104"/>
      <c r="N195" s="875"/>
    </row>
    <row r="196" spans="1:14" ht="16.5" thickTop="1" thickBot="1" x14ac:dyDescent="0.3">
      <c r="A196" s="968" t="str">
        <f>'1.2 Budgeted Enrollment YR1'!A196</f>
        <v>Clark</v>
      </c>
      <c r="B196" s="971">
        <f>'1.2 Budgeted Enrollment YR1'!B196</f>
        <v>2</v>
      </c>
      <c r="C196" s="971">
        <f>'1.2 Budgeted Enrollment YR1'!C196</f>
        <v>2</v>
      </c>
      <c r="D196" s="971" t="str">
        <f>'1.2 Budgeted Enrollment YR1'!D196</f>
        <v>Las Vegas</v>
      </c>
      <c r="E196" s="968" t="str">
        <f>'1.2 Budgeted Enrollment YR1'!E196</f>
        <v>Clark, Ed W HS</v>
      </c>
      <c r="F196" s="1061"/>
      <c r="G196" s="1108">
        <f>'1.2 Budgeted Enrollment YR1'!G196+('1.2 Budgeted Enrollment YR1'!G196*$G$7)</f>
        <v>2747.2084467421068</v>
      </c>
      <c r="H196" s="1108"/>
      <c r="I196" s="1114">
        <v>0</v>
      </c>
      <c r="J196" s="1115">
        <v>0</v>
      </c>
      <c r="K196" s="1114">
        <v>0</v>
      </c>
      <c r="L196" s="1108">
        <f>'1.2 Budgeted Enrollment YR1'!L196</f>
        <v>0</v>
      </c>
      <c r="M196" s="1104"/>
      <c r="N196" s="875"/>
    </row>
    <row r="197" spans="1:14" ht="16.5" thickTop="1" thickBot="1" x14ac:dyDescent="0.3">
      <c r="A197" s="968" t="str">
        <f>'1.2 Budgeted Enrollment YR1'!A197</f>
        <v>Clark</v>
      </c>
      <c r="B197" s="971">
        <f>'1.2 Budgeted Enrollment YR1'!B197</f>
        <v>2</v>
      </c>
      <c r="C197" s="971">
        <f>'1.2 Budgeted Enrollment YR1'!C197</f>
        <v>2</v>
      </c>
      <c r="D197" s="971" t="str">
        <f>'1.2 Budgeted Enrollment YR1'!D197</f>
        <v>Las Vegas</v>
      </c>
      <c r="E197" s="968" t="str">
        <f>'1.2 Budgeted Enrollment YR1'!E197</f>
        <v>College of So NV HS East</v>
      </c>
      <c r="F197" s="1061"/>
      <c r="G197" s="1108">
        <f>'1.2 Budgeted Enrollment YR1'!G197+('1.2 Budgeted Enrollment YR1'!G197*$G$7)</f>
        <v>158.28208974267861</v>
      </c>
      <c r="H197" s="1108"/>
      <c r="I197" s="1114">
        <v>0</v>
      </c>
      <c r="J197" s="1115">
        <v>0</v>
      </c>
      <c r="K197" s="1114">
        <v>0</v>
      </c>
      <c r="L197" s="1108">
        <f>'1.2 Budgeted Enrollment YR1'!L197</f>
        <v>0</v>
      </c>
      <c r="M197" s="1104"/>
      <c r="N197" s="875"/>
    </row>
    <row r="198" spans="1:14" ht="16.5" thickTop="1" thickBot="1" x14ac:dyDescent="0.3">
      <c r="A198" s="968" t="str">
        <f>'1.2 Budgeted Enrollment YR1'!A198</f>
        <v>Clark</v>
      </c>
      <c r="B198" s="971">
        <f>'1.2 Budgeted Enrollment YR1'!B198</f>
        <v>2</v>
      </c>
      <c r="C198" s="971">
        <f>'1.2 Budgeted Enrollment YR1'!C198</f>
        <v>2</v>
      </c>
      <c r="D198" s="971" t="str">
        <f>'1.2 Budgeted Enrollment YR1'!D198</f>
        <v>Las Vegas</v>
      </c>
      <c r="E198" s="968" t="str">
        <f>'1.2 Budgeted Enrollment YR1'!E198</f>
        <v>College of So NV HS South</v>
      </c>
      <c r="F198" s="1061"/>
      <c r="G198" s="1108">
        <f>'1.2 Budgeted Enrollment YR1'!G198+('1.2 Budgeted Enrollment YR1'!G198*$G$7)</f>
        <v>136.04474753872907</v>
      </c>
      <c r="H198" s="1108"/>
      <c r="I198" s="1114">
        <v>0</v>
      </c>
      <c r="J198" s="1115">
        <v>0</v>
      </c>
      <c r="K198" s="1114">
        <v>0</v>
      </c>
      <c r="L198" s="1108">
        <f>'1.2 Budgeted Enrollment YR1'!L198</f>
        <v>0</v>
      </c>
      <c r="M198" s="1104"/>
      <c r="N198" s="875"/>
    </row>
    <row r="199" spans="1:14" ht="16.5" thickTop="1" thickBot="1" x14ac:dyDescent="0.3">
      <c r="A199" s="968" t="str">
        <f>'1.2 Budgeted Enrollment YR1'!A199</f>
        <v>Clark</v>
      </c>
      <c r="B199" s="971">
        <f>'1.2 Budgeted Enrollment YR1'!B199</f>
        <v>2</v>
      </c>
      <c r="C199" s="971">
        <f>'1.2 Budgeted Enrollment YR1'!C199</f>
        <v>2</v>
      </c>
      <c r="D199" s="971" t="str">
        <f>'1.2 Budgeted Enrollment YR1'!D199</f>
        <v>Las Vegas</v>
      </c>
      <c r="E199" s="968" t="str">
        <f>'1.2 Budgeted Enrollment YR1'!E199</f>
        <v>College of So NV HS West</v>
      </c>
      <c r="F199" s="1061"/>
      <c r="G199" s="1108">
        <f>'1.2 Budgeted Enrollment YR1'!G199+('1.2 Budgeted Enrollment YR1'!G199*$G$7)</f>
        <v>219.96786787597247</v>
      </c>
      <c r="H199" s="1108"/>
      <c r="I199" s="1114">
        <v>0</v>
      </c>
      <c r="J199" s="1115">
        <v>0</v>
      </c>
      <c r="K199" s="1114">
        <v>0</v>
      </c>
      <c r="L199" s="1108">
        <f>'1.2 Budgeted Enrollment YR1'!L199</f>
        <v>0</v>
      </c>
      <c r="M199" s="1104"/>
      <c r="N199" s="875"/>
    </row>
    <row r="200" spans="1:14" ht="16.5" thickTop="1" thickBot="1" x14ac:dyDescent="0.3">
      <c r="A200" s="968" t="str">
        <f>'1.2 Budgeted Enrollment YR1'!A200</f>
        <v>Clark</v>
      </c>
      <c r="B200" s="971">
        <f>'1.2 Budgeted Enrollment YR1'!B200</f>
        <v>2</v>
      </c>
      <c r="C200" s="971">
        <f>'1.2 Budgeted Enrollment YR1'!C200</f>
        <v>2</v>
      </c>
      <c r="D200" s="971" t="str">
        <f>'1.2 Budgeted Enrollment YR1'!D200</f>
        <v>Las Vegas</v>
      </c>
      <c r="E200" s="968" t="str">
        <f>'1.2 Budgeted Enrollment YR1'!E200</f>
        <v>Conners, Eileen ES</v>
      </c>
      <c r="F200" s="1061"/>
      <c r="G200" s="1108">
        <f>'1.2 Budgeted Enrollment YR1'!G200+('1.2 Budgeted Enrollment YR1'!G200*$G$7)</f>
        <v>556.25133507730482</v>
      </c>
      <c r="H200" s="1108"/>
      <c r="I200" s="1114">
        <v>0</v>
      </c>
      <c r="J200" s="1115">
        <v>0</v>
      </c>
      <c r="K200" s="1114">
        <v>0</v>
      </c>
      <c r="L200" s="1108">
        <f>'1.2 Budgeted Enrollment YR1'!L200</f>
        <v>0</v>
      </c>
      <c r="M200" s="1104"/>
      <c r="N200" s="875"/>
    </row>
    <row r="201" spans="1:14" ht="16.5" thickTop="1" thickBot="1" x14ac:dyDescent="0.3">
      <c r="A201" s="968" t="str">
        <f>'1.2 Budgeted Enrollment YR1'!A201</f>
        <v>Clark</v>
      </c>
      <c r="B201" s="971">
        <f>'1.2 Budgeted Enrollment YR1'!B201</f>
        <v>2</v>
      </c>
      <c r="C201" s="971">
        <f>'1.2 Budgeted Enrollment YR1'!C201</f>
        <v>2</v>
      </c>
      <c r="D201" s="971" t="str">
        <f>'1.2 Budgeted Enrollment YR1'!D201</f>
        <v>Las Vegas</v>
      </c>
      <c r="E201" s="968" t="str">
        <f>'1.2 Budgeted Enrollment YR1'!E201</f>
        <v>Coronado HS</v>
      </c>
      <c r="F201" s="1061"/>
      <c r="G201" s="1108">
        <f>'1.2 Budgeted Enrollment YR1'!G201+('1.2 Budgeted Enrollment YR1'!G201*$G$7)</f>
        <v>3077.0235782477725</v>
      </c>
      <c r="H201" s="1108"/>
      <c r="I201" s="1114">
        <v>0</v>
      </c>
      <c r="J201" s="1115">
        <v>0</v>
      </c>
      <c r="K201" s="1114">
        <v>0</v>
      </c>
      <c r="L201" s="1108">
        <f>'1.2 Budgeted Enrollment YR1'!L201</f>
        <v>0</v>
      </c>
      <c r="M201" s="1104"/>
      <c r="N201" s="875"/>
    </row>
    <row r="202" spans="1:14" ht="16.5" thickTop="1" thickBot="1" x14ac:dyDescent="0.3">
      <c r="A202" s="968" t="str">
        <f>'1.2 Budgeted Enrollment YR1'!A202</f>
        <v>Clark</v>
      </c>
      <c r="B202" s="971">
        <f>'1.2 Budgeted Enrollment YR1'!B202</f>
        <v>2</v>
      </c>
      <c r="C202" s="971">
        <f>'1.2 Budgeted Enrollment YR1'!C202</f>
        <v>2</v>
      </c>
      <c r="D202" s="971" t="str">
        <f>'1.2 Budgeted Enrollment YR1'!D202</f>
        <v>Las Vegas</v>
      </c>
      <c r="E202" s="968" t="str">
        <f>'1.2 Budgeted Enrollment YR1'!E202</f>
        <v>Cortez, Manuel J ES</v>
      </c>
      <c r="F202" s="1061"/>
      <c r="G202" s="1108">
        <f>'1.2 Budgeted Enrollment YR1'!G202+('1.2 Budgeted Enrollment YR1'!G202*$G$7)</f>
        <v>562.78609540311345</v>
      </c>
      <c r="H202" s="1108"/>
      <c r="I202" s="1114">
        <v>0</v>
      </c>
      <c r="J202" s="1115">
        <v>0</v>
      </c>
      <c r="K202" s="1114">
        <v>0</v>
      </c>
      <c r="L202" s="1108">
        <f>'1.2 Budgeted Enrollment YR1'!L202</f>
        <v>0</v>
      </c>
      <c r="M202" s="1104"/>
      <c r="N202" s="875"/>
    </row>
    <row r="203" spans="1:14" ht="16.5" thickTop="1" thickBot="1" x14ac:dyDescent="0.3">
      <c r="A203" s="968" t="str">
        <f>'1.2 Budgeted Enrollment YR1'!A203</f>
        <v>Clark</v>
      </c>
      <c r="B203" s="971">
        <f>'1.2 Budgeted Enrollment YR1'!B203</f>
        <v>2</v>
      </c>
      <c r="C203" s="971">
        <f>'1.2 Budgeted Enrollment YR1'!C203</f>
        <v>2</v>
      </c>
      <c r="D203" s="971" t="str">
        <f>'1.2 Budgeted Enrollment YR1'!D203</f>
        <v>Las Vegas</v>
      </c>
      <c r="E203" s="968" t="str">
        <f>'1.2 Budgeted Enrollment YR1'!E203</f>
        <v>Cortney, Francis H JHS</v>
      </c>
      <c r="F203" s="1061"/>
      <c r="G203" s="1108">
        <f>'1.2 Budgeted Enrollment YR1'!G203+('1.2 Budgeted Enrollment YR1'!G203*$G$7)</f>
        <v>1000.3003234448648</v>
      </c>
      <c r="H203" s="1108"/>
      <c r="I203" s="1114">
        <v>0</v>
      </c>
      <c r="J203" s="1115">
        <v>0</v>
      </c>
      <c r="K203" s="1114">
        <v>0</v>
      </c>
      <c r="L203" s="1108">
        <f>'1.2 Budgeted Enrollment YR1'!L203</f>
        <v>0</v>
      </c>
      <c r="M203" s="1104"/>
      <c r="N203" s="875"/>
    </row>
    <row r="204" spans="1:14" ht="16.5" thickTop="1" thickBot="1" x14ac:dyDescent="0.3">
      <c r="A204" s="968" t="str">
        <f>'1.2 Budgeted Enrollment YR1'!A204</f>
        <v>Clark</v>
      </c>
      <c r="B204" s="971">
        <f>'1.2 Budgeted Enrollment YR1'!B204</f>
        <v>2</v>
      </c>
      <c r="C204" s="971">
        <f>'1.2 Budgeted Enrollment YR1'!C204</f>
        <v>2</v>
      </c>
      <c r="D204" s="971" t="str">
        <f>'1.2 Budgeted Enrollment YR1'!D204</f>
        <v>Las Vegas</v>
      </c>
      <c r="E204" s="968" t="str">
        <f>'1.2 Budgeted Enrollment YR1'!E204</f>
        <v>Cowan Academic Center J-SHS</v>
      </c>
      <c r="F204" s="1061"/>
      <c r="G204" s="1108">
        <f>'1.2 Budgeted Enrollment YR1'!G204+('1.2 Budgeted Enrollment YR1'!G204*$G$7)</f>
        <v>159.19169375303568</v>
      </c>
      <c r="H204" s="1108"/>
      <c r="I204" s="1114">
        <v>0</v>
      </c>
      <c r="J204" s="1115">
        <v>0</v>
      </c>
      <c r="K204" s="1114">
        <v>0</v>
      </c>
      <c r="L204" s="1108">
        <f>'1.2 Budgeted Enrollment YR1'!L204</f>
        <v>0</v>
      </c>
      <c r="M204" s="1104"/>
      <c r="N204" s="875"/>
    </row>
    <row r="205" spans="1:14" ht="16.5" thickTop="1" thickBot="1" x14ac:dyDescent="0.3">
      <c r="A205" s="968" t="str">
        <f>'1.2 Budgeted Enrollment YR1'!A205</f>
        <v>Clark</v>
      </c>
      <c r="B205" s="971">
        <f>'1.2 Budgeted Enrollment YR1'!B205</f>
        <v>2</v>
      </c>
      <c r="C205" s="971">
        <f>'1.2 Budgeted Enrollment YR1'!C205</f>
        <v>2</v>
      </c>
      <c r="D205" s="971" t="str">
        <f>'1.2 Budgeted Enrollment YR1'!D205</f>
        <v>Las Vegas</v>
      </c>
      <c r="E205" s="968" t="str">
        <f>'1.2 Budgeted Enrollment YR1'!E205</f>
        <v>Cowan Sunset Southeast HS</v>
      </c>
      <c r="F205" s="1061"/>
      <c r="G205" s="1108">
        <f>'1.2 Budgeted Enrollment YR1'!G205+('1.2 Budgeted Enrollment YR1'!G205*$G$7)</f>
        <v>16.018539014594204</v>
      </c>
      <c r="H205" s="1108"/>
      <c r="I205" s="1114">
        <v>0</v>
      </c>
      <c r="J205" s="1115">
        <v>0</v>
      </c>
      <c r="K205" s="1114">
        <v>0</v>
      </c>
      <c r="L205" s="1108">
        <f>'1.2 Budgeted Enrollment YR1'!L205</f>
        <v>0</v>
      </c>
      <c r="M205" s="1104"/>
      <c r="N205" s="875"/>
    </row>
    <row r="206" spans="1:14" ht="16.5" thickTop="1" thickBot="1" x14ac:dyDescent="0.3">
      <c r="A206" s="968" t="str">
        <f>'1.2 Budgeted Enrollment YR1'!A206</f>
        <v>Clark</v>
      </c>
      <c r="B206" s="971">
        <f>'1.2 Budgeted Enrollment YR1'!B206</f>
        <v>2</v>
      </c>
      <c r="C206" s="971">
        <f>'1.2 Budgeted Enrollment YR1'!C206</f>
        <v>2</v>
      </c>
      <c r="D206" s="971" t="str">
        <f>'1.2 Budgeted Enrollment YR1'!D206</f>
        <v>Las Vegas</v>
      </c>
      <c r="E206" s="968" t="str">
        <f>'1.2 Budgeted Enrollment YR1'!E206</f>
        <v>Cox, Clyde C ES</v>
      </c>
      <c r="F206" s="1061"/>
      <c r="G206" s="1108">
        <f>'1.2 Budgeted Enrollment YR1'!G206+('1.2 Budgeted Enrollment YR1'!G206*$G$7)</f>
        <v>572.44844757586225</v>
      </c>
      <c r="H206" s="1108"/>
      <c r="I206" s="1114">
        <v>0</v>
      </c>
      <c r="J206" s="1115">
        <v>0</v>
      </c>
      <c r="K206" s="1114">
        <v>0</v>
      </c>
      <c r="L206" s="1108">
        <f>'1.2 Budgeted Enrollment YR1'!L206</f>
        <v>0</v>
      </c>
      <c r="M206" s="1104"/>
      <c r="N206" s="875"/>
    </row>
    <row r="207" spans="1:14" ht="16.5" thickTop="1" thickBot="1" x14ac:dyDescent="0.3">
      <c r="A207" s="968" t="str">
        <f>'1.2 Budgeted Enrollment YR1'!A207</f>
        <v>Clark</v>
      </c>
      <c r="B207" s="971">
        <f>'1.2 Budgeted Enrollment YR1'!B207</f>
        <v>2</v>
      </c>
      <c r="C207" s="971">
        <f>'1.2 Budgeted Enrollment YR1'!C207</f>
        <v>2</v>
      </c>
      <c r="D207" s="971" t="str">
        <f>'1.2 Budgeted Enrollment YR1'!D207</f>
        <v>Las Vegas</v>
      </c>
      <c r="E207" s="968" t="str">
        <f>'1.2 Budgeted Enrollment YR1'!E207</f>
        <v>Cox, David M ES</v>
      </c>
      <c r="F207" s="1061"/>
      <c r="G207" s="1108">
        <f>'1.2 Budgeted Enrollment YR1'!G207+('1.2 Budgeted Enrollment YR1'!G207*$G$7)</f>
        <v>440.99504158109698</v>
      </c>
      <c r="H207" s="1108"/>
      <c r="I207" s="1114">
        <v>0</v>
      </c>
      <c r="J207" s="1115">
        <v>0</v>
      </c>
      <c r="K207" s="1114">
        <v>0</v>
      </c>
      <c r="L207" s="1108">
        <f>'1.2 Budgeted Enrollment YR1'!L207</f>
        <v>0</v>
      </c>
      <c r="M207" s="1104"/>
      <c r="N207" s="875"/>
    </row>
    <row r="208" spans="1:14" ht="16.5" thickTop="1" thickBot="1" x14ac:dyDescent="0.3">
      <c r="A208" s="968" t="str">
        <f>'1.2 Budgeted Enrollment YR1'!A208</f>
        <v>Clark</v>
      </c>
      <c r="B208" s="971">
        <f>'1.2 Budgeted Enrollment YR1'!B208</f>
        <v>2</v>
      </c>
      <c r="C208" s="971">
        <f>'1.2 Budgeted Enrollment YR1'!C208</f>
        <v>2</v>
      </c>
      <c r="D208" s="971" t="str">
        <f>'1.2 Budgeted Enrollment YR1'!D208</f>
        <v>Las Vegas</v>
      </c>
      <c r="E208" s="968" t="str">
        <f>'1.2 Budgeted Enrollment YR1'!E208</f>
        <v>Cozine, Steve and Linda ES</v>
      </c>
      <c r="F208" s="1061"/>
      <c r="G208" s="1108">
        <f>'1.2 Budgeted Enrollment YR1'!G208+('1.2 Budgeted Enrollment YR1'!G208*$G$7)</f>
        <v>603.92810111104177</v>
      </c>
      <c r="H208" s="1108"/>
      <c r="I208" s="1114">
        <v>0</v>
      </c>
      <c r="J208" s="1115">
        <v>0</v>
      </c>
      <c r="K208" s="1114">
        <v>0</v>
      </c>
      <c r="L208" s="1108">
        <f>'1.2 Budgeted Enrollment YR1'!L208</f>
        <v>0</v>
      </c>
      <c r="M208" s="1104"/>
      <c r="N208" s="875"/>
    </row>
    <row r="209" spans="1:14" ht="16.5" thickTop="1" thickBot="1" x14ac:dyDescent="0.3">
      <c r="A209" s="968" t="str">
        <f>'1.2 Budgeted Enrollment YR1'!A209</f>
        <v>Clark</v>
      </c>
      <c r="B209" s="971">
        <f>'1.2 Budgeted Enrollment YR1'!B209</f>
        <v>2</v>
      </c>
      <c r="C209" s="971">
        <f>'1.2 Budgeted Enrollment YR1'!C209</f>
        <v>2</v>
      </c>
      <c r="D209" s="971" t="str">
        <f>'1.2 Budgeted Enrollment YR1'!D209</f>
        <v>Las Vegas</v>
      </c>
      <c r="E209" s="968" t="str">
        <f>'1.2 Budgeted Enrollment YR1'!E209</f>
        <v>Craig, Lois ES</v>
      </c>
      <c r="F209" s="1061"/>
      <c r="G209" s="1108">
        <f>'1.2 Budgeted Enrollment YR1'!G209+('1.2 Budgeted Enrollment YR1'!G209*$G$7)</f>
        <v>429.84849903150172</v>
      </c>
      <c r="H209" s="1108"/>
      <c r="I209" s="1114">
        <v>0</v>
      </c>
      <c r="J209" s="1115">
        <v>0</v>
      </c>
      <c r="K209" s="1114">
        <v>0</v>
      </c>
      <c r="L209" s="1108">
        <f>'1.2 Budgeted Enrollment YR1'!L209</f>
        <v>0</v>
      </c>
      <c r="M209" s="1104"/>
      <c r="N209" s="875"/>
    </row>
    <row r="210" spans="1:14" ht="16.5" thickTop="1" thickBot="1" x14ac:dyDescent="0.3">
      <c r="A210" s="968" t="str">
        <f>'1.2 Budgeted Enrollment YR1'!A210</f>
        <v>Clark</v>
      </c>
      <c r="B210" s="971">
        <f>'1.2 Budgeted Enrollment YR1'!B210</f>
        <v>2</v>
      </c>
      <c r="C210" s="971">
        <f>'1.2 Budgeted Enrollment YR1'!C210</f>
        <v>2</v>
      </c>
      <c r="D210" s="971" t="str">
        <f>'1.2 Budgeted Enrollment YR1'!D210</f>
        <v>Las Vegas</v>
      </c>
      <c r="E210" s="968" t="str">
        <f>'1.2 Budgeted Enrollment YR1'!E210</f>
        <v>Cram, Brian &amp; Teri MS</v>
      </c>
      <c r="F210" s="1061"/>
      <c r="G210" s="1108">
        <f>'1.2 Budgeted Enrollment YR1'!G210+('1.2 Budgeted Enrollment YR1'!G210*$G$7)</f>
        <v>1355.6916215128622</v>
      </c>
      <c r="H210" s="1108"/>
      <c r="I210" s="1114">
        <v>0</v>
      </c>
      <c r="J210" s="1115">
        <v>0</v>
      </c>
      <c r="K210" s="1114">
        <v>0</v>
      </c>
      <c r="L210" s="1108">
        <f>'1.2 Budgeted Enrollment YR1'!L210</f>
        <v>0</v>
      </c>
      <c r="M210" s="1104"/>
      <c r="N210" s="875"/>
    </row>
    <row r="211" spans="1:14" ht="16.5" thickTop="1" thickBot="1" x14ac:dyDescent="0.3">
      <c r="A211" s="968" t="str">
        <f>'1.2 Budgeted Enrollment YR1'!A211</f>
        <v>Clark</v>
      </c>
      <c r="B211" s="971">
        <f>'1.2 Budgeted Enrollment YR1'!B211</f>
        <v>2</v>
      </c>
      <c r="C211" s="971">
        <f>'1.2 Budgeted Enrollment YR1'!C211</f>
        <v>2</v>
      </c>
      <c r="D211" s="971" t="str">
        <f>'1.2 Budgeted Enrollment YR1'!D211</f>
        <v>Las Vegas</v>
      </c>
      <c r="E211" s="968" t="str">
        <f>'1.2 Budgeted Enrollment YR1'!E211</f>
        <v>Crestwood ES</v>
      </c>
      <c r="F211" s="1061"/>
      <c r="G211" s="1108">
        <f>'1.2 Budgeted Enrollment YR1'!G211+('1.2 Budgeted Enrollment YR1'!G211*$G$7)</f>
        <v>511.67739863283202</v>
      </c>
      <c r="H211" s="1108"/>
      <c r="I211" s="1114">
        <v>0</v>
      </c>
      <c r="J211" s="1115">
        <v>0</v>
      </c>
      <c r="K211" s="1114">
        <v>0</v>
      </c>
      <c r="L211" s="1108">
        <f>'1.2 Budgeted Enrollment YR1'!L211</f>
        <v>0</v>
      </c>
      <c r="M211" s="1104"/>
      <c r="N211" s="875"/>
    </row>
    <row r="212" spans="1:14" ht="16.5" thickTop="1" thickBot="1" x14ac:dyDescent="0.3">
      <c r="A212" s="968" t="str">
        <f>'1.2 Budgeted Enrollment YR1'!A212</f>
        <v>Clark</v>
      </c>
      <c r="B212" s="971">
        <f>'1.2 Budgeted Enrollment YR1'!B212</f>
        <v>2</v>
      </c>
      <c r="C212" s="971">
        <f>'1.2 Budgeted Enrollment YR1'!C212</f>
        <v>2</v>
      </c>
      <c r="D212" s="971" t="str">
        <f>'1.2 Budgeted Enrollment YR1'!D212</f>
        <v>Las Vegas</v>
      </c>
      <c r="E212" s="968" t="str">
        <f>'1.2 Budgeted Enrollment YR1'!E212</f>
        <v>Culley, Paul E ES</v>
      </c>
      <c r="F212" s="1061"/>
      <c r="G212" s="1108">
        <f>'1.2 Budgeted Enrollment YR1'!G212+('1.2 Budgeted Enrollment YR1'!G212*$G$7)</f>
        <v>550.31106936562549</v>
      </c>
      <c r="H212" s="1108"/>
      <c r="I212" s="1114">
        <v>0</v>
      </c>
      <c r="J212" s="1115">
        <v>0</v>
      </c>
      <c r="K212" s="1114">
        <v>0</v>
      </c>
      <c r="L212" s="1108">
        <f>'1.2 Budgeted Enrollment YR1'!L212</f>
        <v>0</v>
      </c>
      <c r="M212" s="1104"/>
      <c r="N212" s="875"/>
    </row>
    <row r="213" spans="1:14" ht="16.5" thickTop="1" thickBot="1" x14ac:dyDescent="0.3">
      <c r="A213" s="968" t="str">
        <f>'1.2 Budgeted Enrollment YR1'!A213</f>
        <v>Clark</v>
      </c>
      <c r="B213" s="971">
        <f>'1.2 Budgeted Enrollment YR1'!B213</f>
        <v>2</v>
      </c>
      <c r="C213" s="971">
        <f>'1.2 Budgeted Enrollment YR1'!C213</f>
        <v>2</v>
      </c>
      <c r="D213" s="971" t="str">
        <f>'1.2 Budgeted Enrollment YR1'!D213</f>
        <v>Las Vegas</v>
      </c>
      <c r="E213" s="968" t="str">
        <f>'1.2 Budgeted Enrollment YR1'!E213</f>
        <v>Cunningham, Cynthia ES</v>
      </c>
      <c r="F213" s="1061"/>
      <c r="G213" s="1108">
        <f>'1.2 Budgeted Enrollment YR1'!G213+('1.2 Budgeted Enrollment YR1'!G213*$G$7)</f>
        <v>580.01898248726513</v>
      </c>
      <c r="H213" s="1108"/>
      <c r="I213" s="1114">
        <v>0</v>
      </c>
      <c r="J213" s="1115">
        <v>0</v>
      </c>
      <c r="K213" s="1114">
        <v>0</v>
      </c>
      <c r="L213" s="1108">
        <f>'1.2 Budgeted Enrollment YR1'!L213</f>
        <v>0</v>
      </c>
      <c r="M213" s="1104"/>
      <c r="N213" s="875"/>
    </row>
    <row r="214" spans="1:14" ht="16.5" thickTop="1" thickBot="1" x14ac:dyDescent="0.3">
      <c r="A214" s="968" t="str">
        <f>'1.2 Budgeted Enrollment YR1'!A214</f>
        <v>Clark</v>
      </c>
      <c r="B214" s="971">
        <f>'1.2 Budgeted Enrollment YR1'!B214</f>
        <v>2</v>
      </c>
      <c r="C214" s="971">
        <f>'1.2 Budgeted Enrollment YR1'!C214</f>
        <v>2</v>
      </c>
      <c r="D214" s="971" t="str">
        <f>'1.2 Budgeted Enrollment YR1'!D214</f>
        <v>Las Vegas</v>
      </c>
      <c r="E214" s="968" t="str">
        <f>'1.2 Budgeted Enrollment YR1'!E214</f>
        <v>Dailey, Jack ES</v>
      </c>
      <c r="F214" s="1061"/>
      <c r="G214" s="1108">
        <f>'1.2 Budgeted Enrollment YR1'!G214+('1.2 Budgeted Enrollment YR1'!G214*$G$7)</f>
        <v>444.87933904499067</v>
      </c>
      <c r="H214" s="1108"/>
      <c r="I214" s="1114">
        <v>0</v>
      </c>
      <c r="J214" s="1115">
        <v>0</v>
      </c>
      <c r="K214" s="1114">
        <v>0</v>
      </c>
      <c r="L214" s="1108">
        <f>'1.2 Budgeted Enrollment YR1'!L214</f>
        <v>0</v>
      </c>
      <c r="M214" s="1104"/>
      <c r="N214" s="875"/>
    </row>
    <row r="215" spans="1:14" ht="16.5" thickTop="1" thickBot="1" x14ac:dyDescent="0.3">
      <c r="A215" s="968" t="str">
        <f>'1.2 Budgeted Enrollment YR1'!A215</f>
        <v>Clark</v>
      </c>
      <c r="B215" s="971">
        <f>'1.2 Budgeted Enrollment YR1'!B215</f>
        <v>2</v>
      </c>
      <c r="C215" s="971">
        <f>'1.2 Budgeted Enrollment YR1'!C215</f>
        <v>2</v>
      </c>
      <c r="D215" s="971" t="str">
        <f>'1.2 Budgeted Enrollment YR1'!D215</f>
        <v>Las Vegas</v>
      </c>
      <c r="E215" s="968" t="str">
        <f>'1.2 Budgeted Enrollment YR1'!E215</f>
        <v>Darnell, Marshall C ES</v>
      </c>
      <c r="F215" s="1061"/>
      <c r="G215" s="1108">
        <f>'1.2 Budgeted Enrollment YR1'!G215+('1.2 Budgeted Enrollment YR1'!G215*$G$7)</f>
        <v>573.97715915112121</v>
      </c>
      <c r="H215" s="1108"/>
      <c r="I215" s="1114">
        <v>0</v>
      </c>
      <c r="J215" s="1115">
        <v>0</v>
      </c>
      <c r="K215" s="1114">
        <v>0</v>
      </c>
      <c r="L215" s="1108">
        <f>'1.2 Budgeted Enrollment YR1'!L215</f>
        <v>0</v>
      </c>
      <c r="M215" s="1104"/>
      <c r="N215" s="875"/>
    </row>
    <row r="216" spans="1:14" ht="16.5" thickTop="1" thickBot="1" x14ac:dyDescent="0.3">
      <c r="A216" s="968" t="str">
        <f>'1.2 Budgeted Enrollment YR1'!A216</f>
        <v>Clark</v>
      </c>
      <c r="B216" s="971">
        <f>'1.2 Budgeted Enrollment YR1'!B216</f>
        <v>2</v>
      </c>
      <c r="C216" s="971">
        <f>'1.2 Budgeted Enrollment YR1'!C216</f>
        <v>2</v>
      </c>
      <c r="D216" s="971" t="str">
        <f>'1.2 Budgeted Enrollment YR1'!D216</f>
        <v>Las Vegas</v>
      </c>
      <c r="E216" s="968" t="str">
        <f>'1.2 Budgeted Enrollment YR1'!E216</f>
        <v>Dearing, Laura ES</v>
      </c>
      <c r="F216" s="1061"/>
      <c r="G216" s="1108">
        <f>'1.2 Budgeted Enrollment YR1'!G216+('1.2 Budgeted Enrollment YR1'!G216*$G$7)</f>
        <v>697.62529303174074</v>
      </c>
      <c r="H216" s="1108"/>
      <c r="I216" s="1114">
        <v>0</v>
      </c>
      <c r="J216" s="1115">
        <v>0</v>
      </c>
      <c r="K216" s="1114">
        <v>0</v>
      </c>
      <c r="L216" s="1108">
        <f>'1.2 Budgeted Enrollment YR1'!L216</f>
        <v>0</v>
      </c>
      <c r="M216" s="1104"/>
      <c r="N216" s="875"/>
    </row>
    <row r="217" spans="1:14" ht="16.5" thickTop="1" thickBot="1" x14ac:dyDescent="0.3">
      <c r="A217" s="968" t="str">
        <f>'1.2 Budgeted Enrollment YR1'!A217</f>
        <v>Clark</v>
      </c>
      <c r="B217" s="971">
        <f>'1.2 Budgeted Enrollment YR1'!B217</f>
        <v>2</v>
      </c>
      <c r="C217" s="971">
        <f>'1.2 Budgeted Enrollment YR1'!C217</f>
        <v>2</v>
      </c>
      <c r="D217" s="971" t="str">
        <f>'1.2 Budgeted Enrollment YR1'!D217</f>
        <v>Las Vegas</v>
      </c>
      <c r="E217" s="968" t="str">
        <f>'1.2 Budgeted Enrollment YR1'!E217</f>
        <v>Decker, C H ES</v>
      </c>
      <c r="F217" s="1061"/>
      <c r="G217" s="1108">
        <f>'1.2 Budgeted Enrollment YR1'!G217+('1.2 Budgeted Enrollment YR1'!G217*$G$7)</f>
        <v>570.05111034488777</v>
      </c>
      <c r="H217" s="1108"/>
      <c r="I217" s="1114">
        <v>0</v>
      </c>
      <c r="J217" s="1115">
        <v>0</v>
      </c>
      <c r="K217" s="1114">
        <v>0</v>
      </c>
      <c r="L217" s="1108">
        <f>'1.2 Budgeted Enrollment YR1'!L217</f>
        <v>0</v>
      </c>
      <c r="M217" s="1104"/>
      <c r="N217" s="875"/>
    </row>
    <row r="218" spans="1:14" ht="16.5" thickTop="1" thickBot="1" x14ac:dyDescent="0.3">
      <c r="A218" s="968" t="str">
        <f>'1.2 Budgeted Enrollment YR1'!A218</f>
        <v>Clark</v>
      </c>
      <c r="B218" s="971">
        <f>'1.2 Budgeted Enrollment YR1'!B218</f>
        <v>2</v>
      </c>
      <c r="C218" s="971">
        <f>'1.2 Budgeted Enrollment YR1'!C218</f>
        <v>2</v>
      </c>
      <c r="D218" s="971" t="str">
        <f>'1.2 Budgeted Enrollment YR1'!D218</f>
        <v>Las Vegas</v>
      </c>
      <c r="E218" s="968" t="str">
        <f>'1.2 Budgeted Enrollment YR1'!E218</f>
        <v>Del Sol Academy of Performing Arts HS</v>
      </c>
      <c r="F218" s="1061"/>
      <c r="G218" s="1108">
        <f>'1.2 Budgeted Enrollment YR1'!G218+('1.2 Budgeted Enrollment YR1'!G218*$G$7)</f>
        <v>2416.3748113083166</v>
      </c>
      <c r="H218" s="1108"/>
      <c r="I218" s="1114">
        <v>0</v>
      </c>
      <c r="J218" s="1115">
        <v>0</v>
      </c>
      <c r="K218" s="1114">
        <v>0</v>
      </c>
      <c r="L218" s="1108">
        <f>'1.2 Budgeted Enrollment YR1'!L218</f>
        <v>0</v>
      </c>
      <c r="M218" s="1104"/>
      <c r="N218" s="875"/>
    </row>
    <row r="219" spans="1:14" ht="16.5" thickTop="1" thickBot="1" x14ac:dyDescent="0.3">
      <c r="A219" s="968" t="str">
        <f>'1.2 Budgeted Enrollment YR1'!A219</f>
        <v>Clark</v>
      </c>
      <c r="B219" s="971">
        <f>'1.2 Budgeted Enrollment YR1'!B219</f>
        <v>2</v>
      </c>
      <c r="C219" s="971">
        <f>'1.2 Budgeted Enrollment YR1'!C219</f>
        <v>2</v>
      </c>
      <c r="D219" s="971" t="str">
        <f>'1.2 Budgeted Enrollment YR1'!D219</f>
        <v>Las Vegas</v>
      </c>
      <c r="E219" s="968" t="str">
        <f>'1.2 Budgeted Enrollment YR1'!E219</f>
        <v>Derfelt, Herbert A ES</v>
      </c>
      <c r="F219" s="1061"/>
      <c r="G219" s="1108">
        <f>'1.2 Budgeted Enrollment YR1'!G219+('1.2 Budgeted Enrollment YR1'!G219*$G$7)</f>
        <v>491.54686996861653</v>
      </c>
      <c r="H219" s="1108"/>
      <c r="I219" s="1114">
        <v>0</v>
      </c>
      <c r="J219" s="1115">
        <v>0</v>
      </c>
      <c r="K219" s="1114">
        <v>0</v>
      </c>
      <c r="L219" s="1108">
        <f>'1.2 Budgeted Enrollment YR1'!L219</f>
        <v>0</v>
      </c>
      <c r="M219" s="1104"/>
      <c r="N219" s="875"/>
    </row>
    <row r="220" spans="1:14" ht="16.5" thickTop="1" thickBot="1" x14ac:dyDescent="0.3">
      <c r="A220" s="968" t="str">
        <f>'1.2 Budgeted Enrollment YR1'!A220</f>
        <v>Clark</v>
      </c>
      <c r="B220" s="971">
        <f>'1.2 Budgeted Enrollment YR1'!B220</f>
        <v>2</v>
      </c>
      <c r="C220" s="971">
        <f>'1.2 Budgeted Enrollment YR1'!C220</f>
        <v>2</v>
      </c>
      <c r="D220" s="971" t="str">
        <f>'1.2 Budgeted Enrollment YR1'!D220</f>
        <v>Las Vegas</v>
      </c>
      <c r="E220" s="968" t="str">
        <f>'1.2 Budgeted Enrollment YR1'!E220</f>
        <v>Desert Oasis HS</v>
      </c>
      <c r="F220" s="1061"/>
      <c r="G220" s="1108">
        <f>'1.2 Budgeted Enrollment YR1'!G220+('1.2 Budgeted Enrollment YR1'!G220*$G$7)</f>
        <v>3104.0967927207289</v>
      </c>
      <c r="H220" s="1108"/>
      <c r="I220" s="1114">
        <v>0</v>
      </c>
      <c r="J220" s="1115">
        <v>0</v>
      </c>
      <c r="K220" s="1114">
        <v>0</v>
      </c>
      <c r="L220" s="1108">
        <f>'1.2 Budgeted Enrollment YR1'!L220</f>
        <v>0</v>
      </c>
      <c r="M220" s="1104"/>
      <c r="N220" s="875"/>
    </row>
    <row r="221" spans="1:14" ht="16.5" thickTop="1" thickBot="1" x14ac:dyDescent="0.3">
      <c r="A221" s="968" t="str">
        <f>'1.2 Budgeted Enrollment YR1'!A221</f>
        <v>Clark</v>
      </c>
      <c r="B221" s="971">
        <f>'1.2 Budgeted Enrollment YR1'!B221</f>
        <v>2</v>
      </c>
      <c r="C221" s="971">
        <f>'1.2 Budgeted Enrollment YR1'!C221</f>
        <v>2</v>
      </c>
      <c r="D221" s="971" t="str">
        <f>'1.2 Budgeted Enrollment YR1'!D221</f>
        <v>Las Vegas</v>
      </c>
      <c r="E221" s="968" t="str">
        <f>'1.2 Budgeted Enrollment YR1'!E221</f>
        <v>Desert Pines HS</v>
      </c>
      <c r="F221" s="1061"/>
      <c r="G221" s="1108">
        <f>'1.2 Budgeted Enrollment YR1'!G221+('1.2 Budgeted Enrollment YR1'!G221*$G$7)</f>
        <v>2908.6000221698641</v>
      </c>
      <c r="H221" s="1108"/>
      <c r="I221" s="1114">
        <v>0</v>
      </c>
      <c r="J221" s="1115">
        <v>0</v>
      </c>
      <c r="K221" s="1114">
        <v>0</v>
      </c>
      <c r="L221" s="1108">
        <f>'1.2 Budgeted Enrollment YR1'!L221</f>
        <v>0</v>
      </c>
      <c r="M221" s="1104"/>
      <c r="N221" s="875"/>
    </row>
    <row r="222" spans="1:14" ht="16.5" thickTop="1" thickBot="1" x14ac:dyDescent="0.3">
      <c r="A222" s="968" t="str">
        <f>'1.2 Budgeted Enrollment YR1'!A222</f>
        <v>Clark</v>
      </c>
      <c r="B222" s="971">
        <f>'1.2 Budgeted Enrollment YR1'!B222</f>
        <v>2</v>
      </c>
      <c r="C222" s="971">
        <f>'1.2 Budgeted Enrollment YR1'!C222</f>
        <v>2</v>
      </c>
      <c r="D222" s="971" t="str">
        <f>'1.2 Budgeted Enrollment YR1'!D222</f>
        <v>Las Vegas</v>
      </c>
      <c r="E222" s="968" t="str">
        <f>'1.2 Budgeted Enrollment YR1'!E222</f>
        <v>Desert Rose HS</v>
      </c>
      <c r="F222" s="1061"/>
      <c r="G222" s="1108">
        <f>'1.2 Budgeted Enrollment YR1'!G222+('1.2 Budgeted Enrollment YR1'!G222*$G$7)</f>
        <v>138.84203645156799</v>
      </c>
      <c r="H222" s="1108"/>
      <c r="I222" s="1114">
        <v>0</v>
      </c>
      <c r="J222" s="1115">
        <v>0</v>
      </c>
      <c r="K222" s="1114">
        <v>0</v>
      </c>
      <c r="L222" s="1108">
        <f>'1.2 Budgeted Enrollment YR1'!L222</f>
        <v>0</v>
      </c>
      <c r="M222" s="1104"/>
      <c r="N222" s="875"/>
    </row>
    <row r="223" spans="1:14" ht="16.5" thickTop="1" thickBot="1" x14ac:dyDescent="0.3">
      <c r="A223" s="968" t="str">
        <f>'1.2 Budgeted Enrollment YR1'!A223</f>
        <v>Clark</v>
      </c>
      <c r="B223" s="971">
        <f>'1.2 Budgeted Enrollment YR1'!B223</f>
        <v>2</v>
      </c>
      <c r="C223" s="971">
        <f>'1.2 Budgeted Enrollment YR1'!C223</f>
        <v>2</v>
      </c>
      <c r="D223" s="971" t="str">
        <f>'1.2 Budgeted Enrollment YR1'!D223</f>
        <v>Las Vegas</v>
      </c>
      <c r="E223" s="968" t="str">
        <f>'1.2 Budgeted Enrollment YR1'!E223</f>
        <v>Desert Willow ES</v>
      </c>
      <c r="F223" s="1061"/>
      <c r="G223" s="1108">
        <f>'1.2 Budgeted Enrollment YR1'!G223+('1.2 Budgeted Enrollment YR1'!G223*$G$7)</f>
        <v>3.1561757966156696</v>
      </c>
      <c r="H223" s="1108"/>
      <c r="I223" s="1114">
        <v>0</v>
      </c>
      <c r="J223" s="1115">
        <v>0</v>
      </c>
      <c r="K223" s="1114">
        <v>0</v>
      </c>
      <c r="L223" s="1108">
        <f>'1.2 Budgeted Enrollment YR1'!L223</f>
        <v>0</v>
      </c>
      <c r="M223" s="1104"/>
      <c r="N223" s="875"/>
    </row>
    <row r="224" spans="1:14" ht="16.5" thickTop="1" thickBot="1" x14ac:dyDescent="0.3">
      <c r="A224" s="968" t="str">
        <f>'1.2 Budgeted Enrollment YR1'!A224</f>
        <v>Clark</v>
      </c>
      <c r="B224" s="971">
        <f>'1.2 Budgeted Enrollment YR1'!B224</f>
        <v>2</v>
      </c>
      <c r="C224" s="971">
        <f>'1.2 Budgeted Enrollment YR1'!C224</f>
        <v>2</v>
      </c>
      <c r="D224" s="971" t="str">
        <f>'1.2 Budgeted Enrollment YR1'!D224</f>
        <v>Las Vegas</v>
      </c>
      <c r="E224" s="968" t="str">
        <f>'1.2 Budgeted Enrollment YR1'!E224</f>
        <v>Desert Willow J-SHS</v>
      </c>
      <c r="F224" s="1061"/>
      <c r="G224" s="1108">
        <f>'1.2 Budgeted Enrollment YR1'!G224+('1.2 Budgeted Enrollment YR1'!G224*$G$7)</f>
        <v>20.713900558023823</v>
      </c>
      <c r="H224" s="1108"/>
      <c r="I224" s="1114">
        <v>0</v>
      </c>
      <c r="J224" s="1115">
        <v>0</v>
      </c>
      <c r="K224" s="1114">
        <v>0</v>
      </c>
      <c r="L224" s="1108">
        <f>'1.2 Budgeted Enrollment YR1'!L224</f>
        <v>0</v>
      </c>
      <c r="M224" s="1104"/>
      <c r="N224" s="875"/>
    </row>
    <row r="225" spans="1:14" ht="16.5" thickTop="1" thickBot="1" x14ac:dyDescent="0.3">
      <c r="A225" s="968" t="str">
        <f>'1.2 Budgeted Enrollment YR1'!A225</f>
        <v>Clark</v>
      </c>
      <c r="B225" s="971">
        <f>'1.2 Budgeted Enrollment YR1'!B225</f>
        <v>2</v>
      </c>
      <c r="C225" s="971">
        <f>'1.2 Budgeted Enrollment YR1'!C225</f>
        <v>2</v>
      </c>
      <c r="D225" s="971" t="str">
        <f>'1.2 Budgeted Enrollment YR1'!D225</f>
        <v>Las Vegas</v>
      </c>
      <c r="E225" s="968" t="str">
        <f>'1.2 Budgeted Enrollment YR1'!E225</f>
        <v>Deskin, Ruthe ES</v>
      </c>
      <c r="F225" s="1061"/>
      <c r="G225" s="1108">
        <f>'1.2 Budgeted Enrollment YR1'!G225+('1.2 Budgeted Enrollment YR1'!G225*$G$7)</f>
        <v>486.57097269207804</v>
      </c>
      <c r="H225" s="1108"/>
      <c r="I225" s="1114">
        <v>0</v>
      </c>
      <c r="J225" s="1115">
        <v>0</v>
      </c>
      <c r="K225" s="1114">
        <v>0</v>
      </c>
      <c r="L225" s="1108">
        <f>'1.2 Budgeted Enrollment YR1'!L225</f>
        <v>0</v>
      </c>
      <c r="M225" s="1104"/>
      <c r="N225" s="875"/>
    </row>
    <row r="226" spans="1:14" ht="16.5" thickTop="1" thickBot="1" x14ac:dyDescent="0.3">
      <c r="A226" s="968" t="str">
        <f>'1.2 Budgeted Enrollment YR1'!A226</f>
        <v>Clark</v>
      </c>
      <c r="B226" s="971">
        <f>'1.2 Budgeted Enrollment YR1'!B226</f>
        <v>2</v>
      </c>
      <c r="C226" s="971">
        <f>'1.2 Budgeted Enrollment YR1'!C226</f>
        <v>2</v>
      </c>
      <c r="D226" s="971" t="str">
        <f>'1.2 Budgeted Enrollment YR1'!D226</f>
        <v>Las Vegas</v>
      </c>
      <c r="E226" s="968" t="str">
        <f>'1.2 Budgeted Enrollment YR1'!E226</f>
        <v>Detwiler, Ollie ES</v>
      </c>
      <c r="F226" s="1061"/>
      <c r="G226" s="1108">
        <f>'1.2 Budgeted Enrollment YR1'!G226+('1.2 Budgeted Enrollment YR1'!G226*$G$7)</f>
        <v>525.55819920014267</v>
      </c>
      <c r="H226" s="1108"/>
      <c r="I226" s="1114">
        <v>0</v>
      </c>
      <c r="J226" s="1115">
        <v>0</v>
      </c>
      <c r="K226" s="1114">
        <v>0</v>
      </c>
      <c r="L226" s="1108">
        <f>'1.2 Budgeted Enrollment YR1'!L226</f>
        <v>0</v>
      </c>
      <c r="M226" s="1104"/>
      <c r="N226" s="875"/>
    </row>
    <row r="227" spans="1:14" ht="16.5" thickTop="1" thickBot="1" x14ac:dyDescent="0.3">
      <c r="A227" s="968" t="str">
        <f>'1.2 Budgeted Enrollment YR1'!A227</f>
        <v>Clark</v>
      </c>
      <c r="B227" s="971">
        <f>'1.2 Budgeted Enrollment YR1'!B227</f>
        <v>2</v>
      </c>
      <c r="C227" s="971">
        <f>'1.2 Budgeted Enrollment YR1'!C227</f>
        <v>2</v>
      </c>
      <c r="D227" s="971" t="str">
        <f>'1.2 Budgeted Enrollment YR1'!D227</f>
        <v>Las Vegas</v>
      </c>
      <c r="E227" s="968" t="str">
        <f>'1.2 Budgeted Enrollment YR1'!E227</f>
        <v>Diaz, Ruben P ES</v>
      </c>
      <c r="F227" s="1061"/>
      <c r="G227" s="1108">
        <f>'1.2 Budgeted Enrollment YR1'!G227+('1.2 Budgeted Enrollment YR1'!G227*$G$7)</f>
        <v>552.00844037710112</v>
      </c>
      <c r="H227" s="1108"/>
      <c r="I227" s="1114">
        <v>0</v>
      </c>
      <c r="J227" s="1115">
        <v>0</v>
      </c>
      <c r="K227" s="1114">
        <v>0</v>
      </c>
      <c r="L227" s="1108">
        <f>'1.2 Budgeted Enrollment YR1'!L227</f>
        <v>0</v>
      </c>
      <c r="M227" s="1104"/>
      <c r="N227" s="875"/>
    </row>
    <row r="228" spans="1:14" ht="16.5" thickTop="1" thickBot="1" x14ac:dyDescent="0.3">
      <c r="A228" s="968" t="str">
        <f>'1.2 Budgeted Enrollment YR1'!A228</f>
        <v>Clark</v>
      </c>
      <c r="B228" s="971">
        <f>'1.2 Budgeted Enrollment YR1'!B228</f>
        <v>2</v>
      </c>
      <c r="C228" s="971">
        <f>'1.2 Budgeted Enrollment YR1'!C228</f>
        <v>2</v>
      </c>
      <c r="D228" s="971" t="str">
        <f>'1.2 Budgeted Enrollment YR1'!D228</f>
        <v>Las Vegas</v>
      </c>
      <c r="E228" s="968" t="str">
        <f>'1.2 Budgeted Enrollment YR1'!E228</f>
        <v>Dickens, D L Dusty ES</v>
      </c>
      <c r="F228" s="1061"/>
      <c r="G228" s="1108">
        <f>'1.2 Budgeted Enrollment YR1'!G228+('1.2 Budgeted Enrollment YR1'!G228*$G$7)</f>
        <v>715.44102076642503</v>
      </c>
      <c r="H228" s="1108"/>
      <c r="I228" s="1114">
        <v>0</v>
      </c>
      <c r="J228" s="1115">
        <v>0</v>
      </c>
      <c r="K228" s="1114">
        <v>0</v>
      </c>
      <c r="L228" s="1108">
        <f>'1.2 Budgeted Enrollment YR1'!L228</f>
        <v>0</v>
      </c>
      <c r="M228" s="1104"/>
      <c r="N228" s="875"/>
    </row>
    <row r="229" spans="1:14" ht="16.5" thickTop="1" thickBot="1" x14ac:dyDescent="0.3">
      <c r="A229" s="968" t="str">
        <f>'1.2 Budgeted Enrollment YR1'!A229</f>
        <v>Clark</v>
      </c>
      <c r="B229" s="971">
        <f>'1.2 Budgeted Enrollment YR1'!B229</f>
        <v>2</v>
      </c>
      <c r="C229" s="971">
        <f>'1.2 Budgeted Enrollment YR1'!C229</f>
        <v>2</v>
      </c>
      <c r="D229" s="971" t="str">
        <f>'1.2 Budgeted Enrollment YR1'!D229</f>
        <v>Las Vegas</v>
      </c>
      <c r="E229" s="968" t="str">
        <f>'1.2 Budgeted Enrollment YR1'!E229</f>
        <v>Diskin, P A ES</v>
      </c>
      <c r="F229" s="1061"/>
      <c r="G229" s="1108">
        <f>'1.2 Budgeted Enrollment YR1'!G229+('1.2 Budgeted Enrollment YR1'!G229*$G$7)</f>
        <v>504.67511757295796</v>
      </c>
      <c r="H229" s="1108"/>
      <c r="I229" s="1114">
        <v>0</v>
      </c>
      <c r="J229" s="1115">
        <v>0</v>
      </c>
      <c r="K229" s="1114">
        <v>0</v>
      </c>
      <c r="L229" s="1108">
        <f>'1.2 Budgeted Enrollment YR1'!L229</f>
        <v>0</v>
      </c>
      <c r="M229" s="1104"/>
      <c r="N229" s="875"/>
    </row>
    <row r="230" spans="1:14" ht="16.5" thickTop="1" thickBot="1" x14ac:dyDescent="0.3">
      <c r="A230" s="968" t="str">
        <f>'1.2 Budgeted Enrollment YR1'!A230</f>
        <v>Clark</v>
      </c>
      <c r="B230" s="971">
        <f>'1.2 Budgeted Enrollment YR1'!B230</f>
        <v>2</v>
      </c>
      <c r="C230" s="971">
        <f>'1.2 Budgeted Enrollment YR1'!C230</f>
        <v>2</v>
      </c>
      <c r="D230" s="971" t="str">
        <f>'1.2 Budgeted Enrollment YR1'!D230</f>
        <v>Las Vegas</v>
      </c>
      <c r="E230" s="968" t="str">
        <f>'1.2 Budgeted Enrollment YR1'!E230</f>
        <v>Divich, Kenneth ES</v>
      </c>
      <c r="F230" s="1061"/>
      <c r="G230" s="1108">
        <f>'1.2 Budgeted Enrollment YR1'!G230+('1.2 Budgeted Enrollment YR1'!G230*$G$7)</f>
        <v>1045.1468127559629</v>
      </c>
      <c r="H230" s="1108"/>
      <c r="I230" s="1114">
        <v>0</v>
      </c>
      <c r="J230" s="1115">
        <v>0</v>
      </c>
      <c r="K230" s="1114">
        <v>0</v>
      </c>
      <c r="L230" s="1108">
        <f>'1.2 Budgeted Enrollment YR1'!L230</f>
        <v>0</v>
      </c>
      <c r="M230" s="1104"/>
      <c r="N230" s="875"/>
    </row>
    <row r="231" spans="1:14" ht="16.5" thickTop="1" thickBot="1" x14ac:dyDescent="0.3">
      <c r="A231" s="968" t="str">
        <f>'1.2 Budgeted Enrollment YR1'!A231</f>
        <v>Clark</v>
      </c>
      <c r="B231" s="971">
        <f>'1.2 Budgeted Enrollment YR1'!B231</f>
        <v>2</v>
      </c>
      <c r="C231" s="971">
        <f>'1.2 Budgeted Enrollment YR1'!C231</f>
        <v>2</v>
      </c>
      <c r="D231" s="971" t="str">
        <f>'1.2 Budgeted Enrollment YR1'!D231</f>
        <v>Las Vegas</v>
      </c>
      <c r="E231" s="968" t="str">
        <f>'1.2 Budgeted Enrollment YR1'!E231</f>
        <v>Dondero, Harvey N ES</v>
      </c>
      <c r="F231" s="1061"/>
      <c r="G231" s="1108">
        <f>'1.2 Budgeted Enrollment YR1'!G231+('1.2 Budgeted Enrollment YR1'!G231*$G$7)</f>
        <v>663.72461220386947</v>
      </c>
      <c r="H231" s="1108"/>
      <c r="I231" s="1114">
        <v>0</v>
      </c>
      <c r="J231" s="1115">
        <v>0</v>
      </c>
      <c r="K231" s="1114">
        <v>0</v>
      </c>
      <c r="L231" s="1108">
        <f>'1.2 Budgeted Enrollment YR1'!L231</f>
        <v>0</v>
      </c>
      <c r="M231" s="1104"/>
      <c r="N231" s="875"/>
    </row>
    <row r="232" spans="1:14" ht="16.5" thickTop="1" thickBot="1" x14ac:dyDescent="0.3">
      <c r="A232" s="968" t="str">
        <f>'1.2 Budgeted Enrollment YR1'!A232</f>
        <v>Clark</v>
      </c>
      <c r="B232" s="971">
        <f>'1.2 Budgeted Enrollment YR1'!B232</f>
        <v>2</v>
      </c>
      <c r="C232" s="971">
        <f>'1.2 Budgeted Enrollment YR1'!C232</f>
        <v>2</v>
      </c>
      <c r="D232" s="971" t="str">
        <f>'1.2 Budgeted Enrollment YR1'!D232</f>
        <v>Las Vegas</v>
      </c>
      <c r="E232" s="968" t="str">
        <f>'1.2 Budgeted Enrollment YR1'!E232</f>
        <v>Dooley, John ES</v>
      </c>
      <c r="F232" s="1061"/>
      <c r="G232" s="1108">
        <f>'1.2 Budgeted Enrollment YR1'!G232+('1.2 Budgeted Enrollment YR1'!G232*$G$7)</f>
        <v>297.12037697603625</v>
      </c>
      <c r="H232" s="1108"/>
      <c r="I232" s="1114">
        <v>0</v>
      </c>
      <c r="J232" s="1115">
        <v>0</v>
      </c>
      <c r="K232" s="1114">
        <v>0</v>
      </c>
      <c r="L232" s="1108">
        <f>'1.2 Budgeted Enrollment YR1'!L232</f>
        <v>0</v>
      </c>
      <c r="M232" s="1104"/>
      <c r="N232" s="875"/>
    </row>
    <row r="233" spans="1:14" ht="16.5" thickTop="1" thickBot="1" x14ac:dyDescent="0.3">
      <c r="A233" s="968" t="str">
        <f>'1.2 Budgeted Enrollment YR1'!A233</f>
        <v>Clark</v>
      </c>
      <c r="B233" s="971">
        <f>'1.2 Budgeted Enrollment YR1'!B233</f>
        <v>2</v>
      </c>
      <c r="C233" s="971">
        <f>'1.2 Budgeted Enrollment YR1'!C233</f>
        <v>2</v>
      </c>
      <c r="D233" s="971" t="str">
        <f>'1.2 Budgeted Enrollment YR1'!D233</f>
        <v>Las Vegas</v>
      </c>
      <c r="E233" s="968" t="str">
        <f>'1.2 Budgeted Enrollment YR1'!E233</f>
        <v>Duncan, Ruby ES</v>
      </c>
      <c r="F233" s="1061"/>
      <c r="G233" s="1108">
        <f>'1.2 Budgeted Enrollment YR1'!G233+('1.2 Budgeted Enrollment YR1'!G233*$G$7)</f>
        <v>637.32911286246178</v>
      </c>
      <c r="H233" s="1108"/>
      <c r="I233" s="1114">
        <v>0</v>
      </c>
      <c r="J233" s="1115">
        <v>0</v>
      </c>
      <c r="K233" s="1114">
        <v>0</v>
      </c>
      <c r="L233" s="1108">
        <f>'1.2 Budgeted Enrollment YR1'!L233</f>
        <v>0</v>
      </c>
      <c r="M233" s="1104"/>
      <c r="N233" s="875"/>
    </row>
    <row r="234" spans="1:14" ht="16.5" thickTop="1" thickBot="1" x14ac:dyDescent="0.3">
      <c r="A234" s="968" t="str">
        <f>'1.2 Budgeted Enrollment YR1'!A234</f>
        <v>Clark</v>
      </c>
      <c r="B234" s="971">
        <f>'1.2 Budgeted Enrollment YR1'!B234</f>
        <v>2</v>
      </c>
      <c r="C234" s="971">
        <f>'1.2 Budgeted Enrollment YR1'!C234</f>
        <v>2</v>
      </c>
      <c r="D234" s="971" t="str">
        <f>'1.2 Budgeted Enrollment YR1'!D234</f>
        <v>Las Vegas</v>
      </c>
      <c r="E234" s="968" t="str">
        <f>'1.2 Budgeted Enrollment YR1'!E234</f>
        <v>Durango HS</v>
      </c>
      <c r="F234" s="1061"/>
      <c r="G234" s="1108">
        <f>'1.2 Budgeted Enrollment YR1'!G234+('1.2 Budgeted Enrollment YR1'!G234*$G$7)</f>
        <v>2227.9647438243396</v>
      </c>
      <c r="H234" s="1108"/>
      <c r="I234" s="1114">
        <v>0</v>
      </c>
      <c r="J234" s="1115">
        <v>0</v>
      </c>
      <c r="K234" s="1114">
        <v>0</v>
      </c>
      <c r="L234" s="1108">
        <f>'1.2 Budgeted Enrollment YR1'!L234</f>
        <v>0</v>
      </c>
      <c r="M234" s="1104"/>
      <c r="N234" s="875"/>
    </row>
    <row r="235" spans="1:14" ht="16.5" thickTop="1" thickBot="1" x14ac:dyDescent="0.3">
      <c r="A235" s="968" t="str">
        <f>'1.2 Budgeted Enrollment YR1'!A235</f>
        <v>Clark</v>
      </c>
      <c r="B235" s="971">
        <f>'1.2 Budgeted Enrollment YR1'!B235</f>
        <v>2</v>
      </c>
      <c r="C235" s="971">
        <f>'1.2 Budgeted Enrollment YR1'!C235</f>
        <v>2</v>
      </c>
      <c r="D235" s="971" t="str">
        <f>'1.2 Budgeted Enrollment YR1'!D235</f>
        <v>Las Vegas</v>
      </c>
      <c r="E235" s="968" t="str">
        <f>'1.2 Budgeted Enrollment YR1'!E235</f>
        <v>Earl, Ira J ES</v>
      </c>
      <c r="F235" s="1061"/>
      <c r="G235" s="1108">
        <f>'1.2 Budgeted Enrollment YR1'!G235+('1.2 Budgeted Enrollment YR1'!G235*$G$7)</f>
        <v>579.83072441460524</v>
      </c>
      <c r="H235" s="1108"/>
      <c r="I235" s="1114">
        <v>0</v>
      </c>
      <c r="J235" s="1115">
        <v>0</v>
      </c>
      <c r="K235" s="1114">
        <v>0</v>
      </c>
      <c r="L235" s="1108">
        <f>'1.2 Budgeted Enrollment YR1'!L235</f>
        <v>0</v>
      </c>
      <c r="M235" s="1104"/>
      <c r="N235" s="875"/>
    </row>
    <row r="236" spans="1:14" ht="16.5" thickTop="1" thickBot="1" x14ac:dyDescent="0.3">
      <c r="A236" s="968" t="str">
        <f>'1.2 Budgeted Enrollment YR1'!A236</f>
        <v>Clark</v>
      </c>
      <c r="B236" s="971">
        <f>'1.2 Budgeted Enrollment YR1'!B236</f>
        <v>2</v>
      </c>
      <c r="C236" s="971">
        <f>'1.2 Budgeted Enrollment YR1'!C236</f>
        <v>2</v>
      </c>
      <c r="D236" s="971" t="str">
        <f>'1.2 Budgeted Enrollment YR1'!D236</f>
        <v>Las Vegas</v>
      </c>
      <c r="E236" s="968" t="str">
        <f>'1.2 Budgeted Enrollment YR1'!E236</f>
        <v>Earl, Marion B ES</v>
      </c>
      <c r="F236" s="1061"/>
      <c r="G236" s="1108">
        <f>'1.2 Budgeted Enrollment YR1'!G236+('1.2 Budgeted Enrollment YR1'!G236*$G$7)</f>
        <v>504.30101451253677</v>
      </c>
      <c r="H236" s="1108"/>
      <c r="I236" s="1114">
        <v>0</v>
      </c>
      <c r="J236" s="1115">
        <v>0</v>
      </c>
      <c r="K236" s="1114">
        <v>0</v>
      </c>
      <c r="L236" s="1108">
        <f>'1.2 Budgeted Enrollment YR1'!L236</f>
        <v>0</v>
      </c>
      <c r="M236" s="1104"/>
      <c r="N236" s="875"/>
    </row>
    <row r="237" spans="1:14" ht="16.5" thickTop="1" thickBot="1" x14ac:dyDescent="0.3">
      <c r="A237" s="968" t="str">
        <f>'1.2 Budgeted Enrollment YR1'!A237</f>
        <v>Clark</v>
      </c>
      <c r="B237" s="971">
        <f>'1.2 Budgeted Enrollment YR1'!B237</f>
        <v>2</v>
      </c>
      <c r="C237" s="971">
        <f>'1.2 Budgeted Enrollment YR1'!C237</f>
        <v>2</v>
      </c>
      <c r="D237" s="971" t="str">
        <f>'1.2 Budgeted Enrollment YR1'!D237</f>
        <v>Las Vegas</v>
      </c>
      <c r="E237" s="968" t="str">
        <f>'1.2 Budgeted Enrollment YR1'!E237</f>
        <v>Early Childhood ES</v>
      </c>
      <c r="F237" s="1061"/>
      <c r="G237" s="1108">
        <f>'1.2 Budgeted Enrollment YR1'!G237+('1.2 Budgeted Enrollment YR1'!G237*$G$7)</f>
        <v>21.606334968005001</v>
      </c>
      <c r="H237" s="1108"/>
      <c r="I237" s="1114">
        <v>0</v>
      </c>
      <c r="J237" s="1115">
        <v>0</v>
      </c>
      <c r="K237" s="1114">
        <v>0</v>
      </c>
      <c r="L237" s="1108">
        <f>'1.2 Budgeted Enrollment YR1'!L237</f>
        <v>0</v>
      </c>
      <c r="M237" s="1104"/>
      <c r="N237" s="875"/>
    </row>
    <row r="238" spans="1:14" ht="16.5" thickTop="1" thickBot="1" x14ac:dyDescent="0.3">
      <c r="A238" s="968" t="str">
        <f>'1.2 Budgeted Enrollment YR1'!A238</f>
        <v>Clark</v>
      </c>
      <c r="B238" s="971">
        <f>'1.2 Budgeted Enrollment YR1'!B238</f>
        <v>2</v>
      </c>
      <c r="C238" s="971">
        <f>'1.2 Budgeted Enrollment YR1'!C238</f>
        <v>2</v>
      </c>
      <c r="D238" s="971" t="str">
        <f>'1.2 Budgeted Enrollment YR1'!D238</f>
        <v>Las Vegas</v>
      </c>
      <c r="E238" s="968" t="str">
        <f>'1.2 Budgeted Enrollment YR1'!E238</f>
        <v>East Career and Technical Academy HS</v>
      </c>
      <c r="F238" s="1061"/>
      <c r="G238" s="1108">
        <f>'1.2 Budgeted Enrollment YR1'!G238+('1.2 Budgeted Enrollment YR1'!G238*$G$7)</f>
        <v>1878.1680695530908</v>
      </c>
      <c r="H238" s="1108"/>
      <c r="I238" s="1114">
        <v>0</v>
      </c>
      <c r="J238" s="1115">
        <v>0</v>
      </c>
      <c r="K238" s="1114">
        <v>0</v>
      </c>
      <c r="L238" s="1108">
        <f>'1.2 Budgeted Enrollment YR1'!L238</f>
        <v>0</v>
      </c>
      <c r="M238" s="1104"/>
      <c r="N238" s="875"/>
    </row>
    <row r="239" spans="1:14" ht="16.5" thickTop="1" thickBot="1" x14ac:dyDescent="0.3">
      <c r="A239" s="968" t="str">
        <f>'1.2 Budgeted Enrollment YR1'!A239</f>
        <v>Clark</v>
      </c>
      <c r="B239" s="971">
        <f>'1.2 Budgeted Enrollment YR1'!B239</f>
        <v>2</v>
      </c>
      <c r="C239" s="971">
        <f>'1.2 Budgeted Enrollment YR1'!C239</f>
        <v>2</v>
      </c>
      <c r="D239" s="971" t="str">
        <f>'1.2 Budgeted Enrollment YR1'!D239</f>
        <v>Las Vegas</v>
      </c>
      <c r="E239" s="968" t="str">
        <f>'1.2 Budgeted Enrollment YR1'!E239</f>
        <v>Edwards, Elbert ES</v>
      </c>
      <c r="F239" s="1061"/>
      <c r="G239" s="1108">
        <f>'1.2 Budgeted Enrollment YR1'!G239+('1.2 Budgeted Enrollment YR1'!G239*$G$7)</f>
        <v>490.78379121571362</v>
      </c>
      <c r="H239" s="1108"/>
      <c r="I239" s="1114">
        <v>0</v>
      </c>
      <c r="J239" s="1115">
        <v>0</v>
      </c>
      <c r="K239" s="1114">
        <v>0</v>
      </c>
      <c r="L239" s="1108">
        <f>'1.2 Budgeted Enrollment YR1'!L239</f>
        <v>0</v>
      </c>
      <c r="M239" s="1104"/>
      <c r="N239" s="875"/>
    </row>
    <row r="240" spans="1:14" ht="16.5" thickTop="1" thickBot="1" x14ac:dyDescent="0.3">
      <c r="A240" s="968" t="str">
        <f>'1.2 Budgeted Enrollment YR1'!A240</f>
        <v>Clark</v>
      </c>
      <c r="B240" s="971">
        <f>'1.2 Budgeted Enrollment YR1'!B240</f>
        <v>2</v>
      </c>
      <c r="C240" s="971">
        <f>'1.2 Budgeted Enrollment YR1'!C240</f>
        <v>2</v>
      </c>
      <c r="D240" s="971" t="str">
        <f>'1.2 Budgeted Enrollment YR1'!D240</f>
        <v>Las Vegas</v>
      </c>
      <c r="E240" s="968" t="str">
        <f>'1.2 Budgeted Enrollment YR1'!E240</f>
        <v>Eisenberg, Dorothy ES</v>
      </c>
      <c r="F240" s="1061"/>
      <c r="G240" s="1108">
        <f>'1.2 Budgeted Enrollment YR1'!G240+('1.2 Budgeted Enrollment YR1'!G240*$G$7)</f>
        <v>447.45750655309496</v>
      </c>
      <c r="H240" s="1108"/>
      <c r="I240" s="1114">
        <v>0</v>
      </c>
      <c r="J240" s="1115">
        <v>0</v>
      </c>
      <c r="K240" s="1114">
        <v>0</v>
      </c>
      <c r="L240" s="1108">
        <f>'1.2 Budgeted Enrollment YR1'!L240</f>
        <v>0</v>
      </c>
      <c r="M240" s="1104"/>
      <c r="N240" s="875"/>
    </row>
    <row r="241" spans="1:14" ht="16.5" thickTop="1" thickBot="1" x14ac:dyDescent="0.3">
      <c r="A241" s="968" t="str">
        <f>'1.2 Budgeted Enrollment YR1'!A241</f>
        <v>Clark</v>
      </c>
      <c r="B241" s="971">
        <f>'1.2 Budgeted Enrollment YR1'!B241</f>
        <v>2</v>
      </c>
      <c r="C241" s="971">
        <f>'1.2 Budgeted Enrollment YR1'!C241</f>
        <v>2</v>
      </c>
      <c r="D241" s="971" t="str">
        <f>'1.2 Budgeted Enrollment YR1'!D241</f>
        <v>Las Vegas</v>
      </c>
      <c r="E241" s="968" t="str">
        <f>'1.2 Budgeted Enrollment YR1'!E241</f>
        <v>Eldorado HS</v>
      </c>
      <c r="F241" s="1061"/>
      <c r="G241" s="1108">
        <f>'1.2 Budgeted Enrollment YR1'!G241+('1.2 Budgeted Enrollment YR1'!G241*$G$7)</f>
        <v>1956.1656888183302</v>
      </c>
      <c r="H241" s="1108"/>
      <c r="I241" s="1114">
        <v>0</v>
      </c>
      <c r="J241" s="1115">
        <v>0</v>
      </c>
      <c r="K241" s="1114">
        <v>0</v>
      </c>
      <c r="L241" s="1108">
        <f>'1.2 Budgeted Enrollment YR1'!L241</f>
        <v>0</v>
      </c>
      <c r="M241" s="1104"/>
      <c r="N241" s="875"/>
    </row>
    <row r="242" spans="1:14" ht="16.5" thickTop="1" thickBot="1" x14ac:dyDescent="0.3">
      <c r="A242" s="968" t="str">
        <f>'1.2 Budgeted Enrollment YR1'!A242</f>
        <v>Clark</v>
      </c>
      <c r="B242" s="971">
        <f>'1.2 Budgeted Enrollment YR1'!B242</f>
        <v>2</v>
      </c>
      <c r="C242" s="971">
        <f>'1.2 Budgeted Enrollment YR1'!C242</f>
        <v>2</v>
      </c>
      <c r="D242" s="971" t="str">
        <f>'1.2 Budgeted Enrollment YR1'!D242</f>
        <v>Las Vegas</v>
      </c>
      <c r="E242" s="968" t="str">
        <f>'1.2 Budgeted Enrollment YR1'!E242</f>
        <v>Elizondo, Raul P ES</v>
      </c>
      <c r="F242" s="1061"/>
      <c r="G242" s="1108">
        <f>'1.2 Budgeted Enrollment YR1'!G242+('1.2 Budgeted Enrollment YR1'!G242*$G$7)</f>
        <v>554.56038020058179</v>
      </c>
      <c r="H242" s="1108"/>
      <c r="I242" s="1114">
        <v>0</v>
      </c>
      <c r="J242" s="1115">
        <v>0</v>
      </c>
      <c r="K242" s="1114">
        <v>0</v>
      </c>
      <c r="L242" s="1108">
        <f>'1.2 Budgeted Enrollment YR1'!L242</f>
        <v>0</v>
      </c>
      <c r="M242" s="1104"/>
      <c r="N242" s="875"/>
    </row>
    <row r="243" spans="1:14" ht="16.5" thickTop="1" thickBot="1" x14ac:dyDescent="0.3">
      <c r="A243" s="968" t="str">
        <f>'1.2 Budgeted Enrollment YR1'!A243</f>
        <v>Clark</v>
      </c>
      <c r="B243" s="971">
        <f>'1.2 Budgeted Enrollment YR1'!B243</f>
        <v>2</v>
      </c>
      <c r="C243" s="971">
        <f>'1.2 Budgeted Enrollment YR1'!C243</f>
        <v>2</v>
      </c>
      <c r="D243" s="971" t="str">
        <f>'1.2 Budgeted Enrollment YR1'!D243</f>
        <v>Las Vegas</v>
      </c>
      <c r="E243" s="968" t="str">
        <f>'1.2 Budgeted Enrollment YR1'!E243</f>
        <v>Ellis, Robert &amp; Sandy ES</v>
      </c>
      <c r="F243" s="1061"/>
      <c r="G243" s="1108">
        <f>'1.2 Budgeted Enrollment YR1'!G243+('1.2 Budgeted Enrollment YR1'!G243*$G$7)</f>
        <v>841.52280833017983</v>
      </c>
      <c r="H243" s="1108"/>
      <c r="I243" s="1114">
        <v>0</v>
      </c>
      <c r="J243" s="1115">
        <v>0</v>
      </c>
      <c r="K243" s="1114">
        <v>0</v>
      </c>
      <c r="L243" s="1108">
        <f>'1.2 Budgeted Enrollment YR1'!L243</f>
        <v>0</v>
      </c>
      <c r="M243" s="1104"/>
      <c r="N243" s="875"/>
    </row>
    <row r="244" spans="1:14" ht="16.5" thickTop="1" thickBot="1" x14ac:dyDescent="0.3">
      <c r="A244" s="968" t="str">
        <f>'1.2 Budgeted Enrollment YR1'!A244</f>
        <v>Clark</v>
      </c>
      <c r="B244" s="971">
        <f>'1.2 Budgeted Enrollment YR1'!B244</f>
        <v>2</v>
      </c>
      <c r="C244" s="971">
        <f>'1.2 Budgeted Enrollment YR1'!C244</f>
        <v>2</v>
      </c>
      <c r="D244" s="971" t="str">
        <f>'1.2 Budgeted Enrollment YR1'!D244</f>
        <v>Las Vegas</v>
      </c>
      <c r="E244" s="968" t="str">
        <f>'1.2 Budgeted Enrollment YR1'!E244</f>
        <v>Escobedo, Edmundo Eddie Sr MS</v>
      </c>
      <c r="F244" s="1061"/>
      <c r="G244" s="1108">
        <f>'1.2 Budgeted Enrollment YR1'!G244+('1.2 Budgeted Enrollment YR1'!G244*$G$7)</f>
        <v>844.64634085233513</v>
      </c>
      <c r="H244" s="1108"/>
      <c r="I244" s="1114">
        <v>0</v>
      </c>
      <c r="J244" s="1115">
        <v>0</v>
      </c>
      <c r="K244" s="1114">
        <v>0</v>
      </c>
      <c r="L244" s="1108">
        <f>'1.2 Budgeted Enrollment YR1'!L244</f>
        <v>0</v>
      </c>
      <c r="M244" s="1104"/>
      <c r="N244" s="875"/>
    </row>
    <row r="245" spans="1:14" ht="16.5" thickTop="1" thickBot="1" x14ac:dyDescent="0.3">
      <c r="A245" s="968" t="str">
        <f>'1.2 Budgeted Enrollment YR1'!A245</f>
        <v>Clark</v>
      </c>
      <c r="B245" s="971">
        <f>'1.2 Budgeted Enrollment YR1'!B245</f>
        <v>2</v>
      </c>
      <c r="C245" s="971">
        <f>'1.2 Budgeted Enrollment YR1'!C245</f>
        <v>2</v>
      </c>
      <c r="D245" s="971" t="str">
        <f>'1.2 Budgeted Enrollment YR1'!D245</f>
        <v>Las Vegas</v>
      </c>
      <c r="E245" s="968" t="str">
        <f>'1.2 Budgeted Enrollment YR1'!E245</f>
        <v>Faiss, Wilbur &amp; Theresa MS</v>
      </c>
      <c r="F245" s="1061"/>
      <c r="G245" s="1108">
        <f>'1.2 Budgeted Enrollment YR1'!G245+('1.2 Budgeted Enrollment YR1'!G245*$G$7)</f>
        <v>1242.6040245618078</v>
      </c>
      <c r="H245" s="1108"/>
      <c r="I245" s="1114">
        <v>0</v>
      </c>
      <c r="J245" s="1115">
        <v>0</v>
      </c>
      <c r="K245" s="1114">
        <v>0</v>
      </c>
      <c r="L245" s="1108">
        <f>'1.2 Budgeted Enrollment YR1'!L245</f>
        <v>0</v>
      </c>
      <c r="M245" s="1104"/>
      <c r="N245" s="875"/>
    </row>
    <row r="246" spans="1:14" ht="16.5" thickTop="1" thickBot="1" x14ac:dyDescent="0.3">
      <c r="A246" s="968" t="str">
        <f>'1.2 Budgeted Enrollment YR1'!A246</f>
        <v>Clark</v>
      </c>
      <c r="B246" s="971">
        <f>'1.2 Budgeted Enrollment YR1'!B246</f>
        <v>2</v>
      </c>
      <c r="C246" s="971">
        <f>'1.2 Budgeted Enrollment YR1'!C246</f>
        <v>2</v>
      </c>
      <c r="D246" s="971" t="str">
        <f>'1.2 Budgeted Enrollment YR1'!D246</f>
        <v>Las Vegas</v>
      </c>
      <c r="E246" s="968" t="str">
        <f>'1.2 Budgeted Enrollment YR1'!E246</f>
        <v>Ferron, William E ES</v>
      </c>
      <c r="F246" s="1061"/>
      <c r="G246" s="1108">
        <f>'1.2 Budgeted Enrollment YR1'!G246+('1.2 Budgeted Enrollment YR1'!G246*$G$7)</f>
        <v>486.61873861583263</v>
      </c>
      <c r="H246" s="1108"/>
      <c r="I246" s="1114">
        <v>0</v>
      </c>
      <c r="J246" s="1115">
        <v>0</v>
      </c>
      <c r="K246" s="1114">
        <v>0</v>
      </c>
      <c r="L246" s="1108">
        <f>'1.2 Budgeted Enrollment YR1'!L246</f>
        <v>0</v>
      </c>
      <c r="M246" s="1104"/>
      <c r="N246" s="875"/>
    </row>
    <row r="247" spans="1:14" ht="16.5" thickTop="1" thickBot="1" x14ac:dyDescent="0.3">
      <c r="A247" s="968" t="str">
        <f>'1.2 Budgeted Enrollment YR1'!A247</f>
        <v>Clark</v>
      </c>
      <c r="B247" s="971">
        <f>'1.2 Budgeted Enrollment YR1'!B247</f>
        <v>2</v>
      </c>
      <c r="C247" s="971">
        <f>'1.2 Budgeted Enrollment YR1'!C247</f>
        <v>2</v>
      </c>
      <c r="D247" s="971" t="str">
        <f>'1.2 Budgeted Enrollment YR1'!D247</f>
        <v>Las Vegas</v>
      </c>
      <c r="E247" s="968" t="str">
        <f>'1.2 Budgeted Enrollment YR1'!E247</f>
        <v>Fertitta, Victoria MS</v>
      </c>
      <c r="F247" s="1061"/>
      <c r="G247" s="1108">
        <f>'1.2 Budgeted Enrollment YR1'!G247+('1.2 Budgeted Enrollment YR1'!G247*$G$7)</f>
        <v>1189.0421128234423</v>
      </c>
      <c r="H247" s="1108"/>
      <c r="I247" s="1114">
        <v>0</v>
      </c>
      <c r="J247" s="1115">
        <v>0</v>
      </c>
      <c r="K247" s="1114">
        <v>0</v>
      </c>
      <c r="L247" s="1108">
        <f>'1.2 Budgeted Enrollment YR1'!L247</f>
        <v>0</v>
      </c>
      <c r="M247" s="1104"/>
      <c r="N247" s="875"/>
    </row>
    <row r="248" spans="1:14" ht="16.5" thickTop="1" thickBot="1" x14ac:dyDescent="0.3">
      <c r="A248" s="968" t="str">
        <f>'1.2 Budgeted Enrollment YR1'!A248</f>
        <v>Clark</v>
      </c>
      <c r="B248" s="971">
        <f>'1.2 Budgeted Enrollment YR1'!B248</f>
        <v>2</v>
      </c>
      <c r="C248" s="971">
        <f>'1.2 Budgeted Enrollment YR1'!C248</f>
        <v>2</v>
      </c>
      <c r="D248" s="971" t="str">
        <f>'1.2 Budgeted Enrollment YR1'!D248</f>
        <v>Las Vegas</v>
      </c>
      <c r="E248" s="968" t="str">
        <f>'1.2 Budgeted Enrollment YR1'!E248</f>
        <v>Findlay, Clifford O MS</v>
      </c>
      <c r="F248" s="1061"/>
      <c r="G248" s="1108">
        <f>'1.2 Budgeted Enrollment YR1'!G248+('1.2 Budgeted Enrollment YR1'!G248*$G$7)</f>
        <v>1201.7784741919015</v>
      </c>
      <c r="H248" s="1108"/>
      <c r="I248" s="1114">
        <v>0</v>
      </c>
      <c r="J248" s="1115">
        <v>0</v>
      </c>
      <c r="K248" s="1114">
        <v>0</v>
      </c>
      <c r="L248" s="1108">
        <f>'1.2 Budgeted Enrollment YR1'!L248</f>
        <v>0</v>
      </c>
      <c r="M248" s="1104"/>
      <c r="N248" s="875"/>
    </row>
    <row r="249" spans="1:14" ht="16.5" thickTop="1" thickBot="1" x14ac:dyDescent="0.3">
      <c r="A249" s="968" t="str">
        <f>'1.2 Budgeted Enrollment YR1'!A249</f>
        <v>Clark</v>
      </c>
      <c r="B249" s="971">
        <f>'1.2 Budgeted Enrollment YR1'!B249</f>
        <v>2</v>
      </c>
      <c r="C249" s="971">
        <f>'1.2 Budgeted Enrollment YR1'!C249</f>
        <v>2</v>
      </c>
      <c r="D249" s="971" t="str">
        <f>'1.2 Budgeted Enrollment YR1'!D249</f>
        <v>Las Vegas</v>
      </c>
      <c r="E249" s="968" t="str">
        <f>'1.2 Budgeted Enrollment YR1'!E249</f>
        <v>Fine, Mark L ES</v>
      </c>
      <c r="F249" s="1061"/>
      <c r="G249" s="1108">
        <f>'1.2 Budgeted Enrollment YR1'!G249+('1.2 Budgeted Enrollment YR1'!G249*$G$7)</f>
        <v>713.5898002359495</v>
      </c>
      <c r="H249" s="1108"/>
      <c r="I249" s="1114">
        <v>0</v>
      </c>
      <c r="J249" s="1115">
        <v>0</v>
      </c>
      <c r="K249" s="1114">
        <v>0</v>
      </c>
      <c r="L249" s="1108">
        <f>'1.2 Budgeted Enrollment YR1'!L249</f>
        <v>0</v>
      </c>
      <c r="M249" s="1104"/>
      <c r="N249" s="875"/>
    </row>
    <row r="250" spans="1:14" ht="16.5" thickTop="1" thickBot="1" x14ac:dyDescent="0.3">
      <c r="A250" s="968" t="str">
        <f>'1.2 Budgeted Enrollment YR1'!A250</f>
        <v>Clark</v>
      </c>
      <c r="B250" s="971">
        <f>'1.2 Budgeted Enrollment YR1'!B250</f>
        <v>2</v>
      </c>
      <c r="C250" s="971">
        <f>'1.2 Budgeted Enrollment YR1'!C250</f>
        <v>2</v>
      </c>
      <c r="D250" s="971" t="str">
        <f>'1.2 Budgeted Enrollment YR1'!D250</f>
        <v>Las Vegas</v>
      </c>
      <c r="E250" s="968" t="str">
        <f>'1.2 Budgeted Enrollment YR1'!E250</f>
        <v>Fitzgerald, H P ES</v>
      </c>
      <c r="F250" s="1061"/>
      <c r="G250" s="1108">
        <f>'1.2 Budgeted Enrollment YR1'!G250+('1.2 Budgeted Enrollment YR1'!G250*$G$7)</f>
        <v>362.67053521063002</v>
      </c>
      <c r="H250" s="1108"/>
      <c r="I250" s="1114">
        <v>0</v>
      </c>
      <c r="J250" s="1115">
        <v>0</v>
      </c>
      <c r="K250" s="1114">
        <v>0</v>
      </c>
      <c r="L250" s="1108">
        <f>'1.2 Budgeted Enrollment YR1'!L250</f>
        <v>0</v>
      </c>
      <c r="M250" s="1104"/>
      <c r="N250" s="875"/>
    </row>
    <row r="251" spans="1:14" ht="16.5" thickTop="1" thickBot="1" x14ac:dyDescent="0.3">
      <c r="A251" s="968" t="str">
        <f>'1.2 Budgeted Enrollment YR1'!A251</f>
        <v>Clark</v>
      </c>
      <c r="B251" s="971">
        <f>'1.2 Budgeted Enrollment YR1'!B251</f>
        <v>2</v>
      </c>
      <c r="C251" s="971">
        <f>'1.2 Budgeted Enrollment YR1'!C251</f>
        <v>2</v>
      </c>
      <c r="D251" s="971" t="str">
        <f>'1.2 Budgeted Enrollment YR1'!D251</f>
        <v>Las Vegas</v>
      </c>
      <c r="E251" s="968" t="str">
        <f>'1.2 Budgeted Enrollment YR1'!E251</f>
        <v>Fong, Wing and Lilly ES</v>
      </c>
      <c r="F251" s="1061"/>
      <c r="G251" s="1108">
        <f>'1.2 Budgeted Enrollment YR1'!G251+('1.2 Budgeted Enrollment YR1'!G251*$G$7)</f>
        <v>580.85670508159728</v>
      </c>
      <c r="H251" s="1108"/>
      <c r="I251" s="1114">
        <v>0</v>
      </c>
      <c r="J251" s="1115">
        <v>0</v>
      </c>
      <c r="K251" s="1114">
        <v>0</v>
      </c>
      <c r="L251" s="1108">
        <f>'1.2 Budgeted Enrollment YR1'!L251</f>
        <v>0</v>
      </c>
      <c r="M251" s="1104"/>
      <c r="N251" s="875"/>
    </row>
    <row r="252" spans="1:14" ht="16.5" thickTop="1" thickBot="1" x14ac:dyDescent="0.3">
      <c r="A252" s="968" t="str">
        <f>'1.2 Budgeted Enrollment YR1'!A252</f>
        <v>Clark</v>
      </c>
      <c r="B252" s="971">
        <f>'1.2 Budgeted Enrollment YR1'!B252</f>
        <v>2</v>
      </c>
      <c r="C252" s="971">
        <f>'1.2 Budgeted Enrollment YR1'!C252</f>
        <v>2</v>
      </c>
      <c r="D252" s="971" t="str">
        <f>'1.2 Budgeted Enrollment YR1'!D252</f>
        <v>Las Vegas</v>
      </c>
      <c r="E252" s="968" t="str">
        <f>'1.2 Budgeted Enrollment YR1'!E252</f>
        <v>Foothill HS</v>
      </c>
      <c r="F252" s="1061"/>
      <c r="G252" s="1108">
        <f>'1.2 Budgeted Enrollment YR1'!G252+('1.2 Budgeted Enrollment YR1'!G252*$G$7)</f>
        <v>2274.3162259170604</v>
      </c>
      <c r="H252" s="1108"/>
      <c r="I252" s="1114">
        <v>0</v>
      </c>
      <c r="J252" s="1115">
        <v>0</v>
      </c>
      <c r="K252" s="1114">
        <v>0</v>
      </c>
      <c r="L252" s="1108">
        <f>'1.2 Budgeted Enrollment YR1'!L252</f>
        <v>0</v>
      </c>
      <c r="M252" s="1104"/>
      <c r="N252" s="875"/>
    </row>
    <row r="253" spans="1:14" ht="16.5" thickTop="1" thickBot="1" x14ac:dyDescent="0.3">
      <c r="A253" s="968" t="str">
        <f>'1.2 Budgeted Enrollment YR1'!A253</f>
        <v>Clark</v>
      </c>
      <c r="B253" s="971">
        <f>'1.2 Budgeted Enrollment YR1'!B253</f>
        <v>2</v>
      </c>
      <c r="C253" s="971">
        <f>'1.2 Budgeted Enrollment YR1'!C253</f>
        <v>2</v>
      </c>
      <c r="D253" s="971" t="str">
        <f>'1.2 Budgeted Enrollment YR1'!D253</f>
        <v>Las Vegas</v>
      </c>
      <c r="E253" s="968" t="str">
        <f>'1.2 Budgeted Enrollment YR1'!E253</f>
        <v>Forbuss, Robert L ES</v>
      </c>
      <c r="F253" s="1061"/>
      <c r="G253" s="1108">
        <f>'1.2 Budgeted Enrollment YR1'!G253+('1.2 Budgeted Enrollment YR1'!G253*$G$7)</f>
        <v>582.31909348011084</v>
      </c>
      <c r="H253" s="1108"/>
      <c r="I253" s="1114">
        <v>0</v>
      </c>
      <c r="J253" s="1115">
        <v>0</v>
      </c>
      <c r="K253" s="1114">
        <v>0</v>
      </c>
      <c r="L253" s="1108">
        <f>'1.2 Budgeted Enrollment YR1'!L253</f>
        <v>0</v>
      </c>
      <c r="M253" s="1104"/>
      <c r="N253" s="875"/>
    </row>
    <row r="254" spans="1:14" ht="16.5" thickTop="1" thickBot="1" x14ac:dyDescent="0.3">
      <c r="A254" s="968" t="str">
        <f>'1.2 Budgeted Enrollment YR1'!A254</f>
        <v>Clark</v>
      </c>
      <c r="B254" s="971">
        <f>'1.2 Budgeted Enrollment YR1'!B254</f>
        <v>2</v>
      </c>
      <c r="C254" s="971">
        <f>'1.2 Budgeted Enrollment YR1'!C254</f>
        <v>2</v>
      </c>
      <c r="D254" s="971" t="str">
        <f>'1.2 Budgeted Enrollment YR1'!D254</f>
        <v>Las Vegas</v>
      </c>
      <c r="E254" s="968" t="str">
        <f>'1.2 Budgeted Enrollment YR1'!E254</f>
        <v>Fremont, John C Professional Dev MS</v>
      </c>
      <c r="F254" s="1061"/>
      <c r="G254" s="1108">
        <f>'1.2 Budgeted Enrollment YR1'!G254+('1.2 Budgeted Enrollment YR1'!G254*$G$7)</f>
        <v>645.64334288433929</v>
      </c>
      <c r="H254" s="1108"/>
      <c r="I254" s="1114">
        <v>0</v>
      </c>
      <c r="J254" s="1115">
        <v>0</v>
      </c>
      <c r="K254" s="1114">
        <v>0</v>
      </c>
      <c r="L254" s="1108">
        <f>'1.2 Budgeted Enrollment YR1'!L254</f>
        <v>0</v>
      </c>
      <c r="M254" s="1104"/>
      <c r="N254" s="875"/>
    </row>
    <row r="255" spans="1:14" ht="16.5" thickTop="1" thickBot="1" x14ac:dyDescent="0.3">
      <c r="A255" s="968" t="str">
        <f>'1.2 Budgeted Enrollment YR1'!A255</f>
        <v>Clark</v>
      </c>
      <c r="B255" s="971">
        <f>'1.2 Budgeted Enrollment YR1'!B255</f>
        <v>2</v>
      </c>
      <c r="C255" s="971">
        <f>'1.2 Budgeted Enrollment YR1'!C255</f>
        <v>2</v>
      </c>
      <c r="D255" s="971" t="str">
        <f>'1.2 Budgeted Enrollment YR1'!D255</f>
        <v>Las Vegas</v>
      </c>
      <c r="E255" s="968" t="str">
        <f>'1.2 Budgeted Enrollment YR1'!E255</f>
        <v>French, Doris ES</v>
      </c>
      <c r="F255" s="1061"/>
      <c r="G255" s="1108">
        <f>'1.2 Budgeted Enrollment YR1'!G255+('1.2 Budgeted Enrollment YR1'!G255*$G$7)</f>
        <v>437.36531436921882</v>
      </c>
      <c r="H255" s="1108"/>
      <c r="I255" s="1114">
        <v>0</v>
      </c>
      <c r="J255" s="1115">
        <v>0</v>
      </c>
      <c r="K255" s="1114">
        <v>0</v>
      </c>
      <c r="L255" s="1108">
        <f>'1.2 Budgeted Enrollment YR1'!L255</f>
        <v>0</v>
      </c>
      <c r="M255" s="1104"/>
      <c r="N255" s="875"/>
    </row>
    <row r="256" spans="1:14" ht="16.5" thickTop="1" thickBot="1" x14ac:dyDescent="0.3">
      <c r="A256" s="968" t="str">
        <f>'1.2 Budgeted Enrollment YR1'!A256</f>
        <v>Clark</v>
      </c>
      <c r="B256" s="971">
        <f>'1.2 Budgeted Enrollment YR1'!B256</f>
        <v>2</v>
      </c>
      <c r="C256" s="971">
        <f>'1.2 Budgeted Enrollment YR1'!C256</f>
        <v>2</v>
      </c>
      <c r="D256" s="971" t="str">
        <f>'1.2 Budgeted Enrollment YR1'!D256</f>
        <v>Las Vegas</v>
      </c>
      <c r="E256" s="968" t="str">
        <f>'1.2 Budgeted Enrollment YR1'!E256</f>
        <v>Frias, Charles &amp; Phyllis ES</v>
      </c>
      <c r="F256" s="1061"/>
      <c r="G256" s="1108">
        <f>'1.2 Budgeted Enrollment YR1'!G256+('1.2 Budgeted Enrollment YR1'!G256*$G$7)</f>
        <v>612.41824835096565</v>
      </c>
      <c r="H256" s="1108"/>
      <c r="I256" s="1114">
        <v>0</v>
      </c>
      <c r="J256" s="1115">
        <v>0</v>
      </c>
      <c r="K256" s="1114">
        <v>0</v>
      </c>
      <c r="L256" s="1108">
        <f>'1.2 Budgeted Enrollment YR1'!L256</f>
        <v>0</v>
      </c>
      <c r="M256" s="1104"/>
      <c r="N256" s="875"/>
    </row>
    <row r="257" spans="1:14" ht="16.5" thickTop="1" thickBot="1" x14ac:dyDescent="0.3">
      <c r="A257" s="968" t="str">
        <f>'1.2 Budgeted Enrollment YR1'!A257</f>
        <v>Clark</v>
      </c>
      <c r="B257" s="971">
        <f>'1.2 Budgeted Enrollment YR1'!B257</f>
        <v>2</v>
      </c>
      <c r="C257" s="971">
        <f>'1.2 Budgeted Enrollment YR1'!C257</f>
        <v>2</v>
      </c>
      <c r="D257" s="971" t="str">
        <f>'1.2 Budgeted Enrollment YR1'!D257</f>
        <v>Las Vegas</v>
      </c>
      <c r="E257" s="968" t="str">
        <f>'1.2 Budgeted Enrollment YR1'!E257</f>
        <v>Galloway, Fay ES</v>
      </c>
      <c r="F257" s="1061"/>
      <c r="G257" s="1108">
        <f>'1.2 Budgeted Enrollment YR1'!G257+('1.2 Budgeted Enrollment YR1'!G257*$G$7)</f>
        <v>473.56510661637918</v>
      </c>
      <c r="H257" s="1108"/>
      <c r="I257" s="1114">
        <v>0</v>
      </c>
      <c r="J257" s="1115">
        <v>0</v>
      </c>
      <c r="K257" s="1114">
        <v>0</v>
      </c>
      <c r="L257" s="1108">
        <f>'1.2 Budgeted Enrollment YR1'!L257</f>
        <v>0</v>
      </c>
      <c r="M257" s="1104"/>
      <c r="N257" s="875"/>
    </row>
    <row r="258" spans="1:14" ht="16.5" thickTop="1" thickBot="1" x14ac:dyDescent="0.3">
      <c r="A258" s="968" t="str">
        <f>'1.2 Budgeted Enrollment YR1'!A258</f>
        <v>Clark</v>
      </c>
      <c r="B258" s="971">
        <f>'1.2 Budgeted Enrollment YR1'!B258</f>
        <v>2</v>
      </c>
      <c r="C258" s="971">
        <f>'1.2 Budgeted Enrollment YR1'!C258</f>
        <v>2</v>
      </c>
      <c r="D258" s="971" t="str">
        <f>'1.2 Budgeted Enrollment YR1'!D258</f>
        <v>Las Vegas</v>
      </c>
      <c r="E258" s="968" t="str">
        <f>'1.2 Budgeted Enrollment YR1'!E258</f>
        <v>Garehime, Edith ES</v>
      </c>
      <c r="F258" s="1061"/>
      <c r="G258" s="1108">
        <f>'1.2 Budgeted Enrollment YR1'!G258+('1.2 Budgeted Enrollment YR1'!G258*$G$7)</f>
        <v>572.21991795376971</v>
      </c>
      <c r="H258" s="1108"/>
      <c r="I258" s="1114">
        <v>0</v>
      </c>
      <c r="J258" s="1115">
        <v>0</v>
      </c>
      <c r="K258" s="1114">
        <v>0</v>
      </c>
      <c r="L258" s="1108">
        <f>'1.2 Budgeted Enrollment YR1'!L258</f>
        <v>0</v>
      </c>
      <c r="M258" s="1104"/>
      <c r="N258" s="875"/>
    </row>
    <row r="259" spans="1:14" ht="16.5" thickTop="1" thickBot="1" x14ac:dyDescent="0.3">
      <c r="A259" s="968" t="str">
        <f>'1.2 Budgeted Enrollment YR1'!A259</f>
        <v>Clark</v>
      </c>
      <c r="B259" s="971">
        <f>'1.2 Budgeted Enrollment YR1'!B259</f>
        <v>2</v>
      </c>
      <c r="C259" s="971">
        <f>'1.2 Budgeted Enrollment YR1'!C259</f>
        <v>2</v>
      </c>
      <c r="D259" s="971" t="str">
        <f>'1.2 Budgeted Enrollment YR1'!D259</f>
        <v>Boulder City</v>
      </c>
      <c r="E259" s="968" t="str">
        <f>'1.2 Budgeted Enrollment YR1'!E259</f>
        <v>Garrett, Elton M JHS</v>
      </c>
      <c r="F259" s="1061"/>
      <c r="G259" s="1108">
        <f>'1.2 Budgeted Enrollment YR1'!G259+('1.2 Budgeted Enrollment YR1'!G259*$G$7)</f>
        <v>404.77962293484092</v>
      </c>
      <c r="H259" s="1108"/>
      <c r="I259" s="1114">
        <v>0</v>
      </c>
      <c r="J259" s="1115">
        <v>0</v>
      </c>
      <c r="K259" s="1114">
        <v>0</v>
      </c>
      <c r="L259" s="1108">
        <f>'1.2 Budgeted Enrollment YR1'!L259</f>
        <v>0</v>
      </c>
      <c r="M259" s="1104"/>
      <c r="N259" s="875"/>
    </row>
    <row r="260" spans="1:14" ht="16.5" thickTop="1" thickBot="1" x14ac:dyDescent="0.3">
      <c r="A260" s="968" t="str">
        <f>'1.2 Budgeted Enrollment YR1'!A260</f>
        <v>Clark</v>
      </c>
      <c r="B260" s="971">
        <f>'1.2 Budgeted Enrollment YR1'!B260</f>
        <v>2</v>
      </c>
      <c r="C260" s="971">
        <f>'1.2 Budgeted Enrollment YR1'!C260</f>
        <v>2</v>
      </c>
      <c r="D260" s="971" t="str">
        <f>'1.2 Budgeted Enrollment YR1'!D260</f>
        <v>Las Vegas</v>
      </c>
      <c r="E260" s="968" t="str">
        <f>'1.2 Budgeted Enrollment YR1'!E260</f>
        <v>Garside, Frank F JHS</v>
      </c>
      <c r="F260" s="1061"/>
      <c r="G260" s="1108">
        <f>'1.2 Budgeted Enrollment YR1'!G260+('1.2 Budgeted Enrollment YR1'!G260*$G$7)</f>
        <v>1055.5076071675935</v>
      </c>
      <c r="H260" s="1108"/>
      <c r="I260" s="1114">
        <v>0</v>
      </c>
      <c r="J260" s="1115">
        <v>0</v>
      </c>
      <c r="K260" s="1114">
        <v>0</v>
      </c>
      <c r="L260" s="1108">
        <f>'1.2 Budgeted Enrollment YR1'!L260</f>
        <v>0</v>
      </c>
      <c r="M260" s="1104"/>
      <c r="N260" s="875"/>
    </row>
    <row r="261" spans="1:14" ht="16.5" thickTop="1" thickBot="1" x14ac:dyDescent="0.3">
      <c r="A261" s="968" t="str">
        <f>'1.2 Budgeted Enrollment YR1'!A261</f>
        <v>Clark</v>
      </c>
      <c r="B261" s="971">
        <f>'1.2 Budgeted Enrollment YR1'!B261</f>
        <v>2</v>
      </c>
      <c r="C261" s="971">
        <f>'1.2 Budgeted Enrollment YR1'!C261</f>
        <v>2</v>
      </c>
      <c r="D261" s="971" t="str">
        <f>'1.2 Budgeted Enrollment YR1'!D261</f>
        <v>Las Vegas</v>
      </c>
      <c r="E261" s="968" t="str">
        <f>'1.2 Budgeted Enrollment YR1'!E261</f>
        <v>Gehring, Roger D Acad of Science &amp; Technology ES</v>
      </c>
      <c r="F261" s="1061"/>
      <c r="G261" s="1108">
        <f>'1.2 Budgeted Enrollment YR1'!G261+('1.2 Budgeted Enrollment YR1'!G261*$G$7)</f>
        <v>608.20566424015942</v>
      </c>
      <c r="H261" s="1108"/>
      <c r="I261" s="1114">
        <v>0</v>
      </c>
      <c r="J261" s="1115">
        <v>0</v>
      </c>
      <c r="K261" s="1114">
        <v>0</v>
      </c>
      <c r="L261" s="1108">
        <f>'1.2 Budgeted Enrollment YR1'!L261</f>
        <v>0</v>
      </c>
      <c r="M261" s="1104"/>
      <c r="N261" s="875"/>
    </row>
    <row r="262" spans="1:14" ht="16.5" thickTop="1" thickBot="1" x14ac:dyDescent="0.3">
      <c r="A262" s="968" t="str">
        <f>'1.2 Budgeted Enrollment YR1'!A262</f>
        <v>Clark</v>
      </c>
      <c r="B262" s="971">
        <f>'1.2 Budgeted Enrollment YR1'!B262</f>
        <v>2</v>
      </c>
      <c r="C262" s="971">
        <f>'1.2 Budgeted Enrollment YR1'!C262</f>
        <v>2</v>
      </c>
      <c r="D262" s="971" t="str">
        <f>'1.2 Budgeted Enrollment YR1'!D262</f>
        <v>Las Vegas</v>
      </c>
      <c r="E262" s="968" t="str">
        <f>'1.2 Budgeted Enrollment YR1'!E262</f>
        <v>Gibson, James ES</v>
      </c>
      <c r="F262" s="1061"/>
      <c r="G262" s="1108">
        <f>'1.2 Budgeted Enrollment YR1'!G262+('1.2 Budgeted Enrollment YR1'!G262*$G$7)</f>
        <v>386.53476764154647</v>
      </c>
      <c r="H262" s="1108"/>
      <c r="I262" s="1114">
        <v>0</v>
      </c>
      <c r="J262" s="1115">
        <v>0</v>
      </c>
      <c r="K262" s="1114">
        <v>0</v>
      </c>
      <c r="L262" s="1108">
        <f>'1.2 Budgeted Enrollment YR1'!L262</f>
        <v>0</v>
      </c>
      <c r="M262" s="1104"/>
      <c r="N262" s="875"/>
    </row>
    <row r="263" spans="1:14" ht="16.5" thickTop="1" thickBot="1" x14ac:dyDescent="0.3">
      <c r="A263" s="968" t="str">
        <f>'1.2 Budgeted Enrollment YR1'!A263</f>
        <v>Clark</v>
      </c>
      <c r="B263" s="971">
        <f>'1.2 Budgeted Enrollment YR1'!B263</f>
        <v>2</v>
      </c>
      <c r="C263" s="971">
        <f>'1.2 Budgeted Enrollment YR1'!C263</f>
        <v>2</v>
      </c>
      <c r="D263" s="971" t="str">
        <f>'1.2 Budgeted Enrollment YR1'!D263</f>
        <v>Las Vegas</v>
      </c>
      <c r="E263" s="968" t="str">
        <f>'1.2 Budgeted Enrollment YR1'!E263</f>
        <v>Gibson, Robert O MS Leadership Academy</v>
      </c>
      <c r="F263" s="1061"/>
      <c r="G263" s="1108">
        <f>'1.2 Budgeted Enrollment YR1'!G263+('1.2 Budgeted Enrollment YR1'!G263*$G$7)</f>
        <v>1130.569278071222</v>
      </c>
      <c r="H263" s="1108"/>
      <c r="I263" s="1114">
        <v>0</v>
      </c>
      <c r="J263" s="1115">
        <v>0</v>
      </c>
      <c r="K263" s="1114">
        <v>0</v>
      </c>
      <c r="L263" s="1108">
        <f>'1.2 Budgeted Enrollment YR1'!L263</f>
        <v>0</v>
      </c>
      <c r="M263" s="1104"/>
      <c r="N263" s="875"/>
    </row>
    <row r="264" spans="1:14" ht="16.5" thickTop="1" thickBot="1" x14ac:dyDescent="0.3">
      <c r="A264" s="968" t="str">
        <f>'1.2 Budgeted Enrollment YR1'!A264</f>
        <v>Clark</v>
      </c>
      <c r="B264" s="971">
        <f>'1.2 Budgeted Enrollment YR1'!B264</f>
        <v>2</v>
      </c>
      <c r="C264" s="971">
        <f>'1.2 Budgeted Enrollment YR1'!C264</f>
        <v>2</v>
      </c>
      <c r="D264" s="971" t="str">
        <f>'1.2 Budgeted Enrollment YR1'!D264</f>
        <v>Las Vegas</v>
      </c>
      <c r="E264" s="968" t="str">
        <f>'1.2 Budgeted Enrollment YR1'!E264</f>
        <v>Gilbert, CVT ES</v>
      </c>
      <c r="F264" s="1061"/>
      <c r="G264" s="1108">
        <f>'1.2 Budgeted Enrollment YR1'!G264+('1.2 Budgeted Enrollment YR1'!G264*$G$7)</f>
        <v>459.24262908174279</v>
      </c>
      <c r="H264" s="1108"/>
      <c r="I264" s="1114">
        <v>0</v>
      </c>
      <c r="J264" s="1115">
        <v>0</v>
      </c>
      <c r="K264" s="1114">
        <v>0</v>
      </c>
      <c r="L264" s="1108">
        <f>'1.2 Budgeted Enrollment YR1'!L264</f>
        <v>0</v>
      </c>
      <c r="M264" s="1104"/>
      <c r="N264" s="875"/>
    </row>
    <row r="265" spans="1:14" ht="16.5" thickTop="1" thickBot="1" x14ac:dyDescent="0.3">
      <c r="A265" s="968" t="str">
        <f>'1.2 Budgeted Enrollment YR1'!A265</f>
        <v>Clark</v>
      </c>
      <c r="B265" s="971">
        <f>'1.2 Budgeted Enrollment YR1'!B265</f>
        <v>2</v>
      </c>
      <c r="C265" s="971">
        <f>'1.2 Budgeted Enrollment YR1'!C265</f>
        <v>2</v>
      </c>
      <c r="D265" s="971" t="str">
        <f>'1.2 Budgeted Enrollment YR1'!D265</f>
        <v>Las Vegas</v>
      </c>
      <c r="E265" s="968" t="str">
        <f>'1.2 Budgeted Enrollment YR1'!E265</f>
        <v>Givens, Linda Rankin ES</v>
      </c>
      <c r="F265" s="1061"/>
      <c r="G265" s="1108">
        <f>'1.2 Budgeted Enrollment YR1'!G265+('1.2 Budgeted Enrollment YR1'!G265*$G$7)</f>
        <v>697.24456904733711</v>
      </c>
      <c r="H265" s="1108"/>
      <c r="I265" s="1114">
        <v>0</v>
      </c>
      <c r="J265" s="1115">
        <v>0</v>
      </c>
      <c r="K265" s="1114">
        <v>0</v>
      </c>
      <c r="L265" s="1108">
        <f>'1.2 Budgeted Enrollment YR1'!L265</f>
        <v>0</v>
      </c>
      <c r="M265" s="1104"/>
      <c r="N265" s="875"/>
    </row>
    <row r="266" spans="1:14" ht="16.5" thickTop="1" thickBot="1" x14ac:dyDescent="0.3">
      <c r="A266" s="968" t="str">
        <f>'1.2 Budgeted Enrollment YR1'!A266</f>
        <v>Clark</v>
      </c>
      <c r="B266" s="971">
        <f>'1.2 Budgeted Enrollment YR1'!B266</f>
        <v>2</v>
      </c>
      <c r="C266" s="971">
        <f>'1.2 Budgeted Enrollment YR1'!C266</f>
        <v>2</v>
      </c>
      <c r="D266" s="971" t="str">
        <f>'1.2 Budgeted Enrollment YR1'!D266</f>
        <v>Las Vegas</v>
      </c>
      <c r="E266" s="968" t="str">
        <f>'1.2 Budgeted Enrollment YR1'!E266</f>
        <v>Global Community HS</v>
      </c>
      <c r="F266" s="1061"/>
      <c r="G266" s="1108">
        <f>'1.2 Budgeted Enrollment YR1'!G266+('1.2 Budgeted Enrollment YR1'!G266*$G$7)</f>
        <v>233.20577659578453</v>
      </c>
      <c r="H266" s="1108"/>
      <c r="I266" s="1114">
        <v>0</v>
      </c>
      <c r="J266" s="1115">
        <v>0</v>
      </c>
      <c r="K266" s="1114">
        <v>0</v>
      </c>
      <c r="L266" s="1108">
        <f>'1.2 Budgeted Enrollment YR1'!L266</f>
        <v>0</v>
      </c>
      <c r="M266" s="1104"/>
      <c r="N266" s="875"/>
    </row>
    <row r="267" spans="1:14" ht="16.5" thickTop="1" thickBot="1" x14ac:dyDescent="0.3">
      <c r="A267" s="968" t="str">
        <f>'1.2 Budgeted Enrollment YR1'!A267</f>
        <v>Clark</v>
      </c>
      <c r="B267" s="971">
        <f>'1.2 Budgeted Enrollment YR1'!B267</f>
        <v>2</v>
      </c>
      <c r="C267" s="971">
        <f>'1.2 Budgeted Enrollment YR1'!C267</f>
        <v>2</v>
      </c>
      <c r="D267" s="971" t="str">
        <f>'1.2 Budgeted Enrollment YR1'!D267</f>
        <v>Las Vegas</v>
      </c>
      <c r="E267" s="968" t="str">
        <f>'1.2 Budgeted Enrollment YR1'!E267</f>
        <v>Goldfarb, Daniel ES</v>
      </c>
      <c r="F267" s="1061"/>
      <c r="G267" s="1108">
        <f>'1.2 Budgeted Enrollment YR1'!G267+('1.2 Budgeted Enrollment YR1'!G267*$G$7)</f>
        <v>559.08078481605287</v>
      </c>
      <c r="H267" s="1108"/>
      <c r="I267" s="1114">
        <v>0</v>
      </c>
      <c r="J267" s="1115">
        <v>0</v>
      </c>
      <c r="K267" s="1114">
        <v>0</v>
      </c>
      <c r="L267" s="1108">
        <f>'1.2 Budgeted Enrollment YR1'!L267</f>
        <v>0</v>
      </c>
      <c r="M267" s="1104"/>
      <c r="N267" s="875"/>
    </row>
    <row r="268" spans="1:14" ht="16.5" thickTop="1" thickBot="1" x14ac:dyDescent="0.3">
      <c r="A268" s="968" t="str">
        <f>'1.2 Budgeted Enrollment YR1'!A268</f>
        <v>Clark</v>
      </c>
      <c r="B268" s="971">
        <f>'1.2 Budgeted Enrollment YR1'!B268</f>
        <v>2</v>
      </c>
      <c r="C268" s="971">
        <f>'1.2 Budgeted Enrollment YR1'!C268</f>
        <v>2</v>
      </c>
      <c r="D268" s="971" t="str">
        <f>'1.2 Budgeted Enrollment YR1'!D268</f>
        <v>Goodsprings</v>
      </c>
      <c r="E268" s="968" t="str">
        <f>'1.2 Budgeted Enrollment YR1'!E268</f>
        <v>Goodsprings ES</v>
      </c>
      <c r="F268" s="1061"/>
      <c r="G268" s="1108">
        <f>'1.2 Budgeted Enrollment YR1'!G268+('1.2 Budgeted Enrollment YR1'!G268*$G$7)</f>
        <v>2.9722674888122818</v>
      </c>
      <c r="H268" s="1108"/>
      <c r="I268" s="1114">
        <v>0</v>
      </c>
      <c r="J268" s="1115">
        <v>0</v>
      </c>
      <c r="K268" s="1114">
        <v>0</v>
      </c>
      <c r="L268" s="1108">
        <f>'1.2 Budgeted Enrollment YR1'!L268</f>
        <v>0</v>
      </c>
      <c r="M268" s="1104"/>
      <c r="N268" s="875"/>
    </row>
    <row r="269" spans="1:14" ht="16.5" thickTop="1" thickBot="1" x14ac:dyDescent="0.3">
      <c r="A269" s="968" t="str">
        <f>'1.2 Budgeted Enrollment YR1'!A269</f>
        <v>Clark</v>
      </c>
      <c r="B269" s="971">
        <f>'1.2 Budgeted Enrollment YR1'!B269</f>
        <v>2</v>
      </c>
      <c r="C269" s="971">
        <f>'1.2 Budgeted Enrollment YR1'!C269</f>
        <v>2</v>
      </c>
      <c r="D269" s="971" t="str">
        <f>'1.2 Budgeted Enrollment YR1'!D269</f>
        <v>Las Vegas</v>
      </c>
      <c r="E269" s="968" t="str">
        <f>'1.2 Budgeted Enrollment YR1'!E269</f>
        <v>Goolsby, Judy &amp; John L ES</v>
      </c>
      <c r="F269" s="1061"/>
      <c r="G269" s="1108">
        <f>'1.2 Budgeted Enrollment YR1'!G269+('1.2 Budgeted Enrollment YR1'!G269*$G$7)</f>
        <v>674.27596690748135</v>
      </c>
      <c r="H269" s="1108"/>
      <c r="I269" s="1114">
        <v>0</v>
      </c>
      <c r="J269" s="1115">
        <v>0</v>
      </c>
      <c r="K269" s="1114">
        <v>0</v>
      </c>
      <c r="L269" s="1108">
        <f>'1.2 Budgeted Enrollment YR1'!L269</f>
        <v>0</v>
      </c>
      <c r="M269" s="1104"/>
      <c r="N269" s="875"/>
    </row>
    <row r="270" spans="1:14" ht="16.5" thickTop="1" thickBot="1" x14ac:dyDescent="0.3">
      <c r="A270" s="968" t="str">
        <f>'1.2 Budgeted Enrollment YR1'!A270</f>
        <v>Clark</v>
      </c>
      <c r="B270" s="971">
        <f>'1.2 Budgeted Enrollment YR1'!B270</f>
        <v>2</v>
      </c>
      <c r="C270" s="971">
        <f>'1.2 Budgeted Enrollment YR1'!C270</f>
        <v>2</v>
      </c>
      <c r="D270" s="971" t="str">
        <f>'1.2 Budgeted Enrollment YR1'!D270</f>
        <v>Las Vegas</v>
      </c>
      <c r="E270" s="968" t="str">
        <f>'1.2 Budgeted Enrollment YR1'!E270</f>
        <v>Goynes, Theron H &amp; Naomi D ES</v>
      </c>
      <c r="F270" s="1061"/>
      <c r="G270" s="1108">
        <f>'1.2 Budgeted Enrollment YR1'!G270+('1.2 Budgeted Enrollment YR1'!G270*$G$7)</f>
        <v>644.5924107253079</v>
      </c>
      <c r="H270" s="1108"/>
      <c r="I270" s="1114">
        <v>0</v>
      </c>
      <c r="J270" s="1115">
        <v>0</v>
      </c>
      <c r="K270" s="1114">
        <v>0</v>
      </c>
      <c r="L270" s="1108">
        <f>'1.2 Budgeted Enrollment YR1'!L270</f>
        <v>0</v>
      </c>
      <c r="M270" s="1104"/>
      <c r="N270" s="875"/>
    </row>
    <row r="271" spans="1:14" ht="16.5" thickTop="1" thickBot="1" x14ac:dyDescent="0.3">
      <c r="A271" s="968" t="str">
        <f>'1.2 Budgeted Enrollment YR1'!A271</f>
        <v>Clark</v>
      </c>
      <c r="B271" s="971">
        <f>'1.2 Budgeted Enrollment YR1'!B271</f>
        <v>2</v>
      </c>
      <c r="C271" s="971">
        <f>'1.2 Budgeted Enrollment YR1'!C271</f>
        <v>2</v>
      </c>
      <c r="D271" s="971" t="str">
        <f>'1.2 Budgeted Enrollment YR1'!D271</f>
        <v>Las Vegas</v>
      </c>
      <c r="E271" s="968" t="str">
        <f>'1.2 Budgeted Enrollment YR1'!E271</f>
        <v>Gragson, Oran K ES</v>
      </c>
      <c r="F271" s="1061"/>
      <c r="G271" s="1108">
        <f>'1.2 Budgeted Enrollment YR1'!G271+('1.2 Budgeted Enrollment YR1'!G271*$G$7)</f>
        <v>503.18164143617423</v>
      </c>
      <c r="H271" s="1108"/>
      <c r="I271" s="1114">
        <v>0</v>
      </c>
      <c r="J271" s="1115">
        <v>0</v>
      </c>
      <c r="K271" s="1114">
        <v>0</v>
      </c>
      <c r="L271" s="1108">
        <f>'1.2 Budgeted Enrollment YR1'!L271</f>
        <v>0</v>
      </c>
      <c r="M271" s="1104"/>
      <c r="N271" s="875"/>
    </row>
    <row r="272" spans="1:14" ht="16.5" thickTop="1" thickBot="1" x14ac:dyDescent="0.3">
      <c r="A272" s="968" t="str">
        <f>'1.2 Budgeted Enrollment YR1'!A272</f>
        <v>Clark</v>
      </c>
      <c r="B272" s="971">
        <f>'1.2 Budgeted Enrollment YR1'!B272</f>
        <v>2</v>
      </c>
      <c r="C272" s="971">
        <f>'1.2 Budgeted Enrollment YR1'!C272</f>
        <v>2</v>
      </c>
      <c r="D272" s="971" t="str">
        <f>'1.2 Budgeted Enrollment YR1'!D272</f>
        <v>Las Vegas</v>
      </c>
      <c r="E272" s="968" t="str">
        <f>'1.2 Budgeted Enrollment YR1'!E272</f>
        <v>Gray, R Guild ES</v>
      </c>
      <c r="F272" s="1061"/>
      <c r="G272" s="1108">
        <f>'1.2 Budgeted Enrollment YR1'!G272+('1.2 Budgeted Enrollment YR1'!G272*$G$7)</f>
        <v>340.04323666407868</v>
      </c>
      <c r="H272" s="1108"/>
      <c r="I272" s="1114">
        <v>0</v>
      </c>
      <c r="J272" s="1115">
        <v>0</v>
      </c>
      <c r="K272" s="1114">
        <v>0</v>
      </c>
      <c r="L272" s="1108">
        <f>'1.2 Budgeted Enrollment YR1'!L272</f>
        <v>0</v>
      </c>
      <c r="M272" s="1104"/>
      <c r="N272" s="875"/>
    </row>
    <row r="273" spans="1:14" ht="16.5" thickTop="1" thickBot="1" x14ac:dyDescent="0.3">
      <c r="A273" s="968" t="str">
        <f>'1.2 Budgeted Enrollment YR1'!A273</f>
        <v>Clark</v>
      </c>
      <c r="B273" s="971">
        <f>'1.2 Budgeted Enrollment YR1'!B273</f>
        <v>2</v>
      </c>
      <c r="C273" s="971">
        <f>'1.2 Budgeted Enrollment YR1'!C273</f>
        <v>2</v>
      </c>
      <c r="D273" s="971" t="str">
        <f>'1.2 Budgeted Enrollment YR1'!D273</f>
        <v>Las Vegas</v>
      </c>
      <c r="E273" s="968" t="str">
        <f>'1.2 Budgeted Enrollment YR1'!E273</f>
        <v>Green Valley HS</v>
      </c>
      <c r="F273" s="1061"/>
      <c r="G273" s="1108">
        <f>'1.2 Budgeted Enrollment YR1'!G273+('1.2 Budgeted Enrollment YR1'!G273*$G$7)</f>
        <v>2543.4819936060662</v>
      </c>
      <c r="H273" s="1108"/>
      <c r="I273" s="1114">
        <v>0</v>
      </c>
      <c r="J273" s="1115">
        <v>0</v>
      </c>
      <c r="K273" s="1114">
        <v>0</v>
      </c>
      <c r="L273" s="1108">
        <f>'1.2 Budgeted Enrollment YR1'!L273</f>
        <v>0</v>
      </c>
      <c r="M273" s="1104"/>
      <c r="N273" s="875"/>
    </row>
    <row r="274" spans="1:14" ht="16.5" thickTop="1" thickBot="1" x14ac:dyDescent="0.3">
      <c r="A274" s="968" t="str">
        <f>'1.2 Budgeted Enrollment YR1'!A274</f>
        <v>Clark</v>
      </c>
      <c r="B274" s="971">
        <f>'1.2 Budgeted Enrollment YR1'!B274</f>
        <v>2</v>
      </c>
      <c r="C274" s="971">
        <f>'1.2 Budgeted Enrollment YR1'!C274</f>
        <v>2</v>
      </c>
      <c r="D274" s="971" t="str">
        <f>'1.2 Budgeted Enrollment YR1'!D274</f>
        <v>Las Vegas</v>
      </c>
      <c r="E274" s="968" t="str">
        <f>'1.2 Budgeted Enrollment YR1'!E274</f>
        <v>Greenspun, Barbara &amp; Hank JHS</v>
      </c>
      <c r="F274" s="1061"/>
      <c r="G274" s="1108">
        <f>'1.2 Budgeted Enrollment YR1'!G274+('1.2 Budgeted Enrollment YR1'!G274*$G$7)</f>
        <v>1322.1004899595027</v>
      </c>
      <c r="H274" s="1108"/>
      <c r="I274" s="1114">
        <v>0</v>
      </c>
      <c r="J274" s="1115">
        <v>0</v>
      </c>
      <c r="K274" s="1114">
        <v>0</v>
      </c>
      <c r="L274" s="1108">
        <f>'1.2 Budgeted Enrollment YR1'!L274</f>
        <v>0</v>
      </c>
      <c r="M274" s="1104"/>
      <c r="N274" s="875"/>
    </row>
    <row r="275" spans="1:14" ht="16.5" thickTop="1" thickBot="1" x14ac:dyDescent="0.3">
      <c r="A275" s="968" t="str">
        <f>'1.2 Budgeted Enrollment YR1'!A275</f>
        <v>Clark</v>
      </c>
      <c r="B275" s="971">
        <f>'1.2 Budgeted Enrollment YR1'!B275</f>
        <v>2</v>
      </c>
      <c r="C275" s="971">
        <f>'1.2 Budgeted Enrollment YR1'!C275</f>
        <v>2</v>
      </c>
      <c r="D275" s="971" t="str">
        <f>'1.2 Budgeted Enrollment YR1'!D275</f>
        <v>Las Vegas</v>
      </c>
      <c r="E275" s="968" t="str">
        <f>'1.2 Budgeted Enrollment YR1'!E275</f>
        <v>Griffith, E W ES</v>
      </c>
      <c r="F275" s="1061"/>
      <c r="G275" s="1108">
        <f>'1.2 Budgeted Enrollment YR1'!G275+('1.2 Budgeted Enrollment YR1'!G275*$G$7)</f>
        <v>542.77886749079914</v>
      </c>
      <c r="H275" s="1108"/>
      <c r="I275" s="1114">
        <v>0</v>
      </c>
      <c r="J275" s="1115">
        <v>0</v>
      </c>
      <c r="K275" s="1114">
        <v>0</v>
      </c>
      <c r="L275" s="1108">
        <f>'1.2 Budgeted Enrollment YR1'!L275</f>
        <v>0</v>
      </c>
      <c r="M275" s="1104"/>
      <c r="N275" s="875"/>
    </row>
    <row r="276" spans="1:14" ht="16.5" thickTop="1" thickBot="1" x14ac:dyDescent="0.3">
      <c r="A276" s="968" t="str">
        <f>'1.2 Budgeted Enrollment YR1'!A276</f>
        <v>Clark</v>
      </c>
      <c r="B276" s="971">
        <f>'1.2 Budgeted Enrollment YR1'!B276</f>
        <v>2</v>
      </c>
      <c r="C276" s="971">
        <f>'1.2 Budgeted Enrollment YR1'!C276</f>
        <v>2</v>
      </c>
      <c r="D276" s="971" t="str">
        <f>'1.2 Budgeted Enrollment YR1'!D276</f>
        <v>Las Vegas</v>
      </c>
      <c r="E276" s="968" t="str">
        <f>'1.2 Budgeted Enrollment YR1'!E276</f>
        <v>Guinn, Kenny C MS</v>
      </c>
      <c r="F276" s="1061"/>
      <c r="G276" s="1108">
        <f>'1.2 Budgeted Enrollment YR1'!G276+('1.2 Budgeted Enrollment YR1'!G276*$G$7)</f>
        <v>1041.6472729406817</v>
      </c>
      <c r="H276" s="1108"/>
      <c r="I276" s="1114">
        <v>0</v>
      </c>
      <c r="J276" s="1115">
        <v>0</v>
      </c>
      <c r="K276" s="1114">
        <v>0</v>
      </c>
      <c r="L276" s="1108">
        <f>'1.2 Budgeted Enrollment YR1'!L276</f>
        <v>0</v>
      </c>
      <c r="M276" s="1104"/>
      <c r="N276" s="875"/>
    </row>
    <row r="277" spans="1:14" ht="16.5" thickTop="1" thickBot="1" x14ac:dyDescent="0.3">
      <c r="A277" s="968" t="str">
        <f>'1.2 Budgeted Enrollment YR1'!A277</f>
        <v>Clark</v>
      </c>
      <c r="B277" s="971">
        <f>'1.2 Budgeted Enrollment YR1'!B277</f>
        <v>2</v>
      </c>
      <c r="C277" s="971">
        <f>'1.2 Budgeted Enrollment YR1'!C277</f>
        <v>2</v>
      </c>
      <c r="D277" s="971" t="str">
        <f>'1.2 Budgeted Enrollment YR1'!D277</f>
        <v>Las Vegas</v>
      </c>
      <c r="E277" s="968" t="str">
        <f>'1.2 Budgeted Enrollment YR1'!E277</f>
        <v>Gunderson, Barry and June MS</v>
      </c>
      <c r="F277" s="1061"/>
      <c r="G277" s="1108">
        <f>'1.2 Budgeted Enrollment YR1'!G277+('1.2 Budgeted Enrollment YR1'!G277*$G$7)</f>
        <v>1419.2208172809444</v>
      </c>
      <c r="H277" s="1108"/>
      <c r="I277" s="1114">
        <v>0</v>
      </c>
      <c r="J277" s="1115">
        <v>0</v>
      </c>
      <c r="K277" s="1114">
        <v>0</v>
      </c>
      <c r="L277" s="1108">
        <f>'1.2 Budgeted Enrollment YR1'!L277</f>
        <v>0</v>
      </c>
      <c r="M277" s="1104"/>
      <c r="N277" s="875"/>
    </row>
    <row r="278" spans="1:14" ht="16.5" thickTop="1" thickBot="1" x14ac:dyDescent="0.3">
      <c r="A278" s="968" t="str">
        <f>'1.2 Budgeted Enrollment YR1'!A278</f>
        <v>Clark</v>
      </c>
      <c r="B278" s="971">
        <f>'1.2 Budgeted Enrollment YR1'!B278</f>
        <v>2</v>
      </c>
      <c r="C278" s="971">
        <f>'1.2 Budgeted Enrollment YR1'!C278</f>
        <v>2</v>
      </c>
      <c r="D278" s="971" t="str">
        <f>'1.2 Budgeted Enrollment YR1'!D278</f>
        <v>Las Vegas</v>
      </c>
      <c r="E278" s="968" t="str">
        <f>'1.2 Budgeted Enrollment YR1'!E278</f>
        <v>Guy, Addeliar D III ES</v>
      </c>
      <c r="F278" s="1061"/>
      <c r="G278" s="1108">
        <f>'1.2 Budgeted Enrollment YR1'!G278+('1.2 Budgeted Enrollment YR1'!G278*$G$7)</f>
        <v>442.29958830907071</v>
      </c>
      <c r="H278" s="1108"/>
      <c r="I278" s="1114">
        <v>0</v>
      </c>
      <c r="J278" s="1115">
        <v>0</v>
      </c>
      <c r="K278" s="1114">
        <v>0</v>
      </c>
      <c r="L278" s="1108">
        <f>'1.2 Budgeted Enrollment YR1'!L278</f>
        <v>0</v>
      </c>
      <c r="M278" s="1104"/>
      <c r="N278" s="875"/>
    </row>
    <row r="279" spans="1:14" ht="16.5" thickTop="1" thickBot="1" x14ac:dyDescent="0.3">
      <c r="A279" s="968" t="str">
        <f>'1.2 Budgeted Enrollment YR1'!A279</f>
        <v>Clark</v>
      </c>
      <c r="B279" s="971">
        <f>'1.2 Budgeted Enrollment YR1'!B279</f>
        <v>2</v>
      </c>
      <c r="C279" s="971">
        <f>'1.2 Budgeted Enrollment YR1'!C279</f>
        <v>2</v>
      </c>
      <c r="D279" s="971" t="str">
        <f>'1.2 Budgeted Enrollment YR1'!D279</f>
        <v>Las Vegas</v>
      </c>
      <c r="E279" s="968" t="str">
        <f>'1.2 Budgeted Enrollment YR1'!E279</f>
        <v>Hancock, Doris ES</v>
      </c>
      <c r="F279" s="1061"/>
      <c r="G279" s="1108">
        <f>'1.2 Budgeted Enrollment YR1'!G279+('1.2 Budgeted Enrollment YR1'!G279*$G$7)</f>
        <v>455.51460729972467</v>
      </c>
      <c r="H279" s="1108"/>
      <c r="I279" s="1114">
        <v>0</v>
      </c>
      <c r="J279" s="1115">
        <v>0</v>
      </c>
      <c r="K279" s="1114">
        <v>0</v>
      </c>
      <c r="L279" s="1108">
        <f>'1.2 Budgeted Enrollment YR1'!L279</f>
        <v>0</v>
      </c>
      <c r="M279" s="1104"/>
      <c r="N279" s="875"/>
    </row>
    <row r="280" spans="1:14" ht="16.5" thickTop="1" thickBot="1" x14ac:dyDescent="0.3">
      <c r="A280" s="968" t="str">
        <f>'1.2 Budgeted Enrollment YR1'!A280</f>
        <v>Clark</v>
      </c>
      <c r="B280" s="971">
        <f>'1.2 Budgeted Enrollment YR1'!B280</f>
        <v>2</v>
      </c>
      <c r="C280" s="971">
        <f>'1.2 Budgeted Enrollment YR1'!C280</f>
        <v>2</v>
      </c>
      <c r="D280" s="971" t="str">
        <f>'1.2 Budgeted Enrollment YR1'!D280</f>
        <v>Las Vegas</v>
      </c>
      <c r="E280" s="968" t="str">
        <f>'1.2 Budgeted Enrollment YR1'!E280</f>
        <v>Harmon, Harley ES</v>
      </c>
      <c r="F280" s="1061"/>
      <c r="G280" s="1108">
        <f>'1.2 Budgeted Enrollment YR1'!G280+('1.2 Budgeted Enrollment YR1'!G280*$G$7)</f>
        <v>565.53664937271401</v>
      </c>
      <c r="H280" s="1108"/>
      <c r="I280" s="1114">
        <v>0</v>
      </c>
      <c r="J280" s="1115">
        <v>0</v>
      </c>
      <c r="K280" s="1114">
        <v>0</v>
      </c>
      <c r="L280" s="1108">
        <f>'1.2 Budgeted Enrollment YR1'!L280</f>
        <v>0</v>
      </c>
      <c r="M280" s="1104"/>
      <c r="N280" s="875"/>
    </row>
    <row r="281" spans="1:14" ht="16.5" thickTop="1" thickBot="1" x14ac:dyDescent="0.3">
      <c r="A281" s="968" t="str">
        <f>'1.2 Budgeted Enrollment YR1'!A281</f>
        <v>Clark</v>
      </c>
      <c r="B281" s="971">
        <f>'1.2 Budgeted Enrollment YR1'!B281</f>
        <v>2</v>
      </c>
      <c r="C281" s="971">
        <f>'1.2 Budgeted Enrollment YR1'!C281</f>
        <v>2</v>
      </c>
      <c r="D281" s="971" t="str">
        <f>'1.2 Budgeted Enrollment YR1'!D281</f>
        <v>Las Vegas</v>
      </c>
      <c r="E281" s="968" t="str">
        <f>'1.2 Budgeted Enrollment YR1'!E281</f>
        <v>Harney, Kathleen &amp; Tim MS</v>
      </c>
      <c r="F281" s="1061"/>
      <c r="G281" s="1108">
        <f>'1.2 Budgeted Enrollment YR1'!G281+('1.2 Budgeted Enrollment YR1'!G281*$G$7)</f>
        <v>1209.3868805467398</v>
      </c>
      <c r="H281" s="1108"/>
      <c r="I281" s="1114">
        <v>0</v>
      </c>
      <c r="J281" s="1115">
        <v>0</v>
      </c>
      <c r="K281" s="1114">
        <v>0</v>
      </c>
      <c r="L281" s="1108">
        <f>'1.2 Budgeted Enrollment YR1'!L281</f>
        <v>0</v>
      </c>
      <c r="M281" s="1104"/>
      <c r="N281" s="875"/>
    </row>
    <row r="282" spans="1:14" ht="16.5" thickTop="1" thickBot="1" x14ac:dyDescent="0.3">
      <c r="A282" s="968" t="str">
        <f>'1.2 Budgeted Enrollment YR1'!A282</f>
        <v>Clark</v>
      </c>
      <c r="B282" s="971">
        <f>'1.2 Budgeted Enrollment YR1'!B282</f>
        <v>2</v>
      </c>
      <c r="C282" s="971">
        <f>'1.2 Budgeted Enrollment YR1'!C282</f>
        <v>2</v>
      </c>
      <c r="D282" s="971" t="str">
        <f>'1.2 Budgeted Enrollment YR1'!D282</f>
        <v>Las Vegas</v>
      </c>
      <c r="E282" s="968" t="str">
        <f>'1.2 Budgeted Enrollment YR1'!E282</f>
        <v>Harris, George E ES</v>
      </c>
      <c r="F282" s="1061"/>
      <c r="G282" s="1108">
        <f>'1.2 Budgeted Enrollment YR1'!G282+('1.2 Budgeted Enrollment YR1'!G282*$G$7)</f>
        <v>613.0797519430256</v>
      </c>
      <c r="H282" s="1108"/>
      <c r="I282" s="1114">
        <v>0</v>
      </c>
      <c r="J282" s="1115">
        <v>0</v>
      </c>
      <c r="K282" s="1114">
        <v>0</v>
      </c>
      <c r="L282" s="1108">
        <f>'1.2 Budgeted Enrollment YR1'!L282</f>
        <v>0</v>
      </c>
      <c r="M282" s="1104"/>
      <c r="N282" s="875"/>
    </row>
    <row r="283" spans="1:14" ht="16.5" thickTop="1" thickBot="1" x14ac:dyDescent="0.3">
      <c r="A283" s="968" t="str">
        <f>'1.2 Budgeted Enrollment YR1'!A283</f>
        <v>Clark</v>
      </c>
      <c r="B283" s="971">
        <f>'1.2 Budgeted Enrollment YR1'!B283</f>
        <v>2</v>
      </c>
      <c r="C283" s="971">
        <f>'1.2 Budgeted Enrollment YR1'!C283</f>
        <v>2</v>
      </c>
      <c r="D283" s="971" t="str">
        <f>'1.2 Budgeted Enrollment YR1'!D283</f>
        <v>Las Vegas</v>
      </c>
      <c r="E283" s="968" t="str">
        <f>'1.2 Budgeted Enrollment YR1'!E283</f>
        <v>Hayden, Don E ES</v>
      </c>
      <c r="F283" s="1061"/>
      <c r="G283" s="1108">
        <f>'1.2 Budgeted Enrollment YR1'!G283+('1.2 Budgeted Enrollment YR1'!G283*$G$7)</f>
        <v>674.13073012798372</v>
      </c>
      <c r="H283" s="1108"/>
      <c r="I283" s="1114">
        <v>0</v>
      </c>
      <c r="J283" s="1115">
        <v>0</v>
      </c>
      <c r="K283" s="1114">
        <v>0</v>
      </c>
      <c r="L283" s="1108">
        <f>'1.2 Budgeted Enrollment YR1'!L283</f>
        <v>0</v>
      </c>
      <c r="M283" s="1104"/>
      <c r="N283" s="875"/>
    </row>
    <row r="284" spans="1:14" ht="16.5" thickTop="1" thickBot="1" x14ac:dyDescent="0.3">
      <c r="A284" s="968" t="str">
        <f>'1.2 Budgeted Enrollment YR1'!A284</f>
        <v>Clark</v>
      </c>
      <c r="B284" s="971">
        <f>'1.2 Budgeted Enrollment YR1'!B284</f>
        <v>2</v>
      </c>
      <c r="C284" s="971">
        <f>'1.2 Budgeted Enrollment YR1'!C284</f>
        <v>2</v>
      </c>
      <c r="D284" s="971" t="str">
        <f>'1.2 Budgeted Enrollment YR1'!D284</f>
        <v>Las Vegas</v>
      </c>
      <c r="E284" s="968" t="str">
        <f>'1.2 Budgeted Enrollment YR1'!E284</f>
        <v>Hayes, Keith C &amp; Karen W ES</v>
      </c>
      <c r="F284" s="1061"/>
      <c r="G284" s="1108">
        <f>'1.2 Budgeted Enrollment YR1'!G284+('1.2 Budgeted Enrollment YR1'!G284*$G$7)</f>
        <v>512.91626359938448</v>
      </c>
      <c r="H284" s="1108"/>
      <c r="I284" s="1114">
        <v>0</v>
      </c>
      <c r="J284" s="1115">
        <v>0</v>
      </c>
      <c r="K284" s="1114">
        <v>0</v>
      </c>
      <c r="L284" s="1108">
        <f>'1.2 Budgeted Enrollment YR1'!L284</f>
        <v>0</v>
      </c>
      <c r="M284" s="1104"/>
      <c r="N284" s="875"/>
    </row>
    <row r="285" spans="1:14" ht="16.5" thickTop="1" thickBot="1" x14ac:dyDescent="0.3">
      <c r="A285" s="968" t="str">
        <f>'1.2 Budgeted Enrollment YR1'!A285</f>
        <v>Clark</v>
      </c>
      <c r="B285" s="971">
        <f>'1.2 Budgeted Enrollment YR1'!B285</f>
        <v>2</v>
      </c>
      <c r="C285" s="971">
        <f>'1.2 Budgeted Enrollment YR1'!C285</f>
        <v>2</v>
      </c>
      <c r="D285" s="971" t="str">
        <f>'1.2 Budgeted Enrollment YR1'!D285</f>
        <v>Las Vegas</v>
      </c>
      <c r="E285" s="968" t="str">
        <f>'1.2 Budgeted Enrollment YR1'!E285</f>
        <v>Heard, Lomie G ES</v>
      </c>
      <c r="F285" s="1061"/>
      <c r="G285" s="1108">
        <f>'1.2 Budgeted Enrollment YR1'!G285+('1.2 Budgeted Enrollment YR1'!G285*$G$7)</f>
        <v>655.67299212033799</v>
      </c>
      <c r="H285" s="1108"/>
      <c r="I285" s="1114">
        <v>0</v>
      </c>
      <c r="J285" s="1115">
        <v>0</v>
      </c>
      <c r="K285" s="1114">
        <v>0</v>
      </c>
      <c r="L285" s="1108">
        <f>'1.2 Budgeted Enrollment YR1'!L285</f>
        <v>0</v>
      </c>
      <c r="M285" s="1104"/>
      <c r="N285" s="875"/>
    </row>
    <row r="286" spans="1:14" ht="16.5" thickTop="1" thickBot="1" x14ac:dyDescent="0.3">
      <c r="A286" s="968" t="str">
        <f>'1.2 Budgeted Enrollment YR1'!A286</f>
        <v>Clark</v>
      </c>
      <c r="B286" s="971">
        <f>'1.2 Budgeted Enrollment YR1'!B286</f>
        <v>2</v>
      </c>
      <c r="C286" s="971">
        <f>'1.2 Budgeted Enrollment YR1'!C286</f>
        <v>2</v>
      </c>
      <c r="D286" s="971" t="str">
        <f>'1.2 Budgeted Enrollment YR1'!D286</f>
        <v>Las Vegas</v>
      </c>
      <c r="E286" s="968" t="str">
        <f>'1.2 Budgeted Enrollment YR1'!E286</f>
        <v>Heckethorn, Howard E ES</v>
      </c>
      <c r="F286" s="1061"/>
      <c r="G286" s="1108">
        <f>'1.2 Budgeted Enrollment YR1'!G286+('1.2 Budgeted Enrollment YR1'!G286*$G$7)</f>
        <v>725.46798554950328</v>
      </c>
      <c r="H286" s="1108"/>
      <c r="I286" s="1114">
        <v>0</v>
      </c>
      <c r="J286" s="1115">
        <v>0</v>
      </c>
      <c r="K286" s="1114">
        <v>0</v>
      </c>
      <c r="L286" s="1108">
        <f>'1.2 Budgeted Enrollment YR1'!L286</f>
        <v>0</v>
      </c>
      <c r="M286" s="1104"/>
      <c r="N286" s="875"/>
    </row>
    <row r="287" spans="1:14" ht="16.5" thickTop="1" thickBot="1" x14ac:dyDescent="0.3">
      <c r="A287" s="968" t="str">
        <f>'1.2 Budgeted Enrollment YR1'!A287</f>
        <v>Clark</v>
      </c>
      <c r="B287" s="971">
        <f>'1.2 Budgeted Enrollment YR1'!B287</f>
        <v>2</v>
      </c>
      <c r="C287" s="971">
        <f>'1.2 Budgeted Enrollment YR1'!C287</f>
        <v>2</v>
      </c>
      <c r="D287" s="971" t="str">
        <f>'1.2 Budgeted Enrollment YR1'!D287</f>
        <v>Las Vegas</v>
      </c>
      <c r="E287" s="968" t="str">
        <f>'1.2 Budgeted Enrollment YR1'!E287</f>
        <v>Herr, Helen ES</v>
      </c>
      <c r="F287" s="1061"/>
      <c r="G287" s="1108">
        <f>'1.2 Budgeted Enrollment YR1'!G287+('1.2 Budgeted Enrollment YR1'!G287*$G$7)</f>
        <v>534.73993324306105</v>
      </c>
      <c r="H287" s="1108"/>
      <c r="I287" s="1114">
        <v>0</v>
      </c>
      <c r="J287" s="1115">
        <v>0</v>
      </c>
      <c r="K287" s="1114">
        <v>0</v>
      </c>
      <c r="L287" s="1108">
        <f>'1.2 Budgeted Enrollment YR1'!L287</f>
        <v>0</v>
      </c>
      <c r="M287" s="1104"/>
      <c r="N287" s="875"/>
    </row>
    <row r="288" spans="1:14" ht="16.5" thickTop="1" thickBot="1" x14ac:dyDescent="0.3">
      <c r="A288" s="968" t="str">
        <f>'1.2 Budgeted Enrollment YR1'!A288</f>
        <v>Clark</v>
      </c>
      <c r="B288" s="971">
        <f>'1.2 Budgeted Enrollment YR1'!B288</f>
        <v>2</v>
      </c>
      <c r="C288" s="971">
        <f>'1.2 Budgeted Enrollment YR1'!C288</f>
        <v>2</v>
      </c>
      <c r="D288" s="971" t="str">
        <f>'1.2 Budgeted Enrollment YR1'!D288</f>
        <v>Las Vegas</v>
      </c>
      <c r="E288" s="968" t="str">
        <f>'1.2 Budgeted Enrollment YR1'!E288</f>
        <v>Herron, Fay ES</v>
      </c>
      <c r="F288" s="1061"/>
      <c r="G288" s="1108">
        <f>'1.2 Budgeted Enrollment YR1'!G288+('1.2 Budgeted Enrollment YR1'!G288*$G$7)</f>
        <v>537.78090439765049</v>
      </c>
      <c r="H288" s="1108"/>
      <c r="I288" s="1114">
        <v>0</v>
      </c>
      <c r="J288" s="1115">
        <v>0</v>
      </c>
      <c r="K288" s="1114">
        <v>0</v>
      </c>
      <c r="L288" s="1108">
        <f>'1.2 Budgeted Enrollment YR1'!L288</f>
        <v>0</v>
      </c>
      <c r="M288" s="1104"/>
      <c r="N288" s="875"/>
    </row>
    <row r="289" spans="1:14" ht="16.5" thickTop="1" thickBot="1" x14ac:dyDescent="0.3">
      <c r="A289" s="968" t="str">
        <f>'1.2 Budgeted Enrollment YR1'!A289</f>
        <v>Clark</v>
      </c>
      <c r="B289" s="971">
        <f>'1.2 Budgeted Enrollment YR1'!B289</f>
        <v>2</v>
      </c>
      <c r="C289" s="971">
        <f>'1.2 Budgeted Enrollment YR1'!C289</f>
        <v>2</v>
      </c>
      <c r="D289" s="971" t="str">
        <f>'1.2 Budgeted Enrollment YR1'!D289</f>
        <v>Las Vegas</v>
      </c>
      <c r="E289" s="968" t="str">
        <f>'1.2 Budgeted Enrollment YR1'!E289</f>
        <v>Hewetson, Halle ES</v>
      </c>
      <c r="F289" s="1061"/>
      <c r="G289" s="1108">
        <f>'1.2 Budgeted Enrollment YR1'!G289+('1.2 Budgeted Enrollment YR1'!G289*$G$7)</f>
        <v>573.17384075112329</v>
      </c>
      <c r="H289" s="1108"/>
      <c r="I289" s="1114">
        <v>0</v>
      </c>
      <c r="J289" s="1115">
        <v>0</v>
      </c>
      <c r="K289" s="1114">
        <v>0</v>
      </c>
      <c r="L289" s="1108">
        <f>'1.2 Budgeted Enrollment YR1'!L289</f>
        <v>0</v>
      </c>
      <c r="M289" s="1104"/>
      <c r="N289" s="875"/>
    </row>
    <row r="290" spans="1:14" ht="16.5" thickTop="1" thickBot="1" x14ac:dyDescent="0.3">
      <c r="A290" s="968" t="str">
        <f>'1.2 Budgeted Enrollment YR1'!A290</f>
        <v>Clark</v>
      </c>
      <c r="B290" s="971">
        <f>'1.2 Budgeted Enrollment YR1'!B290</f>
        <v>2</v>
      </c>
      <c r="C290" s="971">
        <f>'1.2 Budgeted Enrollment YR1'!C290</f>
        <v>2</v>
      </c>
      <c r="D290" s="971" t="str">
        <f>'1.2 Budgeted Enrollment YR1'!D290</f>
        <v>Las Vegas</v>
      </c>
      <c r="E290" s="968" t="str">
        <f>'1.2 Budgeted Enrollment YR1'!E290</f>
        <v>Hickey, Liliam Lujan ES</v>
      </c>
      <c r="F290" s="1061"/>
      <c r="G290" s="1108">
        <f>'1.2 Budgeted Enrollment YR1'!G290+('1.2 Budgeted Enrollment YR1'!G290*$G$7)</f>
        <v>593.49561045565054</v>
      </c>
      <c r="H290" s="1108"/>
      <c r="I290" s="1114">
        <v>0</v>
      </c>
      <c r="J290" s="1115">
        <v>0</v>
      </c>
      <c r="K290" s="1114">
        <v>0</v>
      </c>
      <c r="L290" s="1108">
        <f>'1.2 Budgeted Enrollment YR1'!L290</f>
        <v>0</v>
      </c>
      <c r="M290" s="1104"/>
      <c r="N290" s="875"/>
    </row>
    <row r="291" spans="1:14" ht="16.5" thickTop="1" thickBot="1" x14ac:dyDescent="0.3">
      <c r="A291" s="968" t="str">
        <f>'1.2 Budgeted Enrollment YR1'!A291</f>
        <v>Clark</v>
      </c>
      <c r="B291" s="971">
        <f>'1.2 Budgeted Enrollment YR1'!B291</f>
        <v>2</v>
      </c>
      <c r="C291" s="971">
        <f>'1.2 Budgeted Enrollment YR1'!C291</f>
        <v>2</v>
      </c>
      <c r="D291" s="971" t="str">
        <f>'1.2 Budgeted Enrollment YR1'!D291</f>
        <v>Las Vegas</v>
      </c>
      <c r="E291" s="968" t="str">
        <f>'1.2 Budgeted Enrollment YR1'!E291</f>
        <v>Hill, Charlotte ES</v>
      </c>
      <c r="F291" s="1061"/>
      <c r="G291" s="1108">
        <f>'1.2 Budgeted Enrollment YR1'!G291+('1.2 Budgeted Enrollment YR1'!G291*$G$7)</f>
        <v>463.10315444933656</v>
      </c>
      <c r="H291" s="1108"/>
      <c r="I291" s="1114">
        <v>0</v>
      </c>
      <c r="J291" s="1115">
        <v>0</v>
      </c>
      <c r="K291" s="1114">
        <v>0</v>
      </c>
      <c r="L291" s="1108">
        <f>'1.2 Budgeted Enrollment YR1'!L291</f>
        <v>0</v>
      </c>
      <c r="M291" s="1104"/>
      <c r="N291" s="875"/>
    </row>
    <row r="292" spans="1:14" ht="16.5" thickTop="1" thickBot="1" x14ac:dyDescent="0.3">
      <c r="A292" s="968" t="str">
        <f>'1.2 Budgeted Enrollment YR1'!A292</f>
        <v>Clark</v>
      </c>
      <c r="B292" s="971">
        <f>'1.2 Budgeted Enrollment YR1'!B292</f>
        <v>2</v>
      </c>
      <c r="C292" s="971">
        <f>'1.2 Budgeted Enrollment YR1'!C292</f>
        <v>2</v>
      </c>
      <c r="D292" s="971" t="str">
        <f>'1.2 Budgeted Enrollment YR1'!D292</f>
        <v>Las Vegas</v>
      </c>
      <c r="E292" s="968" t="str">
        <f>'1.2 Budgeted Enrollment YR1'!E292</f>
        <v>Hinman, Edna F ES</v>
      </c>
      <c r="F292" s="1061"/>
      <c r="G292" s="1108">
        <f>'1.2 Budgeted Enrollment YR1'!G292+('1.2 Budgeted Enrollment YR1'!G292*$G$7)</f>
        <v>338.32119434631221</v>
      </c>
      <c r="H292" s="1108"/>
      <c r="I292" s="1114">
        <v>0</v>
      </c>
      <c r="J292" s="1115">
        <v>0</v>
      </c>
      <c r="K292" s="1114">
        <v>0</v>
      </c>
      <c r="L292" s="1108">
        <f>'1.2 Budgeted Enrollment YR1'!L292</f>
        <v>0</v>
      </c>
      <c r="M292" s="1104"/>
      <c r="N292" s="875"/>
    </row>
    <row r="293" spans="1:14" ht="16.5" thickTop="1" thickBot="1" x14ac:dyDescent="0.3">
      <c r="A293" s="968" t="str">
        <f>'1.2 Budgeted Enrollment YR1'!A293</f>
        <v>Clark</v>
      </c>
      <c r="B293" s="971">
        <f>'1.2 Budgeted Enrollment YR1'!B293</f>
        <v>2</v>
      </c>
      <c r="C293" s="971">
        <f>'1.2 Budgeted Enrollment YR1'!C293</f>
        <v>2</v>
      </c>
      <c r="D293" s="971" t="str">
        <f>'1.2 Budgeted Enrollment YR1'!D293</f>
        <v>Las Vegas</v>
      </c>
      <c r="E293" s="968" t="str">
        <f>'1.2 Budgeted Enrollment YR1'!E293</f>
        <v>Hoggard, Mabel ES</v>
      </c>
      <c r="F293" s="1061"/>
      <c r="G293" s="1108">
        <f>'1.2 Budgeted Enrollment YR1'!G293+('1.2 Budgeted Enrollment YR1'!G293*$G$7)</f>
        <v>519.50943789815074</v>
      </c>
      <c r="H293" s="1108"/>
      <c r="I293" s="1114">
        <v>0</v>
      </c>
      <c r="J293" s="1115">
        <v>0</v>
      </c>
      <c r="K293" s="1114">
        <v>0</v>
      </c>
      <c r="L293" s="1108">
        <f>'1.2 Budgeted Enrollment YR1'!L293</f>
        <v>0</v>
      </c>
      <c r="M293" s="1104"/>
      <c r="N293" s="875"/>
    </row>
    <row r="294" spans="1:14" ht="16.5" thickTop="1" thickBot="1" x14ac:dyDescent="0.3">
      <c r="A294" s="968" t="str">
        <f>'1.2 Budgeted Enrollment YR1'!A294</f>
        <v>Clark</v>
      </c>
      <c r="B294" s="971">
        <f>'1.2 Budgeted Enrollment YR1'!B294</f>
        <v>2</v>
      </c>
      <c r="C294" s="971">
        <f>'1.2 Budgeted Enrollment YR1'!C294</f>
        <v>2</v>
      </c>
      <c r="D294" s="971" t="str">
        <f>'1.2 Budgeted Enrollment YR1'!D294</f>
        <v>Las Vegas</v>
      </c>
      <c r="E294" s="968" t="str">
        <f>'1.2 Budgeted Enrollment YR1'!E294</f>
        <v>Hollingsworth, Howard ES</v>
      </c>
      <c r="F294" s="1061"/>
      <c r="G294" s="1108">
        <f>'1.2 Budgeted Enrollment YR1'!G294+('1.2 Budgeted Enrollment YR1'!G294*$G$7)</f>
        <v>451.08319851555473</v>
      </c>
      <c r="H294" s="1108"/>
      <c r="I294" s="1114">
        <v>0</v>
      </c>
      <c r="J294" s="1115">
        <v>0</v>
      </c>
      <c r="K294" s="1114">
        <v>0</v>
      </c>
      <c r="L294" s="1108">
        <f>'1.2 Budgeted Enrollment YR1'!L294</f>
        <v>0</v>
      </c>
      <c r="M294" s="1104"/>
      <c r="N294" s="875"/>
    </row>
    <row r="295" spans="1:14" ht="16.5" thickTop="1" thickBot="1" x14ac:dyDescent="0.3">
      <c r="A295" s="968" t="str">
        <f>'1.2 Budgeted Enrollment YR1'!A295</f>
        <v>Clark</v>
      </c>
      <c r="B295" s="971">
        <f>'1.2 Budgeted Enrollment YR1'!B295</f>
        <v>2</v>
      </c>
      <c r="C295" s="971">
        <f>'1.2 Budgeted Enrollment YR1'!C295</f>
        <v>2</v>
      </c>
      <c r="D295" s="971" t="str">
        <f>'1.2 Budgeted Enrollment YR1'!D295</f>
        <v>Mesquite</v>
      </c>
      <c r="E295" s="968" t="str">
        <f>'1.2 Budgeted Enrollment YR1'!E295</f>
        <v>Hughes, Charles Arthur MS</v>
      </c>
      <c r="F295" s="1061"/>
      <c r="G295" s="1108">
        <f>'1.2 Budgeted Enrollment YR1'!G295+('1.2 Budgeted Enrollment YR1'!G295*$G$7)</f>
        <v>541.10899926669993</v>
      </c>
      <c r="H295" s="1108"/>
      <c r="I295" s="1114">
        <v>0</v>
      </c>
      <c r="J295" s="1115">
        <v>0</v>
      </c>
      <c r="K295" s="1114">
        <v>0</v>
      </c>
      <c r="L295" s="1108">
        <f>'1.2 Budgeted Enrollment YR1'!L295</f>
        <v>0</v>
      </c>
      <c r="M295" s="1104"/>
      <c r="N295" s="875"/>
    </row>
    <row r="296" spans="1:14" ht="16.5" thickTop="1" thickBot="1" x14ac:dyDescent="0.3">
      <c r="A296" s="968" t="str">
        <f>'1.2 Budgeted Enrollment YR1'!A296</f>
        <v>Clark</v>
      </c>
      <c r="B296" s="971">
        <f>'1.2 Budgeted Enrollment YR1'!B296</f>
        <v>2</v>
      </c>
      <c r="C296" s="971">
        <f>'1.2 Budgeted Enrollment YR1'!C296</f>
        <v>2</v>
      </c>
      <c r="D296" s="971" t="str">
        <f>'1.2 Budgeted Enrollment YR1'!D296</f>
        <v>Las Vegas</v>
      </c>
      <c r="E296" s="968" t="str">
        <f>'1.2 Budgeted Enrollment YR1'!E296</f>
        <v>Hummel, John R ES</v>
      </c>
      <c r="F296" s="1061"/>
      <c r="G296" s="1108">
        <f>'1.2 Budgeted Enrollment YR1'!G296+('1.2 Budgeted Enrollment YR1'!G296*$G$7)</f>
        <v>583.54641584402168</v>
      </c>
      <c r="H296" s="1108"/>
      <c r="I296" s="1114">
        <v>0</v>
      </c>
      <c r="J296" s="1115">
        <v>0</v>
      </c>
      <c r="K296" s="1114">
        <v>0</v>
      </c>
      <c r="L296" s="1108">
        <f>'1.2 Budgeted Enrollment YR1'!L296</f>
        <v>0</v>
      </c>
      <c r="M296" s="1104"/>
      <c r="N296" s="875"/>
    </row>
    <row r="297" spans="1:14" ht="16.5" thickTop="1" thickBot="1" x14ac:dyDescent="0.3">
      <c r="A297" s="968" t="str">
        <f>'1.2 Budgeted Enrollment YR1'!A297</f>
        <v>Clark</v>
      </c>
      <c r="B297" s="971">
        <f>'1.2 Budgeted Enrollment YR1'!B297</f>
        <v>2</v>
      </c>
      <c r="C297" s="971">
        <f>'1.2 Budgeted Enrollment YR1'!C297</f>
        <v>2</v>
      </c>
      <c r="D297" s="971" t="str">
        <f>'1.2 Budgeted Enrollment YR1'!D297</f>
        <v>Las Vegas</v>
      </c>
      <c r="E297" s="968" t="str">
        <f>'1.2 Budgeted Enrollment YR1'!E297</f>
        <v>Hyde Park MS</v>
      </c>
      <c r="F297" s="1061"/>
      <c r="G297" s="1108">
        <f>'1.2 Budgeted Enrollment YR1'!G297+('1.2 Budgeted Enrollment YR1'!G297*$G$7)</f>
        <v>1312.1189737222935</v>
      </c>
      <c r="H297" s="1108"/>
      <c r="I297" s="1114">
        <v>0</v>
      </c>
      <c r="J297" s="1115">
        <v>0</v>
      </c>
      <c r="K297" s="1114">
        <v>0</v>
      </c>
      <c r="L297" s="1108">
        <f>'1.2 Budgeted Enrollment YR1'!L297</f>
        <v>0</v>
      </c>
      <c r="M297" s="1104"/>
      <c r="N297" s="875"/>
    </row>
    <row r="298" spans="1:14" ht="16.5" thickTop="1" thickBot="1" x14ac:dyDescent="0.3">
      <c r="A298" s="968" t="str">
        <f>'1.2 Budgeted Enrollment YR1'!A298</f>
        <v>Clark</v>
      </c>
      <c r="B298" s="971">
        <f>'1.2 Budgeted Enrollment YR1'!B298</f>
        <v>2</v>
      </c>
      <c r="C298" s="971">
        <f>'1.2 Budgeted Enrollment YR1'!C298</f>
        <v>2</v>
      </c>
      <c r="D298" s="971" t="str">
        <f>'1.2 Budgeted Enrollment YR1'!D298</f>
        <v>Indian Springs</v>
      </c>
      <c r="E298" s="968" t="str">
        <f>'1.2 Budgeted Enrollment YR1'!E298</f>
        <v>Indian Springs ES</v>
      </c>
      <c r="F298" s="1061"/>
      <c r="G298" s="1108">
        <f>'1.2 Budgeted Enrollment YR1'!G298+('1.2 Budgeted Enrollment YR1'!G298*$G$7)</f>
        <v>132.69522034234691</v>
      </c>
      <c r="H298" s="1108"/>
      <c r="I298" s="1114">
        <v>0</v>
      </c>
      <c r="J298" s="1115">
        <v>0</v>
      </c>
      <c r="K298" s="1114">
        <v>0</v>
      </c>
      <c r="L298" s="1108">
        <f>'1.2 Budgeted Enrollment YR1'!L298</f>
        <v>0</v>
      </c>
      <c r="M298" s="1104"/>
      <c r="N298" s="875"/>
    </row>
    <row r="299" spans="1:14" ht="16.5" thickTop="1" thickBot="1" x14ac:dyDescent="0.3">
      <c r="A299" s="968" t="str">
        <f>'1.2 Budgeted Enrollment YR1'!A299</f>
        <v>Clark</v>
      </c>
      <c r="B299" s="971">
        <f>'1.2 Budgeted Enrollment YR1'!B299</f>
        <v>2</v>
      </c>
      <c r="C299" s="971">
        <f>'1.2 Budgeted Enrollment YR1'!C299</f>
        <v>2</v>
      </c>
      <c r="D299" s="971" t="str">
        <f>'1.2 Budgeted Enrollment YR1'!D299</f>
        <v>Indian Springs</v>
      </c>
      <c r="E299" s="968" t="str">
        <f>'1.2 Budgeted Enrollment YR1'!E299</f>
        <v>Indian Springs HS</v>
      </c>
      <c r="F299" s="1061"/>
      <c r="G299" s="1108">
        <f>'1.2 Budgeted Enrollment YR1'!G299+('1.2 Budgeted Enrollment YR1'!G299*$G$7)</f>
        <v>120.32688285561417</v>
      </c>
      <c r="H299" s="1108"/>
      <c r="I299" s="1114">
        <v>0</v>
      </c>
      <c r="J299" s="1115">
        <v>0</v>
      </c>
      <c r="K299" s="1114">
        <v>0</v>
      </c>
      <c r="L299" s="1108">
        <f>'1.2 Budgeted Enrollment YR1'!L299</f>
        <v>0</v>
      </c>
      <c r="M299" s="1104"/>
      <c r="N299" s="875"/>
    </row>
    <row r="300" spans="1:14" ht="16.5" thickTop="1" thickBot="1" x14ac:dyDescent="0.3">
      <c r="A300" s="968" t="str">
        <f>'1.2 Budgeted Enrollment YR1'!A300</f>
        <v>Clark</v>
      </c>
      <c r="B300" s="971">
        <f>'1.2 Budgeted Enrollment YR1'!B300</f>
        <v>2</v>
      </c>
      <c r="C300" s="971">
        <f>'1.2 Budgeted Enrollment YR1'!C300</f>
        <v>2</v>
      </c>
      <c r="D300" s="971" t="str">
        <f>'1.2 Budgeted Enrollment YR1'!D300</f>
        <v>Indian Springs</v>
      </c>
      <c r="E300" s="968" t="str">
        <f>'1.2 Budgeted Enrollment YR1'!E300</f>
        <v>Indian Springs MS</v>
      </c>
      <c r="F300" s="1061"/>
      <c r="G300" s="1108">
        <f>'1.2 Budgeted Enrollment YR1'!G300+('1.2 Budgeted Enrollment YR1'!G300*$G$7)</f>
        <v>80.024790897610572</v>
      </c>
      <c r="H300" s="1108"/>
      <c r="I300" s="1114">
        <v>0</v>
      </c>
      <c r="J300" s="1115">
        <v>0</v>
      </c>
      <c r="K300" s="1114">
        <v>0</v>
      </c>
      <c r="L300" s="1108">
        <f>'1.2 Budgeted Enrollment YR1'!L300</f>
        <v>0</v>
      </c>
      <c r="M300" s="1104"/>
      <c r="N300" s="875"/>
    </row>
    <row r="301" spans="1:14" ht="16.5" thickTop="1" thickBot="1" x14ac:dyDescent="0.3">
      <c r="A301" s="968" t="str">
        <f>'1.2 Budgeted Enrollment YR1'!A301</f>
        <v>Clark</v>
      </c>
      <c r="B301" s="971">
        <f>'1.2 Budgeted Enrollment YR1'!B301</f>
        <v>2</v>
      </c>
      <c r="C301" s="971">
        <f>'1.2 Budgeted Enrollment YR1'!C301</f>
        <v>2</v>
      </c>
      <c r="D301" s="971" t="str">
        <f>'1.2 Budgeted Enrollment YR1'!D301</f>
        <v>Las Vegas</v>
      </c>
      <c r="E301" s="968" t="str">
        <f>'1.2 Budgeted Enrollment YR1'!E301</f>
        <v>Iverson, Mervin ES</v>
      </c>
      <c r="F301" s="1061"/>
      <c r="G301" s="1108">
        <f>'1.2 Budgeted Enrollment YR1'!G301+('1.2 Budgeted Enrollment YR1'!G301*$G$7)</f>
        <v>527.49313067217327</v>
      </c>
      <c r="H301" s="1108"/>
      <c r="I301" s="1114">
        <v>0</v>
      </c>
      <c r="J301" s="1115">
        <v>0</v>
      </c>
      <c r="K301" s="1114">
        <v>0</v>
      </c>
      <c r="L301" s="1108">
        <f>'1.2 Budgeted Enrollment YR1'!L301</f>
        <v>0</v>
      </c>
      <c r="M301" s="1104"/>
      <c r="N301" s="875"/>
    </row>
    <row r="302" spans="1:14" ht="16.5" thickTop="1" thickBot="1" x14ac:dyDescent="0.3">
      <c r="A302" s="968" t="str">
        <f>'1.2 Budgeted Enrollment YR1'!A302</f>
        <v>Clark</v>
      </c>
      <c r="B302" s="971">
        <f>'1.2 Budgeted Enrollment YR1'!B302</f>
        <v>2</v>
      </c>
      <c r="C302" s="971">
        <f>'1.2 Budgeted Enrollment YR1'!C302</f>
        <v>2</v>
      </c>
      <c r="D302" s="971" t="str">
        <f>'1.2 Budgeted Enrollment YR1'!D302</f>
        <v>Las Vegas</v>
      </c>
      <c r="E302" s="968" t="str">
        <f>'1.2 Budgeted Enrollment YR1'!E302</f>
        <v>Jacobson, Walter ES</v>
      </c>
      <c r="F302" s="1061"/>
      <c r="G302" s="1108">
        <f>'1.2 Budgeted Enrollment YR1'!G302+('1.2 Budgeted Enrollment YR1'!G302*$G$7)</f>
        <v>483.38327892147328</v>
      </c>
      <c r="H302" s="1108"/>
      <c r="I302" s="1114">
        <v>0</v>
      </c>
      <c r="J302" s="1115">
        <v>0</v>
      </c>
      <c r="K302" s="1114">
        <v>0</v>
      </c>
      <c r="L302" s="1108">
        <f>'1.2 Budgeted Enrollment YR1'!L302</f>
        <v>0</v>
      </c>
      <c r="M302" s="1104"/>
      <c r="N302" s="875"/>
    </row>
    <row r="303" spans="1:14" ht="16.5" thickTop="1" thickBot="1" x14ac:dyDescent="0.3">
      <c r="A303" s="968" t="str">
        <f>'1.2 Budgeted Enrollment YR1'!A303</f>
        <v>Clark</v>
      </c>
      <c r="B303" s="971">
        <f>'1.2 Budgeted Enrollment YR1'!B303</f>
        <v>2</v>
      </c>
      <c r="C303" s="971">
        <f>'1.2 Budgeted Enrollment YR1'!C303</f>
        <v>2</v>
      </c>
      <c r="D303" s="971" t="str">
        <f>'1.2 Budgeted Enrollment YR1'!D303</f>
        <v>Las Vegas</v>
      </c>
      <c r="E303" s="968" t="str">
        <f>'1.2 Budgeted Enrollment YR1'!E303</f>
        <v>Jeffers, Jay W ES</v>
      </c>
      <c r="F303" s="1061"/>
      <c r="G303" s="1108">
        <f>'1.2 Budgeted Enrollment YR1'!G303+('1.2 Budgeted Enrollment YR1'!G303*$G$7)</f>
        <v>489.85593995986483</v>
      </c>
      <c r="H303" s="1108"/>
      <c r="I303" s="1114">
        <v>0</v>
      </c>
      <c r="J303" s="1115">
        <v>0</v>
      </c>
      <c r="K303" s="1114">
        <v>0</v>
      </c>
      <c r="L303" s="1108">
        <f>'1.2 Budgeted Enrollment YR1'!L303</f>
        <v>0</v>
      </c>
      <c r="M303" s="1104"/>
      <c r="N303" s="875"/>
    </row>
    <row r="304" spans="1:14" ht="16.5" thickTop="1" thickBot="1" x14ac:dyDescent="0.3">
      <c r="A304" s="968" t="str">
        <f>'1.2 Budgeted Enrollment YR1'!A304</f>
        <v>Clark</v>
      </c>
      <c r="B304" s="971">
        <f>'1.2 Budgeted Enrollment YR1'!B304</f>
        <v>2</v>
      </c>
      <c r="C304" s="971">
        <f>'1.2 Budgeted Enrollment YR1'!C304</f>
        <v>2</v>
      </c>
      <c r="D304" s="971" t="str">
        <f>'1.2 Budgeted Enrollment YR1'!D304</f>
        <v>Las Vegas</v>
      </c>
      <c r="E304" s="968" t="str">
        <f>'1.2 Budgeted Enrollment YR1'!E304</f>
        <v>Jenkins, Earl N ES</v>
      </c>
      <c r="F304" s="1061"/>
      <c r="G304" s="1108">
        <f>'1.2 Budgeted Enrollment YR1'!G304+('1.2 Budgeted Enrollment YR1'!G304*$G$7)</f>
        <v>600.46622745458842</v>
      </c>
      <c r="H304" s="1108"/>
      <c r="I304" s="1114">
        <v>0</v>
      </c>
      <c r="J304" s="1115">
        <v>0</v>
      </c>
      <c r="K304" s="1114">
        <v>0</v>
      </c>
      <c r="L304" s="1108">
        <f>'1.2 Budgeted Enrollment YR1'!L304</f>
        <v>0</v>
      </c>
      <c r="M304" s="1104"/>
      <c r="N304" s="875"/>
    </row>
    <row r="305" spans="1:14" ht="16.5" thickTop="1" thickBot="1" x14ac:dyDescent="0.3">
      <c r="A305" s="968" t="str">
        <f>'1.2 Budgeted Enrollment YR1'!A305</f>
        <v>Clark</v>
      </c>
      <c r="B305" s="971">
        <f>'1.2 Budgeted Enrollment YR1'!B305</f>
        <v>2</v>
      </c>
      <c r="C305" s="971">
        <f>'1.2 Budgeted Enrollment YR1'!C305</f>
        <v>2</v>
      </c>
      <c r="D305" s="971" t="str">
        <f>'1.2 Budgeted Enrollment YR1'!D305</f>
        <v>Las Vegas</v>
      </c>
      <c r="E305" s="968" t="str">
        <f>'1.2 Budgeted Enrollment YR1'!E305</f>
        <v>Johnson, Walter JHS Academy of Int'l Studies</v>
      </c>
      <c r="F305" s="1061"/>
      <c r="G305" s="1108">
        <f>'1.2 Budgeted Enrollment YR1'!G305+('1.2 Budgeted Enrollment YR1'!G305*$G$7)</f>
        <v>1293.7043251718112</v>
      </c>
      <c r="H305" s="1108"/>
      <c r="I305" s="1114">
        <v>0</v>
      </c>
      <c r="J305" s="1115">
        <v>0</v>
      </c>
      <c r="K305" s="1114">
        <v>0</v>
      </c>
      <c r="L305" s="1108">
        <f>'1.2 Budgeted Enrollment YR1'!L305</f>
        <v>0</v>
      </c>
      <c r="M305" s="1104"/>
      <c r="N305" s="875"/>
    </row>
    <row r="306" spans="1:14" ht="16.5" thickTop="1" thickBot="1" x14ac:dyDescent="0.3">
      <c r="A306" s="968" t="str">
        <f>'1.2 Budgeted Enrollment YR1'!A306</f>
        <v>Clark</v>
      </c>
      <c r="B306" s="971">
        <f>'1.2 Budgeted Enrollment YR1'!B306</f>
        <v>2</v>
      </c>
      <c r="C306" s="971">
        <f>'1.2 Budgeted Enrollment YR1'!C306</f>
        <v>2</v>
      </c>
      <c r="D306" s="971" t="str">
        <f>'1.2 Budgeted Enrollment YR1'!D306</f>
        <v>Las Vegas</v>
      </c>
      <c r="E306" s="968" t="str">
        <f>'1.2 Budgeted Enrollment YR1'!E306</f>
        <v>Johnston, Carroll M MS</v>
      </c>
      <c r="F306" s="1061"/>
      <c r="G306" s="1108">
        <f>'1.2 Budgeted Enrollment YR1'!G306+('1.2 Budgeted Enrollment YR1'!G306*$G$7)</f>
        <v>1217.1281987776313</v>
      </c>
      <c r="H306" s="1108"/>
      <c r="I306" s="1114">
        <v>0</v>
      </c>
      <c r="J306" s="1115">
        <v>0</v>
      </c>
      <c r="K306" s="1114">
        <v>0</v>
      </c>
      <c r="L306" s="1108">
        <f>'1.2 Budgeted Enrollment YR1'!L306</f>
        <v>0</v>
      </c>
      <c r="M306" s="1104"/>
      <c r="N306" s="875"/>
    </row>
    <row r="307" spans="1:14" ht="16.5" thickTop="1" thickBot="1" x14ac:dyDescent="0.3">
      <c r="A307" s="968" t="str">
        <f>'1.2 Budgeted Enrollment YR1'!A307</f>
        <v>Clark</v>
      </c>
      <c r="B307" s="971">
        <f>'1.2 Budgeted Enrollment YR1'!B307</f>
        <v>2</v>
      </c>
      <c r="C307" s="971">
        <f>'1.2 Budgeted Enrollment YR1'!C307</f>
        <v>2</v>
      </c>
      <c r="D307" s="971" t="str">
        <f>'1.2 Budgeted Enrollment YR1'!D307</f>
        <v>Las Vegas</v>
      </c>
      <c r="E307" s="968" t="str">
        <f>'1.2 Budgeted Enrollment YR1'!E307</f>
        <v>Jones Blackhurst, Jan L ES</v>
      </c>
      <c r="F307" s="1061"/>
      <c r="G307" s="1108">
        <f>'1.2 Budgeted Enrollment YR1'!G307+('1.2 Budgeted Enrollment YR1'!G307*$G$7)</f>
        <v>798.58942285220371</v>
      </c>
      <c r="H307" s="1108"/>
      <c r="I307" s="1114">
        <v>0</v>
      </c>
      <c r="J307" s="1115">
        <v>0</v>
      </c>
      <c r="K307" s="1114">
        <v>0</v>
      </c>
      <c r="L307" s="1108">
        <f>'1.2 Budgeted Enrollment YR1'!L307</f>
        <v>0</v>
      </c>
      <c r="M307" s="1104"/>
      <c r="N307" s="875"/>
    </row>
    <row r="308" spans="1:14" ht="16.5" thickTop="1" thickBot="1" x14ac:dyDescent="0.3">
      <c r="A308" s="968" t="str">
        <f>'1.2 Budgeted Enrollment YR1'!A308</f>
        <v>Clark</v>
      </c>
      <c r="B308" s="971">
        <f>'1.2 Budgeted Enrollment YR1'!B308</f>
        <v>2</v>
      </c>
      <c r="C308" s="971">
        <f>'1.2 Budgeted Enrollment YR1'!C308</f>
        <v>2</v>
      </c>
      <c r="D308" s="971" t="str">
        <f>'1.2 Budgeted Enrollment YR1'!D308</f>
        <v>Las Vegas</v>
      </c>
      <c r="E308" s="968" t="str">
        <f>'1.2 Budgeted Enrollment YR1'!E308</f>
        <v>Juvenile Detention 6-12 J-SHS</v>
      </c>
      <c r="F308" s="1061"/>
      <c r="G308" s="1108">
        <f>'1.2 Budgeted Enrollment YR1'!G308+('1.2 Budgeted Enrollment YR1'!G308*$G$7)</f>
        <v>87.305948372730072</v>
      </c>
      <c r="H308" s="1108"/>
      <c r="I308" s="1114">
        <v>0</v>
      </c>
      <c r="J308" s="1115">
        <v>0</v>
      </c>
      <c r="K308" s="1114">
        <v>0</v>
      </c>
      <c r="L308" s="1108">
        <f>'1.2 Budgeted Enrollment YR1'!L308</f>
        <v>0</v>
      </c>
      <c r="M308" s="1104"/>
      <c r="N308" s="875"/>
    </row>
    <row r="309" spans="1:14" ht="16.5" thickTop="1" thickBot="1" x14ac:dyDescent="0.3">
      <c r="A309" s="968" t="str">
        <f>'1.2 Budgeted Enrollment YR1'!A309</f>
        <v>Clark</v>
      </c>
      <c r="B309" s="971">
        <f>'1.2 Budgeted Enrollment YR1'!B309</f>
        <v>2</v>
      </c>
      <c r="C309" s="971">
        <f>'1.2 Budgeted Enrollment YR1'!C309</f>
        <v>2</v>
      </c>
      <c r="D309" s="971" t="str">
        <f>'1.2 Budgeted Enrollment YR1'!D309</f>
        <v>Las Vegas</v>
      </c>
      <c r="E309" s="968" t="str">
        <f>'1.2 Budgeted Enrollment YR1'!E309</f>
        <v>Jydstrup, Helen ES</v>
      </c>
      <c r="F309" s="1061"/>
      <c r="G309" s="1108">
        <f>'1.2 Budgeted Enrollment YR1'!G309+('1.2 Budgeted Enrollment YR1'!G309*$G$7)</f>
        <v>540.81874823146381</v>
      </c>
      <c r="H309" s="1108"/>
      <c r="I309" s="1114">
        <v>0</v>
      </c>
      <c r="J309" s="1115">
        <v>0</v>
      </c>
      <c r="K309" s="1114">
        <v>0</v>
      </c>
      <c r="L309" s="1108">
        <f>'1.2 Budgeted Enrollment YR1'!L309</f>
        <v>0</v>
      </c>
      <c r="M309" s="1104"/>
      <c r="N309" s="875"/>
    </row>
    <row r="310" spans="1:14" ht="16.5" thickTop="1" thickBot="1" x14ac:dyDescent="0.3">
      <c r="A310" s="968" t="str">
        <f>'1.2 Budgeted Enrollment YR1'!A310</f>
        <v>Clark</v>
      </c>
      <c r="B310" s="971">
        <f>'1.2 Budgeted Enrollment YR1'!B310</f>
        <v>2</v>
      </c>
      <c r="C310" s="971">
        <f>'1.2 Budgeted Enrollment YR1'!C310</f>
        <v>2</v>
      </c>
      <c r="D310" s="971" t="str">
        <f>'1.2 Budgeted Enrollment YR1'!D310</f>
        <v>Las Vegas</v>
      </c>
      <c r="E310" s="968" t="str">
        <f>'1.2 Budgeted Enrollment YR1'!E310</f>
        <v>Kahre, Marc ES</v>
      </c>
      <c r="F310" s="1061"/>
      <c r="G310" s="1108">
        <f>'1.2 Budgeted Enrollment YR1'!G310+('1.2 Budgeted Enrollment YR1'!G310*$G$7)</f>
        <v>343.73327841582238</v>
      </c>
      <c r="H310" s="1108"/>
      <c r="I310" s="1114">
        <v>0</v>
      </c>
      <c r="J310" s="1115">
        <v>0</v>
      </c>
      <c r="K310" s="1114">
        <v>0</v>
      </c>
      <c r="L310" s="1108">
        <f>'1.2 Budgeted Enrollment YR1'!L310</f>
        <v>0</v>
      </c>
      <c r="M310" s="1104"/>
      <c r="N310" s="875"/>
    </row>
    <row r="311" spans="1:14" ht="16.5" thickTop="1" thickBot="1" x14ac:dyDescent="0.3">
      <c r="A311" s="968" t="str">
        <f>'1.2 Budgeted Enrollment YR1'!A311</f>
        <v>Clark</v>
      </c>
      <c r="B311" s="971">
        <f>'1.2 Budgeted Enrollment YR1'!B311</f>
        <v>2</v>
      </c>
      <c r="C311" s="971">
        <f>'1.2 Budgeted Enrollment YR1'!C311</f>
        <v>2</v>
      </c>
      <c r="D311" s="971" t="str">
        <f>'1.2 Budgeted Enrollment YR1'!D311</f>
        <v>Las Vegas</v>
      </c>
      <c r="E311" s="968" t="str">
        <f>'1.2 Budgeted Enrollment YR1'!E311</f>
        <v>Katz, Edythe &amp; Lloyd ES</v>
      </c>
      <c r="F311" s="1061"/>
      <c r="G311" s="1108">
        <f>'1.2 Budgeted Enrollment YR1'!G311+('1.2 Budgeted Enrollment YR1'!G311*$G$7)</f>
        <v>519.02083417725794</v>
      </c>
      <c r="H311" s="1108"/>
      <c r="I311" s="1114">
        <v>0</v>
      </c>
      <c r="J311" s="1115">
        <v>0</v>
      </c>
      <c r="K311" s="1114">
        <v>0</v>
      </c>
      <c r="L311" s="1108">
        <f>'1.2 Budgeted Enrollment YR1'!L311</f>
        <v>0</v>
      </c>
      <c r="M311" s="1104"/>
      <c r="N311" s="875"/>
    </row>
    <row r="312" spans="1:14" ht="16.5" thickTop="1" thickBot="1" x14ac:dyDescent="0.3">
      <c r="A312" s="968" t="str">
        <f>'1.2 Budgeted Enrollment YR1'!A312</f>
        <v>Clark</v>
      </c>
      <c r="B312" s="971">
        <f>'1.2 Budgeted Enrollment YR1'!B312</f>
        <v>2</v>
      </c>
      <c r="C312" s="971">
        <f>'1.2 Budgeted Enrollment YR1'!C312</f>
        <v>2</v>
      </c>
      <c r="D312" s="971" t="str">
        <f>'1.2 Budgeted Enrollment YR1'!D312</f>
        <v>Las Vegas</v>
      </c>
      <c r="E312" s="968" t="str">
        <f>'1.2 Budgeted Enrollment YR1'!E312</f>
        <v>Keller, Charlotte &amp; Jerry ES</v>
      </c>
      <c r="F312" s="1061"/>
      <c r="G312" s="1108">
        <f>'1.2 Budgeted Enrollment YR1'!G312+('1.2 Budgeted Enrollment YR1'!G312*$G$7)</f>
        <v>454.42811186111402</v>
      </c>
      <c r="H312" s="1108"/>
      <c r="I312" s="1114">
        <v>0</v>
      </c>
      <c r="J312" s="1115">
        <v>0</v>
      </c>
      <c r="K312" s="1114">
        <v>0</v>
      </c>
      <c r="L312" s="1108">
        <f>'1.2 Budgeted Enrollment YR1'!L312</f>
        <v>0</v>
      </c>
      <c r="M312" s="1104"/>
      <c r="N312" s="875"/>
    </row>
    <row r="313" spans="1:14" ht="16.5" thickTop="1" thickBot="1" x14ac:dyDescent="0.3">
      <c r="A313" s="968" t="str">
        <f>'1.2 Budgeted Enrollment YR1'!A313</f>
        <v>Clark</v>
      </c>
      <c r="B313" s="971">
        <f>'1.2 Budgeted Enrollment YR1'!B313</f>
        <v>2</v>
      </c>
      <c r="C313" s="971">
        <f>'1.2 Budgeted Enrollment YR1'!C313</f>
        <v>2</v>
      </c>
      <c r="D313" s="971" t="str">
        <f>'1.2 Budgeted Enrollment YR1'!D313</f>
        <v>Las Vegas</v>
      </c>
      <c r="E313" s="968" t="str">
        <f>'1.2 Budgeted Enrollment YR1'!E313</f>
        <v>Keller, Duane D MS</v>
      </c>
      <c r="F313" s="1061"/>
      <c r="G313" s="1108">
        <f>'1.2 Budgeted Enrollment YR1'!G313+('1.2 Budgeted Enrollment YR1'!G313*$G$7)</f>
        <v>1062.5806278964747</v>
      </c>
      <c r="H313" s="1108"/>
      <c r="I313" s="1114">
        <v>0</v>
      </c>
      <c r="J313" s="1115">
        <v>0</v>
      </c>
      <c r="K313" s="1114">
        <v>0</v>
      </c>
      <c r="L313" s="1108">
        <f>'1.2 Budgeted Enrollment YR1'!L313</f>
        <v>0</v>
      </c>
      <c r="M313" s="1104"/>
      <c r="N313" s="875"/>
    </row>
    <row r="314" spans="1:14" ht="16.5" thickTop="1" thickBot="1" x14ac:dyDescent="0.3">
      <c r="A314" s="968" t="str">
        <f>'1.2 Budgeted Enrollment YR1'!A314</f>
        <v>Clark</v>
      </c>
      <c r="B314" s="971">
        <f>'1.2 Budgeted Enrollment YR1'!B314</f>
        <v>2</v>
      </c>
      <c r="C314" s="971">
        <f>'1.2 Budgeted Enrollment YR1'!C314</f>
        <v>2</v>
      </c>
      <c r="D314" s="971" t="str">
        <f>'1.2 Budgeted Enrollment YR1'!D314</f>
        <v>Las Vegas</v>
      </c>
      <c r="E314" s="968" t="str">
        <f>'1.2 Budgeted Enrollment YR1'!E314</f>
        <v>Kelly, Matt ES</v>
      </c>
      <c r="F314" s="1061"/>
      <c r="G314" s="1108">
        <f>'1.2 Budgeted Enrollment YR1'!G314+('1.2 Budgeted Enrollment YR1'!G314*$G$7)</f>
        <v>282.85675489515512</v>
      </c>
      <c r="H314" s="1108"/>
      <c r="I314" s="1114">
        <v>0</v>
      </c>
      <c r="J314" s="1115">
        <v>0</v>
      </c>
      <c r="K314" s="1114">
        <v>0</v>
      </c>
      <c r="L314" s="1108">
        <f>'1.2 Budgeted Enrollment YR1'!L314</f>
        <v>0</v>
      </c>
      <c r="M314" s="1104"/>
      <c r="N314" s="875"/>
    </row>
    <row r="315" spans="1:14" ht="16.5" thickTop="1" thickBot="1" x14ac:dyDescent="0.3">
      <c r="A315" s="968" t="str">
        <f>'1.2 Budgeted Enrollment YR1'!A315</f>
        <v>Clark</v>
      </c>
      <c r="B315" s="971">
        <f>'1.2 Budgeted Enrollment YR1'!B315</f>
        <v>2</v>
      </c>
      <c r="C315" s="971">
        <f>'1.2 Budgeted Enrollment YR1'!C315</f>
        <v>2</v>
      </c>
      <c r="D315" s="971" t="str">
        <f>'1.2 Budgeted Enrollment YR1'!D315</f>
        <v>Las Vegas</v>
      </c>
      <c r="E315" s="968" t="str">
        <f>'1.2 Budgeted Enrollment YR1'!E315</f>
        <v>Kesterson, Lorna J ES</v>
      </c>
      <c r="F315" s="1061"/>
      <c r="G315" s="1108">
        <f>'1.2 Budgeted Enrollment YR1'!G315+('1.2 Budgeted Enrollment YR1'!G315*$G$7)</f>
        <v>502.23883739611824</v>
      </c>
      <c r="H315" s="1108"/>
      <c r="I315" s="1114">
        <v>0</v>
      </c>
      <c r="J315" s="1115">
        <v>0</v>
      </c>
      <c r="K315" s="1114">
        <v>0</v>
      </c>
      <c r="L315" s="1108">
        <f>'1.2 Budgeted Enrollment YR1'!L315</f>
        <v>0</v>
      </c>
      <c r="M315" s="1104"/>
      <c r="N315" s="875"/>
    </row>
    <row r="316" spans="1:14" ht="16.5" thickTop="1" thickBot="1" x14ac:dyDescent="0.3">
      <c r="A316" s="968" t="str">
        <f>'1.2 Budgeted Enrollment YR1'!A316</f>
        <v>Clark</v>
      </c>
      <c r="B316" s="971">
        <f>'1.2 Budgeted Enrollment YR1'!B316</f>
        <v>2</v>
      </c>
      <c r="C316" s="971">
        <f>'1.2 Budgeted Enrollment YR1'!C316</f>
        <v>2</v>
      </c>
      <c r="D316" s="971" t="str">
        <f>'1.2 Budgeted Enrollment YR1'!D316</f>
        <v>Las Vegas</v>
      </c>
      <c r="E316" s="968" t="str">
        <f>'1.2 Budgeted Enrollment YR1'!E316</f>
        <v>Kim, Frank ES</v>
      </c>
      <c r="F316" s="1061"/>
      <c r="G316" s="1108">
        <f>'1.2 Budgeted Enrollment YR1'!G316+('1.2 Budgeted Enrollment YR1'!G316*$G$7)</f>
        <v>391.42949050960493</v>
      </c>
      <c r="H316" s="1108"/>
      <c r="I316" s="1114">
        <v>0</v>
      </c>
      <c r="J316" s="1115">
        <v>0</v>
      </c>
      <c r="K316" s="1114">
        <v>0</v>
      </c>
      <c r="L316" s="1108">
        <f>'1.2 Budgeted Enrollment YR1'!L316</f>
        <v>0</v>
      </c>
      <c r="M316" s="1104"/>
      <c r="N316" s="875"/>
    </row>
    <row r="317" spans="1:14" ht="16.5" thickTop="1" thickBot="1" x14ac:dyDescent="0.3">
      <c r="A317" s="968" t="str">
        <f>'1.2 Budgeted Enrollment YR1'!A317</f>
        <v>Clark</v>
      </c>
      <c r="B317" s="971">
        <f>'1.2 Budgeted Enrollment YR1'!B317</f>
        <v>2</v>
      </c>
      <c r="C317" s="971">
        <f>'1.2 Budgeted Enrollment YR1'!C317</f>
        <v>2</v>
      </c>
      <c r="D317" s="971" t="str">
        <f>'1.2 Budgeted Enrollment YR1'!D317</f>
        <v>Las Vegas</v>
      </c>
      <c r="E317" s="968" t="str">
        <f>'1.2 Budgeted Enrollment YR1'!E317</f>
        <v>King Jr , Martin Luther ES</v>
      </c>
      <c r="F317" s="1061"/>
      <c r="G317" s="1108">
        <f>'1.2 Budgeted Enrollment YR1'!G317+('1.2 Budgeted Enrollment YR1'!G317*$G$7)</f>
        <v>345.33286678069516</v>
      </c>
      <c r="H317" s="1108"/>
      <c r="I317" s="1114">
        <v>0</v>
      </c>
      <c r="J317" s="1115">
        <v>0</v>
      </c>
      <c r="K317" s="1114">
        <v>0</v>
      </c>
      <c r="L317" s="1108">
        <f>'1.2 Budgeted Enrollment YR1'!L317</f>
        <v>0</v>
      </c>
      <c r="M317" s="1104"/>
      <c r="N317" s="875"/>
    </row>
    <row r="318" spans="1:14" ht="16.5" thickTop="1" thickBot="1" x14ac:dyDescent="0.3">
      <c r="A318" s="968" t="str">
        <f>'1.2 Budgeted Enrollment YR1'!A318</f>
        <v>Clark</v>
      </c>
      <c r="B318" s="971">
        <f>'1.2 Budgeted Enrollment YR1'!B318</f>
        <v>2</v>
      </c>
      <c r="C318" s="971">
        <f>'1.2 Budgeted Enrollment YR1'!C318</f>
        <v>2</v>
      </c>
      <c r="D318" s="971" t="str">
        <f>'1.2 Budgeted Enrollment YR1'!D318</f>
        <v>Boulder City</v>
      </c>
      <c r="E318" s="968" t="str">
        <f>'1.2 Budgeted Enrollment YR1'!E318</f>
        <v>King, Martha P ES</v>
      </c>
      <c r="F318" s="1061"/>
      <c r="G318" s="1108">
        <f>'1.2 Budgeted Enrollment YR1'!G318+('1.2 Budgeted Enrollment YR1'!G318*$G$7)</f>
        <v>364.67450710634421</v>
      </c>
      <c r="H318" s="1108"/>
      <c r="I318" s="1114">
        <v>0</v>
      </c>
      <c r="J318" s="1115">
        <v>0</v>
      </c>
      <c r="K318" s="1114">
        <v>0</v>
      </c>
      <c r="L318" s="1108">
        <f>'1.2 Budgeted Enrollment YR1'!L318</f>
        <v>0</v>
      </c>
      <c r="M318" s="1104"/>
      <c r="N318" s="875"/>
    </row>
    <row r="319" spans="1:14" ht="16.5" thickTop="1" thickBot="1" x14ac:dyDescent="0.3">
      <c r="A319" s="968" t="str">
        <f>'1.2 Budgeted Enrollment YR1'!A319</f>
        <v>Clark</v>
      </c>
      <c r="B319" s="971">
        <f>'1.2 Budgeted Enrollment YR1'!B319</f>
        <v>2</v>
      </c>
      <c r="C319" s="971">
        <f>'1.2 Budgeted Enrollment YR1'!C319</f>
        <v>2</v>
      </c>
      <c r="D319" s="971" t="str">
        <f>'1.2 Budgeted Enrollment YR1'!D319</f>
        <v>Las Vegas</v>
      </c>
      <c r="E319" s="968" t="str">
        <f>'1.2 Budgeted Enrollment YR1'!E319</f>
        <v>Knudson, K O Academy of the Arts</v>
      </c>
      <c r="F319" s="1061"/>
      <c r="G319" s="1108">
        <f>'1.2 Budgeted Enrollment YR1'!G319+('1.2 Budgeted Enrollment YR1'!G319*$G$7)</f>
        <v>1157.3676905627444</v>
      </c>
      <c r="H319" s="1108"/>
      <c r="I319" s="1114">
        <v>0</v>
      </c>
      <c r="J319" s="1115">
        <v>0</v>
      </c>
      <c r="K319" s="1114">
        <v>0</v>
      </c>
      <c r="L319" s="1108">
        <f>'1.2 Budgeted Enrollment YR1'!L319</f>
        <v>0</v>
      </c>
      <c r="M319" s="1104"/>
      <c r="N319" s="875"/>
    </row>
    <row r="320" spans="1:14" ht="16.5" thickTop="1" thickBot="1" x14ac:dyDescent="0.3">
      <c r="A320" s="968" t="str">
        <f>'1.2 Budgeted Enrollment YR1'!A320</f>
        <v>Clark</v>
      </c>
      <c r="B320" s="971">
        <f>'1.2 Budgeted Enrollment YR1'!B320</f>
        <v>2</v>
      </c>
      <c r="C320" s="971">
        <f>'1.2 Budgeted Enrollment YR1'!C320</f>
        <v>2</v>
      </c>
      <c r="D320" s="971" t="str">
        <f>'1.2 Budgeted Enrollment YR1'!D320</f>
        <v>Las Vegas</v>
      </c>
      <c r="E320" s="968" t="str">
        <f>'1.2 Budgeted Enrollment YR1'!E320</f>
        <v>Lake, Robert E ES</v>
      </c>
      <c r="F320" s="1061"/>
      <c r="G320" s="1108">
        <f>'1.2 Budgeted Enrollment YR1'!G320+('1.2 Budgeted Enrollment YR1'!G320*$G$7)</f>
        <v>562.48519770573228</v>
      </c>
      <c r="H320" s="1108"/>
      <c r="I320" s="1114">
        <v>0</v>
      </c>
      <c r="J320" s="1115">
        <v>0</v>
      </c>
      <c r="K320" s="1114">
        <v>0</v>
      </c>
      <c r="L320" s="1108">
        <f>'1.2 Budgeted Enrollment YR1'!L320</f>
        <v>0</v>
      </c>
      <c r="M320" s="1104"/>
      <c r="N320" s="875"/>
    </row>
    <row r="321" spans="1:14" ht="16.5" thickTop="1" thickBot="1" x14ac:dyDescent="0.3">
      <c r="A321" s="968" t="str">
        <f>'1.2 Budgeted Enrollment YR1'!A321</f>
        <v>Clark</v>
      </c>
      <c r="B321" s="971">
        <f>'1.2 Budgeted Enrollment YR1'!B321</f>
        <v>2</v>
      </c>
      <c r="C321" s="971">
        <f>'1.2 Budgeted Enrollment YR1'!C321</f>
        <v>2</v>
      </c>
      <c r="D321" s="971" t="str">
        <f>'1.2 Budgeted Enrollment YR1'!D321</f>
        <v>Las Vegas</v>
      </c>
      <c r="E321" s="968" t="str">
        <f>'1.2 Budgeted Enrollment YR1'!E321</f>
        <v>Lamping, Frank ES</v>
      </c>
      <c r="F321" s="1061"/>
      <c r="G321" s="1108">
        <f>'1.2 Budgeted Enrollment YR1'!G321+('1.2 Budgeted Enrollment YR1'!G321*$G$7)</f>
        <v>577.1534033510568</v>
      </c>
      <c r="H321" s="1108"/>
      <c r="I321" s="1114">
        <v>0</v>
      </c>
      <c r="J321" s="1115">
        <v>0</v>
      </c>
      <c r="K321" s="1114">
        <v>0</v>
      </c>
      <c r="L321" s="1108">
        <f>'1.2 Budgeted Enrollment YR1'!L321</f>
        <v>0</v>
      </c>
      <c r="M321" s="1104"/>
      <c r="N321" s="875"/>
    </row>
    <row r="322" spans="1:14" ht="16.5" thickTop="1" thickBot="1" x14ac:dyDescent="0.3">
      <c r="A322" s="968" t="str">
        <f>'1.2 Budgeted Enrollment YR1'!A322</f>
        <v>Clark</v>
      </c>
      <c r="B322" s="971">
        <f>'1.2 Budgeted Enrollment YR1'!B322</f>
        <v>2</v>
      </c>
      <c r="C322" s="971">
        <f>'1.2 Budgeted Enrollment YR1'!C322</f>
        <v>2</v>
      </c>
      <c r="D322" s="971" t="str">
        <f>'1.2 Budgeted Enrollment YR1'!D322</f>
        <v>Las Vegas</v>
      </c>
      <c r="E322" s="968" t="str">
        <f>'1.2 Budgeted Enrollment YR1'!E322</f>
        <v>Las Vegas Academy of the Arts HS</v>
      </c>
      <c r="F322" s="1061"/>
      <c r="G322" s="1108">
        <f>'1.2 Budgeted Enrollment YR1'!G322+('1.2 Budgeted Enrollment YR1'!G322*$G$7)</f>
        <v>1723.5603132275533</v>
      </c>
      <c r="H322" s="1108"/>
      <c r="I322" s="1114">
        <v>0</v>
      </c>
      <c r="J322" s="1115">
        <v>0</v>
      </c>
      <c r="K322" s="1114">
        <v>0</v>
      </c>
      <c r="L322" s="1108">
        <f>'1.2 Budgeted Enrollment YR1'!L322</f>
        <v>0</v>
      </c>
      <c r="M322" s="1104"/>
      <c r="N322" s="875"/>
    </row>
    <row r="323" spans="1:14" ht="16.5" thickTop="1" thickBot="1" x14ac:dyDescent="0.3">
      <c r="A323" s="968" t="str">
        <f>'1.2 Budgeted Enrollment YR1'!A323</f>
        <v>Clark</v>
      </c>
      <c r="B323" s="971">
        <f>'1.2 Budgeted Enrollment YR1'!B323</f>
        <v>2</v>
      </c>
      <c r="C323" s="971">
        <f>'1.2 Budgeted Enrollment YR1'!C323</f>
        <v>2</v>
      </c>
      <c r="D323" s="971" t="str">
        <f>'1.2 Budgeted Enrollment YR1'!D323</f>
        <v>Las Vegas</v>
      </c>
      <c r="E323" s="968" t="str">
        <f>'1.2 Budgeted Enrollment YR1'!E323</f>
        <v>Las Vegas HS</v>
      </c>
      <c r="F323" s="1061"/>
      <c r="G323" s="1108">
        <f>'1.2 Budgeted Enrollment YR1'!G323+('1.2 Budgeted Enrollment YR1'!G323*$G$7)</f>
        <v>2463.0114804850773</v>
      </c>
      <c r="H323" s="1108"/>
      <c r="I323" s="1114">
        <v>0</v>
      </c>
      <c r="J323" s="1115">
        <v>0</v>
      </c>
      <c r="K323" s="1114">
        <v>0</v>
      </c>
      <c r="L323" s="1108">
        <f>'1.2 Budgeted Enrollment YR1'!L323</f>
        <v>0</v>
      </c>
      <c r="M323" s="1104"/>
      <c r="N323" s="875"/>
    </row>
    <row r="324" spans="1:14" ht="16.5" thickTop="1" thickBot="1" x14ac:dyDescent="0.3">
      <c r="A324" s="968" t="str">
        <f>'1.2 Budgeted Enrollment YR1'!A324</f>
        <v>Clark</v>
      </c>
      <c r="B324" s="971">
        <f>'1.2 Budgeted Enrollment YR1'!B324</f>
        <v>2</v>
      </c>
      <c r="C324" s="971">
        <f>'1.2 Budgeted Enrollment YR1'!C324</f>
        <v>2</v>
      </c>
      <c r="D324" s="971" t="str">
        <f>'1.2 Budgeted Enrollment YR1'!D324</f>
        <v>Laughlin</v>
      </c>
      <c r="E324" s="968" t="str">
        <f>'1.2 Budgeted Enrollment YR1'!E324</f>
        <v>Laughlin J-SHS</v>
      </c>
      <c r="F324" s="1061"/>
      <c r="G324" s="1108">
        <f>'1.2 Budgeted Enrollment YR1'!G324+('1.2 Budgeted Enrollment YR1'!G324*$G$7)</f>
        <v>317.07915058744555</v>
      </c>
      <c r="H324" s="1108"/>
      <c r="I324" s="1114">
        <v>0</v>
      </c>
      <c r="J324" s="1115">
        <v>0</v>
      </c>
      <c r="K324" s="1114">
        <v>0</v>
      </c>
      <c r="L324" s="1108">
        <f>'1.2 Budgeted Enrollment YR1'!L324</f>
        <v>0</v>
      </c>
      <c r="M324" s="1104"/>
      <c r="N324" s="875"/>
    </row>
    <row r="325" spans="1:14" ht="16.5" thickTop="1" thickBot="1" x14ac:dyDescent="0.3">
      <c r="A325" s="968" t="str">
        <f>'1.2 Budgeted Enrollment YR1'!A325</f>
        <v>Clark</v>
      </c>
      <c r="B325" s="971">
        <f>'1.2 Budgeted Enrollment YR1'!B325</f>
        <v>2</v>
      </c>
      <c r="C325" s="971">
        <f>'1.2 Budgeted Enrollment YR1'!C325</f>
        <v>2</v>
      </c>
      <c r="D325" s="971" t="str">
        <f>'1.2 Budgeted Enrollment YR1'!D325</f>
        <v>Las Vegas</v>
      </c>
      <c r="E325" s="968" t="str">
        <f>'1.2 Budgeted Enrollment YR1'!E325</f>
        <v>Lawrence, Clifford J JHS</v>
      </c>
      <c r="F325" s="1061"/>
      <c r="G325" s="1108">
        <f>'1.2 Budgeted Enrollment YR1'!G325+('1.2 Budgeted Enrollment YR1'!G325*$G$7)</f>
        <v>1238.9309152234941</v>
      </c>
      <c r="H325" s="1108"/>
      <c r="I325" s="1114">
        <v>0</v>
      </c>
      <c r="J325" s="1115">
        <v>0</v>
      </c>
      <c r="K325" s="1114">
        <v>0</v>
      </c>
      <c r="L325" s="1108">
        <f>'1.2 Budgeted Enrollment YR1'!L325</f>
        <v>0</v>
      </c>
      <c r="M325" s="1104"/>
      <c r="N325" s="875"/>
    </row>
    <row r="326" spans="1:14" ht="16.5" thickTop="1" thickBot="1" x14ac:dyDescent="0.3">
      <c r="A326" s="968" t="str">
        <f>'1.2 Budgeted Enrollment YR1'!A326</f>
        <v>Clark</v>
      </c>
      <c r="B326" s="971">
        <f>'1.2 Budgeted Enrollment YR1'!B326</f>
        <v>2</v>
      </c>
      <c r="C326" s="971">
        <f>'1.2 Budgeted Enrollment YR1'!C326</f>
        <v>2</v>
      </c>
      <c r="D326" s="971" t="str">
        <f>'1.2 Budgeted Enrollment YR1'!D326</f>
        <v>Las Vegas</v>
      </c>
      <c r="E326" s="968" t="str">
        <f>'1.2 Budgeted Enrollment YR1'!E326</f>
        <v>Leavitt, Justice Myron E MS</v>
      </c>
      <c r="F326" s="1061"/>
      <c r="G326" s="1108">
        <f>'1.2 Budgeted Enrollment YR1'!G326+('1.2 Budgeted Enrollment YR1'!G326*$G$7)</f>
        <v>1386.1868451944097</v>
      </c>
      <c r="H326" s="1108"/>
      <c r="I326" s="1114">
        <v>0</v>
      </c>
      <c r="J326" s="1115">
        <v>0</v>
      </c>
      <c r="K326" s="1114">
        <v>0</v>
      </c>
      <c r="L326" s="1108">
        <f>'1.2 Budgeted Enrollment YR1'!L326</f>
        <v>0</v>
      </c>
      <c r="M326" s="1104"/>
      <c r="N326" s="875"/>
    </row>
    <row r="327" spans="1:14" ht="16.5" thickTop="1" thickBot="1" x14ac:dyDescent="0.3">
      <c r="A327" s="968" t="str">
        <f>'1.2 Budgeted Enrollment YR1'!A327</f>
        <v>Clark</v>
      </c>
      <c r="B327" s="971">
        <f>'1.2 Budgeted Enrollment YR1'!B327</f>
        <v>2</v>
      </c>
      <c r="C327" s="971">
        <f>'1.2 Budgeted Enrollment YR1'!C327</f>
        <v>2</v>
      </c>
      <c r="D327" s="971" t="str">
        <f>'1.2 Budgeted Enrollment YR1'!D327</f>
        <v>Las Vegas</v>
      </c>
      <c r="E327" s="968" t="str">
        <f>'1.2 Budgeted Enrollment YR1'!E327</f>
        <v>Legacy HS</v>
      </c>
      <c r="F327" s="1061"/>
      <c r="G327" s="1108">
        <f>'1.2 Budgeted Enrollment YR1'!G327+('1.2 Budgeted Enrollment YR1'!G327*$G$7)</f>
        <v>2539.124332425602</v>
      </c>
      <c r="H327" s="1108"/>
      <c r="I327" s="1114">
        <v>0</v>
      </c>
      <c r="J327" s="1115">
        <v>0</v>
      </c>
      <c r="K327" s="1114">
        <v>0</v>
      </c>
      <c r="L327" s="1108">
        <f>'1.2 Budgeted Enrollment YR1'!L327</f>
        <v>0</v>
      </c>
      <c r="M327" s="1104"/>
      <c r="N327" s="875"/>
    </row>
    <row r="328" spans="1:14" ht="16.5" thickTop="1" thickBot="1" x14ac:dyDescent="0.3">
      <c r="A328" s="968" t="str">
        <f>'1.2 Budgeted Enrollment YR1'!A328</f>
        <v>Clark</v>
      </c>
      <c r="B328" s="971">
        <f>'1.2 Budgeted Enrollment YR1'!B328</f>
        <v>2</v>
      </c>
      <c r="C328" s="971">
        <f>'1.2 Budgeted Enrollment YR1'!C328</f>
        <v>2</v>
      </c>
      <c r="D328" s="971" t="str">
        <f>'1.2 Budgeted Enrollment YR1'!D328</f>
        <v>Las Vegas</v>
      </c>
      <c r="E328" s="968" t="str">
        <f>'1.2 Budgeted Enrollment YR1'!E328</f>
        <v>Liberty HS</v>
      </c>
      <c r="F328" s="1061"/>
      <c r="G328" s="1108">
        <f>'1.2 Budgeted Enrollment YR1'!G328+('1.2 Budgeted Enrollment YR1'!G328*$G$7)</f>
        <v>3194.1150889918431</v>
      </c>
      <c r="H328" s="1108"/>
      <c r="I328" s="1114">
        <v>0</v>
      </c>
      <c r="J328" s="1115">
        <v>0</v>
      </c>
      <c r="K328" s="1114">
        <v>0</v>
      </c>
      <c r="L328" s="1108">
        <f>'1.2 Budgeted Enrollment YR1'!L328</f>
        <v>0</v>
      </c>
      <c r="M328" s="1104"/>
      <c r="N328" s="875"/>
    </row>
    <row r="329" spans="1:14" ht="16.5" thickTop="1" thickBot="1" x14ac:dyDescent="0.3">
      <c r="A329" s="968" t="str">
        <f>'1.2 Budgeted Enrollment YR1'!A329</f>
        <v>Clark</v>
      </c>
      <c r="B329" s="971">
        <f>'1.2 Budgeted Enrollment YR1'!B329</f>
        <v>2</v>
      </c>
      <c r="C329" s="971">
        <f>'1.2 Budgeted Enrollment YR1'!C329</f>
        <v>2</v>
      </c>
      <c r="D329" s="971" t="str">
        <f>'1.2 Budgeted Enrollment YR1'!D329</f>
        <v>Las Vegas</v>
      </c>
      <c r="E329" s="968" t="str">
        <f>'1.2 Budgeted Enrollment YR1'!E329</f>
        <v>Lied STEM Academy MS</v>
      </c>
      <c r="F329" s="1061"/>
      <c r="G329" s="1108">
        <f>'1.2 Budgeted Enrollment YR1'!G329+('1.2 Budgeted Enrollment YR1'!G329*$G$7)</f>
        <v>1539.8915067753906</v>
      </c>
      <c r="H329" s="1108"/>
      <c r="I329" s="1114">
        <v>0</v>
      </c>
      <c r="J329" s="1115">
        <v>0</v>
      </c>
      <c r="K329" s="1114">
        <v>0</v>
      </c>
      <c r="L329" s="1108">
        <f>'1.2 Budgeted Enrollment YR1'!L329</f>
        <v>0</v>
      </c>
      <c r="M329" s="1104"/>
      <c r="N329" s="875"/>
    </row>
    <row r="330" spans="1:14" ht="16.5" thickTop="1" thickBot="1" x14ac:dyDescent="0.3">
      <c r="A330" s="968" t="str">
        <f>'1.2 Budgeted Enrollment YR1'!A330</f>
        <v>Clark</v>
      </c>
      <c r="B330" s="971">
        <f>'1.2 Budgeted Enrollment YR1'!B330</f>
        <v>2</v>
      </c>
      <c r="C330" s="971">
        <f>'1.2 Budgeted Enrollment YR1'!C330</f>
        <v>2</v>
      </c>
      <c r="D330" s="971" t="str">
        <f>'1.2 Budgeted Enrollment YR1'!D330</f>
        <v>Las Vegas</v>
      </c>
      <c r="E330" s="968" t="str">
        <f>'1.2 Budgeted Enrollment YR1'!E330</f>
        <v>Lincoln ES</v>
      </c>
      <c r="F330" s="1061"/>
      <c r="G330" s="1108">
        <f>'1.2 Budgeted Enrollment YR1'!G330+('1.2 Budgeted Enrollment YR1'!G330*$G$7)</f>
        <v>565.45058865555802</v>
      </c>
      <c r="H330" s="1108"/>
      <c r="I330" s="1114">
        <v>0</v>
      </c>
      <c r="J330" s="1115">
        <v>0</v>
      </c>
      <c r="K330" s="1114">
        <v>0</v>
      </c>
      <c r="L330" s="1108">
        <f>'1.2 Budgeted Enrollment YR1'!L330</f>
        <v>0</v>
      </c>
      <c r="M330" s="1104"/>
      <c r="N330" s="875"/>
    </row>
    <row r="331" spans="1:14" ht="16.5" thickTop="1" thickBot="1" x14ac:dyDescent="0.3">
      <c r="A331" s="968" t="str">
        <f>'1.2 Budgeted Enrollment YR1'!A331</f>
        <v>Clark</v>
      </c>
      <c r="B331" s="971">
        <f>'1.2 Budgeted Enrollment YR1'!B331</f>
        <v>2</v>
      </c>
      <c r="C331" s="971">
        <f>'1.2 Budgeted Enrollment YR1'!C331</f>
        <v>2</v>
      </c>
      <c r="D331" s="971" t="str">
        <f>'1.2 Budgeted Enrollment YR1'!D331</f>
        <v>Las Vegas</v>
      </c>
      <c r="E331" s="968" t="str">
        <f>'1.2 Budgeted Enrollment YR1'!E331</f>
        <v>Long, Walter V ES</v>
      </c>
      <c r="F331" s="1061"/>
      <c r="G331" s="1108">
        <f>'1.2 Budgeted Enrollment YR1'!G331+('1.2 Budgeted Enrollment YR1'!G331*$G$7)</f>
        <v>697.52957591289146</v>
      </c>
      <c r="H331" s="1108"/>
      <c r="I331" s="1114">
        <v>0</v>
      </c>
      <c r="J331" s="1115">
        <v>0</v>
      </c>
      <c r="K331" s="1114">
        <v>0</v>
      </c>
      <c r="L331" s="1108">
        <f>'1.2 Budgeted Enrollment YR1'!L331</f>
        <v>0</v>
      </c>
      <c r="M331" s="1104"/>
      <c r="N331" s="875"/>
    </row>
    <row r="332" spans="1:14" ht="16.5" thickTop="1" thickBot="1" x14ac:dyDescent="0.3">
      <c r="A332" s="968" t="str">
        <f>'1.2 Budgeted Enrollment YR1'!A332</f>
        <v>Clark</v>
      </c>
      <c r="B332" s="971">
        <f>'1.2 Budgeted Enrollment YR1'!B332</f>
        <v>2</v>
      </c>
      <c r="C332" s="971">
        <f>'1.2 Budgeted Enrollment YR1'!C332</f>
        <v>2</v>
      </c>
      <c r="D332" s="971" t="str">
        <f>'1.2 Budgeted Enrollment YR1'!D332</f>
        <v>Las Vegas</v>
      </c>
      <c r="E332" s="968" t="str">
        <f>'1.2 Budgeted Enrollment YR1'!E332</f>
        <v>Lowman, Mary &amp; Zel ES</v>
      </c>
      <c r="F332" s="1061"/>
      <c r="G332" s="1108">
        <f>'1.2 Budgeted Enrollment YR1'!G332+('1.2 Budgeted Enrollment YR1'!G332*$G$7)</f>
        <v>638.30394714680858</v>
      </c>
      <c r="H332" s="1108"/>
      <c r="I332" s="1114">
        <v>0</v>
      </c>
      <c r="J332" s="1115">
        <v>0</v>
      </c>
      <c r="K332" s="1114">
        <v>0</v>
      </c>
      <c r="L332" s="1108">
        <f>'1.2 Budgeted Enrollment YR1'!L332</f>
        <v>0</v>
      </c>
      <c r="M332" s="1104"/>
      <c r="N332" s="875"/>
    </row>
    <row r="333" spans="1:14" ht="16.5" thickTop="1" thickBot="1" x14ac:dyDescent="0.3">
      <c r="A333" s="968" t="str">
        <f>'1.2 Budgeted Enrollment YR1'!A333</f>
        <v>Clark</v>
      </c>
      <c r="B333" s="971">
        <f>'1.2 Budgeted Enrollment YR1'!B333</f>
        <v>2</v>
      </c>
      <c r="C333" s="971">
        <f>'1.2 Budgeted Enrollment YR1'!C333</f>
        <v>2</v>
      </c>
      <c r="D333" s="971" t="str">
        <f>'1.2 Budgeted Enrollment YR1'!D333</f>
        <v>Las Vegas</v>
      </c>
      <c r="E333" s="968" t="str">
        <f>'1.2 Budgeted Enrollment YR1'!E333</f>
        <v>Lummis, William ES</v>
      </c>
      <c r="F333" s="1061"/>
      <c r="G333" s="1108">
        <f>'1.2 Budgeted Enrollment YR1'!G333+('1.2 Budgeted Enrollment YR1'!G333*$G$7)</f>
        <v>452.17838446800033</v>
      </c>
      <c r="H333" s="1108"/>
      <c r="I333" s="1114">
        <v>0</v>
      </c>
      <c r="J333" s="1115">
        <v>0</v>
      </c>
      <c r="K333" s="1114">
        <v>0</v>
      </c>
      <c r="L333" s="1108">
        <f>'1.2 Budgeted Enrollment YR1'!L333</f>
        <v>0</v>
      </c>
      <c r="M333" s="1104"/>
      <c r="N333" s="875"/>
    </row>
    <row r="334" spans="1:14" ht="16.5" thickTop="1" thickBot="1" x14ac:dyDescent="0.3">
      <c r="A334" s="968" t="str">
        <f>'1.2 Budgeted Enrollment YR1'!A334</f>
        <v>Clark</v>
      </c>
      <c r="B334" s="971">
        <f>'1.2 Budgeted Enrollment YR1'!B334</f>
        <v>2</v>
      </c>
      <c r="C334" s="971">
        <f>'1.2 Budgeted Enrollment YR1'!C334</f>
        <v>2</v>
      </c>
      <c r="D334" s="971" t="str">
        <f>'1.2 Budgeted Enrollment YR1'!D334</f>
        <v>Lundy</v>
      </c>
      <c r="E334" s="968" t="str">
        <f>'1.2 Budgeted Enrollment YR1'!E334</f>
        <v>Lundy, Earl B ES</v>
      </c>
      <c r="F334" s="1061"/>
      <c r="G334" s="1108">
        <f>'1.2 Budgeted Enrollment YR1'!G334+('1.2 Budgeted Enrollment YR1'!G334*$G$7)</f>
        <v>1.016159552142015</v>
      </c>
      <c r="H334" s="1108"/>
      <c r="I334" s="1114">
        <v>0</v>
      </c>
      <c r="J334" s="1115">
        <v>0</v>
      </c>
      <c r="K334" s="1114">
        <v>0</v>
      </c>
      <c r="L334" s="1108">
        <f>'1.2 Budgeted Enrollment YR1'!L334</f>
        <v>0</v>
      </c>
      <c r="M334" s="1104"/>
      <c r="N334" s="875"/>
    </row>
    <row r="335" spans="1:14" ht="16.5" thickTop="1" thickBot="1" x14ac:dyDescent="0.3">
      <c r="A335" s="968" t="str">
        <f>'1.2 Budgeted Enrollment YR1'!A335</f>
        <v>Clark</v>
      </c>
      <c r="B335" s="971">
        <f>'1.2 Budgeted Enrollment YR1'!B335</f>
        <v>2</v>
      </c>
      <c r="C335" s="971">
        <f>'1.2 Budgeted Enrollment YR1'!C335</f>
        <v>2</v>
      </c>
      <c r="D335" s="971" t="str">
        <f>'1.2 Budgeted Enrollment YR1'!D335</f>
        <v>Las Vegas</v>
      </c>
      <c r="E335" s="968" t="str">
        <f>'1.2 Budgeted Enrollment YR1'!E335</f>
        <v>Lunt, Robert ES</v>
      </c>
      <c r="F335" s="1061"/>
      <c r="G335" s="1108">
        <f>'1.2 Budgeted Enrollment YR1'!G335+('1.2 Budgeted Enrollment YR1'!G335*$G$7)</f>
        <v>411.86030260258718</v>
      </c>
      <c r="H335" s="1108"/>
      <c r="I335" s="1114">
        <v>0</v>
      </c>
      <c r="J335" s="1115">
        <v>0</v>
      </c>
      <c r="K335" s="1114">
        <v>0</v>
      </c>
      <c r="L335" s="1108">
        <f>'1.2 Budgeted Enrollment YR1'!L335</f>
        <v>0</v>
      </c>
      <c r="M335" s="1104"/>
      <c r="N335" s="875"/>
    </row>
    <row r="336" spans="1:14" ht="16.5" thickTop="1" thickBot="1" x14ac:dyDescent="0.3">
      <c r="A336" s="968" t="str">
        <f>'1.2 Budgeted Enrollment YR1'!A336</f>
        <v>Clark</v>
      </c>
      <c r="B336" s="971">
        <f>'1.2 Budgeted Enrollment YR1'!B336</f>
        <v>2</v>
      </c>
      <c r="C336" s="971">
        <f>'1.2 Budgeted Enrollment YR1'!C336</f>
        <v>2</v>
      </c>
      <c r="D336" s="971" t="str">
        <f>'1.2 Budgeted Enrollment YR1'!D336</f>
        <v>Las Vegas</v>
      </c>
      <c r="E336" s="968" t="str">
        <f>'1.2 Budgeted Enrollment YR1'!E336</f>
        <v>Lynch, Ann ES</v>
      </c>
      <c r="F336" s="1061"/>
      <c r="G336" s="1108">
        <f>'1.2 Budgeted Enrollment YR1'!G336+('1.2 Budgeted Enrollment YR1'!G336*$G$7)</f>
        <v>396.14849292372492</v>
      </c>
      <c r="H336" s="1108"/>
      <c r="I336" s="1114">
        <v>0</v>
      </c>
      <c r="J336" s="1115">
        <v>0</v>
      </c>
      <c r="K336" s="1114">
        <v>0</v>
      </c>
      <c r="L336" s="1108">
        <f>'1.2 Budgeted Enrollment YR1'!L336</f>
        <v>0</v>
      </c>
      <c r="M336" s="1104"/>
      <c r="N336" s="875"/>
    </row>
    <row r="337" spans="1:14" ht="16.5" thickTop="1" thickBot="1" x14ac:dyDescent="0.3">
      <c r="A337" s="968" t="str">
        <f>'1.2 Budgeted Enrollment YR1'!A337</f>
        <v>Clark</v>
      </c>
      <c r="B337" s="971">
        <f>'1.2 Budgeted Enrollment YR1'!B337</f>
        <v>2</v>
      </c>
      <c r="C337" s="971">
        <f>'1.2 Budgeted Enrollment YR1'!C337</f>
        <v>2</v>
      </c>
      <c r="D337" s="971" t="str">
        <f>'1.2 Budgeted Enrollment YR1'!D337</f>
        <v>Moapa Valley</v>
      </c>
      <c r="E337" s="968" t="str">
        <f>'1.2 Budgeted Enrollment YR1'!E337</f>
        <v>Lyon, Mack MS</v>
      </c>
      <c r="F337" s="1061"/>
      <c r="G337" s="1108">
        <f>'1.2 Budgeted Enrollment YR1'!G337+('1.2 Budgeted Enrollment YR1'!G337*$G$7)</f>
        <v>404.88660474932152</v>
      </c>
      <c r="H337" s="1108"/>
      <c r="I337" s="1114">
        <v>0</v>
      </c>
      <c r="J337" s="1115">
        <v>0</v>
      </c>
      <c r="K337" s="1114">
        <v>0</v>
      </c>
      <c r="L337" s="1108">
        <f>'1.2 Budgeted Enrollment YR1'!L337</f>
        <v>0</v>
      </c>
      <c r="M337" s="1104"/>
      <c r="N337" s="875"/>
    </row>
    <row r="338" spans="1:14" ht="16.5" thickTop="1" thickBot="1" x14ac:dyDescent="0.3">
      <c r="A338" s="968" t="str">
        <f>'1.2 Budgeted Enrollment YR1'!A338</f>
        <v>Clark</v>
      </c>
      <c r="B338" s="971">
        <f>'1.2 Budgeted Enrollment YR1'!B338</f>
        <v>2</v>
      </c>
      <c r="C338" s="971">
        <f>'1.2 Budgeted Enrollment YR1'!C338</f>
        <v>2</v>
      </c>
      <c r="D338" s="971" t="str">
        <f>'1.2 Budgeted Enrollment YR1'!D338</f>
        <v>Las Vegas</v>
      </c>
      <c r="E338" s="968" t="str">
        <f>'1.2 Budgeted Enrollment YR1'!E338</f>
        <v>Mack, Jerome MS</v>
      </c>
      <c r="F338" s="1061"/>
      <c r="G338" s="1108">
        <f>'1.2 Budgeted Enrollment YR1'!G338+('1.2 Budgeted Enrollment YR1'!G338*$G$7)</f>
        <v>938.59107906159556</v>
      </c>
      <c r="H338" s="1108"/>
      <c r="I338" s="1114">
        <v>0</v>
      </c>
      <c r="J338" s="1115">
        <v>0</v>
      </c>
      <c r="K338" s="1114">
        <v>0</v>
      </c>
      <c r="L338" s="1108">
        <f>'1.2 Budgeted Enrollment YR1'!L338</f>
        <v>0</v>
      </c>
      <c r="M338" s="1104"/>
      <c r="N338" s="875"/>
    </row>
    <row r="339" spans="1:14" ht="16.5" thickTop="1" thickBot="1" x14ac:dyDescent="0.3">
      <c r="A339" s="968" t="str">
        <f>'1.2 Budgeted Enrollment YR1'!A339</f>
        <v>Clark</v>
      </c>
      <c r="B339" s="971">
        <f>'1.2 Budgeted Enrollment YR1'!B339</f>
        <v>2</v>
      </c>
      <c r="C339" s="971">
        <f>'1.2 Budgeted Enrollment YR1'!C339</f>
        <v>2</v>
      </c>
      <c r="D339" s="971" t="str">
        <f>'1.2 Budgeted Enrollment YR1'!D339</f>
        <v>Las Vegas</v>
      </c>
      <c r="E339" s="968" t="str">
        <f>'1.2 Budgeted Enrollment YR1'!E339</f>
        <v>Mack, Nate ES</v>
      </c>
      <c r="F339" s="1061"/>
      <c r="G339" s="1108">
        <f>'1.2 Budgeted Enrollment YR1'!G339+('1.2 Budgeted Enrollment YR1'!G339*$G$7)</f>
        <v>495.33382141200156</v>
      </c>
      <c r="H339" s="1108"/>
      <c r="I339" s="1114">
        <v>0</v>
      </c>
      <c r="J339" s="1115">
        <v>0</v>
      </c>
      <c r="K339" s="1114">
        <v>0</v>
      </c>
      <c r="L339" s="1108">
        <f>'1.2 Budgeted Enrollment YR1'!L339</f>
        <v>0</v>
      </c>
      <c r="M339" s="1104"/>
      <c r="N339" s="875"/>
    </row>
    <row r="340" spans="1:14" ht="16.5" thickTop="1" thickBot="1" x14ac:dyDescent="0.3">
      <c r="A340" s="968" t="str">
        <f>'1.2 Budgeted Enrollment YR1'!A340</f>
        <v>Clark</v>
      </c>
      <c r="B340" s="971">
        <f>'1.2 Budgeted Enrollment YR1'!B340</f>
        <v>2</v>
      </c>
      <c r="C340" s="971">
        <f>'1.2 Budgeted Enrollment YR1'!C340</f>
        <v>2</v>
      </c>
      <c r="D340" s="971" t="str">
        <f>'1.2 Budgeted Enrollment YR1'!D340</f>
        <v>Las Vegas</v>
      </c>
      <c r="E340" s="968" t="str">
        <f>'1.2 Budgeted Enrollment YR1'!E340</f>
        <v>Mackey, Jo ES</v>
      </c>
      <c r="F340" s="1061"/>
      <c r="G340" s="1108">
        <f>'1.2 Budgeted Enrollment YR1'!G340+('1.2 Budgeted Enrollment YR1'!G340*$G$7)</f>
        <v>490.88870482740003</v>
      </c>
      <c r="H340" s="1108"/>
      <c r="I340" s="1114">
        <v>0</v>
      </c>
      <c r="J340" s="1115">
        <v>0</v>
      </c>
      <c r="K340" s="1114">
        <v>0</v>
      </c>
      <c r="L340" s="1108">
        <f>'1.2 Budgeted Enrollment YR1'!L340</f>
        <v>0</v>
      </c>
      <c r="M340" s="1104"/>
      <c r="N340" s="875"/>
    </row>
    <row r="341" spans="1:14" ht="16.5" thickTop="1" thickBot="1" x14ac:dyDescent="0.3">
      <c r="A341" s="968" t="str">
        <f>'1.2 Budgeted Enrollment YR1'!A341</f>
        <v>Clark</v>
      </c>
      <c r="B341" s="971">
        <f>'1.2 Budgeted Enrollment YR1'!B341</f>
        <v>2</v>
      </c>
      <c r="C341" s="971">
        <f>'1.2 Budgeted Enrollment YR1'!C341</f>
        <v>2</v>
      </c>
      <c r="D341" s="971" t="str">
        <f>'1.2 Budgeted Enrollment YR1'!D341</f>
        <v>Las Vegas</v>
      </c>
      <c r="E341" s="968" t="str">
        <f>'1.2 Budgeted Enrollment YR1'!E341</f>
        <v>Mackey, Jo MS</v>
      </c>
      <c r="F341" s="1061"/>
      <c r="G341" s="1108">
        <f>'1.2 Budgeted Enrollment YR1'!G341+('1.2 Budgeted Enrollment YR1'!G341*$G$7)</f>
        <v>247.11480429205847</v>
      </c>
      <c r="H341" s="1108"/>
      <c r="I341" s="1114">
        <v>0</v>
      </c>
      <c r="J341" s="1115">
        <v>0</v>
      </c>
      <c r="K341" s="1114">
        <v>0</v>
      </c>
      <c r="L341" s="1108">
        <f>'1.2 Budgeted Enrollment YR1'!L341</f>
        <v>0</v>
      </c>
      <c r="M341" s="1104"/>
      <c r="N341" s="875"/>
    </row>
    <row r="342" spans="1:14" ht="16.5" thickTop="1" thickBot="1" x14ac:dyDescent="0.3">
      <c r="A342" s="968" t="str">
        <f>'1.2 Budgeted Enrollment YR1'!A342</f>
        <v>Clark</v>
      </c>
      <c r="B342" s="971">
        <f>'1.2 Budgeted Enrollment YR1'!B342</f>
        <v>2</v>
      </c>
      <c r="C342" s="971">
        <f>'1.2 Budgeted Enrollment YR1'!C342</f>
        <v>2</v>
      </c>
      <c r="D342" s="971" t="str">
        <f>'1.2 Budgeted Enrollment YR1'!D342</f>
        <v>Las Vegas</v>
      </c>
      <c r="E342" s="968" t="str">
        <f>'1.2 Budgeted Enrollment YR1'!E342</f>
        <v>Manch, J E ES</v>
      </c>
      <c r="F342" s="1061"/>
      <c r="G342" s="1108">
        <f>'1.2 Budgeted Enrollment YR1'!G342+('1.2 Budgeted Enrollment YR1'!G342*$G$7)</f>
        <v>630.89348924924832</v>
      </c>
      <c r="H342" s="1108"/>
      <c r="I342" s="1114">
        <v>0</v>
      </c>
      <c r="J342" s="1115">
        <v>0</v>
      </c>
      <c r="K342" s="1114">
        <v>0</v>
      </c>
      <c r="L342" s="1108">
        <f>'1.2 Budgeted Enrollment YR1'!L342</f>
        <v>0</v>
      </c>
      <c r="M342" s="1104"/>
      <c r="N342" s="875"/>
    </row>
    <row r="343" spans="1:14" ht="16.5" thickTop="1" thickBot="1" x14ac:dyDescent="0.3">
      <c r="A343" s="968" t="str">
        <f>'1.2 Budgeted Enrollment YR1'!A343</f>
        <v>Clark</v>
      </c>
      <c r="B343" s="971">
        <f>'1.2 Budgeted Enrollment YR1'!B343</f>
        <v>2</v>
      </c>
      <c r="C343" s="971">
        <f>'1.2 Budgeted Enrollment YR1'!C343</f>
        <v>2</v>
      </c>
      <c r="D343" s="971" t="str">
        <f>'1.2 Budgeted Enrollment YR1'!D343</f>
        <v>Las Vegas</v>
      </c>
      <c r="E343" s="968" t="str">
        <f>'1.2 Budgeted Enrollment YR1'!E343</f>
        <v>Mannion, Jack &amp; Terry MS</v>
      </c>
      <c r="F343" s="1061"/>
      <c r="G343" s="1108">
        <f>'1.2 Budgeted Enrollment YR1'!G343+('1.2 Budgeted Enrollment YR1'!G343*$G$7)</f>
        <v>1368.5511060897777</v>
      </c>
      <c r="H343" s="1108"/>
      <c r="I343" s="1114">
        <v>0</v>
      </c>
      <c r="J343" s="1115">
        <v>0</v>
      </c>
      <c r="K343" s="1114">
        <v>0</v>
      </c>
      <c r="L343" s="1108">
        <f>'1.2 Budgeted Enrollment YR1'!L343</f>
        <v>0</v>
      </c>
      <c r="M343" s="1104"/>
      <c r="N343" s="875"/>
    </row>
    <row r="344" spans="1:14" ht="16.5" thickTop="1" thickBot="1" x14ac:dyDescent="0.3">
      <c r="A344" s="968" t="str">
        <f>'1.2 Budgeted Enrollment YR1'!A344</f>
        <v>Clark</v>
      </c>
      <c r="B344" s="971">
        <f>'1.2 Budgeted Enrollment YR1'!B344</f>
        <v>2</v>
      </c>
      <c r="C344" s="971">
        <f>'1.2 Budgeted Enrollment YR1'!C344</f>
        <v>2</v>
      </c>
      <c r="D344" s="971" t="str">
        <f>'1.2 Budgeted Enrollment YR1'!D344</f>
        <v>Las Vegas</v>
      </c>
      <c r="E344" s="968" t="str">
        <f>'1.2 Budgeted Enrollment YR1'!E344</f>
        <v>Martin, Roy W MS</v>
      </c>
      <c r="F344" s="1061"/>
      <c r="G344" s="1108">
        <f>'1.2 Budgeted Enrollment YR1'!G344+('1.2 Budgeted Enrollment YR1'!G344*$G$7)</f>
        <v>1182.5979129305413</v>
      </c>
      <c r="H344" s="1108"/>
      <c r="I344" s="1114">
        <v>0</v>
      </c>
      <c r="J344" s="1115">
        <v>0</v>
      </c>
      <c r="K344" s="1114">
        <v>0</v>
      </c>
      <c r="L344" s="1108">
        <f>'1.2 Budgeted Enrollment YR1'!L344</f>
        <v>0</v>
      </c>
      <c r="M344" s="1104"/>
      <c r="N344" s="875"/>
    </row>
    <row r="345" spans="1:14" ht="16.5" thickTop="1" thickBot="1" x14ac:dyDescent="0.3">
      <c r="A345" s="968" t="str">
        <f>'1.2 Budgeted Enrollment YR1'!A345</f>
        <v>Clark</v>
      </c>
      <c r="B345" s="971">
        <f>'1.2 Budgeted Enrollment YR1'!B345</f>
        <v>2</v>
      </c>
      <c r="C345" s="971">
        <f>'1.2 Budgeted Enrollment YR1'!C345</f>
        <v>2</v>
      </c>
      <c r="D345" s="971" t="str">
        <f>'1.2 Budgeted Enrollment YR1'!D345</f>
        <v>Las Vegas</v>
      </c>
      <c r="E345" s="968" t="str">
        <f>'1.2 Budgeted Enrollment YR1'!E345</f>
        <v>Martinez, Reynaldo L ES</v>
      </c>
      <c r="F345" s="1061"/>
      <c r="G345" s="1108">
        <f>'1.2 Budgeted Enrollment YR1'!G345+('1.2 Budgeted Enrollment YR1'!G345*$G$7)</f>
        <v>394.38327039556123</v>
      </c>
      <c r="H345" s="1108"/>
      <c r="I345" s="1114">
        <v>0</v>
      </c>
      <c r="J345" s="1115">
        <v>0</v>
      </c>
      <c r="K345" s="1114">
        <v>0</v>
      </c>
      <c r="L345" s="1108">
        <f>'1.2 Budgeted Enrollment YR1'!L345</f>
        <v>0</v>
      </c>
      <c r="M345" s="1104"/>
      <c r="N345" s="875"/>
    </row>
    <row r="346" spans="1:14" ht="16.5" thickTop="1" thickBot="1" x14ac:dyDescent="0.3">
      <c r="A346" s="968" t="str">
        <f>'1.2 Budgeted Enrollment YR1'!A346</f>
        <v>Clark</v>
      </c>
      <c r="B346" s="971">
        <f>'1.2 Budgeted Enrollment YR1'!B346</f>
        <v>2</v>
      </c>
      <c r="C346" s="971">
        <f>'1.2 Budgeted Enrollment YR1'!C346</f>
        <v>2</v>
      </c>
      <c r="D346" s="971" t="str">
        <f>'1.2 Budgeted Enrollment YR1'!D346</f>
        <v>Las Vegas</v>
      </c>
      <c r="E346" s="968" t="str">
        <f>'1.2 Budgeted Enrollment YR1'!E346</f>
        <v>Mathis, Dr. Beverly S ES</v>
      </c>
      <c r="F346" s="1061"/>
      <c r="G346" s="1108">
        <f>'1.2 Budgeted Enrollment YR1'!G346+('1.2 Budgeted Enrollment YR1'!G346*$G$7)</f>
        <v>837.35547580298373</v>
      </c>
      <c r="H346" s="1108"/>
      <c r="I346" s="1114">
        <v>0</v>
      </c>
      <c r="J346" s="1115">
        <v>0</v>
      </c>
      <c r="K346" s="1114">
        <v>0</v>
      </c>
      <c r="L346" s="1108">
        <f>'1.2 Budgeted Enrollment YR1'!L346</f>
        <v>0</v>
      </c>
      <c r="M346" s="1104"/>
      <c r="N346" s="875"/>
    </row>
    <row r="347" spans="1:14" ht="16.5" thickTop="1" thickBot="1" x14ac:dyDescent="0.3">
      <c r="A347" s="968" t="str">
        <f>'1.2 Budgeted Enrollment YR1'!A347</f>
        <v>Clark</v>
      </c>
      <c r="B347" s="971">
        <f>'1.2 Budgeted Enrollment YR1'!B347</f>
        <v>2</v>
      </c>
      <c r="C347" s="971">
        <f>'1.2 Budgeted Enrollment YR1'!C347</f>
        <v>2</v>
      </c>
      <c r="D347" s="971" t="str">
        <f>'1.2 Budgeted Enrollment YR1'!D347</f>
        <v>Las Vegas</v>
      </c>
      <c r="E347" s="968" t="str">
        <f>'1.2 Budgeted Enrollment YR1'!E347</f>
        <v>May, Ernest ES</v>
      </c>
      <c r="F347" s="1061"/>
      <c r="G347" s="1108">
        <f>'1.2 Budgeted Enrollment YR1'!G347+('1.2 Budgeted Enrollment YR1'!G347*$G$7)</f>
        <v>551.29316450314525</v>
      </c>
      <c r="H347" s="1108"/>
      <c r="I347" s="1114">
        <v>0</v>
      </c>
      <c r="J347" s="1115">
        <v>0</v>
      </c>
      <c r="K347" s="1114">
        <v>0</v>
      </c>
      <c r="L347" s="1108">
        <f>'1.2 Budgeted Enrollment YR1'!L347</f>
        <v>0</v>
      </c>
      <c r="M347" s="1104"/>
      <c r="N347" s="875"/>
    </row>
    <row r="348" spans="1:14" ht="16.5" thickTop="1" thickBot="1" x14ac:dyDescent="0.3">
      <c r="A348" s="968" t="str">
        <f>'1.2 Budgeted Enrollment YR1'!A348</f>
        <v>Clark</v>
      </c>
      <c r="B348" s="971">
        <f>'1.2 Budgeted Enrollment YR1'!B348</f>
        <v>2</v>
      </c>
      <c r="C348" s="971">
        <f>'1.2 Budgeted Enrollment YR1'!C348</f>
        <v>2</v>
      </c>
      <c r="D348" s="971" t="str">
        <f>'1.2 Budgeted Enrollment YR1'!D348</f>
        <v>Las Vegas</v>
      </c>
      <c r="E348" s="968" t="str">
        <f>'1.2 Budgeted Enrollment YR1'!E348</f>
        <v>McCall, Quannah ES</v>
      </c>
      <c r="F348" s="1061"/>
      <c r="G348" s="1108">
        <f>'1.2 Budgeted Enrollment YR1'!G348+('1.2 Budgeted Enrollment YR1'!G348*$G$7)</f>
        <v>245.47986149893535</v>
      </c>
      <c r="H348" s="1108"/>
      <c r="I348" s="1114">
        <v>0</v>
      </c>
      <c r="J348" s="1115">
        <v>0</v>
      </c>
      <c r="K348" s="1114">
        <v>0</v>
      </c>
      <c r="L348" s="1108">
        <f>'1.2 Budgeted Enrollment YR1'!L348</f>
        <v>0</v>
      </c>
      <c r="M348" s="1104"/>
      <c r="N348" s="875"/>
    </row>
    <row r="349" spans="1:14" ht="16.5" thickTop="1" thickBot="1" x14ac:dyDescent="0.3">
      <c r="A349" s="968" t="str">
        <f>'1.2 Budgeted Enrollment YR1'!A349</f>
        <v>Clark</v>
      </c>
      <c r="B349" s="971">
        <f>'1.2 Budgeted Enrollment YR1'!B349</f>
        <v>2</v>
      </c>
      <c r="C349" s="971">
        <f>'1.2 Budgeted Enrollment YR1'!C349</f>
        <v>2</v>
      </c>
      <c r="D349" s="971" t="str">
        <f>'1.2 Budgeted Enrollment YR1'!D349</f>
        <v>Las Vegas</v>
      </c>
      <c r="E349" s="968" t="str">
        <f>'1.2 Budgeted Enrollment YR1'!E349</f>
        <v>McCaw, Gordon ES</v>
      </c>
      <c r="F349" s="1061"/>
      <c r="G349" s="1108">
        <f>'1.2 Budgeted Enrollment YR1'!G349+('1.2 Budgeted Enrollment YR1'!G349*$G$7)</f>
        <v>673.14347909712683</v>
      </c>
      <c r="H349" s="1108"/>
      <c r="I349" s="1114">
        <v>0</v>
      </c>
      <c r="J349" s="1115">
        <v>0</v>
      </c>
      <c r="K349" s="1114">
        <v>0</v>
      </c>
      <c r="L349" s="1108">
        <f>'1.2 Budgeted Enrollment YR1'!L349</f>
        <v>0</v>
      </c>
      <c r="M349" s="1104"/>
      <c r="N349" s="875"/>
    </row>
    <row r="350" spans="1:14" ht="16.5" thickTop="1" thickBot="1" x14ac:dyDescent="0.3">
      <c r="A350" s="968" t="str">
        <f>'1.2 Budgeted Enrollment YR1'!A350</f>
        <v>Clark</v>
      </c>
      <c r="B350" s="971">
        <f>'1.2 Budgeted Enrollment YR1'!B350</f>
        <v>2</v>
      </c>
      <c r="C350" s="971">
        <f>'1.2 Budgeted Enrollment YR1'!C350</f>
        <v>2</v>
      </c>
      <c r="D350" s="971" t="str">
        <f>'1.2 Budgeted Enrollment YR1'!D350</f>
        <v>Las Vegas</v>
      </c>
      <c r="E350" s="968" t="str">
        <f>'1.2 Budgeted Enrollment YR1'!E350</f>
        <v>McDoniel, Estes M ES</v>
      </c>
      <c r="F350" s="1061"/>
      <c r="G350" s="1108">
        <f>'1.2 Budgeted Enrollment YR1'!G350+('1.2 Budgeted Enrollment YR1'!G350*$G$7)</f>
        <v>384.20084244946315</v>
      </c>
      <c r="H350" s="1108"/>
      <c r="I350" s="1114">
        <v>0</v>
      </c>
      <c r="J350" s="1115">
        <v>0</v>
      </c>
      <c r="K350" s="1114">
        <v>0</v>
      </c>
      <c r="L350" s="1108">
        <f>'1.2 Budgeted Enrollment YR1'!L350</f>
        <v>0</v>
      </c>
      <c r="M350" s="1104"/>
      <c r="N350" s="875"/>
    </row>
    <row r="351" spans="1:14" ht="16.5" thickTop="1" thickBot="1" x14ac:dyDescent="0.3">
      <c r="A351" s="968" t="str">
        <f>'1.2 Budgeted Enrollment YR1'!A351</f>
        <v>Clark</v>
      </c>
      <c r="B351" s="971">
        <f>'1.2 Budgeted Enrollment YR1'!B351</f>
        <v>2</v>
      </c>
      <c r="C351" s="971">
        <f>'1.2 Budgeted Enrollment YR1'!C351</f>
        <v>2</v>
      </c>
      <c r="D351" s="971" t="str">
        <f>'1.2 Budgeted Enrollment YR1'!D351</f>
        <v>Las Vegas</v>
      </c>
      <c r="E351" s="968" t="str">
        <f>'1.2 Budgeted Enrollment YR1'!E351</f>
        <v>McMillan, James B ES</v>
      </c>
      <c r="F351" s="1061"/>
      <c r="G351" s="1108">
        <f>'1.2 Budgeted Enrollment YR1'!G351+('1.2 Budgeted Enrollment YR1'!G351*$G$7)</f>
        <v>454.61354003789779</v>
      </c>
      <c r="H351" s="1108"/>
      <c r="I351" s="1114">
        <v>0</v>
      </c>
      <c r="J351" s="1115">
        <v>0</v>
      </c>
      <c r="K351" s="1114">
        <v>0</v>
      </c>
      <c r="L351" s="1108">
        <f>'1.2 Budgeted Enrollment YR1'!L351</f>
        <v>0</v>
      </c>
      <c r="M351" s="1104"/>
      <c r="N351" s="875"/>
    </row>
    <row r="352" spans="1:14" ht="16.5" thickTop="1" thickBot="1" x14ac:dyDescent="0.3">
      <c r="A352" s="968" t="str">
        <f>'1.2 Budgeted Enrollment YR1'!A352</f>
        <v>Clark</v>
      </c>
      <c r="B352" s="971">
        <f>'1.2 Budgeted Enrollment YR1'!B352</f>
        <v>2</v>
      </c>
      <c r="C352" s="971">
        <f>'1.2 Budgeted Enrollment YR1'!C352</f>
        <v>2</v>
      </c>
      <c r="D352" s="971" t="str">
        <f>'1.2 Budgeted Enrollment YR1'!D352</f>
        <v>Las Vegas</v>
      </c>
      <c r="E352" s="968" t="str">
        <f>'1.2 Budgeted Enrollment YR1'!E352</f>
        <v>McWilliams, J T ES</v>
      </c>
      <c r="F352" s="1061"/>
      <c r="G352" s="1108">
        <f>'1.2 Budgeted Enrollment YR1'!G352+('1.2 Budgeted Enrollment YR1'!G352*$G$7)</f>
        <v>584.48453142934079</v>
      </c>
      <c r="H352" s="1108"/>
      <c r="I352" s="1114">
        <v>0</v>
      </c>
      <c r="J352" s="1115">
        <v>0</v>
      </c>
      <c r="K352" s="1114">
        <v>0</v>
      </c>
      <c r="L352" s="1108">
        <f>'1.2 Budgeted Enrollment YR1'!L352</f>
        <v>0</v>
      </c>
      <c r="M352" s="1104"/>
      <c r="N352" s="875"/>
    </row>
    <row r="353" spans="1:14" ht="16.5" thickTop="1" thickBot="1" x14ac:dyDescent="0.3">
      <c r="A353" s="968" t="str">
        <f>'1.2 Budgeted Enrollment YR1'!A353</f>
        <v>Clark</v>
      </c>
      <c r="B353" s="971">
        <f>'1.2 Budgeted Enrollment YR1'!B353</f>
        <v>2</v>
      </c>
      <c r="C353" s="971">
        <f>'1.2 Budgeted Enrollment YR1'!C353</f>
        <v>2</v>
      </c>
      <c r="D353" s="971" t="str">
        <f>'1.2 Budgeted Enrollment YR1'!D353</f>
        <v>Las Vegas</v>
      </c>
      <c r="E353" s="968" t="str">
        <f>'1.2 Budgeted Enrollment YR1'!E353</f>
        <v>Mendoza, John F ES</v>
      </c>
      <c r="F353" s="1061"/>
      <c r="G353" s="1108">
        <f>'1.2 Budgeted Enrollment YR1'!G353+('1.2 Budgeted Enrollment YR1'!G353*$G$7)</f>
        <v>598.77660157773516</v>
      </c>
      <c r="H353" s="1108"/>
      <c r="I353" s="1114">
        <v>0</v>
      </c>
      <c r="J353" s="1115">
        <v>0</v>
      </c>
      <c r="K353" s="1114">
        <v>0</v>
      </c>
      <c r="L353" s="1108">
        <f>'1.2 Budgeted Enrollment YR1'!L353</f>
        <v>0</v>
      </c>
      <c r="M353" s="1104"/>
      <c r="N353" s="875"/>
    </row>
    <row r="354" spans="1:14" ht="16.5" thickTop="1" thickBot="1" x14ac:dyDescent="0.3">
      <c r="A354" s="968" t="str">
        <f>'1.2 Budgeted Enrollment YR1'!A354</f>
        <v>Clark</v>
      </c>
      <c r="B354" s="971">
        <f>'1.2 Budgeted Enrollment YR1'!B354</f>
        <v>2</v>
      </c>
      <c r="C354" s="971">
        <f>'1.2 Budgeted Enrollment YR1'!C354</f>
        <v>2</v>
      </c>
      <c r="D354" s="971" t="str">
        <f>'1.2 Budgeted Enrollment YR1'!D354</f>
        <v>Las Vegas</v>
      </c>
      <c r="E354" s="968" t="str">
        <f>'1.2 Budgeted Enrollment YR1'!E354</f>
        <v>Miley Achievement Center ES</v>
      </c>
      <c r="F354" s="1061"/>
      <c r="G354" s="1108">
        <f>'1.2 Budgeted Enrollment YR1'!G354+('1.2 Budgeted Enrollment YR1'!G354*$G$7)</f>
        <v>17.713480742313344</v>
      </c>
      <c r="H354" s="1108"/>
      <c r="I354" s="1114">
        <v>0</v>
      </c>
      <c r="J354" s="1115">
        <v>0</v>
      </c>
      <c r="K354" s="1114">
        <v>0</v>
      </c>
      <c r="L354" s="1108">
        <f>'1.2 Budgeted Enrollment YR1'!L354</f>
        <v>0</v>
      </c>
      <c r="M354" s="1104"/>
      <c r="N354" s="875"/>
    </row>
    <row r="355" spans="1:14" ht="16.5" thickTop="1" thickBot="1" x14ac:dyDescent="0.3">
      <c r="A355" s="968" t="str">
        <f>'1.2 Budgeted Enrollment YR1'!A355</f>
        <v>Clark</v>
      </c>
      <c r="B355" s="971">
        <f>'1.2 Budgeted Enrollment YR1'!B355</f>
        <v>2</v>
      </c>
      <c r="C355" s="971">
        <f>'1.2 Budgeted Enrollment YR1'!C355</f>
        <v>2</v>
      </c>
      <c r="D355" s="971" t="str">
        <f>'1.2 Budgeted Enrollment YR1'!D355</f>
        <v>Las Vegas</v>
      </c>
      <c r="E355" s="968" t="str">
        <f>'1.2 Budgeted Enrollment YR1'!E355</f>
        <v>Miley Achievement Ctr J-SHS</v>
      </c>
      <c r="F355" s="1061"/>
      <c r="G355" s="1108">
        <f>'1.2 Budgeted Enrollment YR1'!G355+('1.2 Budgeted Enrollment YR1'!G355*$G$7)</f>
        <v>49.347084853587518</v>
      </c>
      <c r="H355" s="1108"/>
      <c r="I355" s="1114">
        <v>0</v>
      </c>
      <c r="J355" s="1115">
        <v>0</v>
      </c>
      <c r="K355" s="1114">
        <v>0</v>
      </c>
      <c r="L355" s="1108">
        <f>'1.2 Budgeted Enrollment YR1'!L355</f>
        <v>0</v>
      </c>
      <c r="M355" s="1104"/>
      <c r="N355" s="875"/>
    </row>
    <row r="356" spans="1:14" ht="16.5" thickTop="1" thickBot="1" x14ac:dyDescent="0.3">
      <c r="A356" s="968" t="str">
        <f>'1.2 Budgeted Enrollment YR1'!A356</f>
        <v>Clark</v>
      </c>
      <c r="B356" s="971">
        <f>'1.2 Budgeted Enrollment YR1'!B356</f>
        <v>2</v>
      </c>
      <c r="C356" s="971">
        <f>'1.2 Budgeted Enrollment YR1'!C356</f>
        <v>2</v>
      </c>
      <c r="D356" s="971" t="str">
        <f>'1.2 Budgeted Enrollment YR1'!D356</f>
        <v>Las Vegas</v>
      </c>
      <c r="E356" s="968" t="str">
        <f>'1.2 Budgeted Enrollment YR1'!E356</f>
        <v>Miller, Bob MS</v>
      </c>
      <c r="F356" s="1061"/>
      <c r="G356" s="1108">
        <f>'1.2 Budgeted Enrollment YR1'!G356+('1.2 Budgeted Enrollment YR1'!G356*$G$7)</f>
        <v>1429.6171491134271</v>
      </c>
      <c r="H356" s="1108"/>
      <c r="I356" s="1114">
        <v>0</v>
      </c>
      <c r="J356" s="1115">
        <v>0</v>
      </c>
      <c r="K356" s="1114">
        <v>0</v>
      </c>
      <c r="L356" s="1108">
        <f>'1.2 Budgeted Enrollment YR1'!L356</f>
        <v>0</v>
      </c>
      <c r="M356" s="1104"/>
      <c r="N356" s="875"/>
    </row>
    <row r="357" spans="1:14" ht="16.5" thickTop="1" thickBot="1" x14ac:dyDescent="0.3">
      <c r="A357" s="968" t="str">
        <f>'1.2 Budgeted Enrollment YR1'!A357</f>
        <v>Clark</v>
      </c>
      <c r="B357" s="971">
        <f>'1.2 Budgeted Enrollment YR1'!B357</f>
        <v>2</v>
      </c>
      <c r="C357" s="971">
        <f>'1.2 Budgeted Enrollment YR1'!C357</f>
        <v>2</v>
      </c>
      <c r="D357" s="971" t="str">
        <f>'1.2 Budgeted Enrollment YR1'!D357</f>
        <v>Las Vegas</v>
      </c>
      <c r="E357" s="968" t="str">
        <f>'1.2 Budgeted Enrollment YR1'!E357</f>
        <v>Miller, John F</v>
      </c>
      <c r="F357" s="1061"/>
      <c r="G357" s="1108">
        <f>'1.2 Budgeted Enrollment YR1'!G357+('1.2 Budgeted Enrollment YR1'!G357*$G$7)</f>
        <v>106.70318857801615</v>
      </c>
      <c r="H357" s="1108"/>
      <c r="I357" s="1114">
        <v>0</v>
      </c>
      <c r="J357" s="1115">
        <v>0</v>
      </c>
      <c r="K357" s="1114">
        <v>0</v>
      </c>
      <c r="L357" s="1108">
        <f>'1.2 Budgeted Enrollment YR1'!L357</f>
        <v>0</v>
      </c>
      <c r="M357" s="1104"/>
      <c r="N357" s="875"/>
    </row>
    <row r="358" spans="1:14" ht="16.5" thickTop="1" thickBot="1" x14ac:dyDescent="0.3">
      <c r="A358" s="968" t="str">
        <f>'1.2 Budgeted Enrollment YR1'!A358</f>
        <v>Clark</v>
      </c>
      <c r="B358" s="971">
        <f>'1.2 Budgeted Enrollment YR1'!B358</f>
        <v>2</v>
      </c>
      <c r="C358" s="971">
        <f>'1.2 Budgeted Enrollment YR1'!C358</f>
        <v>2</v>
      </c>
      <c r="D358" s="971" t="str">
        <f>'1.2 Budgeted Enrollment YR1'!D358</f>
        <v>Las Vegas</v>
      </c>
      <c r="E358" s="968" t="str">
        <f>'1.2 Budgeted Enrollment YR1'!E358</f>
        <v>Miller, Sandy Searles ES</v>
      </c>
      <c r="F358" s="1061"/>
      <c r="G358" s="1108">
        <f>'1.2 Budgeted Enrollment YR1'!G358+('1.2 Budgeted Enrollment YR1'!G358*$G$7)</f>
        <v>557.05357781369844</v>
      </c>
      <c r="H358" s="1108"/>
      <c r="I358" s="1114">
        <v>0</v>
      </c>
      <c r="J358" s="1115">
        <v>0</v>
      </c>
      <c r="K358" s="1114">
        <v>0</v>
      </c>
      <c r="L358" s="1108">
        <f>'1.2 Budgeted Enrollment YR1'!L358</f>
        <v>0</v>
      </c>
      <c r="M358" s="1104"/>
      <c r="N358" s="875"/>
    </row>
    <row r="359" spans="1:14" ht="16.5" thickTop="1" thickBot="1" x14ac:dyDescent="0.3">
      <c r="A359" s="968" t="str">
        <f>'1.2 Budgeted Enrollment YR1'!A359</f>
        <v>Clark</v>
      </c>
      <c r="B359" s="971">
        <f>'1.2 Budgeted Enrollment YR1'!B359</f>
        <v>2</v>
      </c>
      <c r="C359" s="971">
        <f>'1.2 Budgeted Enrollment YR1'!C359</f>
        <v>2</v>
      </c>
      <c r="D359" s="971" t="str">
        <f>'1.2 Budgeted Enrollment YR1'!D359</f>
        <v>Las Vegas</v>
      </c>
      <c r="E359" s="968" t="str">
        <f>'1.2 Budgeted Enrollment YR1'!E359</f>
        <v>Mission High School</v>
      </c>
      <c r="F359" s="1061"/>
      <c r="G359" s="1108">
        <f>'1.2 Budgeted Enrollment YR1'!G359+('1.2 Budgeted Enrollment YR1'!G359*$G$7)</f>
        <v>17.126389551120674</v>
      </c>
      <c r="H359" s="1108"/>
      <c r="I359" s="1114">
        <v>0</v>
      </c>
      <c r="J359" s="1115">
        <v>0</v>
      </c>
      <c r="K359" s="1114">
        <v>0</v>
      </c>
      <c r="L359" s="1108">
        <f>'1.2 Budgeted Enrollment YR1'!L359</f>
        <v>0</v>
      </c>
      <c r="M359" s="1104"/>
      <c r="N359" s="875"/>
    </row>
    <row r="360" spans="1:14" ht="16.5" thickTop="1" thickBot="1" x14ac:dyDescent="0.3">
      <c r="A360" s="968" t="str">
        <f>'1.2 Budgeted Enrollment YR1'!A360</f>
        <v>Clark</v>
      </c>
      <c r="B360" s="971">
        <f>'1.2 Budgeted Enrollment YR1'!B360</f>
        <v>2</v>
      </c>
      <c r="C360" s="971">
        <f>'1.2 Budgeted Enrollment YR1'!C360</f>
        <v>2</v>
      </c>
      <c r="D360" s="971" t="str">
        <f>'1.2 Budgeted Enrollment YR1'!D360</f>
        <v>Boulder City</v>
      </c>
      <c r="E360" s="968" t="str">
        <f>'1.2 Budgeted Enrollment YR1'!E360</f>
        <v>Mitchell, Andrew ES</v>
      </c>
      <c r="F360" s="1061"/>
      <c r="G360" s="1108">
        <f>'1.2 Budgeted Enrollment YR1'!G360+('1.2 Budgeted Enrollment YR1'!G360*$G$7)</f>
        <v>339.38786624690624</v>
      </c>
      <c r="H360" s="1108"/>
      <c r="I360" s="1114">
        <v>0</v>
      </c>
      <c r="J360" s="1115">
        <v>0</v>
      </c>
      <c r="K360" s="1114">
        <v>0</v>
      </c>
      <c r="L360" s="1108">
        <f>'1.2 Budgeted Enrollment YR1'!L360</f>
        <v>0</v>
      </c>
      <c r="M360" s="1104"/>
      <c r="N360" s="875"/>
    </row>
    <row r="361" spans="1:14" ht="16.5" thickTop="1" thickBot="1" x14ac:dyDescent="0.3">
      <c r="A361" s="968" t="str">
        <f>'1.2 Budgeted Enrollment YR1'!A361</f>
        <v>Clark</v>
      </c>
      <c r="B361" s="971">
        <f>'1.2 Budgeted Enrollment YR1'!B361</f>
        <v>2</v>
      </c>
      <c r="C361" s="971">
        <f>'1.2 Budgeted Enrollment YR1'!C361</f>
        <v>2</v>
      </c>
      <c r="D361" s="971" t="str">
        <f>'1.2 Budgeted Enrollment YR1'!D361</f>
        <v>Moapa Valley</v>
      </c>
      <c r="E361" s="968" t="str">
        <f>'1.2 Budgeted Enrollment YR1'!E361</f>
        <v>Moapa Valley HS</v>
      </c>
      <c r="F361" s="1061"/>
      <c r="G361" s="1108">
        <f>'1.2 Budgeted Enrollment YR1'!G361+('1.2 Budgeted Enrollment YR1'!G361*$G$7)</f>
        <v>573.82576650842748</v>
      </c>
      <c r="H361" s="1108"/>
      <c r="I361" s="1114">
        <v>0</v>
      </c>
      <c r="J361" s="1115">
        <v>0</v>
      </c>
      <c r="K361" s="1114">
        <v>0</v>
      </c>
      <c r="L361" s="1108">
        <f>'1.2 Budgeted Enrollment YR1'!L361</f>
        <v>0</v>
      </c>
      <c r="M361" s="1104"/>
      <c r="N361" s="875"/>
    </row>
    <row r="362" spans="1:14" ht="16.5" thickTop="1" thickBot="1" x14ac:dyDescent="0.3">
      <c r="A362" s="968" t="str">
        <f>'1.2 Budgeted Enrollment YR1'!A362</f>
        <v>Clark</v>
      </c>
      <c r="B362" s="971">
        <f>'1.2 Budgeted Enrollment YR1'!B362</f>
        <v>2</v>
      </c>
      <c r="C362" s="971">
        <f>'1.2 Budgeted Enrollment YR1'!C362</f>
        <v>2</v>
      </c>
      <c r="D362" s="971" t="str">
        <f>'1.2 Budgeted Enrollment YR1'!D362</f>
        <v>Las Vegas</v>
      </c>
      <c r="E362" s="968" t="str">
        <f>'1.2 Budgeted Enrollment YR1'!E362</f>
        <v>Mojave HS</v>
      </c>
      <c r="F362" s="1061"/>
      <c r="G362" s="1108">
        <f>'1.2 Budgeted Enrollment YR1'!G362+('1.2 Budgeted Enrollment YR1'!G362*$G$7)</f>
        <v>2356.0295887254729</v>
      </c>
      <c r="H362" s="1108"/>
      <c r="I362" s="1114">
        <v>0</v>
      </c>
      <c r="J362" s="1115">
        <v>0</v>
      </c>
      <c r="K362" s="1114">
        <v>0</v>
      </c>
      <c r="L362" s="1108">
        <f>'1.2 Budgeted Enrollment YR1'!L362</f>
        <v>0</v>
      </c>
      <c r="M362" s="1104"/>
      <c r="N362" s="875"/>
    </row>
    <row r="363" spans="1:14" ht="16.5" thickTop="1" thickBot="1" x14ac:dyDescent="0.3">
      <c r="A363" s="968" t="str">
        <f>'1.2 Budgeted Enrollment YR1'!A363</f>
        <v>Clark</v>
      </c>
      <c r="B363" s="971">
        <f>'1.2 Budgeted Enrollment YR1'!B363</f>
        <v>2</v>
      </c>
      <c r="C363" s="971">
        <f>'1.2 Budgeted Enrollment YR1'!C363</f>
        <v>2</v>
      </c>
      <c r="D363" s="971" t="str">
        <f>'1.2 Budgeted Enrollment YR1'!D363</f>
        <v>Las Vegas</v>
      </c>
      <c r="E363" s="968" t="str">
        <f>'1.2 Budgeted Enrollment YR1'!E363</f>
        <v>Molasky, Irwin &amp; Susan JHS</v>
      </c>
      <c r="F363" s="1061"/>
      <c r="G363" s="1108">
        <f>'1.2 Budgeted Enrollment YR1'!G363+('1.2 Budgeted Enrollment YR1'!G363*$G$7)</f>
        <v>881.01453355213823</v>
      </c>
      <c r="H363" s="1108"/>
      <c r="I363" s="1114">
        <v>0</v>
      </c>
      <c r="J363" s="1115">
        <v>0</v>
      </c>
      <c r="K363" s="1114">
        <v>0</v>
      </c>
      <c r="L363" s="1108">
        <f>'1.2 Budgeted Enrollment YR1'!L363</f>
        <v>0</v>
      </c>
      <c r="M363" s="1104"/>
      <c r="N363" s="875"/>
    </row>
    <row r="364" spans="1:14" ht="16.5" thickTop="1" thickBot="1" x14ac:dyDescent="0.3">
      <c r="A364" s="968" t="str">
        <f>'1.2 Budgeted Enrollment YR1'!A364</f>
        <v>Clark</v>
      </c>
      <c r="B364" s="971">
        <f>'1.2 Budgeted Enrollment YR1'!B364</f>
        <v>2</v>
      </c>
      <c r="C364" s="971">
        <f>'1.2 Budgeted Enrollment YR1'!C364</f>
        <v>2</v>
      </c>
      <c r="D364" s="971" t="str">
        <f>'1.2 Budgeted Enrollment YR1'!D364</f>
        <v>Las Vegas</v>
      </c>
      <c r="E364" s="968" t="str">
        <f>'1.2 Budgeted Enrollment YR1'!E364</f>
        <v>Monaco, Mario C &amp; JoAnne MS</v>
      </c>
      <c r="F364" s="1061"/>
      <c r="G364" s="1108">
        <f>'1.2 Budgeted Enrollment YR1'!G364+('1.2 Budgeted Enrollment YR1'!G364*$G$7)</f>
        <v>994.71996851357437</v>
      </c>
      <c r="H364" s="1108"/>
      <c r="I364" s="1114">
        <v>0</v>
      </c>
      <c r="J364" s="1115">
        <v>0</v>
      </c>
      <c r="K364" s="1114">
        <v>0</v>
      </c>
      <c r="L364" s="1108">
        <f>'1.2 Budgeted Enrollment YR1'!L364</f>
        <v>0</v>
      </c>
      <c r="M364" s="1104"/>
      <c r="N364" s="875"/>
    </row>
    <row r="365" spans="1:14" ht="16.5" thickTop="1" thickBot="1" x14ac:dyDescent="0.3">
      <c r="A365" s="968" t="str">
        <f>'1.2 Budgeted Enrollment YR1'!A365</f>
        <v>Clark</v>
      </c>
      <c r="B365" s="971">
        <f>'1.2 Budgeted Enrollment YR1'!B365</f>
        <v>2</v>
      </c>
      <c r="C365" s="971">
        <f>'1.2 Budgeted Enrollment YR1'!C365</f>
        <v>2</v>
      </c>
      <c r="D365" s="971" t="str">
        <f>'1.2 Budgeted Enrollment YR1'!D365</f>
        <v>Las Vegas</v>
      </c>
      <c r="E365" s="968" t="str">
        <f>'1.2 Budgeted Enrollment YR1'!E365</f>
        <v>Moore, William K ES</v>
      </c>
      <c r="F365" s="1061"/>
      <c r="G365" s="1108">
        <f>'1.2 Budgeted Enrollment YR1'!G365+('1.2 Budgeted Enrollment YR1'!G365*$G$7)</f>
        <v>476.82039509976107</v>
      </c>
      <c r="H365" s="1108"/>
      <c r="I365" s="1114">
        <v>0</v>
      </c>
      <c r="J365" s="1115">
        <v>0</v>
      </c>
      <c r="K365" s="1114">
        <v>0</v>
      </c>
      <c r="L365" s="1108">
        <f>'1.2 Budgeted Enrollment YR1'!L365</f>
        <v>0</v>
      </c>
      <c r="M365" s="1104"/>
      <c r="N365" s="875"/>
    </row>
    <row r="366" spans="1:14" ht="16.5" thickTop="1" thickBot="1" x14ac:dyDescent="0.3">
      <c r="A366" s="968" t="str">
        <f>'1.2 Budgeted Enrollment YR1'!A366</f>
        <v>Clark</v>
      </c>
      <c r="B366" s="971">
        <f>'1.2 Budgeted Enrollment YR1'!B366</f>
        <v>2</v>
      </c>
      <c r="C366" s="971">
        <f>'1.2 Budgeted Enrollment YR1'!C366</f>
        <v>2</v>
      </c>
      <c r="D366" s="971" t="str">
        <f>'1.2 Budgeted Enrollment YR1'!D366</f>
        <v>Las Vegas</v>
      </c>
      <c r="E366" s="968" t="str">
        <f>'1.2 Budgeted Enrollment YR1'!E366</f>
        <v>Morris Sunset HS</v>
      </c>
      <c r="F366" s="1061"/>
      <c r="G366" s="1108">
        <f>'1.2 Budgeted Enrollment YR1'!G366+('1.2 Budgeted Enrollment YR1'!G366*$G$7)</f>
        <v>45.993285716219262</v>
      </c>
      <c r="H366" s="1108"/>
      <c r="I366" s="1114">
        <v>0</v>
      </c>
      <c r="J366" s="1115">
        <v>0</v>
      </c>
      <c r="K366" s="1114">
        <v>0</v>
      </c>
      <c r="L366" s="1108">
        <f>'1.2 Budgeted Enrollment YR1'!L366</f>
        <v>0</v>
      </c>
      <c r="M366" s="1104"/>
      <c r="N366" s="875"/>
    </row>
    <row r="367" spans="1:14" ht="16.5" thickTop="1" thickBot="1" x14ac:dyDescent="0.3">
      <c r="A367" s="968" t="str">
        <f>'1.2 Budgeted Enrollment YR1'!A367</f>
        <v>Clark</v>
      </c>
      <c r="B367" s="971">
        <f>'1.2 Budgeted Enrollment YR1'!B367</f>
        <v>2</v>
      </c>
      <c r="C367" s="971">
        <f>'1.2 Budgeted Enrollment YR1'!C367</f>
        <v>2</v>
      </c>
      <c r="D367" s="971" t="str">
        <f>'1.2 Budgeted Enrollment YR1'!D367</f>
        <v>Las Vegas</v>
      </c>
      <c r="E367" s="968" t="str">
        <f>'1.2 Budgeted Enrollment YR1'!E367</f>
        <v>Morrow, Sue H ES</v>
      </c>
      <c r="F367" s="1061"/>
      <c r="G367" s="1108">
        <f>'1.2 Budgeted Enrollment YR1'!G367+('1.2 Budgeted Enrollment YR1'!G367*$G$7)</f>
        <v>421.99836331372859</v>
      </c>
      <c r="H367" s="1108"/>
      <c r="I367" s="1114">
        <v>0</v>
      </c>
      <c r="J367" s="1115">
        <v>0</v>
      </c>
      <c r="K367" s="1114">
        <v>0</v>
      </c>
      <c r="L367" s="1108">
        <f>'1.2 Budgeted Enrollment YR1'!L367</f>
        <v>0</v>
      </c>
      <c r="M367" s="1104"/>
      <c r="N367" s="875"/>
    </row>
    <row r="368" spans="1:14" ht="16.5" thickTop="1" thickBot="1" x14ac:dyDescent="0.3">
      <c r="A368" s="968" t="str">
        <f>'1.2 Budgeted Enrollment YR1'!A368</f>
        <v>Clark</v>
      </c>
      <c r="B368" s="971">
        <f>'1.2 Budgeted Enrollment YR1'!B368</f>
        <v>2</v>
      </c>
      <c r="C368" s="971">
        <f>'1.2 Budgeted Enrollment YR1'!C368</f>
        <v>2</v>
      </c>
      <c r="D368" s="971" t="str">
        <f>'1.2 Budgeted Enrollment YR1'!D368</f>
        <v>Las Vegas</v>
      </c>
      <c r="E368" s="968" t="str">
        <f>'1.2 Budgeted Enrollment YR1'!E368</f>
        <v>Mountain View ES</v>
      </c>
      <c r="F368" s="1061"/>
      <c r="G368" s="1108">
        <f>'1.2 Budgeted Enrollment YR1'!G368+('1.2 Budgeted Enrollment YR1'!G368*$G$7)</f>
        <v>338.62649248571051</v>
      </c>
      <c r="H368" s="1108"/>
      <c r="I368" s="1114">
        <v>0</v>
      </c>
      <c r="J368" s="1115">
        <v>0</v>
      </c>
      <c r="K368" s="1114">
        <v>0</v>
      </c>
      <c r="L368" s="1108">
        <f>'1.2 Budgeted Enrollment YR1'!L368</f>
        <v>0</v>
      </c>
      <c r="M368" s="1104"/>
      <c r="N368" s="875"/>
    </row>
    <row r="369" spans="1:14" ht="16.5" thickTop="1" thickBot="1" x14ac:dyDescent="0.3">
      <c r="A369" s="968" t="str">
        <f>'1.2 Budgeted Enrollment YR1'!A369</f>
        <v>Clark</v>
      </c>
      <c r="B369" s="971">
        <f>'1.2 Budgeted Enrollment YR1'!B369</f>
        <v>2</v>
      </c>
      <c r="C369" s="971">
        <f>'1.2 Budgeted Enrollment YR1'!C369</f>
        <v>2</v>
      </c>
      <c r="D369" s="971" t="str">
        <f>'1.2 Budgeted Enrollment YR1'!D369</f>
        <v>Las Vegas</v>
      </c>
      <c r="E369" s="968" t="str">
        <f>'1.2 Budgeted Enrollment YR1'!E369</f>
        <v>Neal, Joseph M ES</v>
      </c>
      <c r="F369" s="1061"/>
      <c r="G369" s="1108">
        <f>'1.2 Budgeted Enrollment YR1'!G369+('1.2 Budgeted Enrollment YR1'!G369*$G$7)</f>
        <v>520.15187389889206</v>
      </c>
      <c r="H369" s="1108"/>
      <c r="I369" s="1114">
        <v>0</v>
      </c>
      <c r="J369" s="1115">
        <v>0</v>
      </c>
      <c r="K369" s="1114">
        <v>0</v>
      </c>
      <c r="L369" s="1108">
        <f>'1.2 Budgeted Enrollment YR1'!L369</f>
        <v>0</v>
      </c>
      <c r="M369" s="1104"/>
      <c r="N369" s="875"/>
    </row>
    <row r="370" spans="1:14" ht="16.5" thickTop="1" thickBot="1" x14ac:dyDescent="0.3">
      <c r="A370" s="968" t="str">
        <f>'1.2 Budgeted Enrollment YR1'!A370</f>
        <v>Clark</v>
      </c>
      <c r="B370" s="971">
        <f>'1.2 Budgeted Enrollment YR1'!B370</f>
        <v>2</v>
      </c>
      <c r="C370" s="971">
        <f>'1.2 Budgeted Enrollment YR1'!C370</f>
        <v>2</v>
      </c>
      <c r="D370" s="971" t="str">
        <f>'1.2 Budgeted Enrollment YR1'!D370</f>
        <v>Las Vegas</v>
      </c>
      <c r="E370" s="968" t="str">
        <f>'1.2 Budgeted Enrollment YR1'!E370</f>
        <v>Newton, Ulis ES</v>
      </c>
      <c r="F370" s="1061"/>
      <c r="G370" s="1108">
        <f>'1.2 Budgeted Enrollment YR1'!G370+('1.2 Budgeted Enrollment YR1'!G370*$G$7)</f>
        <v>530.80301257588258</v>
      </c>
      <c r="H370" s="1108"/>
      <c r="I370" s="1114">
        <v>0</v>
      </c>
      <c r="J370" s="1115">
        <v>0</v>
      </c>
      <c r="K370" s="1114">
        <v>0</v>
      </c>
      <c r="L370" s="1108">
        <f>'1.2 Budgeted Enrollment YR1'!L370</f>
        <v>0</v>
      </c>
      <c r="M370" s="1104"/>
      <c r="N370" s="875"/>
    </row>
    <row r="371" spans="1:14" ht="16.5" thickTop="1" thickBot="1" x14ac:dyDescent="0.3">
      <c r="A371" s="968" t="str">
        <f>'1.2 Budgeted Enrollment YR1'!A371</f>
        <v>Clark</v>
      </c>
      <c r="B371" s="971">
        <f>'1.2 Budgeted Enrollment YR1'!B371</f>
        <v>2</v>
      </c>
      <c r="C371" s="971">
        <f>'1.2 Budgeted Enrollment YR1'!C371</f>
        <v>2</v>
      </c>
      <c r="D371" s="971" t="str">
        <f>'1.2 Budgeted Enrollment YR1'!D371</f>
        <v>Las Vegas</v>
      </c>
      <c r="E371" s="968" t="str">
        <f>'1.2 Budgeted Enrollment YR1'!E371</f>
        <v>Northeast Career and Technical Academy HS</v>
      </c>
      <c r="F371" s="1061"/>
      <c r="G371" s="1108">
        <f>'1.2 Budgeted Enrollment YR1'!G371+('1.2 Budgeted Enrollment YR1'!G371*$G$7)</f>
        <v>667.05974163746032</v>
      </c>
      <c r="H371" s="1108"/>
      <c r="I371" s="1114">
        <v>0</v>
      </c>
      <c r="J371" s="1115">
        <v>0</v>
      </c>
      <c r="K371" s="1114">
        <v>0</v>
      </c>
      <c r="L371" s="1108">
        <f>'1.2 Budgeted Enrollment YR1'!L371</f>
        <v>0</v>
      </c>
      <c r="M371" s="1104"/>
      <c r="N371" s="875"/>
    </row>
    <row r="372" spans="1:14" ht="16.5" thickTop="1" thickBot="1" x14ac:dyDescent="0.3">
      <c r="A372" s="968" t="str">
        <f>'1.2 Budgeted Enrollment YR1'!A372</f>
        <v>Clark</v>
      </c>
      <c r="B372" s="971">
        <f>'1.2 Budgeted Enrollment YR1'!B372</f>
        <v>2</v>
      </c>
      <c r="C372" s="971">
        <f>'1.2 Budgeted Enrollment YR1'!C372</f>
        <v>2</v>
      </c>
      <c r="D372" s="971" t="str">
        <f>'1.2 Budgeted Enrollment YR1'!D372</f>
        <v>Las Vegas</v>
      </c>
      <c r="E372" s="968" t="str">
        <f>'1.2 Budgeted Enrollment YR1'!E372</f>
        <v>Northwest Career-Technical Academy HS</v>
      </c>
      <c r="F372" s="1061"/>
      <c r="G372" s="1108">
        <f>'1.2 Budgeted Enrollment YR1'!G372+('1.2 Budgeted Enrollment YR1'!G372*$G$7)</f>
        <v>1855.4262176378577</v>
      </c>
      <c r="H372" s="1108"/>
      <c r="I372" s="1114">
        <v>0</v>
      </c>
      <c r="J372" s="1115">
        <v>0</v>
      </c>
      <c r="K372" s="1114">
        <v>0</v>
      </c>
      <c r="L372" s="1108">
        <f>'1.2 Budgeted Enrollment YR1'!L372</f>
        <v>0</v>
      </c>
      <c r="M372" s="1104"/>
      <c r="N372" s="875"/>
    </row>
    <row r="373" spans="1:14" ht="16.5" thickTop="1" thickBot="1" x14ac:dyDescent="0.3">
      <c r="A373" s="1116" t="str">
        <f>'1.2 Budgeted Enrollment YR1'!A373</f>
        <v>Clark</v>
      </c>
      <c r="B373" s="1117">
        <f>'1.2 Budgeted Enrollment YR1'!B373</f>
        <v>2</v>
      </c>
      <c r="C373" s="1117">
        <f>'1.2 Budgeted Enrollment YR1'!C373</f>
        <v>2</v>
      </c>
      <c r="D373" s="1117" t="str">
        <f>'1.2 Budgeted Enrollment YR1'!D373</f>
        <v>Las Vegas</v>
      </c>
      <c r="E373" s="1116" t="str">
        <f>'1.2 Budgeted Enrollment YR1'!E373</f>
        <v>NV Learning Academy ES</v>
      </c>
      <c r="F373" s="1118"/>
      <c r="G373" s="1119">
        <f>'1.2 Budgeted Enrollment YR1'!G373+('1.2 Budgeted Enrollment YR1'!G373*$G$7)</f>
        <v>1189.9969636617816</v>
      </c>
      <c r="H373" s="1119"/>
      <c r="I373" s="1120">
        <v>0</v>
      </c>
      <c r="J373" s="1120">
        <v>0</v>
      </c>
      <c r="K373" s="1120">
        <v>0</v>
      </c>
      <c r="L373" s="1119">
        <f>G373</f>
        <v>1189.9969636617816</v>
      </c>
      <c r="M373" s="1104"/>
      <c r="N373" s="875"/>
    </row>
    <row r="374" spans="1:14" ht="16.5" thickTop="1" thickBot="1" x14ac:dyDescent="0.3">
      <c r="A374" s="1116" t="str">
        <f>'1.2 Budgeted Enrollment YR1'!A374</f>
        <v>Clark</v>
      </c>
      <c r="B374" s="1117">
        <f>'1.2 Budgeted Enrollment YR1'!B374</f>
        <v>2</v>
      </c>
      <c r="C374" s="1117">
        <f>'1.2 Budgeted Enrollment YR1'!C374</f>
        <v>2</v>
      </c>
      <c r="D374" s="1117" t="str">
        <f>'1.2 Budgeted Enrollment YR1'!D374</f>
        <v>Las Vegas</v>
      </c>
      <c r="E374" s="1116" t="str">
        <f>'1.2 Budgeted Enrollment YR1'!E374</f>
        <v>NV Learning Academy J-SHS</v>
      </c>
      <c r="F374" s="1118"/>
      <c r="G374" s="1119">
        <f>'1.2 Budgeted Enrollment YR1'!G374+('1.2 Budgeted Enrollment YR1'!G374*$G$7)</f>
        <v>3080.5082388920046</v>
      </c>
      <c r="H374" s="1119"/>
      <c r="I374" s="1120">
        <v>0</v>
      </c>
      <c r="J374" s="1120">
        <v>0</v>
      </c>
      <c r="K374" s="1120">
        <v>0</v>
      </c>
      <c r="L374" s="1119">
        <f>G374</f>
        <v>3080.5082388920046</v>
      </c>
      <c r="M374" s="1104"/>
      <c r="N374" s="875"/>
    </row>
    <row r="375" spans="1:14" ht="16.5" thickTop="1" thickBot="1" x14ac:dyDescent="0.3">
      <c r="A375" s="968" t="str">
        <f>'1.2 Budgeted Enrollment YR1'!A375</f>
        <v>Clark</v>
      </c>
      <c r="B375" s="971">
        <f>'1.2 Budgeted Enrollment YR1'!B375</f>
        <v>2</v>
      </c>
      <c r="C375" s="971">
        <f>'1.2 Budgeted Enrollment YR1'!C375</f>
        <v>2</v>
      </c>
      <c r="D375" s="971" t="str">
        <f>'1.2 Budgeted Enrollment YR1'!D375</f>
        <v>Las Vegas</v>
      </c>
      <c r="E375" s="968" t="str">
        <f>'1.2 Budgeted Enrollment YR1'!E375</f>
        <v>NW Career-Technical Academy ES</v>
      </c>
      <c r="F375" s="1061"/>
      <c r="G375" s="1108">
        <f>'1.2 Budgeted Enrollment YR1'!G375+('1.2 Budgeted Enrollment YR1'!G375*$G$7)</f>
        <v>16.50477175771109</v>
      </c>
      <c r="H375" s="1108"/>
      <c r="I375" s="1114">
        <v>0</v>
      </c>
      <c r="J375" s="1115">
        <v>0</v>
      </c>
      <c r="K375" s="1114">
        <v>0</v>
      </c>
      <c r="L375" s="1108">
        <f>'1.2 Budgeted Enrollment YR1'!L375</f>
        <v>0</v>
      </c>
      <c r="M375" s="1104"/>
      <c r="N375" s="875"/>
    </row>
    <row r="376" spans="1:14" ht="16.5" thickTop="1" thickBot="1" x14ac:dyDescent="0.3">
      <c r="A376" s="968" t="str">
        <f>'1.2 Budgeted Enrollment YR1'!A376</f>
        <v>Clark</v>
      </c>
      <c r="B376" s="971">
        <f>'1.2 Budgeted Enrollment YR1'!B376</f>
        <v>2</v>
      </c>
      <c r="C376" s="971">
        <f>'1.2 Budgeted Enrollment YR1'!C376</f>
        <v>2</v>
      </c>
      <c r="D376" s="971" t="str">
        <f>'1.2 Budgeted Enrollment YR1'!D376</f>
        <v>Las Vegas</v>
      </c>
      <c r="E376" s="968" t="str">
        <f>'1.2 Budgeted Enrollment YR1'!E376</f>
        <v>O Roarke, Thomas ES</v>
      </c>
      <c r="F376" s="1061"/>
      <c r="G376" s="1108">
        <f>'1.2 Budgeted Enrollment YR1'!G376+('1.2 Budgeted Enrollment YR1'!G376*$G$7)</f>
        <v>599.49423416258298</v>
      </c>
      <c r="H376" s="1108"/>
      <c r="I376" s="1114">
        <v>0</v>
      </c>
      <c r="J376" s="1115">
        <v>0</v>
      </c>
      <c r="K376" s="1114">
        <v>0</v>
      </c>
      <c r="L376" s="1108">
        <f>'1.2 Budgeted Enrollment YR1'!L376</f>
        <v>0</v>
      </c>
      <c r="M376" s="1104"/>
      <c r="N376" s="875"/>
    </row>
    <row r="377" spans="1:14" ht="16.5" thickTop="1" thickBot="1" x14ac:dyDescent="0.3">
      <c r="A377" s="968" t="str">
        <f>'1.2 Budgeted Enrollment YR1'!A377</f>
        <v>Clark</v>
      </c>
      <c r="B377" s="971">
        <f>'1.2 Budgeted Enrollment YR1'!B377</f>
        <v>2</v>
      </c>
      <c r="C377" s="971">
        <f>'1.2 Budgeted Enrollment YR1'!C377</f>
        <v>2</v>
      </c>
      <c r="D377" s="971" t="str">
        <f>'1.2 Budgeted Enrollment YR1'!D377</f>
        <v>Las Vegas</v>
      </c>
      <c r="E377" s="968" t="str">
        <f>'1.2 Budgeted Enrollment YR1'!E377</f>
        <v>Ober, D'Vorre &amp; Hal ES</v>
      </c>
      <c r="F377" s="1061"/>
      <c r="G377" s="1108">
        <f>'1.2 Budgeted Enrollment YR1'!G377+('1.2 Budgeted Enrollment YR1'!G377*$G$7)</f>
        <v>545.70403870772202</v>
      </c>
      <c r="H377" s="1108"/>
      <c r="I377" s="1114">
        <v>0</v>
      </c>
      <c r="J377" s="1115">
        <v>0</v>
      </c>
      <c r="K377" s="1114">
        <v>0</v>
      </c>
      <c r="L377" s="1108">
        <f>'1.2 Budgeted Enrollment YR1'!L377</f>
        <v>0</v>
      </c>
      <c r="M377" s="1104"/>
      <c r="N377" s="875"/>
    </row>
    <row r="378" spans="1:14" ht="16.5" thickTop="1" thickBot="1" x14ac:dyDescent="0.3">
      <c r="A378" s="968" t="str">
        <f>'1.2 Budgeted Enrollment YR1'!A378</f>
        <v>Clark</v>
      </c>
      <c r="B378" s="971">
        <f>'1.2 Budgeted Enrollment YR1'!B378</f>
        <v>2</v>
      </c>
      <c r="C378" s="971">
        <f>'1.2 Budgeted Enrollment YR1'!C378</f>
        <v>2</v>
      </c>
      <c r="D378" s="971" t="str">
        <f>'1.2 Budgeted Enrollment YR1'!D378</f>
        <v>Las Vegas</v>
      </c>
      <c r="E378" s="968" t="str">
        <f>'1.2 Budgeted Enrollment YR1'!E378</f>
        <v>O'Callaghan, Mike MS i3 Learn Academy</v>
      </c>
      <c r="F378" s="1061"/>
      <c r="G378" s="1108">
        <f>'1.2 Budgeted Enrollment YR1'!G378+('1.2 Budgeted Enrollment YR1'!G378*$G$7)</f>
        <v>1402.8279417343176</v>
      </c>
      <c r="H378" s="1108"/>
      <c r="I378" s="1114">
        <v>0</v>
      </c>
      <c r="J378" s="1115">
        <v>0</v>
      </c>
      <c r="K378" s="1114">
        <v>0</v>
      </c>
      <c r="L378" s="1108">
        <f>'1.2 Budgeted Enrollment YR1'!L378</f>
        <v>0</v>
      </c>
      <c r="M378" s="1104"/>
      <c r="N378" s="875"/>
    </row>
    <row r="379" spans="1:14" ht="16.5" thickTop="1" thickBot="1" x14ac:dyDescent="0.3">
      <c r="A379" s="968" t="str">
        <f>'1.2 Budgeted Enrollment YR1'!A379</f>
        <v>Clark</v>
      </c>
      <c r="B379" s="971">
        <f>'1.2 Budgeted Enrollment YR1'!B379</f>
        <v>2</v>
      </c>
      <c r="C379" s="971">
        <f>'1.2 Budgeted Enrollment YR1'!C379</f>
        <v>2</v>
      </c>
      <c r="D379" s="971" t="str">
        <f>'1.2 Budgeted Enrollment YR1'!D379</f>
        <v>Las Vegas</v>
      </c>
      <c r="E379" s="968" t="str">
        <f>'1.2 Budgeted Enrollment YR1'!E379</f>
        <v>Orr, William E MS</v>
      </c>
      <c r="F379" s="1061"/>
      <c r="G379" s="1108">
        <f>'1.2 Budgeted Enrollment YR1'!G379+('1.2 Budgeted Enrollment YR1'!G379*$G$7)</f>
        <v>849.20183516609882</v>
      </c>
      <c r="H379" s="1108"/>
      <c r="I379" s="1114">
        <v>0</v>
      </c>
      <c r="J379" s="1115">
        <v>0</v>
      </c>
      <c r="K379" s="1114">
        <v>0</v>
      </c>
      <c r="L379" s="1108">
        <f>'1.2 Budgeted Enrollment YR1'!L379</f>
        <v>0</v>
      </c>
      <c r="M379" s="1104"/>
      <c r="N379" s="875"/>
    </row>
    <row r="380" spans="1:14" ht="16.5" thickTop="1" thickBot="1" x14ac:dyDescent="0.3">
      <c r="A380" s="968" t="str">
        <f>'1.2 Budgeted Enrollment YR1'!A380</f>
        <v>Clark</v>
      </c>
      <c r="B380" s="971">
        <f>'1.2 Budgeted Enrollment YR1'!B380</f>
        <v>2</v>
      </c>
      <c r="C380" s="971">
        <f>'1.2 Budgeted Enrollment YR1'!C380</f>
        <v>2</v>
      </c>
      <c r="D380" s="971" t="str">
        <f>'1.2 Budgeted Enrollment YR1'!D380</f>
        <v>Las Vegas</v>
      </c>
      <c r="E380" s="968" t="str">
        <f>'1.2 Budgeted Enrollment YR1'!E380</f>
        <v>Ortwein, Dennis ES</v>
      </c>
      <c r="F380" s="1061"/>
      <c r="G380" s="1108">
        <f>'1.2 Budgeted Enrollment YR1'!G380+('1.2 Budgeted Enrollment YR1'!G380*$G$7)</f>
        <v>732.9897755713165</v>
      </c>
      <c r="H380" s="1108"/>
      <c r="I380" s="1114">
        <v>0</v>
      </c>
      <c r="J380" s="1115">
        <v>0</v>
      </c>
      <c r="K380" s="1114">
        <v>0</v>
      </c>
      <c r="L380" s="1108">
        <f>'1.2 Budgeted Enrollment YR1'!L380</f>
        <v>0</v>
      </c>
      <c r="M380" s="1104"/>
      <c r="N380" s="875"/>
    </row>
    <row r="381" spans="1:14" ht="16.5" thickTop="1" thickBot="1" x14ac:dyDescent="0.3">
      <c r="A381" s="968" t="str">
        <f>'1.2 Budgeted Enrollment YR1'!A381</f>
        <v>Clark</v>
      </c>
      <c r="B381" s="971">
        <f>'1.2 Budgeted Enrollment YR1'!B381</f>
        <v>2</v>
      </c>
      <c r="C381" s="971">
        <f>'1.2 Budgeted Enrollment YR1'!C381</f>
        <v>2</v>
      </c>
      <c r="D381" s="971" t="str">
        <f>'1.2 Budgeted Enrollment YR1'!D381</f>
        <v>Las Vegas</v>
      </c>
      <c r="E381" s="968" t="str">
        <f>'1.2 Budgeted Enrollment YR1'!E381</f>
        <v>Palo Verde HS</v>
      </c>
      <c r="F381" s="1061"/>
      <c r="G381" s="1108">
        <f>'1.2 Budgeted Enrollment YR1'!G381+('1.2 Budgeted Enrollment YR1'!G381*$G$7)</f>
        <v>3052.9514454154214</v>
      </c>
      <c r="H381" s="1108"/>
      <c r="I381" s="1114">
        <v>0</v>
      </c>
      <c r="J381" s="1115">
        <v>0</v>
      </c>
      <c r="K381" s="1114">
        <v>0</v>
      </c>
      <c r="L381" s="1108">
        <f>'1.2 Budgeted Enrollment YR1'!L381</f>
        <v>0</v>
      </c>
      <c r="M381" s="1104"/>
      <c r="N381" s="875"/>
    </row>
    <row r="382" spans="1:14" ht="16.5" thickTop="1" thickBot="1" x14ac:dyDescent="0.3">
      <c r="A382" s="968" t="str">
        <f>'1.2 Budgeted Enrollment YR1'!A382</f>
        <v>Clark</v>
      </c>
      <c r="B382" s="971">
        <f>'1.2 Budgeted Enrollment YR1'!B382</f>
        <v>2</v>
      </c>
      <c r="C382" s="971">
        <f>'1.2 Budgeted Enrollment YR1'!C382</f>
        <v>2</v>
      </c>
      <c r="D382" s="971" t="str">
        <f>'1.2 Budgeted Enrollment YR1'!D382</f>
        <v>Las Vegas</v>
      </c>
      <c r="E382" s="968" t="str">
        <f>'1.2 Budgeted Enrollment YR1'!E382</f>
        <v>Paradise Prof Dev ES</v>
      </c>
      <c r="F382" s="1061"/>
      <c r="G382" s="1108">
        <f>'1.2 Budgeted Enrollment YR1'!G382+('1.2 Budgeted Enrollment YR1'!G382*$G$7)</f>
        <v>364.31457482655389</v>
      </c>
      <c r="H382" s="1108"/>
      <c r="I382" s="1114">
        <v>0</v>
      </c>
      <c r="J382" s="1115">
        <v>0</v>
      </c>
      <c r="K382" s="1114">
        <v>0</v>
      </c>
      <c r="L382" s="1108">
        <f>'1.2 Budgeted Enrollment YR1'!L382</f>
        <v>0</v>
      </c>
      <c r="M382" s="1104"/>
      <c r="N382" s="875"/>
    </row>
    <row r="383" spans="1:14" ht="16.5" thickTop="1" thickBot="1" x14ac:dyDescent="0.3">
      <c r="A383" s="968" t="str">
        <f>'1.2 Budgeted Enrollment YR1'!A383</f>
        <v>Clark</v>
      </c>
      <c r="B383" s="971">
        <f>'1.2 Budgeted Enrollment YR1'!B383</f>
        <v>2</v>
      </c>
      <c r="C383" s="971">
        <f>'1.2 Budgeted Enrollment YR1'!C383</f>
        <v>2</v>
      </c>
      <c r="D383" s="971" t="str">
        <f>'1.2 Budgeted Enrollment YR1'!D383</f>
        <v>Las Vegas</v>
      </c>
      <c r="E383" s="968" t="str">
        <f>'1.2 Budgeted Enrollment YR1'!E383</f>
        <v>Park, John S ES</v>
      </c>
      <c r="F383" s="1061"/>
      <c r="G383" s="1108">
        <f>'1.2 Budgeted Enrollment YR1'!G383+('1.2 Budgeted Enrollment YR1'!G383*$G$7)</f>
        <v>532.05582371871924</v>
      </c>
      <c r="H383" s="1108"/>
      <c r="I383" s="1114">
        <v>0</v>
      </c>
      <c r="J383" s="1115">
        <v>0</v>
      </c>
      <c r="K383" s="1114">
        <v>0</v>
      </c>
      <c r="L383" s="1108">
        <f>'1.2 Budgeted Enrollment YR1'!L383</f>
        <v>0</v>
      </c>
      <c r="M383" s="1104"/>
      <c r="N383" s="875"/>
    </row>
    <row r="384" spans="1:14" ht="16.5" thickTop="1" thickBot="1" x14ac:dyDescent="0.3">
      <c r="A384" s="968" t="str">
        <f>'1.2 Budgeted Enrollment YR1'!A384</f>
        <v>Clark</v>
      </c>
      <c r="B384" s="971">
        <f>'1.2 Budgeted Enrollment YR1'!B384</f>
        <v>2</v>
      </c>
      <c r="C384" s="971">
        <f>'1.2 Budgeted Enrollment YR1'!C384</f>
        <v>2</v>
      </c>
      <c r="D384" s="971" t="str">
        <f>'1.2 Budgeted Enrollment YR1'!D384</f>
        <v>Las Vegas</v>
      </c>
      <c r="E384" s="968" t="str">
        <f>'1.2 Budgeted Enrollment YR1'!E384</f>
        <v>Parson, Claude &amp; Stella ES</v>
      </c>
      <c r="F384" s="1061"/>
      <c r="G384" s="1108">
        <f>'1.2 Budgeted Enrollment YR1'!G384+('1.2 Budgeted Enrollment YR1'!G384*$G$7)</f>
        <v>284.96611655980729</v>
      </c>
      <c r="H384" s="1108"/>
      <c r="I384" s="1114">
        <v>0</v>
      </c>
      <c r="J384" s="1115">
        <v>0</v>
      </c>
      <c r="K384" s="1114">
        <v>0</v>
      </c>
      <c r="L384" s="1108">
        <f>'1.2 Budgeted Enrollment YR1'!L384</f>
        <v>0</v>
      </c>
      <c r="M384" s="1104"/>
      <c r="N384" s="875"/>
    </row>
    <row r="385" spans="1:14" ht="16.5" thickTop="1" thickBot="1" x14ac:dyDescent="0.3">
      <c r="A385" s="968" t="str">
        <f>'1.2 Budgeted Enrollment YR1'!A385</f>
        <v>Clark</v>
      </c>
      <c r="B385" s="971">
        <f>'1.2 Budgeted Enrollment YR1'!B385</f>
        <v>2</v>
      </c>
      <c r="C385" s="971">
        <f>'1.2 Budgeted Enrollment YR1'!C385</f>
        <v>2</v>
      </c>
      <c r="D385" s="971" t="str">
        <f>'1.2 Budgeted Enrollment YR1'!D385</f>
        <v>Las Vegas</v>
      </c>
      <c r="E385" s="968" t="str">
        <f>'1.2 Budgeted Enrollment YR1'!E385</f>
        <v>Perkins, Dr Claude G ES</v>
      </c>
      <c r="F385" s="1061"/>
      <c r="G385" s="1108">
        <f>'1.2 Budgeted Enrollment YR1'!G385+('1.2 Budgeted Enrollment YR1'!G385*$G$7)</f>
        <v>521.63779007331811</v>
      </c>
      <c r="H385" s="1108"/>
      <c r="I385" s="1114">
        <v>0</v>
      </c>
      <c r="J385" s="1115">
        <v>0</v>
      </c>
      <c r="K385" s="1114">
        <v>0</v>
      </c>
      <c r="L385" s="1108">
        <f>'1.2 Budgeted Enrollment YR1'!L385</f>
        <v>0</v>
      </c>
      <c r="M385" s="1104"/>
      <c r="N385" s="875"/>
    </row>
    <row r="386" spans="1:14" ht="16.5" thickTop="1" thickBot="1" x14ac:dyDescent="0.3">
      <c r="A386" s="968" t="str">
        <f>'1.2 Budgeted Enrollment YR1'!A386</f>
        <v>Clark</v>
      </c>
      <c r="B386" s="971">
        <f>'1.2 Budgeted Enrollment YR1'!B386</f>
        <v>2</v>
      </c>
      <c r="C386" s="971">
        <f>'1.2 Budgeted Enrollment YR1'!C386</f>
        <v>2</v>
      </c>
      <c r="D386" s="971" t="str">
        <f>'1.2 Budgeted Enrollment YR1'!D386</f>
        <v>Moapa Valley</v>
      </c>
      <c r="E386" s="968" t="str">
        <f>'1.2 Budgeted Enrollment YR1'!E386</f>
        <v>Perkins, Ute ES</v>
      </c>
      <c r="F386" s="1061"/>
      <c r="G386" s="1108">
        <f>'1.2 Budgeted Enrollment YR1'!G386+('1.2 Budgeted Enrollment YR1'!G386*$G$7)</f>
        <v>134.18129830719985</v>
      </c>
      <c r="H386" s="1108"/>
      <c r="I386" s="1114">
        <v>0</v>
      </c>
      <c r="J386" s="1115">
        <v>0</v>
      </c>
      <c r="K386" s="1114">
        <v>0</v>
      </c>
      <c r="L386" s="1108">
        <f>'1.2 Budgeted Enrollment YR1'!L386</f>
        <v>0</v>
      </c>
      <c r="M386" s="1104"/>
      <c r="N386" s="875"/>
    </row>
    <row r="387" spans="1:14" ht="16.5" thickTop="1" thickBot="1" x14ac:dyDescent="0.3">
      <c r="A387" s="968" t="str">
        <f>'1.2 Budgeted Enrollment YR1'!A387</f>
        <v>Clark</v>
      </c>
      <c r="B387" s="971">
        <f>'1.2 Budgeted Enrollment YR1'!B387</f>
        <v>2</v>
      </c>
      <c r="C387" s="971">
        <f>'1.2 Budgeted Enrollment YR1'!C387</f>
        <v>2</v>
      </c>
      <c r="D387" s="971" t="str">
        <f>'1.2 Budgeted Enrollment YR1'!D387</f>
        <v>Las Vegas</v>
      </c>
      <c r="E387" s="968" t="str">
        <f>'1.2 Budgeted Enrollment YR1'!E387</f>
        <v>Petersen, Dean ES</v>
      </c>
      <c r="F387" s="1061"/>
      <c r="G387" s="1108">
        <f>'1.2 Budgeted Enrollment YR1'!G387+('1.2 Budgeted Enrollment YR1'!G387*$G$7)</f>
        <v>664.10260536798</v>
      </c>
      <c r="H387" s="1108"/>
      <c r="I387" s="1114">
        <v>0</v>
      </c>
      <c r="J387" s="1115">
        <v>0</v>
      </c>
      <c r="K387" s="1114">
        <v>0</v>
      </c>
      <c r="L387" s="1108">
        <f>'1.2 Budgeted Enrollment YR1'!L387</f>
        <v>0</v>
      </c>
      <c r="M387" s="1104"/>
      <c r="N387" s="875"/>
    </row>
    <row r="388" spans="1:14" ht="16.5" thickTop="1" thickBot="1" x14ac:dyDescent="0.3">
      <c r="A388" s="968" t="str">
        <f>'1.2 Budgeted Enrollment YR1'!A388</f>
        <v>Clark</v>
      </c>
      <c r="B388" s="971">
        <f>'1.2 Budgeted Enrollment YR1'!B388</f>
        <v>2</v>
      </c>
      <c r="C388" s="971">
        <f>'1.2 Budgeted Enrollment YR1'!C388</f>
        <v>2</v>
      </c>
      <c r="D388" s="971" t="str">
        <f>'1.2 Budgeted Enrollment YR1'!D388</f>
        <v>Las Vegas</v>
      </c>
      <c r="E388" s="968" t="str">
        <f>'1.2 Budgeted Enrollment YR1'!E388</f>
        <v>Peterson Academic Center J-SHS</v>
      </c>
      <c r="F388" s="1061"/>
      <c r="G388" s="1108">
        <f>'1.2 Budgeted Enrollment YR1'!G388+('1.2 Budgeted Enrollment YR1'!G388*$G$7)</f>
        <v>163.08062785513633</v>
      </c>
      <c r="H388" s="1108"/>
      <c r="I388" s="1114">
        <v>0</v>
      </c>
      <c r="J388" s="1115">
        <v>0</v>
      </c>
      <c r="K388" s="1114">
        <v>0</v>
      </c>
      <c r="L388" s="1108">
        <f>'1.2 Budgeted Enrollment YR1'!L388</f>
        <v>0</v>
      </c>
      <c r="M388" s="1104"/>
      <c r="N388" s="875"/>
    </row>
    <row r="389" spans="1:14" ht="16.5" thickTop="1" thickBot="1" x14ac:dyDescent="0.3">
      <c r="A389" s="968" t="str">
        <f>'1.2 Budgeted Enrollment YR1'!A389</f>
        <v>Clark</v>
      </c>
      <c r="B389" s="971">
        <f>'1.2 Budgeted Enrollment YR1'!B389</f>
        <v>2</v>
      </c>
      <c r="C389" s="971">
        <f>'1.2 Budgeted Enrollment YR1'!C389</f>
        <v>2</v>
      </c>
      <c r="D389" s="971" t="str">
        <f>'1.2 Budgeted Enrollment YR1'!D389</f>
        <v>Las Vegas</v>
      </c>
      <c r="E389" s="968" t="str">
        <f>'1.2 Budgeted Enrollment YR1'!E389</f>
        <v>Piggott Academy ES</v>
      </c>
      <c r="F389" s="1061"/>
      <c r="G389" s="1108">
        <f>'1.2 Budgeted Enrollment YR1'!G389+('1.2 Budgeted Enrollment YR1'!G389*$G$7)</f>
        <v>680.83158611114857</v>
      </c>
      <c r="H389" s="1108"/>
      <c r="I389" s="1114">
        <v>0</v>
      </c>
      <c r="J389" s="1115">
        <v>0</v>
      </c>
      <c r="K389" s="1114">
        <v>0</v>
      </c>
      <c r="L389" s="1108">
        <f>'1.2 Budgeted Enrollment YR1'!L389</f>
        <v>0</v>
      </c>
      <c r="M389" s="1104"/>
      <c r="N389" s="875"/>
    </row>
    <row r="390" spans="1:14" ht="16.5" thickTop="1" thickBot="1" x14ac:dyDescent="0.3">
      <c r="A390" s="968" t="str">
        <f>'1.2 Budgeted Enrollment YR1'!A390</f>
        <v>Clark</v>
      </c>
      <c r="B390" s="971">
        <f>'1.2 Budgeted Enrollment YR1'!B390</f>
        <v>2</v>
      </c>
      <c r="C390" s="971">
        <f>'1.2 Budgeted Enrollment YR1'!C390</f>
        <v>2</v>
      </c>
      <c r="D390" s="971" t="str">
        <f>'1.2 Budgeted Enrollment YR1'!D390</f>
        <v>Las Vegas</v>
      </c>
      <c r="E390" s="968" t="str">
        <f>'1.2 Budgeted Enrollment YR1'!E390</f>
        <v>Pittman, Vail ES</v>
      </c>
      <c r="F390" s="1061"/>
      <c r="G390" s="1108">
        <f>'1.2 Budgeted Enrollment YR1'!G390+('1.2 Budgeted Enrollment YR1'!G390*$G$7)</f>
        <v>457.54981287204271</v>
      </c>
      <c r="H390" s="1108"/>
      <c r="I390" s="1114">
        <v>0</v>
      </c>
      <c r="J390" s="1115">
        <v>0</v>
      </c>
      <c r="K390" s="1114">
        <v>0</v>
      </c>
      <c r="L390" s="1108">
        <f>'1.2 Budgeted Enrollment YR1'!L390</f>
        <v>0</v>
      </c>
      <c r="M390" s="1104"/>
      <c r="N390" s="875"/>
    </row>
    <row r="391" spans="1:14" ht="16.5" thickTop="1" thickBot="1" x14ac:dyDescent="0.3">
      <c r="A391" s="968" t="str">
        <f>'1.2 Budgeted Enrollment YR1'!A391</f>
        <v>Clark</v>
      </c>
      <c r="B391" s="971">
        <f>'1.2 Budgeted Enrollment YR1'!B391</f>
        <v>2</v>
      </c>
      <c r="C391" s="971">
        <f>'1.2 Budgeted Enrollment YR1'!C391</f>
        <v>2</v>
      </c>
      <c r="D391" s="971" t="str">
        <f>'1.2 Budgeted Enrollment YR1'!D391</f>
        <v>Las Vegas</v>
      </c>
      <c r="E391" s="968" t="str">
        <f>'1.2 Budgeted Enrollment YR1'!E391</f>
        <v>Priest, Richard C ES</v>
      </c>
      <c r="F391" s="1061"/>
      <c r="G391" s="1108">
        <f>'1.2 Budgeted Enrollment YR1'!G391+('1.2 Budgeted Enrollment YR1'!G391*$G$7)</f>
        <v>641.00356071190106</v>
      </c>
      <c r="H391" s="1108"/>
      <c r="I391" s="1114">
        <v>0</v>
      </c>
      <c r="J391" s="1115">
        <v>0</v>
      </c>
      <c r="K391" s="1114">
        <v>0</v>
      </c>
      <c r="L391" s="1108">
        <f>'1.2 Budgeted Enrollment YR1'!L391</f>
        <v>0</v>
      </c>
      <c r="M391" s="1104"/>
      <c r="N391" s="875"/>
    </row>
    <row r="392" spans="1:14" ht="16.5" thickTop="1" thickBot="1" x14ac:dyDescent="0.3">
      <c r="A392" s="968" t="str">
        <f>'1.2 Budgeted Enrollment YR1'!A392</f>
        <v>Clark</v>
      </c>
      <c r="B392" s="971">
        <f>'1.2 Budgeted Enrollment YR1'!B392</f>
        <v>2</v>
      </c>
      <c r="C392" s="971">
        <f>'1.2 Budgeted Enrollment YR1'!C392</f>
        <v>2</v>
      </c>
      <c r="D392" s="971" t="str">
        <f>'1.2 Budgeted Enrollment YR1'!D392</f>
        <v>Las Vegas</v>
      </c>
      <c r="E392" s="968" t="str">
        <f>'1.2 Budgeted Enrollment YR1'!E392</f>
        <v>Quest Program</v>
      </c>
      <c r="F392" s="1061"/>
      <c r="G392" s="1108">
        <f>'1.2 Budgeted Enrollment YR1'!G392+('1.2 Budgeted Enrollment YR1'!G392*$G$7)</f>
        <v>11.143862059698282</v>
      </c>
      <c r="H392" s="1108"/>
      <c r="I392" s="1114">
        <v>0</v>
      </c>
      <c r="J392" s="1115">
        <v>0</v>
      </c>
      <c r="K392" s="1114">
        <v>0</v>
      </c>
      <c r="L392" s="1108">
        <f>'1.2 Budgeted Enrollment YR1'!L392</f>
        <v>0</v>
      </c>
      <c r="M392" s="1104"/>
      <c r="N392" s="875"/>
    </row>
    <row r="393" spans="1:14" ht="16.5" thickTop="1" thickBot="1" x14ac:dyDescent="0.3">
      <c r="A393" s="968" t="str">
        <f>'1.2 Budgeted Enrollment YR1'!A393</f>
        <v>Clark</v>
      </c>
      <c r="B393" s="971">
        <f>'1.2 Budgeted Enrollment YR1'!B393</f>
        <v>2</v>
      </c>
      <c r="C393" s="971">
        <f>'1.2 Budgeted Enrollment YR1'!C393</f>
        <v>2</v>
      </c>
      <c r="D393" s="971" t="str">
        <f>'1.2 Budgeted Enrollment YR1'!D393</f>
        <v>Las Vegas</v>
      </c>
      <c r="E393" s="968" t="str">
        <f>'1.2 Budgeted Enrollment YR1'!E393</f>
        <v>Rancho HS</v>
      </c>
      <c r="F393" s="1061"/>
      <c r="G393" s="1108">
        <f>'1.2 Budgeted Enrollment YR1'!G393+('1.2 Budgeted Enrollment YR1'!G393*$G$7)</f>
        <v>2884.3782019837527</v>
      </c>
      <c r="H393" s="1108"/>
      <c r="I393" s="1114">
        <v>0</v>
      </c>
      <c r="J393" s="1115">
        <v>0</v>
      </c>
      <c r="K393" s="1114">
        <v>0</v>
      </c>
      <c r="L393" s="1108">
        <f>'1.2 Budgeted Enrollment YR1'!L393</f>
        <v>0</v>
      </c>
      <c r="M393" s="1104"/>
      <c r="N393" s="875"/>
    </row>
    <row r="394" spans="1:14" ht="16.5" thickTop="1" thickBot="1" x14ac:dyDescent="0.3">
      <c r="A394" s="968" t="str">
        <f>'1.2 Budgeted Enrollment YR1'!A394</f>
        <v>Clark</v>
      </c>
      <c r="B394" s="971">
        <f>'1.2 Budgeted Enrollment YR1'!B394</f>
        <v>2</v>
      </c>
      <c r="C394" s="971">
        <f>'1.2 Budgeted Enrollment YR1'!C394</f>
        <v>2</v>
      </c>
      <c r="D394" s="971" t="str">
        <f>'1.2 Budgeted Enrollment YR1'!D394</f>
        <v>Las Vegas</v>
      </c>
      <c r="E394" s="968" t="str">
        <f>'1.2 Budgeted Enrollment YR1'!E394</f>
        <v>Red Rock ES</v>
      </c>
      <c r="F394" s="1061"/>
      <c r="G394" s="1108">
        <f>'1.2 Budgeted Enrollment YR1'!G394+('1.2 Budgeted Enrollment YR1'!G394*$G$7)</f>
        <v>410.48536574426316</v>
      </c>
      <c r="H394" s="1108"/>
      <c r="I394" s="1114">
        <v>0</v>
      </c>
      <c r="J394" s="1115">
        <v>0</v>
      </c>
      <c r="K394" s="1114">
        <v>0</v>
      </c>
      <c r="L394" s="1108">
        <f>'1.2 Budgeted Enrollment YR1'!L394</f>
        <v>0</v>
      </c>
      <c r="M394" s="1104"/>
      <c r="N394" s="875"/>
    </row>
    <row r="395" spans="1:14" ht="16.5" thickTop="1" thickBot="1" x14ac:dyDescent="0.3">
      <c r="A395" s="968" t="str">
        <f>'1.2 Budgeted Enrollment YR1'!A395</f>
        <v>Clark</v>
      </c>
      <c r="B395" s="971">
        <f>'1.2 Budgeted Enrollment YR1'!B395</f>
        <v>2</v>
      </c>
      <c r="C395" s="971">
        <f>'1.2 Budgeted Enrollment YR1'!C395</f>
        <v>2</v>
      </c>
      <c r="D395" s="971" t="str">
        <f>'1.2 Budgeted Enrollment YR1'!D395</f>
        <v>Las Vegas</v>
      </c>
      <c r="E395" s="968" t="str">
        <f>'1.2 Budgeted Enrollment YR1'!E395</f>
        <v>Reed, Doris M ES</v>
      </c>
      <c r="F395" s="1061"/>
      <c r="G395" s="1108">
        <f>'1.2 Budgeted Enrollment YR1'!G395+('1.2 Budgeted Enrollment YR1'!G395*$G$7)</f>
        <v>551.86646169814901</v>
      </c>
      <c r="H395" s="1108"/>
      <c r="I395" s="1114">
        <v>0</v>
      </c>
      <c r="J395" s="1115">
        <v>0</v>
      </c>
      <c r="K395" s="1114">
        <v>0</v>
      </c>
      <c r="L395" s="1108">
        <f>'1.2 Budgeted Enrollment YR1'!L395</f>
        <v>0</v>
      </c>
      <c r="M395" s="1104"/>
      <c r="N395" s="875"/>
    </row>
    <row r="396" spans="1:14" ht="16.5" thickTop="1" thickBot="1" x14ac:dyDescent="0.3">
      <c r="A396" s="968" t="str">
        <f>'1.2 Budgeted Enrollment YR1'!A396</f>
        <v>Clark</v>
      </c>
      <c r="B396" s="971">
        <f>'1.2 Budgeted Enrollment YR1'!B396</f>
        <v>2</v>
      </c>
      <c r="C396" s="971">
        <f>'1.2 Budgeted Enrollment YR1'!C396</f>
        <v>2</v>
      </c>
      <c r="D396" s="971" t="str">
        <f>'1.2 Budgeted Enrollment YR1'!D396</f>
        <v>Las Vegas</v>
      </c>
      <c r="E396" s="968" t="str">
        <f>'1.2 Budgeted Enrollment YR1'!E396</f>
        <v>Reedom, Carolyn S ES</v>
      </c>
      <c r="F396" s="1061"/>
      <c r="G396" s="1108">
        <f>'1.2 Budgeted Enrollment YR1'!G396+('1.2 Budgeted Enrollment YR1'!G396*$G$7)</f>
        <v>485.86664615617303</v>
      </c>
      <c r="H396" s="1108"/>
      <c r="I396" s="1114">
        <v>0</v>
      </c>
      <c r="J396" s="1115">
        <v>0</v>
      </c>
      <c r="K396" s="1114">
        <v>0</v>
      </c>
      <c r="L396" s="1108">
        <f>'1.2 Budgeted Enrollment YR1'!L396</f>
        <v>0</v>
      </c>
      <c r="M396" s="1104"/>
      <c r="N396" s="875"/>
    </row>
    <row r="397" spans="1:14" ht="16.5" thickTop="1" thickBot="1" x14ac:dyDescent="0.3">
      <c r="A397" s="968" t="str">
        <f>'1.2 Budgeted Enrollment YR1'!A397</f>
        <v>Clark</v>
      </c>
      <c r="B397" s="971">
        <f>'1.2 Budgeted Enrollment YR1'!B397</f>
        <v>2</v>
      </c>
      <c r="C397" s="971">
        <f>'1.2 Budgeted Enrollment YR1'!C397</f>
        <v>2</v>
      </c>
      <c r="D397" s="971" t="str">
        <f>'1.2 Budgeted Enrollment YR1'!D397</f>
        <v>Searchlight</v>
      </c>
      <c r="E397" s="968" t="str">
        <f>'1.2 Budgeted Enrollment YR1'!E397</f>
        <v>Reid, Harry ES</v>
      </c>
      <c r="F397" s="1061"/>
      <c r="G397" s="1108">
        <f>'1.2 Budgeted Enrollment YR1'!G397+('1.2 Budgeted Enrollment YR1'!G397*$G$7)</f>
        <v>10.505686011797483</v>
      </c>
      <c r="H397" s="1108"/>
      <c r="I397" s="1114">
        <v>0</v>
      </c>
      <c r="J397" s="1115">
        <v>0</v>
      </c>
      <c r="K397" s="1114">
        <v>0</v>
      </c>
      <c r="L397" s="1108">
        <f>'1.2 Budgeted Enrollment YR1'!L397</f>
        <v>0</v>
      </c>
      <c r="M397" s="1104"/>
      <c r="N397" s="875"/>
    </row>
    <row r="398" spans="1:14" ht="16.5" thickTop="1" thickBot="1" x14ac:dyDescent="0.3">
      <c r="A398" s="968" t="str">
        <f>'1.2 Budgeted Enrollment YR1'!A398</f>
        <v>Clark</v>
      </c>
      <c r="B398" s="971">
        <f>'1.2 Budgeted Enrollment YR1'!B398</f>
        <v>2</v>
      </c>
      <c r="C398" s="971">
        <f>'1.2 Budgeted Enrollment YR1'!C398</f>
        <v>2</v>
      </c>
      <c r="D398" s="971" t="str">
        <f>'1.2 Budgeted Enrollment YR1'!D398</f>
        <v>Las Vegas</v>
      </c>
      <c r="E398" s="968" t="str">
        <f>'1.2 Budgeted Enrollment YR1'!E398</f>
        <v>Rhodes, Betsy ES</v>
      </c>
      <c r="F398" s="1061"/>
      <c r="G398" s="1108">
        <f>'1.2 Budgeted Enrollment YR1'!G398+('1.2 Budgeted Enrollment YR1'!G398*$G$7)</f>
        <v>560.22085666413193</v>
      </c>
      <c r="H398" s="1108"/>
      <c r="I398" s="1114">
        <v>0</v>
      </c>
      <c r="J398" s="1115">
        <v>0</v>
      </c>
      <c r="K398" s="1114">
        <v>0</v>
      </c>
      <c r="L398" s="1108">
        <f>'1.2 Budgeted Enrollment YR1'!L398</f>
        <v>0</v>
      </c>
      <c r="M398" s="1104"/>
      <c r="N398" s="875"/>
    </row>
    <row r="399" spans="1:14" ht="16.5" thickTop="1" thickBot="1" x14ac:dyDescent="0.3">
      <c r="A399" s="968" t="str">
        <f>'1.2 Budgeted Enrollment YR1'!A399</f>
        <v>Clark</v>
      </c>
      <c r="B399" s="971">
        <f>'1.2 Budgeted Enrollment YR1'!B399</f>
        <v>2</v>
      </c>
      <c r="C399" s="971">
        <f>'1.2 Budgeted Enrollment YR1'!C399</f>
        <v>2</v>
      </c>
      <c r="D399" s="971" t="str">
        <f>'1.2 Budgeted Enrollment YR1'!D399</f>
        <v>Las Vegas</v>
      </c>
      <c r="E399" s="968" t="str">
        <f>'1.2 Budgeted Enrollment YR1'!E399</f>
        <v>Ries, Aldeane Comito ES</v>
      </c>
      <c r="F399" s="1061"/>
      <c r="G399" s="1108">
        <f>'1.2 Budgeted Enrollment YR1'!G399+('1.2 Budgeted Enrollment YR1'!G399*$G$7)</f>
        <v>750.22114630367105</v>
      </c>
      <c r="H399" s="1108"/>
      <c r="I399" s="1114">
        <v>0</v>
      </c>
      <c r="J399" s="1115">
        <v>0</v>
      </c>
      <c r="K399" s="1114">
        <v>0</v>
      </c>
      <c r="L399" s="1108">
        <f>'1.2 Budgeted Enrollment YR1'!L399</f>
        <v>0</v>
      </c>
      <c r="M399" s="1104"/>
      <c r="N399" s="875"/>
    </row>
    <row r="400" spans="1:14" ht="16.5" thickTop="1" thickBot="1" x14ac:dyDescent="0.3">
      <c r="A400" s="968" t="str">
        <f>'1.2 Budgeted Enrollment YR1'!A400</f>
        <v>Clark</v>
      </c>
      <c r="B400" s="971">
        <f>'1.2 Budgeted Enrollment YR1'!B400</f>
        <v>2</v>
      </c>
      <c r="C400" s="971">
        <f>'1.2 Budgeted Enrollment YR1'!C400</f>
        <v>2</v>
      </c>
      <c r="D400" s="971" t="str">
        <f>'1.2 Budgeted Enrollment YR1'!D400</f>
        <v>Las Vegas</v>
      </c>
      <c r="E400" s="968" t="str">
        <f>'1.2 Budgeted Enrollment YR1'!E400</f>
        <v>Roberts, Aggie ES</v>
      </c>
      <c r="F400" s="1061"/>
      <c r="G400" s="1108">
        <f>'1.2 Budgeted Enrollment YR1'!G400+('1.2 Budgeted Enrollment YR1'!G400*$G$7)</f>
        <v>453.14256822625441</v>
      </c>
      <c r="H400" s="1108"/>
      <c r="I400" s="1114">
        <v>0</v>
      </c>
      <c r="J400" s="1115">
        <v>0</v>
      </c>
      <c r="K400" s="1114">
        <v>0</v>
      </c>
      <c r="L400" s="1108">
        <f>'1.2 Budgeted Enrollment YR1'!L400</f>
        <v>0</v>
      </c>
      <c r="M400" s="1104"/>
      <c r="N400" s="875"/>
    </row>
    <row r="401" spans="1:14" ht="16.5" thickTop="1" thickBot="1" x14ac:dyDescent="0.3">
      <c r="A401" s="968" t="str">
        <f>'1.2 Budgeted Enrollment YR1'!A401</f>
        <v>Clark</v>
      </c>
      <c r="B401" s="971">
        <f>'1.2 Budgeted Enrollment YR1'!B401</f>
        <v>2</v>
      </c>
      <c r="C401" s="971">
        <f>'1.2 Budgeted Enrollment YR1'!C401</f>
        <v>2</v>
      </c>
      <c r="D401" s="971" t="str">
        <f>'1.2 Budgeted Enrollment YR1'!D401</f>
        <v>Las Vegas</v>
      </c>
      <c r="E401" s="968" t="str">
        <f>'1.2 Budgeted Enrollment YR1'!E401</f>
        <v>Robison, Dell H MS</v>
      </c>
      <c r="F401" s="1061"/>
      <c r="G401" s="1108">
        <f>'1.2 Budgeted Enrollment YR1'!G401+('1.2 Budgeted Enrollment YR1'!G401*$G$7)</f>
        <v>709.65893982402952</v>
      </c>
      <c r="H401" s="1108"/>
      <c r="I401" s="1114">
        <v>0</v>
      </c>
      <c r="J401" s="1115">
        <v>0</v>
      </c>
      <c r="K401" s="1114">
        <v>0</v>
      </c>
      <c r="L401" s="1108">
        <f>'1.2 Budgeted Enrollment YR1'!L401</f>
        <v>0</v>
      </c>
      <c r="M401" s="1104"/>
      <c r="N401" s="875"/>
    </row>
    <row r="402" spans="1:14" ht="16.5" thickTop="1" thickBot="1" x14ac:dyDescent="0.3">
      <c r="A402" s="968" t="str">
        <f>'1.2 Budgeted Enrollment YR1'!A402</f>
        <v>Clark</v>
      </c>
      <c r="B402" s="971">
        <f>'1.2 Budgeted Enrollment YR1'!B402</f>
        <v>2</v>
      </c>
      <c r="C402" s="971">
        <f>'1.2 Budgeted Enrollment YR1'!C402</f>
        <v>2</v>
      </c>
      <c r="D402" s="971" t="str">
        <f>'1.2 Budgeted Enrollment YR1'!D402</f>
        <v>Las Vegas</v>
      </c>
      <c r="E402" s="968" t="str">
        <f>'1.2 Budgeted Enrollment YR1'!E402</f>
        <v>Rogers, Lucille S ES</v>
      </c>
      <c r="F402" s="1061"/>
      <c r="G402" s="1108">
        <f>'1.2 Budgeted Enrollment YR1'!G402+('1.2 Budgeted Enrollment YR1'!G402*$G$7)</f>
        <v>688.94953957621044</v>
      </c>
      <c r="H402" s="1108"/>
      <c r="I402" s="1114">
        <v>0</v>
      </c>
      <c r="J402" s="1115">
        <v>0</v>
      </c>
      <c r="K402" s="1114">
        <v>0</v>
      </c>
      <c r="L402" s="1108">
        <f>'1.2 Budgeted Enrollment YR1'!L402</f>
        <v>0</v>
      </c>
      <c r="M402" s="1104"/>
      <c r="N402" s="875"/>
    </row>
    <row r="403" spans="1:14" ht="16.5" thickTop="1" thickBot="1" x14ac:dyDescent="0.3">
      <c r="A403" s="968" t="str">
        <f>'1.2 Budgeted Enrollment YR1'!A403</f>
        <v>Clark</v>
      </c>
      <c r="B403" s="971">
        <f>'1.2 Budgeted Enrollment YR1'!B403</f>
        <v>2</v>
      </c>
      <c r="C403" s="971">
        <f>'1.2 Budgeted Enrollment YR1'!C403</f>
        <v>2</v>
      </c>
      <c r="D403" s="971" t="str">
        <f>'1.2 Budgeted Enrollment YR1'!D403</f>
        <v>Las Vegas</v>
      </c>
      <c r="E403" s="968" t="str">
        <f>'1.2 Budgeted Enrollment YR1'!E403</f>
        <v>Rogich, Sig MS</v>
      </c>
      <c r="F403" s="1061"/>
      <c r="G403" s="1108">
        <f>'1.2 Budgeted Enrollment YR1'!G403+('1.2 Budgeted Enrollment YR1'!G403*$G$7)</f>
        <v>1640.2860928793102</v>
      </c>
      <c r="H403" s="1108"/>
      <c r="I403" s="1114">
        <v>0</v>
      </c>
      <c r="J403" s="1115">
        <v>0</v>
      </c>
      <c r="K403" s="1114">
        <v>0</v>
      </c>
      <c r="L403" s="1108">
        <f>'1.2 Budgeted Enrollment YR1'!L403</f>
        <v>0</v>
      </c>
      <c r="M403" s="1104"/>
      <c r="N403" s="875"/>
    </row>
    <row r="404" spans="1:14" ht="16.5" thickTop="1" thickBot="1" x14ac:dyDescent="0.3">
      <c r="A404" s="968" t="str">
        <f>'1.2 Budgeted Enrollment YR1'!A404</f>
        <v>Clark</v>
      </c>
      <c r="B404" s="971">
        <f>'1.2 Budgeted Enrollment YR1'!B404</f>
        <v>2</v>
      </c>
      <c r="C404" s="971">
        <f>'1.2 Budgeted Enrollment YR1'!C404</f>
        <v>2</v>
      </c>
      <c r="D404" s="971" t="str">
        <f>'1.2 Budgeted Enrollment YR1'!D404</f>
        <v>Las Vegas</v>
      </c>
      <c r="E404" s="968" t="str">
        <f>'1.2 Budgeted Enrollment YR1'!E404</f>
        <v>Ronnow, C C ES</v>
      </c>
      <c r="F404" s="1061"/>
      <c r="G404" s="1108">
        <f>'1.2 Budgeted Enrollment YR1'!G404+('1.2 Budgeted Enrollment YR1'!G404*$G$7)</f>
        <v>467.05410600242266</v>
      </c>
      <c r="H404" s="1108"/>
      <c r="I404" s="1114">
        <v>0</v>
      </c>
      <c r="J404" s="1115">
        <v>0</v>
      </c>
      <c r="K404" s="1114">
        <v>0</v>
      </c>
      <c r="L404" s="1108">
        <f>'1.2 Budgeted Enrollment YR1'!L404</f>
        <v>0</v>
      </c>
      <c r="M404" s="1104"/>
      <c r="N404" s="875"/>
    </row>
    <row r="405" spans="1:14" ht="16.5" thickTop="1" thickBot="1" x14ac:dyDescent="0.3">
      <c r="A405" s="968" t="str">
        <f>'1.2 Budgeted Enrollment YR1'!A405</f>
        <v>Clark</v>
      </c>
      <c r="B405" s="971">
        <f>'1.2 Budgeted Enrollment YR1'!B405</f>
        <v>2</v>
      </c>
      <c r="C405" s="971">
        <f>'1.2 Budgeted Enrollment YR1'!C405</f>
        <v>2</v>
      </c>
      <c r="D405" s="971" t="str">
        <f>'1.2 Budgeted Enrollment YR1'!D405</f>
        <v>Las Vegas</v>
      </c>
      <c r="E405" s="968" t="str">
        <f>'1.2 Budgeted Enrollment YR1'!E405</f>
        <v>Ronzone, Bertha ES</v>
      </c>
      <c r="F405" s="1061"/>
      <c r="G405" s="1108">
        <f>'1.2 Budgeted Enrollment YR1'!G405+('1.2 Budgeted Enrollment YR1'!G405*$G$7)</f>
        <v>652.54204497970511</v>
      </c>
      <c r="H405" s="1108"/>
      <c r="I405" s="1114">
        <v>0</v>
      </c>
      <c r="J405" s="1115">
        <v>0</v>
      </c>
      <c r="K405" s="1114">
        <v>0</v>
      </c>
      <c r="L405" s="1108">
        <f>'1.2 Budgeted Enrollment YR1'!L405</f>
        <v>0</v>
      </c>
      <c r="M405" s="1104"/>
      <c r="N405" s="875"/>
    </row>
    <row r="406" spans="1:14" ht="16.5" thickTop="1" thickBot="1" x14ac:dyDescent="0.3">
      <c r="A406" s="968" t="str">
        <f>'1.2 Budgeted Enrollment YR1'!A406</f>
        <v>Clark</v>
      </c>
      <c r="B406" s="971">
        <f>'1.2 Budgeted Enrollment YR1'!B406</f>
        <v>2</v>
      </c>
      <c r="C406" s="971">
        <f>'1.2 Budgeted Enrollment YR1'!C406</f>
        <v>2</v>
      </c>
      <c r="D406" s="971" t="str">
        <f>'1.2 Budgeted Enrollment YR1'!D406</f>
        <v>Las Vegas</v>
      </c>
      <c r="E406" s="968" t="str">
        <f>'1.2 Budgeted Enrollment YR1'!E406</f>
        <v>Roundy, Dr C Owen ES</v>
      </c>
      <c r="F406" s="1061"/>
      <c r="G406" s="1108">
        <f>'1.2 Budgeted Enrollment YR1'!G406+('1.2 Budgeted Enrollment YR1'!G406*$G$7)</f>
        <v>590.12719925500494</v>
      </c>
      <c r="H406" s="1108"/>
      <c r="I406" s="1114">
        <v>0</v>
      </c>
      <c r="J406" s="1115">
        <v>0</v>
      </c>
      <c r="K406" s="1114">
        <v>0</v>
      </c>
      <c r="L406" s="1108">
        <f>'1.2 Budgeted Enrollment YR1'!L406</f>
        <v>0</v>
      </c>
      <c r="M406" s="1104"/>
      <c r="N406" s="875"/>
    </row>
    <row r="407" spans="1:14" ht="16.5" thickTop="1" thickBot="1" x14ac:dyDescent="0.3">
      <c r="A407" s="968" t="str">
        <f>'1.2 Budgeted Enrollment YR1'!A407</f>
        <v>Clark</v>
      </c>
      <c r="B407" s="971">
        <f>'1.2 Budgeted Enrollment YR1'!B407</f>
        <v>2</v>
      </c>
      <c r="C407" s="971">
        <f>'1.2 Budgeted Enrollment YR1'!C407</f>
        <v>2</v>
      </c>
      <c r="D407" s="971" t="str">
        <f>'1.2 Budgeted Enrollment YR1'!D407</f>
        <v>Las Vegas</v>
      </c>
      <c r="E407" s="968" t="str">
        <f>'1.2 Budgeted Enrollment YR1'!E407</f>
        <v>Rowe, Lewis E ES</v>
      </c>
      <c r="F407" s="1061"/>
      <c r="G407" s="1108">
        <f>'1.2 Budgeted Enrollment YR1'!G407+('1.2 Budgeted Enrollment YR1'!G407*$G$7)</f>
        <v>534.26507982602504</v>
      </c>
      <c r="H407" s="1108"/>
      <c r="I407" s="1114">
        <v>0</v>
      </c>
      <c r="J407" s="1115">
        <v>0</v>
      </c>
      <c r="K407" s="1114">
        <v>0</v>
      </c>
      <c r="L407" s="1108">
        <f>'1.2 Budgeted Enrollment YR1'!L407</f>
        <v>0</v>
      </c>
      <c r="M407" s="1104"/>
      <c r="N407" s="875"/>
    </row>
    <row r="408" spans="1:14" ht="16.5" thickTop="1" thickBot="1" x14ac:dyDescent="0.3">
      <c r="A408" s="968" t="str">
        <f>'1.2 Budgeted Enrollment YR1'!A408</f>
        <v>Clark</v>
      </c>
      <c r="B408" s="971">
        <f>'1.2 Budgeted Enrollment YR1'!B408</f>
        <v>2</v>
      </c>
      <c r="C408" s="971">
        <f>'1.2 Budgeted Enrollment YR1'!C408</f>
        <v>2</v>
      </c>
      <c r="D408" s="971" t="str">
        <f>'1.2 Budgeted Enrollment YR1'!D408</f>
        <v>Las Vegas</v>
      </c>
      <c r="E408" s="968" t="str">
        <f>'1.2 Budgeted Enrollment YR1'!E408</f>
        <v>Rundle, Richard ES</v>
      </c>
      <c r="F408" s="1061"/>
      <c r="G408" s="1108">
        <f>'1.2 Budgeted Enrollment YR1'!G408+('1.2 Budgeted Enrollment YR1'!G408*$G$7)</f>
        <v>568.10379174994648</v>
      </c>
      <c r="H408" s="1108"/>
      <c r="I408" s="1114">
        <v>0</v>
      </c>
      <c r="J408" s="1115">
        <v>0</v>
      </c>
      <c r="K408" s="1114">
        <v>0</v>
      </c>
      <c r="L408" s="1108">
        <f>'1.2 Budgeted Enrollment YR1'!L408</f>
        <v>0</v>
      </c>
      <c r="M408" s="1104"/>
      <c r="N408" s="875"/>
    </row>
    <row r="409" spans="1:14" ht="16.5" thickTop="1" thickBot="1" x14ac:dyDescent="0.3">
      <c r="A409" s="968" t="str">
        <f>'1.2 Budgeted Enrollment YR1'!A409</f>
        <v>Clark</v>
      </c>
      <c r="B409" s="971">
        <f>'1.2 Budgeted Enrollment YR1'!B409</f>
        <v>2</v>
      </c>
      <c r="C409" s="971">
        <f>'1.2 Budgeted Enrollment YR1'!C409</f>
        <v>2</v>
      </c>
      <c r="D409" s="971" t="str">
        <f>'1.2 Budgeted Enrollment YR1'!D409</f>
        <v>Sandy Valley</v>
      </c>
      <c r="E409" s="968" t="str">
        <f>'1.2 Budgeted Enrollment YR1'!E409</f>
        <v>Sandy Valley ES</v>
      </c>
      <c r="F409" s="1061"/>
      <c r="G409" s="1108">
        <f>'1.2 Budgeted Enrollment YR1'!G409+('1.2 Budgeted Enrollment YR1'!G409*$G$7)</f>
        <v>102.21061161875787</v>
      </c>
      <c r="H409" s="1108"/>
      <c r="I409" s="1114">
        <v>0</v>
      </c>
      <c r="J409" s="1115">
        <v>0</v>
      </c>
      <c r="K409" s="1114">
        <v>0</v>
      </c>
      <c r="L409" s="1108">
        <f>'1.2 Budgeted Enrollment YR1'!L409</f>
        <v>0</v>
      </c>
      <c r="M409" s="1104"/>
      <c r="N409" s="875"/>
    </row>
    <row r="410" spans="1:14" ht="16.5" thickTop="1" thickBot="1" x14ac:dyDescent="0.3">
      <c r="A410" s="968" t="str">
        <f>'1.2 Budgeted Enrollment YR1'!A410</f>
        <v>Clark</v>
      </c>
      <c r="B410" s="971">
        <f>'1.2 Budgeted Enrollment YR1'!B410</f>
        <v>2</v>
      </c>
      <c r="C410" s="971">
        <f>'1.2 Budgeted Enrollment YR1'!C410</f>
        <v>2</v>
      </c>
      <c r="D410" s="971" t="str">
        <f>'1.2 Budgeted Enrollment YR1'!D410</f>
        <v>Sandy Valley</v>
      </c>
      <c r="E410" s="968" t="str">
        <f>'1.2 Budgeted Enrollment YR1'!E410</f>
        <v>Sandy Valley J-SHS</v>
      </c>
      <c r="F410" s="1061"/>
      <c r="G410" s="1108">
        <f>'1.2 Budgeted Enrollment YR1'!G410+('1.2 Budgeted Enrollment YR1'!G410*$G$7)</f>
        <v>191.7110870767907</v>
      </c>
      <c r="H410" s="1108"/>
      <c r="I410" s="1114">
        <v>0</v>
      </c>
      <c r="J410" s="1115">
        <v>0</v>
      </c>
      <c r="K410" s="1114">
        <v>0</v>
      </c>
      <c r="L410" s="1108">
        <f>'1.2 Budgeted Enrollment YR1'!L410</f>
        <v>0</v>
      </c>
      <c r="M410" s="1104"/>
      <c r="N410" s="875"/>
    </row>
    <row r="411" spans="1:14" ht="16.5" thickTop="1" thickBot="1" x14ac:dyDescent="0.3">
      <c r="A411" s="968" t="str">
        <f>'1.2 Budgeted Enrollment YR1'!A411</f>
        <v>Clark</v>
      </c>
      <c r="B411" s="971">
        <f>'1.2 Budgeted Enrollment YR1'!B411</f>
        <v>2</v>
      </c>
      <c r="C411" s="971">
        <f>'1.2 Budgeted Enrollment YR1'!C411</f>
        <v>2</v>
      </c>
      <c r="D411" s="971" t="str">
        <f>'1.2 Budgeted Enrollment YR1'!D411</f>
        <v>Las Vegas</v>
      </c>
      <c r="E411" s="968" t="str">
        <f>'1.2 Budgeted Enrollment YR1'!E411</f>
        <v>Saville, Anthony MS</v>
      </c>
      <c r="F411" s="1061"/>
      <c r="G411" s="1108">
        <f>'1.2 Budgeted Enrollment YR1'!G411+('1.2 Budgeted Enrollment YR1'!G411*$G$7)</f>
        <v>1393.3998290085829</v>
      </c>
      <c r="H411" s="1108"/>
      <c r="I411" s="1114">
        <v>0</v>
      </c>
      <c r="J411" s="1115">
        <v>0</v>
      </c>
      <c r="K411" s="1114">
        <v>0</v>
      </c>
      <c r="L411" s="1108">
        <f>'1.2 Budgeted Enrollment YR1'!L411</f>
        <v>0</v>
      </c>
      <c r="M411" s="1104"/>
      <c r="N411" s="875"/>
    </row>
    <row r="412" spans="1:14" ht="16.5" thickTop="1" thickBot="1" x14ac:dyDescent="0.3">
      <c r="A412" s="968" t="str">
        <f>'1.2 Budgeted Enrollment YR1'!A412</f>
        <v>Clark</v>
      </c>
      <c r="B412" s="971">
        <f>'1.2 Budgeted Enrollment YR1'!B412</f>
        <v>2</v>
      </c>
      <c r="C412" s="971">
        <f>'1.2 Budgeted Enrollment YR1'!C412</f>
        <v>2</v>
      </c>
      <c r="D412" s="971" t="str">
        <f>'1.2 Budgeted Enrollment YR1'!D412</f>
        <v>Las Vegas</v>
      </c>
      <c r="E412" s="968" t="str">
        <f>'1.2 Budgeted Enrollment YR1'!E412</f>
        <v>Sawyer, Grant MS</v>
      </c>
      <c r="F412" s="1061"/>
      <c r="G412" s="1108">
        <f>'1.2 Budgeted Enrollment YR1'!G412+('1.2 Budgeted Enrollment YR1'!G412*$G$7)</f>
        <v>1158.3044214677161</v>
      </c>
      <c r="H412" s="1108"/>
      <c r="I412" s="1114">
        <v>0</v>
      </c>
      <c r="J412" s="1115">
        <v>0</v>
      </c>
      <c r="K412" s="1114">
        <v>0</v>
      </c>
      <c r="L412" s="1108">
        <f>'1.2 Budgeted Enrollment YR1'!L412</f>
        <v>0</v>
      </c>
      <c r="M412" s="1104"/>
      <c r="N412" s="875"/>
    </row>
    <row r="413" spans="1:14" ht="16.5" thickTop="1" thickBot="1" x14ac:dyDescent="0.3">
      <c r="A413" s="968" t="str">
        <f>'1.2 Budgeted Enrollment YR1'!A413</f>
        <v>Clark</v>
      </c>
      <c r="B413" s="971">
        <f>'1.2 Budgeted Enrollment YR1'!B413</f>
        <v>2</v>
      </c>
      <c r="C413" s="971">
        <f>'1.2 Budgeted Enrollment YR1'!C413</f>
        <v>2</v>
      </c>
      <c r="D413" s="971" t="str">
        <f>'1.2 Budgeted Enrollment YR1'!D413</f>
        <v>Las Vegas</v>
      </c>
      <c r="E413" s="968" t="str">
        <f>'1.2 Budgeted Enrollment YR1'!E413</f>
        <v>Scherkenbach, William &amp; Mary ES</v>
      </c>
      <c r="F413" s="1061"/>
      <c r="G413" s="1108">
        <f>'1.2 Budgeted Enrollment YR1'!G413+('1.2 Budgeted Enrollment YR1'!G413*$G$7)</f>
        <v>513.1227946771877</v>
      </c>
      <c r="H413" s="1108"/>
      <c r="I413" s="1114">
        <v>0</v>
      </c>
      <c r="J413" s="1115">
        <v>0</v>
      </c>
      <c r="K413" s="1114">
        <v>0</v>
      </c>
      <c r="L413" s="1108">
        <f>'1.2 Budgeted Enrollment YR1'!L413</f>
        <v>0</v>
      </c>
      <c r="M413" s="1104"/>
      <c r="N413" s="875"/>
    </row>
    <row r="414" spans="1:14" ht="16.5" thickTop="1" thickBot="1" x14ac:dyDescent="0.3">
      <c r="A414" s="968" t="str">
        <f>'1.2 Budgeted Enrollment YR1'!A414</f>
        <v>Clark</v>
      </c>
      <c r="B414" s="971">
        <f>'1.2 Budgeted Enrollment YR1'!B414</f>
        <v>2</v>
      </c>
      <c r="C414" s="971">
        <f>'1.2 Budgeted Enrollment YR1'!C414</f>
        <v>2</v>
      </c>
      <c r="D414" s="971" t="str">
        <f>'1.2 Budgeted Enrollment YR1'!D414</f>
        <v>Las Vegas</v>
      </c>
      <c r="E414" s="968" t="str">
        <f>'1.2 Budgeted Enrollment YR1'!E414</f>
        <v>Schofield, Jack Lund MS</v>
      </c>
      <c r="F414" s="1061"/>
      <c r="G414" s="1108">
        <f>'1.2 Budgeted Enrollment YR1'!G414+('1.2 Budgeted Enrollment YR1'!G414*$G$7)</f>
        <v>979.84591600642261</v>
      </c>
      <c r="H414" s="1108"/>
      <c r="I414" s="1114">
        <v>0</v>
      </c>
      <c r="J414" s="1115">
        <v>0</v>
      </c>
      <c r="K414" s="1114">
        <v>0</v>
      </c>
      <c r="L414" s="1108">
        <f>'1.2 Budgeted Enrollment YR1'!L414</f>
        <v>0</v>
      </c>
      <c r="M414" s="1104"/>
      <c r="N414" s="875"/>
    </row>
    <row r="415" spans="1:14" ht="16.5" thickTop="1" thickBot="1" x14ac:dyDescent="0.3">
      <c r="A415" s="968" t="str">
        <f>'1.2 Budgeted Enrollment YR1'!A415</f>
        <v>Clark</v>
      </c>
      <c r="B415" s="971">
        <f>'1.2 Budgeted Enrollment YR1'!B415</f>
        <v>2</v>
      </c>
      <c r="C415" s="971">
        <f>'1.2 Budgeted Enrollment YR1'!C415</f>
        <v>2</v>
      </c>
      <c r="D415" s="971" t="str">
        <f>'1.2 Budgeted Enrollment YR1'!D415</f>
        <v>Las Vegas</v>
      </c>
      <c r="E415" s="968" t="str">
        <f>'1.2 Budgeted Enrollment YR1'!E415</f>
        <v>Schorr, Steve ES</v>
      </c>
      <c r="F415" s="1061"/>
      <c r="G415" s="1108">
        <f>'1.2 Budgeted Enrollment YR1'!G415+('1.2 Budgeted Enrollment YR1'!G415*$G$7)</f>
        <v>645.34006806649631</v>
      </c>
      <c r="H415" s="1108"/>
      <c r="I415" s="1114">
        <v>0</v>
      </c>
      <c r="J415" s="1115">
        <v>0</v>
      </c>
      <c r="K415" s="1114">
        <v>0</v>
      </c>
      <c r="L415" s="1108">
        <f>'1.2 Budgeted Enrollment YR1'!L415</f>
        <v>0</v>
      </c>
      <c r="M415" s="1104"/>
      <c r="N415" s="875"/>
    </row>
    <row r="416" spans="1:14" ht="16.5" thickTop="1" thickBot="1" x14ac:dyDescent="0.3">
      <c r="A416" s="968" t="str">
        <f>'1.2 Budgeted Enrollment YR1'!A416</f>
        <v>Clark</v>
      </c>
      <c r="B416" s="971">
        <f>'1.2 Budgeted Enrollment YR1'!B416</f>
        <v>2</v>
      </c>
      <c r="C416" s="971">
        <f>'1.2 Budgeted Enrollment YR1'!C416</f>
        <v>2</v>
      </c>
      <c r="D416" s="971" t="str">
        <f>'1.2 Budgeted Enrollment YR1'!D416</f>
        <v>Las Vegas</v>
      </c>
      <c r="E416" s="968" t="str">
        <f>'1.2 Budgeted Enrollment YR1'!E416</f>
        <v>Scott, Jesse D ES</v>
      </c>
      <c r="F416" s="1061"/>
      <c r="G416" s="1108">
        <f>'1.2 Budgeted Enrollment YR1'!G416+('1.2 Budgeted Enrollment YR1'!G416*$G$7)</f>
        <v>653.36203938552455</v>
      </c>
      <c r="H416" s="1108"/>
      <c r="I416" s="1114">
        <v>0</v>
      </c>
      <c r="J416" s="1115">
        <v>0</v>
      </c>
      <c r="K416" s="1114">
        <v>0</v>
      </c>
      <c r="L416" s="1108">
        <f>'1.2 Budgeted Enrollment YR1'!L416</f>
        <v>0</v>
      </c>
      <c r="M416" s="1104"/>
      <c r="N416" s="875"/>
    </row>
    <row r="417" spans="1:14" ht="16.5" thickTop="1" thickBot="1" x14ac:dyDescent="0.3">
      <c r="A417" s="968" t="str">
        <f>'1.2 Budgeted Enrollment YR1'!A417</f>
        <v>Clark</v>
      </c>
      <c r="B417" s="971">
        <f>'1.2 Budgeted Enrollment YR1'!B417</f>
        <v>2</v>
      </c>
      <c r="C417" s="971">
        <f>'1.2 Budgeted Enrollment YR1'!C417</f>
        <v>2</v>
      </c>
      <c r="D417" s="971" t="str">
        <f>'1.2 Budgeted Enrollment YR1'!D417</f>
        <v>Las Vegas</v>
      </c>
      <c r="E417" s="968" t="str">
        <f>'1.2 Budgeted Enrollment YR1'!E417</f>
        <v>Sedway, Marvin M MS</v>
      </c>
      <c r="F417" s="1061"/>
      <c r="G417" s="1108">
        <f>'1.2 Budgeted Enrollment YR1'!G417+('1.2 Budgeted Enrollment YR1'!G417*$G$7)</f>
        <v>999.0445552921791</v>
      </c>
      <c r="H417" s="1108"/>
      <c r="I417" s="1114">
        <v>0</v>
      </c>
      <c r="J417" s="1115">
        <v>0</v>
      </c>
      <c r="K417" s="1114">
        <v>0</v>
      </c>
      <c r="L417" s="1108">
        <f>'1.2 Budgeted Enrollment YR1'!L417</f>
        <v>0</v>
      </c>
      <c r="M417" s="1104"/>
      <c r="N417" s="875"/>
    </row>
    <row r="418" spans="1:14" ht="16.5" thickTop="1" thickBot="1" x14ac:dyDescent="0.3">
      <c r="A418" s="968" t="str">
        <f>'1.2 Budgeted Enrollment YR1'!A418</f>
        <v>Clark</v>
      </c>
      <c r="B418" s="971">
        <f>'1.2 Budgeted Enrollment YR1'!B418</f>
        <v>2</v>
      </c>
      <c r="C418" s="971">
        <f>'1.2 Budgeted Enrollment YR1'!C418</f>
        <v>2</v>
      </c>
      <c r="D418" s="971" t="str">
        <f>'1.2 Budgeted Enrollment YR1'!D418</f>
        <v>Las Vegas</v>
      </c>
      <c r="E418" s="968" t="str">
        <f>'1.2 Budgeted Enrollment YR1'!E418</f>
        <v>Sewell, C T ES</v>
      </c>
      <c r="F418" s="1061"/>
      <c r="G418" s="1108">
        <f>'1.2 Budgeted Enrollment YR1'!G418+('1.2 Budgeted Enrollment YR1'!G418*$G$7)</f>
        <v>508.16921585999603</v>
      </c>
      <c r="H418" s="1108"/>
      <c r="I418" s="1114">
        <v>0</v>
      </c>
      <c r="J418" s="1115">
        <v>0</v>
      </c>
      <c r="K418" s="1114">
        <v>0</v>
      </c>
      <c r="L418" s="1108">
        <f>'1.2 Budgeted Enrollment YR1'!L418</f>
        <v>0</v>
      </c>
      <c r="M418" s="1104"/>
      <c r="N418" s="875"/>
    </row>
    <row r="419" spans="1:14" ht="16.5" thickTop="1" thickBot="1" x14ac:dyDescent="0.3">
      <c r="A419" s="968" t="str">
        <f>'1.2 Budgeted Enrollment YR1'!A419</f>
        <v>Clark</v>
      </c>
      <c r="B419" s="971">
        <f>'1.2 Budgeted Enrollment YR1'!B419</f>
        <v>2</v>
      </c>
      <c r="C419" s="971">
        <f>'1.2 Budgeted Enrollment YR1'!C419</f>
        <v>2</v>
      </c>
      <c r="D419" s="971" t="str">
        <f>'1.2 Budgeted Enrollment YR1'!D419</f>
        <v>Las Vegas</v>
      </c>
      <c r="E419" s="968" t="str">
        <f>'1.2 Budgeted Enrollment YR1'!E419</f>
        <v>Shadow Ridge HS</v>
      </c>
      <c r="F419" s="1061"/>
      <c r="G419" s="1108">
        <f>'1.2 Budgeted Enrollment YR1'!G419+('1.2 Budgeted Enrollment YR1'!G419*$G$7)</f>
        <v>3015.9942526351683</v>
      </c>
      <c r="H419" s="1108"/>
      <c r="I419" s="1114">
        <v>0</v>
      </c>
      <c r="J419" s="1115">
        <v>0</v>
      </c>
      <c r="K419" s="1114">
        <v>0</v>
      </c>
      <c r="L419" s="1108">
        <f>'1.2 Budgeted Enrollment YR1'!L419</f>
        <v>0</v>
      </c>
      <c r="M419" s="1104"/>
      <c r="N419" s="875"/>
    </row>
    <row r="420" spans="1:14" ht="16.5" thickTop="1" thickBot="1" x14ac:dyDescent="0.3">
      <c r="A420" s="968" t="str">
        <f>'1.2 Budgeted Enrollment YR1'!A420</f>
        <v>Clark</v>
      </c>
      <c r="B420" s="971">
        <f>'1.2 Budgeted Enrollment YR1'!B420</f>
        <v>2</v>
      </c>
      <c r="C420" s="971">
        <f>'1.2 Budgeted Enrollment YR1'!C420</f>
        <v>2</v>
      </c>
      <c r="D420" s="971" t="str">
        <f>'1.2 Budgeted Enrollment YR1'!D420</f>
        <v>Las Vegas</v>
      </c>
      <c r="E420" s="968" t="str">
        <f>'1.2 Budgeted Enrollment YR1'!E420</f>
        <v>Sierra Vista HS</v>
      </c>
      <c r="F420" s="1061"/>
      <c r="G420" s="1108">
        <f>'1.2 Budgeted Enrollment YR1'!G420+('1.2 Budgeted Enrollment YR1'!G420*$G$7)</f>
        <v>3067.089784737364</v>
      </c>
      <c r="H420" s="1108"/>
      <c r="I420" s="1114">
        <v>0</v>
      </c>
      <c r="J420" s="1115">
        <v>0</v>
      </c>
      <c r="K420" s="1114">
        <v>0</v>
      </c>
      <c r="L420" s="1108">
        <f>'1.2 Budgeted Enrollment YR1'!L420</f>
        <v>0</v>
      </c>
      <c r="M420" s="1104"/>
      <c r="N420" s="875"/>
    </row>
    <row r="421" spans="1:14" ht="16.5" thickTop="1" thickBot="1" x14ac:dyDescent="0.3">
      <c r="A421" s="968" t="str">
        <f>'1.2 Budgeted Enrollment YR1'!A421</f>
        <v>Clark</v>
      </c>
      <c r="B421" s="971">
        <f>'1.2 Budgeted Enrollment YR1'!B421</f>
        <v>2</v>
      </c>
      <c r="C421" s="971">
        <f>'1.2 Budgeted Enrollment YR1'!C421</f>
        <v>2</v>
      </c>
      <c r="D421" s="971" t="str">
        <f>'1.2 Budgeted Enrollment YR1'!D421</f>
        <v>Las Vegas</v>
      </c>
      <c r="E421" s="968" t="str">
        <f>'1.2 Budgeted Enrollment YR1'!E421</f>
        <v>Silverado HS</v>
      </c>
      <c r="F421" s="1061"/>
      <c r="G421" s="1108">
        <f>'1.2 Budgeted Enrollment YR1'!G421+('1.2 Budgeted Enrollment YR1'!G421*$G$7)</f>
        <v>1958.4377227817206</v>
      </c>
      <c r="H421" s="1108"/>
      <c r="I421" s="1114">
        <v>0</v>
      </c>
      <c r="J421" s="1115">
        <v>0</v>
      </c>
      <c r="K421" s="1114">
        <v>0</v>
      </c>
      <c r="L421" s="1108">
        <f>'1.2 Budgeted Enrollment YR1'!L421</f>
        <v>0</v>
      </c>
      <c r="M421" s="1104"/>
      <c r="N421" s="875"/>
    </row>
    <row r="422" spans="1:14" ht="16.5" thickTop="1" thickBot="1" x14ac:dyDescent="0.3">
      <c r="A422" s="968" t="str">
        <f>'1.2 Budgeted Enrollment YR1'!A422</f>
        <v>Clark</v>
      </c>
      <c r="B422" s="971">
        <f>'1.2 Budgeted Enrollment YR1'!B422</f>
        <v>2</v>
      </c>
      <c r="C422" s="971">
        <f>'1.2 Budgeted Enrollment YR1'!C422</f>
        <v>2</v>
      </c>
      <c r="D422" s="971" t="str">
        <f>'1.2 Budgeted Enrollment YR1'!D422</f>
        <v>Las Vegas</v>
      </c>
      <c r="E422" s="968" t="str">
        <f>'1.2 Budgeted Enrollment YR1'!E422</f>
        <v>Silvestri, Charles JHS</v>
      </c>
      <c r="F422" s="1061"/>
      <c r="G422" s="1108">
        <f>'1.2 Budgeted Enrollment YR1'!G422+('1.2 Budgeted Enrollment YR1'!G422*$G$7)</f>
        <v>1094.9417350966244</v>
      </c>
      <c r="H422" s="1108"/>
      <c r="I422" s="1114">
        <v>0</v>
      </c>
      <c r="J422" s="1115">
        <v>0</v>
      </c>
      <c r="K422" s="1114">
        <v>0</v>
      </c>
      <c r="L422" s="1108">
        <f>'1.2 Budgeted Enrollment YR1'!L422</f>
        <v>0</v>
      </c>
      <c r="M422" s="1104"/>
      <c r="N422" s="875"/>
    </row>
    <row r="423" spans="1:14" ht="16.5" thickTop="1" thickBot="1" x14ac:dyDescent="0.3">
      <c r="A423" s="968" t="str">
        <f>'1.2 Budgeted Enrollment YR1'!A423</f>
        <v>Clark</v>
      </c>
      <c r="B423" s="971">
        <f>'1.2 Budgeted Enrollment YR1'!B423</f>
        <v>2</v>
      </c>
      <c r="C423" s="971">
        <f>'1.2 Budgeted Enrollment YR1'!C423</f>
        <v>2</v>
      </c>
      <c r="D423" s="971" t="str">
        <f>'1.2 Budgeted Enrollment YR1'!D423</f>
        <v>Las Vegas</v>
      </c>
      <c r="E423" s="968" t="str">
        <f>'1.2 Budgeted Enrollment YR1'!E423</f>
        <v>Simmons, Eva G ES</v>
      </c>
      <c r="F423" s="1061"/>
      <c r="G423" s="1108">
        <f>'1.2 Budgeted Enrollment YR1'!G423+('1.2 Budgeted Enrollment YR1'!G423*$G$7)</f>
        <v>572.64147950641154</v>
      </c>
      <c r="H423" s="1108"/>
      <c r="I423" s="1114">
        <v>0</v>
      </c>
      <c r="J423" s="1115">
        <v>0</v>
      </c>
      <c r="K423" s="1114">
        <v>0</v>
      </c>
      <c r="L423" s="1108">
        <f>'1.2 Budgeted Enrollment YR1'!L423</f>
        <v>0</v>
      </c>
      <c r="M423" s="1104"/>
      <c r="N423" s="875"/>
    </row>
    <row r="424" spans="1:14" ht="16.5" thickTop="1" thickBot="1" x14ac:dyDescent="0.3">
      <c r="A424" s="968" t="str">
        <f>'1.2 Budgeted Enrollment YR1'!A424</f>
        <v>Clark</v>
      </c>
      <c r="B424" s="971">
        <f>'1.2 Budgeted Enrollment YR1'!B424</f>
        <v>2</v>
      </c>
      <c r="C424" s="971">
        <f>'1.2 Budgeted Enrollment YR1'!C424</f>
        <v>2</v>
      </c>
      <c r="D424" s="971" t="str">
        <f>'1.2 Budgeted Enrollment YR1'!D424</f>
        <v>Las Vegas</v>
      </c>
      <c r="E424" s="968" t="str">
        <f>'1.2 Budgeted Enrollment YR1'!E424</f>
        <v>Smalley, James E &amp; A Rae ES</v>
      </c>
      <c r="F424" s="1061"/>
      <c r="G424" s="1108">
        <f>'1.2 Budgeted Enrollment YR1'!G424+('1.2 Budgeted Enrollment YR1'!G424*$G$7)</f>
        <v>666.67201776496927</v>
      </c>
      <c r="H424" s="1108"/>
      <c r="I424" s="1114">
        <v>0</v>
      </c>
      <c r="J424" s="1115">
        <v>0</v>
      </c>
      <c r="K424" s="1114">
        <v>0</v>
      </c>
      <c r="L424" s="1108">
        <f>'1.2 Budgeted Enrollment YR1'!L424</f>
        <v>0</v>
      </c>
      <c r="M424" s="1104"/>
      <c r="N424" s="875"/>
    </row>
    <row r="425" spans="1:14" ht="16.5" thickTop="1" thickBot="1" x14ac:dyDescent="0.3">
      <c r="A425" s="968" t="str">
        <f>'1.2 Budgeted Enrollment YR1'!A425</f>
        <v>Clark</v>
      </c>
      <c r="B425" s="971">
        <f>'1.2 Budgeted Enrollment YR1'!B425</f>
        <v>2</v>
      </c>
      <c r="C425" s="971">
        <f>'1.2 Budgeted Enrollment YR1'!C425</f>
        <v>2</v>
      </c>
      <c r="D425" s="971" t="str">
        <f>'1.2 Budgeted Enrollment YR1'!D425</f>
        <v>Las Vegas</v>
      </c>
      <c r="E425" s="968" t="str">
        <f>'1.2 Budgeted Enrollment YR1'!E425</f>
        <v>Smith, Hal ES</v>
      </c>
      <c r="F425" s="1061"/>
      <c r="G425" s="1108">
        <f>'1.2 Budgeted Enrollment YR1'!G425+('1.2 Budgeted Enrollment YR1'!G425*$G$7)</f>
        <v>671.90552423887937</v>
      </c>
      <c r="H425" s="1108"/>
      <c r="I425" s="1114">
        <v>0</v>
      </c>
      <c r="J425" s="1115">
        <v>0</v>
      </c>
      <c r="K425" s="1114">
        <v>0</v>
      </c>
      <c r="L425" s="1108">
        <f>'1.2 Budgeted Enrollment YR1'!L425</f>
        <v>0</v>
      </c>
      <c r="M425" s="1104"/>
      <c r="N425" s="875"/>
    </row>
    <row r="426" spans="1:14" ht="16.5" thickTop="1" thickBot="1" x14ac:dyDescent="0.3">
      <c r="A426" s="968" t="str">
        <f>'1.2 Budgeted Enrollment YR1'!A426</f>
        <v>Clark</v>
      </c>
      <c r="B426" s="971">
        <f>'1.2 Budgeted Enrollment YR1'!B426</f>
        <v>2</v>
      </c>
      <c r="C426" s="971">
        <f>'1.2 Budgeted Enrollment YR1'!C426</f>
        <v>2</v>
      </c>
      <c r="D426" s="971" t="str">
        <f>'1.2 Budgeted Enrollment YR1'!D426</f>
        <v>Las Vegas</v>
      </c>
      <c r="E426" s="968" t="str">
        <f>'1.2 Budgeted Enrollment YR1'!E426</f>
        <v>Smith, Helen M ES</v>
      </c>
      <c r="F426" s="1061"/>
      <c r="G426" s="1108">
        <f>'1.2 Budgeted Enrollment YR1'!G426+('1.2 Budgeted Enrollment YR1'!G426*$G$7)</f>
        <v>432.88610488576472</v>
      </c>
      <c r="H426" s="1108"/>
      <c r="I426" s="1114">
        <v>0</v>
      </c>
      <c r="J426" s="1115">
        <v>0</v>
      </c>
      <c r="K426" s="1114">
        <v>0</v>
      </c>
      <c r="L426" s="1108">
        <f>'1.2 Budgeted Enrollment YR1'!L426</f>
        <v>0</v>
      </c>
      <c r="M426" s="1104"/>
      <c r="N426" s="875"/>
    </row>
    <row r="427" spans="1:14" ht="16.5" thickTop="1" thickBot="1" x14ac:dyDescent="0.3">
      <c r="A427" s="968" t="str">
        <f>'1.2 Budgeted Enrollment YR1'!A427</f>
        <v>Clark</v>
      </c>
      <c r="B427" s="971">
        <f>'1.2 Budgeted Enrollment YR1'!B427</f>
        <v>2</v>
      </c>
      <c r="C427" s="971">
        <f>'1.2 Budgeted Enrollment YR1'!C427</f>
        <v>2</v>
      </c>
      <c r="D427" s="971" t="str">
        <f>'1.2 Budgeted Enrollment YR1'!D427</f>
        <v>Las Vegas</v>
      </c>
      <c r="E427" s="968" t="str">
        <f>'1.2 Budgeted Enrollment YR1'!E427</f>
        <v>Smith, J D MS</v>
      </c>
      <c r="F427" s="1061"/>
      <c r="G427" s="1108">
        <f>'1.2 Budgeted Enrollment YR1'!G427+('1.2 Budgeted Enrollment YR1'!G427*$G$7)</f>
        <v>1199.2267795804887</v>
      </c>
      <c r="H427" s="1108"/>
      <c r="I427" s="1114">
        <v>0</v>
      </c>
      <c r="J427" s="1115">
        <v>0</v>
      </c>
      <c r="K427" s="1114">
        <v>0</v>
      </c>
      <c r="L427" s="1108">
        <f>'1.2 Budgeted Enrollment YR1'!L427</f>
        <v>0</v>
      </c>
      <c r="M427" s="1104"/>
      <c r="N427" s="875"/>
    </row>
    <row r="428" spans="1:14" ht="16.5" thickTop="1" thickBot="1" x14ac:dyDescent="0.3">
      <c r="A428" s="968" t="str">
        <f>'1.2 Budgeted Enrollment YR1'!A428</f>
        <v>Clark</v>
      </c>
      <c r="B428" s="971">
        <f>'1.2 Budgeted Enrollment YR1'!B428</f>
        <v>2</v>
      </c>
      <c r="C428" s="971">
        <f>'1.2 Budgeted Enrollment YR1'!C428</f>
        <v>2</v>
      </c>
      <c r="D428" s="971" t="str">
        <f>'1.2 Budgeted Enrollment YR1'!D428</f>
        <v>Las Vegas</v>
      </c>
      <c r="E428" s="968" t="str">
        <f>'1.2 Budgeted Enrollment YR1'!E428</f>
        <v>Snyder, Don &amp; Dee ES</v>
      </c>
      <c r="F428" s="1061"/>
      <c r="G428" s="1108">
        <f>'1.2 Budgeted Enrollment YR1'!G428+('1.2 Budgeted Enrollment YR1'!G428*$G$7)</f>
        <v>649.33769749528483</v>
      </c>
      <c r="H428" s="1108"/>
      <c r="I428" s="1114">
        <v>0</v>
      </c>
      <c r="J428" s="1115">
        <v>0</v>
      </c>
      <c r="K428" s="1114">
        <v>0</v>
      </c>
      <c r="L428" s="1108">
        <f>'1.2 Budgeted Enrollment YR1'!L428</f>
        <v>0</v>
      </c>
      <c r="M428" s="1104"/>
      <c r="N428" s="875"/>
    </row>
    <row r="429" spans="1:14" ht="16.5" thickTop="1" thickBot="1" x14ac:dyDescent="0.3">
      <c r="A429" s="968" t="str">
        <f>'1.2 Budgeted Enrollment YR1'!A429</f>
        <v>Clark</v>
      </c>
      <c r="B429" s="971">
        <f>'1.2 Budgeted Enrollment YR1'!B429</f>
        <v>2</v>
      </c>
      <c r="C429" s="971">
        <f>'1.2 Budgeted Enrollment YR1'!C429</f>
        <v>2</v>
      </c>
      <c r="D429" s="971" t="str">
        <f>'1.2 Budgeted Enrollment YR1'!D429</f>
        <v>Las Vegas</v>
      </c>
      <c r="E429" s="968" t="str">
        <f>'1.2 Budgeted Enrollment YR1'!E429</f>
        <v>Snyder, William E ES</v>
      </c>
      <c r="F429" s="1061"/>
      <c r="G429" s="1108">
        <f>'1.2 Budgeted Enrollment YR1'!G429+('1.2 Budgeted Enrollment YR1'!G429*$G$7)</f>
        <v>625.86911726223479</v>
      </c>
      <c r="H429" s="1108"/>
      <c r="I429" s="1114">
        <v>0</v>
      </c>
      <c r="J429" s="1115">
        <v>0</v>
      </c>
      <c r="K429" s="1114">
        <v>0</v>
      </c>
      <c r="L429" s="1108">
        <f>'1.2 Budgeted Enrollment YR1'!L429</f>
        <v>0</v>
      </c>
      <c r="M429" s="1104"/>
      <c r="N429" s="875"/>
    </row>
    <row r="430" spans="1:14" ht="16.5" thickTop="1" thickBot="1" x14ac:dyDescent="0.3">
      <c r="A430" s="968" t="str">
        <f>'1.2 Budgeted Enrollment YR1'!A430</f>
        <v>Clark</v>
      </c>
      <c r="B430" s="971">
        <f>'1.2 Budgeted Enrollment YR1'!B430</f>
        <v>2</v>
      </c>
      <c r="C430" s="971">
        <f>'1.2 Budgeted Enrollment YR1'!C430</f>
        <v>2</v>
      </c>
      <c r="D430" s="971" t="str">
        <f>'1.2 Budgeted Enrollment YR1'!D430</f>
        <v>Las Vegas</v>
      </c>
      <c r="E430" s="968" t="str">
        <f>'1.2 Budgeted Enrollment YR1'!E430</f>
        <v>South Academic Center J-SHS</v>
      </c>
      <c r="F430" s="1061"/>
      <c r="G430" s="1108">
        <f>'1.2 Budgeted Enrollment YR1'!G430+('1.2 Budgeted Enrollment YR1'!G430*$G$7)</f>
        <v>140.52561316962797</v>
      </c>
      <c r="H430" s="1108"/>
      <c r="I430" s="1114">
        <v>0</v>
      </c>
      <c r="J430" s="1115">
        <v>0</v>
      </c>
      <c r="K430" s="1114">
        <v>0</v>
      </c>
      <c r="L430" s="1108">
        <f>'1.2 Budgeted Enrollment YR1'!L430</f>
        <v>0</v>
      </c>
      <c r="M430" s="1104"/>
      <c r="N430" s="875"/>
    </row>
    <row r="431" spans="1:14" ht="16.5" thickTop="1" thickBot="1" x14ac:dyDescent="0.3">
      <c r="A431" s="968" t="str">
        <f>'1.2 Budgeted Enrollment YR1'!A431</f>
        <v>Clark</v>
      </c>
      <c r="B431" s="971">
        <f>'1.2 Budgeted Enrollment YR1'!B431</f>
        <v>2</v>
      </c>
      <c r="C431" s="971">
        <f>'1.2 Budgeted Enrollment YR1'!C431</f>
        <v>2</v>
      </c>
      <c r="D431" s="971" t="str">
        <f>'1.2 Budgeted Enrollment YR1'!D431</f>
        <v>Las Vegas</v>
      </c>
      <c r="E431" s="968" t="str">
        <f>'1.2 Budgeted Enrollment YR1'!E431</f>
        <v>Southeast Career Technical Academy HS</v>
      </c>
      <c r="F431" s="1061"/>
      <c r="G431" s="1108">
        <f>'1.2 Budgeted Enrollment YR1'!G431+('1.2 Budgeted Enrollment YR1'!G431*$G$7)</f>
        <v>2001.9332867964786</v>
      </c>
      <c r="H431" s="1108"/>
      <c r="I431" s="1114">
        <v>0</v>
      </c>
      <c r="J431" s="1115">
        <v>0</v>
      </c>
      <c r="K431" s="1114">
        <v>0</v>
      </c>
      <c r="L431" s="1108">
        <f>'1.2 Budgeted Enrollment YR1'!L431</f>
        <v>0</v>
      </c>
      <c r="M431" s="1104"/>
      <c r="N431" s="875"/>
    </row>
    <row r="432" spans="1:14" ht="16.5" thickTop="1" thickBot="1" x14ac:dyDescent="0.3">
      <c r="A432" s="968" t="str">
        <f>'1.2 Budgeted Enrollment YR1'!A432</f>
        <v>Clark</v>
      </c>
      <c r="B432" s="971">
        <f>'1.2 Budgeted Enrollment YR1'!B432</f>
        <v>2</v>
      </c>
      <c r="C432" s="971">
        <f>'1.2 Budgeted Enrollment YR1'!C432</f>
        <v>2</v>
      </c>
      <c r="D432" s="971" t="str">
        <f>'1.2 Budgeted Enrollment YR1'!D432</f>
        <v>Las Vegas</v>
      </c>
      <c r="E432" s="968" t="str">
        <f>'1.2 Budgeted Enrollment YR1'!E432</f>
        <v>Southeast Career Technical Academy PK</v>
      </c>
      <c r="F432" s="1061"/>
      <c r="G432" s="1108">
        <f>'1.2 Budgeted Enrollment YR1'!G432+('1.2 Budgeted Enrollment YR1'!G432*$G$7)</f>
        <v>2.8722719395262937</v>
      </c>
      <c r="H432" s="1108"/>
      <c r="I432" s="1114">
        <v>0</v>
      </c>
      <c r="J432" s="1115">
        <v>0</v>
      </c>
      <c r="K432" s="1114">
        <v>0</v>
      </c>
      <c r="L432" s="1108">
        <f>'1.2 Budgeted Enrollment YR1'!L432</f>
        <v>0</v>
      </c>
      <c r="M432" s="1104"/>
      <c r="N432" s="875"/>
    </row>
    <row r="433" spans="1:14" ht="16.5" thickTop="1" thickBot="1" x14ac:dyDescent="0.3">
      <c r="A433" s="968" t="str">
        <f>'1.2 Budgeted Enrollment YR1'!A433</f>
        <v>Clark</v>
      </c>
      <c r="B433" s="971">
        <f>'1.2 Budgeted Enrollment YR1'!B433</f>
        <v>2</v>
      </c>
      <c r="C433" s="971">
        <f>'1.2 Budgeted Enrollment YR1'!C433</f>
        <v>2</v>
      </c>
      <c r="D433" s="971" t="str">
        <f>'1.2 Budgeted Enrollment YR1'!D433</f>
        <v>Las Vegas</v>
      </c>
      <c r="E433" s="968" t="str">
        <f>'1.2 Budgeted Enrollment YR1'!E433</f>
        <v>Southwest Career &amp; Technical Academy HS</v>
      </c>
      <c r="F433" s="1061"/>
      <c r="G433" s="1108">
        <f>'1.2 Budgeted Enrollment YR1'!G433+('1.2 Budgeted Enrollment YR1'!G433*$G$7)</f>
        <v>1556.5765106413994</v>
      </c>
      <c r="H433" s="1108"/>
      <c r="I433" s="1114">
        <v>0</v>
      </c>
      <c r="J433" s="1115">
        <v>0</v>
      </c>
      <c r="K433" s="1114">
        <v>0</v>
      </c>
      <c r="L433" s="1108">
        <f>'1.2 Budgeted Enrollment YR1'!L433</f>
        <v>0</v>
      </c>
      <c r="M433" s="1104"/>
      <c r="N433" s="875"/>
    </row>
    <row r="434" spans="1:14" ht="16.5" thickTop="1" thickBot="1" x14ac:dyDescent="0.3">
      <c r="A434" s="968" t="str">
        <f>'1.2 Budgeted Enrollment YR1'!A434</f>
        <v>Clark</v>
      </c>
      <c r="B434" s="971">
        <f>'1.2 Budgeted Enrollment YR1'!B434</f>
        <v>2</v>
      </c>
      <c r="C434" s="971">
        <f>'1.2 Budgeted Enrollment YR1'!C434</f>
        <v>2</v>
      </c>
      <c r="D434" s="971" t="str">
        <f>'1.2 Budgeted Enrollment YR1'!D434</f>
        <v>Las Vegas</v>
      </c>
      <c r="E434" s="968" t="str">
        <f>'1.2 Budgeted Enrollment YR1'!E434</f>
        <v>Spring Mountain J-SHS</v>
      </c>
      <c r="F434" s="1061"/>
      <c r="G434" s="1108">
        <f>'1.2 Budgeted Enrollment YR1'!G434+('1.2 Budgeted Enrollment YR1'!G434*$G$7)</f>
        <v>85.832734827408842</v>
      </c>
      <c r="H434" s="1108"/>
      <c r="I434" s="1114">
        <v>0</v>
      </c>
      <c r="J434" s="1115">
        <v>0</v>
      </c>
      <c r="K434" s="1114">
        <v>0</v>
      </c>
      <c r="L434" s="1108">
        <f>'1.2 Budgeted Enrollment YR1'!L434</f>
        <v>0</v>
      </c>
      <c r="M434" s="1104"/>
      <c r="N434" s="875"/>
    </row>
    <row r="435" spans="1:14" ht="16.5" thickTop="1" thickBot="1" x14ac:dyDescent="0.3">
      <c r="A435" s="968" t="str">
        <f>'1.2 Budgeted Enrollment YR1'!A435</f>
        <v>Clark</v>
      </c>
      <c r="B435" s="971">
        <f>'1.2 Budgeted Enrollment YR1'!B435</f>
        <v>2</v>
      </c>
      <c r="C435" s="971">
        <f>'1.2 Budgeted Enrollment YR1'!C435</f>
        <v>2</v>
      </c>
      <c r="D435" s="971" t="str">
        <f>'1.2 Budgeted Enrollment YR1'!D435</f>
        <v>Las Vegas</v>
      </c>
      <c r="E435" s="968" t="str">
        <f>'1.2 Budgeted Enrollment YR1'!E435</f>
        <v>Spring Valley HS</v>
      </c>
      <c r="F435" s="1061"/>
      <c r="G435" s="1108">
        <f>'1.2 Budgeted Enrollment YR1'!G435+('1.2 Budgeted Enrollment YR1'!G435*$G$7)</f>
        <v>2560.1710803768487</v>
      </c>
      <c r="H435" s="1108"/>
      <c r="I435" s="1114">
        <v>0</v>
      </c>
      <c r="J435" s="1115">
        <v>0</v>
      </c>
      <c r="K435" s="1114">
        <v>0</v>
      </c>
      <c r="L435" s="1108">
        <f>'1.2 Budgeted Enrollment YR1'!L435</f>
        <v>0</v>
      </c>
      <c r="M435" s="1104"/>
      <c r="N435" s="875"/>
    </row>
    <row r="436" spans="1:14" ht="16.5" thickTop="1" thickBot="1" x14ac:dyDescent="0.3">
      <c r="A436" s="968" t="str">
        <f>'1.2 Budgeted Enrollment YR1'!A436</f>
        <v>Clark</v>
      </c>
      <c r="B436" s="971">
        <f>'1.2 Budgeted Enrollment YR1'!B436</f>
        <v>2</v>
      </c>
      <c r="C436" s="971">
        <f>'1.2 Budgeted Enrollment YR1'!C436</f>
        <v>2</v>
      </c>
      <c r="D436" s="971" t="str">
        <f>'1.2 Budgeted Enrollment YR1'!D436</f>
        <v>Las Vegas</v>
      </c>
      <c r="E436" s="968" t="str">
        <f>'1.2 Budgeted Enrollment YR1'!E436</f>
        <v>Squires, C P ES</v>
      </c>
      <c r="F436" s="1061"/>
      <c r="G436" s="1108">
        <f>'1.2 Budgeted Enrollment YR1'!G436+('1.2 Budgeted Enrollment YR1'!G436*$G$7)</f>
        <v>492.55135995275742</v>
      </c>
      <c r="H436" s="1108"/>
      <c r="I436" s="1114">
        <v>0</v>
      </c>
      <c r="J436" s="1115">
        <v>0</v>
      </c>
      <c r="K436" s="1114">
        <v>0</v>
      </c>
      <c r="L436" s="1108">
        <f>'1.2 Budgeted Enrollment YR1'!L436</f>
        <v>0</v>
      </c>
      <c r="M436" s="1104"/>
      <c r="N436" s="875"/>
    </row>
    <row r="437" spans="1:14" ht="16.5" thickTop="1" thickBot="1" x14ac:dyDescent="0.3">
      <c r="A437" s="968" t="str">
        <f>'1.2 Budgeted Enrollment YR1'!A437</f>
        <v>Clark</v>
      </c>
      <c r="B437" s="971">
        <f>'1.2 Budgeted Enrollment YR1'!B437</f>
        <v>2</v>
      </c>
      <c r="C437" s="971">
        <f>'1.2 Budgeted Enrollment YR1'!C437</f>
        <v>2</v>
      </c>
      <c r="D437" s="971" t="str">
        <f>'1.2 Budgeted Enrollment YR1'!D437</f>
        <v>Las Vegas</v>
      </c>
      <c r="E437" s="968" t="str">
        <f>'1.2 Budgeted Enrollment YR1'!E437</f>
        <v>Stanford ES</v>
      </c>
      <c r="F437" s="1061"/>
      <c r="G437" s="1108">
        <f>'1.2 Budgeted Enrollment YR1'!G437+('1.2 Budgeted Enrollment YR1'!G437*$G$7)</f>
        <v>428.87570253374525</v>
      </c>
      <c r="H437" s="1108"/>
      <c r="I437" s="1114">
        <v>0</v>
      </c>
      <c r="J437" s="1115">
        <v>0</v>
      </c>
      <c r="K437" s="1114">
        <v>0</v>
      </c>
      <c r="L437" s="1108">
        <f>'1.2 Budgeted Enrollment YR1'!L437</f>
        <v>0</v>
      </c>
      <c r="M437" s="1104"/>
      <c r="N437" s="875"/>
    </row>
    <row r="438" spans="1:14" ht="16.5" thickTop="1" thickBot="1" x14ac:dyDescent="0.3">
      <c r="A438" s="968" t="str">
        <f>'1.2 Budgeted Enrollment YR1'!A438</f>
        <v>Clark</v>
      </c>
      <c r="B438" s="971">
        <f>'1.2 Budgeted Enrollment YR1'!B438</f>
        <v>2</v>
      </c>
      <c r="C438" s="971">
        <f>'1.2 Budgeted Enrollment YR1'!C438</f>
        <v>2</v>
      </c>
      <c r="D438" s="971" t="str">
        <f>'1.2 Budgeted Enrollment YR1'!D438</f>
        <v>Las Vegas</v>
      </c>
      <c r="E438" s="968" t="str">
        <f>'1.2 Budgeted Enrollment YR1'!E438</f>
        <v>Staton, Ethel W ES</v>
      </c>
      <c r="F438" s="1061"/>
      <c r="G438" s="1108">
        <f>'1.2 Budgeted Enrollment YR1'!G438+('1.2 Budgeted Enrollment YR1'!G438*$G$7)</f>
        <v>616.75068706767104</v>
      </c>
      <c r="H438" s="1108"/>
      <c r="I438" s="1114">
        <v>0</v>
      </c>
      <c r="J438" s="1115">
        <v>0</v>
      </c>
      <c r="K438" s="1114">
        <v>0</v>
      </c>
      <c r="L438" s="1108">
        <f>'1.2 Budgeted Enrollment YR1'!L438</f>
        <v>0</v>
      </c>
      <c r="M438" s="1104"/>
      <c r="N438" s="875"/>
    </row>
    <row r="439" spans="1:14" ht="16.5" thickTop="1" thickBot="1" x14ac:dyDescent="0.3">
      <c r="A439" s="968" t="str">
        <f>'1.2 Budgeted Enrollment YR1'!A439</f>
        <v>Clark</v>
      </c>
      <c r="B439" s="971">
        <f>'1.2 Budgeted Enrollment YR1'!B439</f>
        <v>2</v>
      </c>
      <c r="C439" s="971">
        <f>'1.2 Budgeted Enrollment YR1'!C439</f>
        <v>2</v>
      </c>
      <c r="D439" s="971" t="str">
        <f>'1.2 Budgeted Enrollment YR1'!D439</f>
        <v>Las Vegas</v>
      </c>
      <c r="E439" s="968" t="str">
        <f>'1.2 Budgeted Enrollment YR1'!E439</f>
        <v>Steele, Judith D ES</v>
      </c>
      <c r="F439" s="1061"/>
      <c r="G439" s="1108">
        <f>'1.2 Budgeted Enrollment YR1'!G439+('1.2 Budgeted Enrollment YR1'!G439*$G$7)</f>
        <v>725.42578054006924</v>
      </c>
      <c r="H439" s="1108"/>
      <c r="I439" s="1114">
        <v>0</v>
      </c>
      <c r="J439" s="1115">
        <v>0</v>
      </c>
      <c r="K439" s="1114">
        <v>0</v>
      </c>
      <c r="L439" s="1108">
        <f>'1.2 Budgeted Enrollment YR1'!L439</f>
        <v>0</v>
      </c>
      <c r="M439" s="1104"/>
      <c r="N439" s="875"/>
    </row>
    <row r="440" spans="1:14" ht="16.5" thickTop="1" thickBot="1" x14ac:dyDescent="0.3">
      <c r="A440" s="968" t="str">
        <f>'1.2 Budgeted Enrollment YR1'!A440</f>
        <v>Clark</v>
      </c>
      <c r="B440" s="971">
        <f>'1.2 Budgeted Enrollment YR1'!B440</f>
        <v>2</v>
      </c>
      <c r="C440" s="971">
        <f>'1.2 Budgeted Enrollment YR1'!C440</f>
        <v>2</v>
      </c>
      <c r="D440" s="971" t="str">
        <f>'1.2 Budgeted Enrollment YR1'!D440</f>
        <v>Las Vegas</v>
      </c>
      <c r="E440" s="968" t="str">
        <f>'1.2 Budgeted Enrollment YR1'!E440</f>
        <v>Stevens, Josh ES</v>
      </c>
      <c r="F440" s="1061"/>
      <c r="G440" s="1108">
        <f>'1.2 Budgeted Enrollment YR1'!G440+('1.2 Budgeted Enrollment YR1'!G440*$G$7)</f>
        <v>758.31162908184558</v>
      </c>
      <c r="H440" s="1108"/>
      <c r="I440" s="1114">
        <v>0</v>
      </c>
      <c r="J440" s="1115">
        <v>0</v>
      </c>
      <c r="K440" s="1114">
        <v>0</v>
      </c>
      <c r="L440" s="1108">
        <f>'1.2 Budgeted Enrollment YR1'!L440</f>
        <v>0</v>
      </c>
      <c r="M440" s="1104"/>
      <c r="N440" s="875"/>
    </row>
    <row r="441" spans="1:14" ht="16.5" thickTop="1" thickBot="1" x14ac:dyDescent="0.3">
      <c r="A441" s="968" t="str">
        <f>'1.2 Budgeted Enrollment YR1'!A441</f>
        <v>Clark</v>
      </c>
      <c r="B441" s="971">
        <f>'1.2 Budgeted Enrollment YR1'!B441</f>
        <v>2</v>
      </c>
      <c r="C441" s="971">
        <f>'1.2 Budgeted Enrollment YR1'!C441</f>
        <v>2</v>
      </c>
      <c r="D441" s="971" t="str">
        <f>'1.2 Budgeted Enrollment YR1'!D441</f>
        <v>Las Vegas</v>
      </c>
      <c r="E441" s="968" t="str">
        <f>'1.2 Budgeted Enrollment YR1'!E441</f>
        <v>Stewart, Helen J</v>
      </c>
      <c r="F441" s="1061"/>
      <c r="G441" s="1108">
        <f>'1.2 Budgeted Enrollment YR1'!G441+('1.2 Budgeted Enrollment YR1'!G441*$G$7)</f>
        <v>119.30445830852145</v>
      </c>
      <c r="H441" s="1108"/>
      <c r="I441" s="1114">
        <v>0</v>
      </c>
      <c r="J441" s="1115">
        <v>0</v>
      </c>
      <c r="K441" s="1114">
        <v>0</v>
      </c>
      <c r="L441" s="1108">
        <f>'1.2 Budgeted Enrollment YR1'!L441</f>
        <v>0</v>
      </c>
      <c r="M441" s="1104"/>
      <c r="N441" s="875"/>
    </row>
    <row r="442" spans="1:14" ht="16.5" thickTop="1" thickBot="1" x14ac:dyDescent="0.3">
      <c r="A442" s="968" t="str">
        <f>'1.2 Budgeted Enrollment YR1'!A442</f>
        <v>Clark</v>
      </c>
      <c r="B442" s="971">
        <f>'1.2 Budgeted Enrollment YR1'!B442</f>
        <v>2</v>
      </c>
      <c r="C442" s="971">
        <f>'1.2 Budgeted Enrollment YR1'!C442</f>
        <v>2</v>
      </c>
      <c r="D442" s="971" t="str">
        <f>'1.2 Budgeted Enrollment YR1'!D442</f>
        <v>Las Vegas</v>
      </c>
      <c r="E442" s="968" t="str">
        <f>'1.2 Budgeted Enrollment YR1'!E442</f>
        <v>Stuckey, Evelyn ES</v>
      </c>
      <c r="F442" s="1061"/>
      <c r="G442" s="1108">
        <f>'1.2 Budgeted Enrollment YR1'!G442+('1.2 Budgeted Enrollment YR1'!G442*$G$7)</f>
        <v>577.03456981811564</v>
      </c>
      <c r="H442" s="1108"/>
      <c r="I442" s="1114">
        <v>0</v>
      </c>
      <c r="J442" s="1115">
        <v>0</v>
      </c>
      <c r="K442" s="1114">
        <v>0</v>
      </c>
      <c r="L442" s="1108">
        <f>'1.2 Budgeted Enrollment YR1'!L442</f>
        <v>0</v>
      </c>
      <c r="M442" s="1104"/>
      <c r="N442" s="875"/>
    </row>
    <row r="443" spans="1:14" ht="16.5" thickTop="1" thickBot="1" x14ac:dyDescent="0.3">
      <c r="A443" s="968" t="str">
        <f>'1.2 Budgeted Enrollment YR1'!A443</f>
        <v>Clark</v>
      </c>
      <c r="B443" s="971">
        <f>'1.2 Budgeted Enrollment YR1'!B443</f>
        <v>2</v>
      </c>
      <c r="C443" s="971">
        <f>'1.2 Budgeted Enrollment YR1'!C443</f>
        <v>2</v>
      </c>
      <c r="D443" s="971" t="str">
        <f>'1.2 Budgeted Enrollment YR1'!D443</f>
        <v>Las Vegas</v>
      </c>
      <c r="E443" s="968" t="str">
        <f>'1.2 Budgeted Enrollment YR1'!E443</f>
        <v>Summit View Youth J-SHS</v>
      </c>
      <c r="F443" s="1061"/>
      <c r="G443" s="1108">
        <f>'1.2 Budgeted Enrollment YR1'!G443+('1.2 Budgeted Enrollment YR1'!G443*$G$7)</f>
        <v>33.456274328234841</v>
      </c>
      <c r="H443" s="1108"/>
      <c r="I443" s="1114">
        <v>0</v>
      </c>
      <c r="J443" s="1115">
        <v>0</v>
      </c>
      <c r="K443" s="1114">
        <v>0</v>
      </c>
      <c r="L443" s="1108">
        <f>'1.2 Budgeted Enrollment YR1'!L443</f>
        <v>0</v>
      </c>
      <c r="M443" s="1104"/>
      <c r="N443" s="875"/>
    </row>
    <row r="444" spans="1:14" ht="16.5" thickTop="1" thickBot="1" x14ac:dyDescent="0.3">
      <c r="A444" s="968" t="str">
        <f>'1.2 Budgeted Enrollment YR1'!A444</f>
        <v>Clark</v>
      </c>
      <c r="B444" s="971">
        <f>'1.2 Budgeted Enrollment YR1'!B444</f>
        <v>2</v>
      </c>
      <c r="C444" s="971">
        <f>'1.2 Budgeted Enrollment YR1'!C444</f>
        <v>2</v>
      </c>
      <c r="D444" s="971" t="str">
        <f>'1.2 Budgeted Enrollment YR1'!D444</f>
        <v>Las Vegas</v>
      </c>
      <c r="E444" s="968" t="str">
        <f>'1.2 Budgeted Enrollment YR1'!E444</f>
        <v>Sunrise Acres ES</v>
      </c>
      <c r="F444" s="1061"/>
      <c r="G444" s="1108">
        <f>'1.2 Budgeted Enrollment YR1'!G444+('1.2 Budgeted Enrollment YR1'!G444*$G$7)</f>
        <v>485.62809731760245</v>
      </c>
      <c r="H444" s="1108"/>
      <c r="I444" s="1114">
        <v>0</v>
      </c>
      <c r="J444" s="1115">
        <v>0</v>
      </c>
      <c r="K444" s="1114">
        <v>0</v>
      </c>
      <c r="L444" s="1108">
        <f>'1.2 Budgeted Enrollment YR1'!L444</f>
        <v>0</v>
      </c>
      <c r="M444" s="1104"/>
      <c r="N444" s="875"/>
    </row>
    <row r="445" spans="1:14" ht="16.5" thickTop="1" thickBot="1" x14ac:dyDescent="0.3">
      <c r="A445" s="968" t="str">
        <f>'1.2 Budgeted Enrollment YR1'!A445</f>
        <v>Clark</v>
      </c>
      <c r="B445" s="971">
        <f>'1.2 Budgeted Enrollment YR1'!B445</f>
        <v>2</v>
      </c>
      <c r="C445" s="971">
        <f>'1.2 Budgeted Enrollment YR1'!C445</f>
        <v>2</v>
      </c>
      <c r="D445" s="971" t="str">
        <f>'1.2 Budgeted Enrollment YR1'!D445</f>
        <v>Las Vegas</v>
      </c>
      <c r="E445" s="968" t="str">
        <f>'1.2 Budgeted Enrollment YR1'!E445</f>
        <v>Sunrise Mountain HS</v>
      </c>
      <c r="F445" s="1061"/>
      <c r="G445" s="1108">
        <f>'1.2 Budgeted Enrollment YR1'!G445+('1.2 Budgeted Enrollment YR1'!G445*$G$7)</f>
        <v>2407.6200182258931</v>
      </c>
      <c r="H445" s="1108"/>
      <c r="I445" s="1114">
        <v>0</v>
      </c>
      <c r="J445" s="1115">
        <v>0</v>
      </c>
      <c r="K445" s="1114">
        <v>0</v>
      </c>
      <c r="L445" s="1108">
        <f>'1.2 Budgeted Enrollment YR1'!L445</f>
        <v>0</v>
      </c>
      <c r="M445" s="1104"/>
      <c r="N445" s="875"/>
    </row>
    <row r="446" spans="1:14" ht="16.5" thickTop="1" thickBot="1" x14ac:dyDescent="0.3">
      <c r="A446" s="968" t="str">
        <f>'1.2 Budgeted Enrollment YR1'!A446</f>
        <v>Clark</v>
      </c>
      <c r="B446" s="971">
        <f>'1.2 Budgeted Enrollment YR1'!B446</f>
        <v>2</v>
      </c>
      <c r="C446" s="971">
        <f>'1.2 Budgeted Enrollment YR1'!C446</f>
        <v>2</v>
      </c>
      <c r="D446" s="971" t="str">
        <f>'1.2 Budgeted Enrollment YR1'!D446</f>
        <v>Las Vegas</v>
      </c>
      <c r="E446" s="968" t="str">
        <f>'1.2 Budgeted Enrollment YR1'!E446</f>
        <v>Swainston, Theron L MS</v>
      </c>
      <c r="F446" s="1061"/>
      <c r="G446" s="1108">
        <f>'1.2 Budgeted Enrollment YR1'!G446+('1.2 Budgeted Enrollment YR1'!G446*$G$7)</f>
        <v>1035.563197930504</v>
      </c>
      <c r="H446" s="1108"/>
      <c r="I446" s="1114">
        <v>0</v>
      </c>
      <c r="J446" s="1115">
        <v>0</v>
      </c>
      <c r="K446" s="1114">
        <v>0</v>
      </c>
      <c r="L446" s="1108">
        <f>'1.2 Budgeted Enrollment YR1'!L446</f>
        <v>0</v>
      </c>
      <c r="M446" s="1104"/>
      <c r="N446" s="875"/>
    </row>
    <row r="447" spans="1:14" ht="16.5" thickTop="1" thickBot="1" x14ac:dyDescent="0.3">
      <c r="A447" s="968" t="str">
        <f>'1.2 Budgeted Enrollment YR1'!A447</f>
        <v>Clark</v>
      </c>
      <c r="B447" s="971">
        <f>'1.2 Budgeted Enrollment YR1'!B447</f>
        <v>2</v>
      </c>
      <c r="C447" s="971">
        <f>'1.2 Budgeted Enrollment YR1'!C447</f>
        <v>2</v>
      </c>
      <c r="D447" s="971" t="str">
        <f>'1.2 Budgeted Enrollment YR1'!D447</f>
        <v>Las Vegas</v>
      </c>
      <c r="E447" s="968" t="str">
        <f>'1.2 Budgeted Enrollment YR1'!E447</f>
        <v>Tanaka, Wayne N ES</v>
      </c>
      <c r="F447" s="1061"/>
      <c r="G447" s="1108">
        <f>'1.2 Budgeted Enrollment YR1'!G447+('1.2 Budgeted Enrollment YR1'!G447*$G$7)</f>
        <v>706.77878171578857</v>
      </c>
      <c r="H447" s="1108"/>
      <c r="I447" s="1114">
        <v>0</v>
      </c>
      <c r="J447" s="1115">
        <v>0</v>
      </c>
      <c r="K447" s="1114">
        <v>0</v>
      </c>
      <c r="L447" s="1108">
        <f>'1.2 Budgeted Enrollment YR1'!L447</f>
        <v>0</v>
      </c>
      <c r="M447" s="1104"/>
      <c r="N447" s="875"/>
    </row>
    <row r="448" spans="1:14" ht="16.5" thickTop="1" thickBot="1" x14ac:dyDescent="0.3">
      <c r="A448" s="968" t="str">
        <f>'1.2 Budgeted Enrollment YR1'!A448</f>
        <v>Clark</v>
      </c>
      <c r="B448" s="971">
        <f>'1.2 Budgeted Enrollment YR1'!B448</f>
        <v>2</v>
      </c>
      <c r="C448" s="971">
        <f>'1.2 Budgeted Enrollment YR1'!C448</f>
        <v>2</v>
      </c>
      <c r="D448" s="971" t="str">
        <f>'1.2 Budgeted Enrollment YR1'!D448</f>
        <v>Las Vegas</v>
      </c>
      <c r="E448" s="968" t="str">
        <f>'1.2 Budgeted Enrollment YR1'!E448</f>
        <v>Tarkanian, Lois &amp; Jerry MS</v>
      </c>
      <c r="F448" s="1061"/>
      <c r="G448" s="1108">
        <f>'1.2 Budgeted Enrollment YR1'!G448+('1.2 Budgeted Enrollment YR1'!G448*$G$7)</f>
        <v>1264.1601002699374</v>
      </c>
      <c r="H448" s="1108"/>
      <c r="I448" s="1114">
        <v>0</v>
      </c>
      <c r="J448" s="1115">
        <v>0</v>
      </c>
      <c r="K448" s="1114">
        <v>0</v>
      </c>
      <c r="L448" s="1108">
        <f>'1.2 Budgeted Enrollment YR1'!L448</f>
        <v>0</v>
      </c>
      <c r="M448" s="1104"/>
      <c r="N448" s="875"/>
    </row>
    <row r="449" spans="1:14" ht="16.5" thickTop="1" thickBot="1" x14ac:dyDescent="0.3">
      <c r="A449" s="968" t="str">
        <f>'1.2 Budgeted Enrollment YR1'!A449</f>
        <v>Clark</v>
      </c>
      <c r="B449" s="971">
        <f>'1.2 Budgeted Enrollment YR1'!B449</f>
        <v>2</v>
      </c>
      <c r="C449" s="971">
        <f>'1.2 Budgeted Enrollment YR1'!C449</f>
        <v>2</v>
      </c>
      <c r="D449" s="971" t="str">
        <f>'1.2 Budgeted Enrollment YR1'!D449</f>
        <v>Las Vegas</v>
      </c>
      <c r="E449" s="968" t="str">
        <f>'1.2 Budgeted Enrollment YR1'!E449</f>
        <v>Tarr, Sheila Academy of Int'l Studies ES</v>
      </c>
      <c r="F449" s="1061"/>
      <c r="G449" s="1108">
        <f>'1.2 Budgeted Enrollment YR1'!G449+('1.2 Budgeted Enrollment YR1'!G449*$G$7)</f>
        <v>717.69448588498142</v>
      </c>
      <c r="H449" s="1108"/>
      <c r="I449" s="1114">
        <v>0</v>
      </c>
      <c r="J449" s="1115">
        <v>0</v>
      </c>
      <c r="K449" s="1114">
        <v>0</v>
      </c>
      <c r="L449" s="1108">
        <f>'1.2 Budgeted Enrollment YR1'!L449</f>
        <v>0</v>
      </c>
      <c r="M449" s="1104"/>
      <c r="N449" s="875"/>
    </row>
    <row r="450" spans="1:14" ht="16.5" thickTop="1" thickBot="1" x14ac:dyDescent="0.3">
      <c r="A450" s="968" t="str">
        <f>'1.2 Budgeted Enrollment YR1'!A450</f>
        <v>Clark</v>
      </c>
      <c r="B450" s="971">
        <f>'1.2 Budgeted Enrollment YR1'!B450</f>
        <v>2</v>
      </c>
      <c r="C450" s="971">
        <f>'1.2 Budgeted Enrollment YR1'!C450</f>
        <v>2</v>
      </c>
      <c r="D450" s="971" t="str">
        <f>'1.2 Budgeted Enrollment YR1'!D450</f>
        <v>Las Vegas</v>
      </c>
      <c r="E450" s="968" t="str">
        <f>'1.2 Budgeted Enrollment YR1'!E450</f>
        <v>Tartan, John ES</v>
      </c>
      <c r="F450" s="1061"/>
      <c r="G450" s="1108">
        <f>'1.2 Budgeted Enrollment YR1'!G450+('1.2 Budgeted Enrollment YR1'!G450*$G$7)</f>
        <v>451.95737438542773</v>
      </c>
      <c r="H450" s="1108"/>
      <c r="I450" s="1114">
        <v>0</v>
      </c>
      <c r="J450" s="1115">
        <v>0</v>
      </c>
      <c r="K450" s="1114">
        <v>0</v>
      </c>
      <c r="L450" s="1108">
        <f>'1.2 Budgeted Enrollment YR1'!L450</f>
        <v>0</v>
      </c>
      <c r="M450" s="1104"/>
      <c r="N450" s="875"/>
    </row>
    <row r="451" spans="1:14" ht="16.5" thickTop="1" thickBot="1" x14ac:dyDescent="0.3">
      <c r="A451" s="968" t="str">
        <f>'1.2 Budgeted Enrollment YR1'!A451</f>
        <v>Clark</v>
      </c>
      <c r="B451" s="971">
        <f>'1.2 Budgeted Enrollment YR1'!B451</f>
        <v>2</v>
      </c>
      <c r="C451" s="971">
        <f>'1.2 Budgeted Enrollment YR1'!C451</f>
        <v>2</v>
      </c>
      <c r="D451" s="971" t="str">
        <f>'1.2 Budgeted Enrollment YR1'!D451</f>
        <v>Las Vegas</v>
      </c>
      <c r="E451" s="968" t="str">
        <f>'1.2 Budgeted Enrollment YR1'!E451</f>
        <v>Tate, Myrtle ES</v>
      </c>
      <c r="F451" s="1061"/>
      <c r="G451" s="1108">
        <f>'1.2 Budgeted Enrollment YR1'!G451+('1.2 Budgeted Enrollment YR1'!G451*$G$7)</f>
        <v>577.39088326316289</v>
      </c>
      <c r="H451" s="1108"/>
      <c r="I451" s="1114">
        <v>0</v>
      </c>
      <c r="J451" s="1115">
        <v>0</v>
      </c>
      <c r="K451" s="1114">
        <v>0</v>
      </c>
      <c r="L451" s="1108">
        <f>'1.2 Budgeted Enrollment YR1'!L451</f>
        <v>0</v>
      </c>
      <c r="M451" s="1104"/>
      <c r="N451" s="875"/>
    </row>
    <row r="452" spans="1:14" ht="16.5" thickTop="1" thickBot="1" x14ac:dyDescent="0.3">
      <c r="A452" s="968" t="str">
        <f>'1.2 Budgeted Enrollment YR1'!A452</f>
        <v>Clark</v>
      </c>
      <c r="B452" s="971">
        <f>'1.2 Budgeted Enrollment YR1'!B452</f>
        <v>2</v>
      </c>
      <c r="C452" s="971">
        <f>'1.2 Budgeted Enrollment YR1'!C452</f>
        <v>2</v>
      </c>
      <c r="D452" s="971" t="str">
        <f>'1.2 Budgeted Enrollment YR1'!D452</f>
        <v>Las Vegas</v>
      </c>
      <c r="E452" s="968" t="str">
        <f>'1.2 Budgeted Enrollment YR1'!E452</f>
        <v>Taylor, Glen C ES</v>
      </c>
      <c r="F452" s="1061"/>
      <c r="G452" s="1108">
        <f>'1.2 Budgeted Enrollment YR1'!G452+('1.2 Budgeted Enrollment YR1'!G452*$G$7)</f>
        <v>591.34238396832279</v>
      </c>
      <c r="H452" s="1108"/>
      <c r="I452" s="1114">
        <v>0</v>
      </c>
      <c r="J452" s="1115">
        <v>0</v>
      </c>
      <c r="K452" s="1114">
        <v>0</v>
      </c>
      <c r="L452" s="1108">
        <f>'1.2 Budgeted Enrollment YR1'!L452</f>
        <v>0</v>
      </c>
      <c r="M452" s="1104"/>
      <c r="N452" s="875"/>
    </row>
    <row r="453" spans="1:14" ht="16.5" thickTop="1" thickBot="1" x14ac:dyDescent="0.3">
      <c r="A453" s="968" t="str">
        <f>'1.2 Budgeted Enrollment YR1'!A453</f>
        <v>Clark</v>
      </c>
      <c r="B453" s="971">
        <f>'1.2 Budgeted Enrollment YR1'!B453</f>
        <v>2</v>
      </c>
      <c r="C453" s="971">
        <f>'1.2 Budgeted Enrollment YR1'!C453</f>
        <v>2</v>
      </c>
      <c r="D453" s="971" t="str">
        <f>'1.2 Budgeted Enrollment YR1'!D453</f>
        <v>Las Vegas</v>
      </c>
      <c r="E453" s="968" t="str">
        <f>'1.2 Budgeted Enrollment YR1'!E453</f>
        <v>Taylor, Robert L ES</v>
      </c>
      <c r="F453" s="1061"/>
      <c r="G453" s="1108">
        <f>'1.2 Budgeted Enrollment YR1'!G453+('1.2 Budgeted Enrollment YR1'!G453*$G$7)</f>
        <v>399.98881251970295</v>
      </c>
      <c r="H453" s="1108"/>
      <c r="I453" s="1114">
        <v>0</v>
      </c>
      <c r="J453" s="1115">
        <v>0</v>
      </c>
      <c r="K453" s="1114">
        <v>0</v>
      </c>
      <c r="L453" s="1108">
        <f>'1.2 Budgeted Enrollment YR1'!L453</f>
        <v>0</v>
      </c>
      <c r="M453" s="1104"/>
      <c r="N453" s="875"/>
    </row>
    <row r="454" spans="1:14" ht="16.5" thickTop="1" thickBot="1" x14ac:dyDescent="0.3">
      <c r="A454" s="968" t="str">
        <f>'1.2 Budgeted Enrollment YR1'!A454</f>
        <v>Clark</v>
      </c>
      <c r="B454" s="971">
        <f>'1.2 Budgeted Enrollment YR1'!B454</f>
        <v>2</v>
      </c>
      <c r="C454" s="971">
        <f>'1.2 Budgeted Enrollment YR1'!C454</f>
        <v>2</v>
      </c>
      <c r="D454" s="971" t="str">
        <f>'1.2 Budgeted Enrollment YR1'!D454</f>
        <v>Las Vegas</v>
      </c>
      <c r="E454" s="968" t="str">
        <f>'1.2 Budgeted Enrollment YR1'!E454</f>
        <v>Thiriot, Joseph E ES</v>
      </c>
      <c r="F454" s="1061"/>
      <c r="G454" s="1108">
        <f>'1.2 Budgeted Enrollment YR1'!G454+('1.2 Budgeted Enrollment YR1'!G454*$G$7)</f>
        <v>566.04400522826927</v>
      </c>
      <c r="H454" s="1108"/>
      <c r="I454" s="1114"/>
      <c r="J454" s="1115"/>
      <c r="K454" s="1114"/>
      <c r="L454" s="1108">
        <f>'1.2 Budgeted Enrollment YR1'!L454</f>
        <v>0</v>
      </c>
      <c r="M454" s="1104"/>
      <c r="N454" s="875"/>
    </row>
    <row r="455" spans="1:14" ht="16.5" thickTop="1" thickBot="1" x14ac:dyDescent="0.3">
      <c r="A455" s="968" t="str">
        <f>'1.2 Budgeted Enrollment YR1'!A455</f>
        <v>Clark</v>
      </c>
      <c r="B455" s="971">
        <f>'1.2 Budgeted Enrollment YR1'!B455</f>
        <v>2</v>
      </c>
      <c r="C455" s="971">
        <f>'1.2 Budgeted Enrollment YR1'!C455</f>
        <v>2</v>
      </c>
      <c r="D455" s="971" t="str">
        <f>'1.2 Budgeted Enrollment YR1'!D455</f>
        <v>Las Vegas</v>
      </c>
      <c r="E455" s="968" t="str">
        <f>'1.2 Budgeted Enrollment YR1'!E455</f>
        <v>Thomas, Ruby S ES</v>
      </c>
      <c r="F455" s="1061"/>
      <c r="G455" s="1108">
        <f>'1.2 Budgeted Enrollment YR1'!G455+('1.2 Budgeted Enrollment YR1'!G455*$G$7)</f>
        <v>579.4283633136389</v>
      </c>
      <c r="H455" s="1108"/>
      <c r="I455" s="1114">
        <v>0</v>
      </c>
      <c r="J455" s="1115">
        <v>0</v>
      </c>
      <c r="K455" s="1114">
        <v>0</v>
      </c>
      <c r="L455" s="1108">
        <f>'1.2 Budgeted Enrollment YR1'!L455</f>
        <v>0</v>
      </c>
      <c r="M455" s="1104"/>
      <c r="N455" s="875"/>
    </row>
    <row r="456" spans="1:14" ht="16.5" thickTop="1" thickBot="1" x14ac:dyDescent="0.3">
      <c r="A456" s="968" t="str">
        <f>'1.2 Budgeted Enrollment YR1'!A456</f>
        <v>Clark</v>
      </c>
      <c r="B456" s="971">
        <f>'1.2 Budgeted Enrollment YR1'!B456</f>
        <v>2</v>
      </c>
      <c r="C456" s="971">
        <f>'1.2 Budgeted Enrollment YR1'!C456</f>
        <v>2</v>
      </c>
      <c r="D456" s="971" t="str">
        <f>'1.2 Budgeted Enrollment YR1'!D456</f>
        <v>Las Vegas</v>
      </c>
      <c r="E456" s="968" t="str">
        <f>'1.2 Budgeted Enrollment YR1'!E456</f>
        <v>Thompson, Sandra L ES</v>
      </c>
      <c r="F456" s="1061"/>
      <c r="G456" s="1108">
        <f>'1.2 Budgeted Enrollment YR1'!G456+('1.2 Budgeted Enrollment YR1'!G456*$G$7)</f>
        <v>580.83971352004392</v>
      </c>
      <c r="H456" s="1108"/>
      <c r="I456" s="1114">
        <v>0</v>
      </c>
      <c r="J456" s="1115">
        <v>0</v>
      </c>
      <c r="K456" s="1114">
        <v>0</v>
      </c>
      <c r="L456" s="1108">
        <f>'1.2 Budgeted Enrollment YR1'!L456</f>
        <v>0</v>
      </c>
      <c r="M456" s="1104"/>
      <c r="N456" s="875"/>
    </row>
    <row r="457" spans="1:14" ht="16.5" thickTop="1" thickBot="1" x14ac:dyDescent="0.3">
      <c r="A457" s="968" t="str">
        <f>'1.2 Budgeted Enrollment YR1'!A457</f>
        <v>Clark</v>
      </c>
      <c r="B457" s="971">
        <f>'1.2 Budgeted Enrollment YR1'!B457</f>
        <v>2</v>
      </c>
      <c r="C457" s="971">
        <f>'1.2 Budgeted Enrollment YR1'!C457</f>
        <v>2</v>
      </c>
      <c r="D457" s="971" t="str">
        <f>'1.2 Budgeted Enrollment YR1'!D457</f>
        <v>Las Vegas</v>
      </c>
      <c r="E457" s="968" t="str">
        <f>'1.2 Budgeted Enrollment YR1'!E457</f>
        <v>Thompson, Tyrone ES</v>
      </c>
      <c r="F457" s="1061"/>
      <c r="G457" s="1108">
        <f>'1.2 Budgeted Enrollment YR1'!G457+('1.2 Budgeted Enrollment YR1'!G457*$G$7)</f>
        <v>824.88971026115962</v>
      </c>
      <c r="H457" s="1108"/>
      <c r="I457" s="1114">
        <v>0</v>
      </c>
      <c r="J457" s="1115">
        <v>0</v>
      </c>
      <c r="K457" s="1114">
        <v>0</v>
      </c>
      <c r="L457" s="1108">
        <f>'1.2 Budgeted Enrollment YR1'!L457</f>
        <v>0</v>
      </c>
      <c r="M457" s="1104"/>
      <c r="N457" s="875"/>
    </row>
    <row r="458" spans="1:14" ht="16.5" thickTop="1" thickBot="1" x14ac:dyDescent="0.3">
      <c r="A458" s="968" t="str">
        <f>'1.2 Budgeted Enrollment YR1'!A458</f>
        <v>Clark</v>
      </c>
      <c r="B458" s="971">
        <f>'1.2 Budgeted Enrollment YR1'!B458</f>
        <v>2</v>
      </c>
      <c r="C458" s="971">
        <f>'1.2 Budgeted Enrollment YR1'!C458</f>
        <v>2</v>
      </c>
      <c r="D458" s="971" t="str">
        <f>'1.2 Budgeted Enrollment YR1'!D458</f>
        <v>Las Vegas</v>
      </c>
      <c r="E458" s="968" t="str">
        <f>'1.2 Budgeted Enrollment YR1'!E458</f>
        <v>Thorpe, Jim ES</v>
      </c>
      <c r="F458" s="1061"/>
      <c r="G458" s="1108">
        <f>'1.2 Budgeted Enrollment YR1'!G458+('1.2 Budgeted Enrollment YR1'!G458*$G$7)</f>
        <v>380.87549464910251</v>
      </c>
      <c r="H458" s="1108"/>
      <c r="I458" s="1114">
        <v>0</v>
      </c>
      <c r="J458" s="1115">
        <v>0</v>
      </c>
      <c r="K458" s="1114">
        <v>0</v>
      </c>
      <c r="L458" s="1108">
        <f>'1.2 Budgeted Enrollment YR1'!L458</f>
        <v>0</v>
      </c>
      <c r="M458" s="1104"/>
      <c r="N458" s="875"/>
    </row>
    <row r="459" spans="1:14" ht="16.5" thickTop="1" thickBot="1" x14ac:dyDescent="0.3">
      <c r="A459" s="968" t="str">
        <f>'1.2 Budgeted Enrollment YR1'!A459</f>
        <v>Clark</v>
      </c>
      <c r="B459" s="971">
        <f>'1.2 Budgeted Enrollment YR1'!B459</f>
        <v>2</v>
      </c>
      <c r="C459" s="971">
        <f>'1.2 Budgeted Enrollment YR1'!C459</f>
        <v>2</v>
      </c>
      <c r="D459" s="971" t="str">
        <f>'1.2 Budgeted Enrollment YR1'!D459</f>
        <v>Las Vegas</v>
      </c>
      <c r="E459" s="968" t="str">
        <f>'1.2 Budgeted Enrollment YR1'!E459</f>
        <v>Tobler, R E ES</v>
      </c>
      <c r="F459" s="1061"/>
      <c r="G459" s="1108">
        <f>'1.2 Budgeted Enrollment YR1'!G459+('1.2 Budgeted Enrollment YR1'!G459*$G$7)</f>
        <v>474.00295312351665</v>
      </c>
      <c r="H459" s="1108"/>
      <c r="I459" s="1114">
        <v>0</v>
      </c>
      <c r="J459" s="1115">
        <v>0</v>
      </c>
      <c r="K459" s="1114">
        <v>0</v>
      </c>
      <c r="L459" s="1108">
        <f>'1.2 Budgeted Enrollment YR1'!L459</f>
        <v>0</v>
      </c>
      <c r="M459" s="1104"/>
      <c r="N459" s="875"/>
    </row>
    <row r="460" spans="1:14" ht="16.5" thickTop="1" thickBot="1" x14ac:dyDescent="0.3">
      <c r="A460" s="968" t="str">
        <f>'1.2 Budgeted Enrollment YR1'!A460</f>
        <v>Clark</v>
      </c>
      <c r="B460" s="971">
        <f>'1.2 Budgeted Enrollment YR1'!B460</f>
        <v>2</v>
      </c>
      <c r="C460" s="971">
        <f>'1.2 Budgeted Enrollment YR1'!C460</f>
        <v>2</v>
      </c>
      <c r="D460" s="971" t="str">
        <f>'1.2 Budgeted Enrollment YR1'!D460</f>
        <v>Las Vegas</v>
      </c>
      <c r="E460" s="968" t="str">
        <f>'1.2 Budgeted Enrollment YR1'!E460</f>
        <v>Toland, Helen Anderson Intl Academy</v>
      </c>
      <c r="F460" s="1061"/>
      <c r="G460" s="1108">
        <f>'1.2 Budgeted Enrollment YR1'!G460+('1.2 Budgeted Enrollment YR1'!G460*$G$7)</f>
        <v>238.06231305912934</v>
      </c>
      <c r="H460" s="1108"/>
      <c r="I460" s="1114">
        <v>0</v>
      </c>
      <c r="J460" s="1115">
        <v>0</v>
      </c>
      <c r="K460" s="1114">
        <v>0</v>
      </c>
      <c r="L460" s="1108">
        <f>'1.2 Budgeted Enrollment YR1'!L460</f>
        <v>0</v>
      </c>
      <c r="M460" s="1104"/>
      <c r="N460" s="875"/>
    </row>
    <row r="461" spans="1:14" ht="16.5" thickTop="1" thickBot="1" x14ac:dyDescent="0.3">
      <c r="A461" s="968" t="str">
        <f>'1.2 Budgeted Enrollment YR1'!A461</f>
        <v>Clark</v>
      </c>
      <c r="B461" s="971">
        <f>'1.2 Budgeted Enrollment YR1'!B461</f>
        <v>2</v>
      </c>
      <c r="C461" s="971">
        <f>'1.2 Budgeted Enrollment YR1'!C461</f>
        <v>2</v>
      </c>
      <c r="D461" s="971" t="str">
        <f>'1.2 Budgeted Enrollment YR1'!D461</f>
        <v>Las Vegas</v>
      </c>
      <c r="E461" s="968" t="str">
        <f>'1.2 Budgeted Enrollment YR1'!E461</f>
        <v>Tomiyasu, Bill Y ES</v>
      </c>
      <c r="F461" s="1061"/>
      <c r="G461" s="1108">
        <f>'1.2 Budgeted Enrollment YR1'!G461+('1.2 Budgeted Enrollment YR1'!G461*$G$7)</f>
        <v>391.46337079225646</v>
      </c>
      <c r="H461" s="1108"/>
      <c r="I461" s="1114">
        <v>0</v>
      </c>
      <c r="J461" s="1115">
        <v>0</v>
      </c>
      <c r="K461" s="1114">
        <v>0</v>
      </c>
      <c r="L461" s="1108">
        <f>'1.2 Budgeted Enrollment YR1'!L461</f>
        <v>0</v>
      </c>
      <c r="M461" s="1104"/>
      <c r="N461" s="875"/>
    </row>
    <row r="462" spans="1:14" ht="16.5" thickTop="1" thickBot="1" x14ac:dyDescent="0.3">
      <c r="A462" s="968" t="str">
        <f>'1.2 Budgeted Enrollment YR1'!A462</f>
        <v>Clark</v>
      </c>
      <c r="B462" s="971">
        <f>'1.2 Budgeted Enrollment YR1'!B462</f>
        <v>2</v>
      </c>
      <c r="C462" s="971">
        <f>'1.2 Budgeted Enrollment YR1'!C462</f>
        <v>2</v>
      </c>
      <c r="D462" s="971" t="str">
        <f>'1.2 Budgeted Enrollment YR1'!D462</f>
        <v>Las Vegas</v>
      </c>
      <c r="E462" s="968" t="str">
        <f>'1.2 Budgeted Enrollment YR1'!E462</f>
        <v>Treem, Harriet ES</v>
      </c>
      <c r="F462" s="1061"/>
      <c r="G462" s="1108">
        <f>'1.2 Budgeted Enrollment YR1'!G462+('1.2 Budgeted Enrollment YR1'!G462*$G$7)</f>
        <v>469.444159890067</v>
      </c>
      <c r="H462" s="1108"/>
      <c r="I462" s="1114">
        <v>0</v>
      </c>
      <c r="J462" s="1115">
        <v>0</v>
      </c>
      <c r="K462" s="1114">
        <v>0</v>
      </c>
      <c r="L462" s="1108">
        <f>'1.2 Budgeted Enrollment YR1'!L462</f>
        <v>0</v>
      </c>
      <c r="M462" s="1104"/>
      <c r="N462" s="875"/>
    </row>
    <row r="463" spans="1:14" ht="16.5" thickTop="1" thickBot="1" x14ac:dyDescent="0.3">
      <c r="A463" s="968" t="str">
        <f>'1.2 Budgeted Enrollment YR1'!A463</f>
        <v>Clark</v>
      </c>
      <c r="B463" s="971">
        <f>'1.2 Budgeted Enrollment YR1'!B463</f>
        <v>2</v>
      </c>
      <c r="C463" s="971">
        <f>'1.2 Budgeted Enrollment YR1'!C463</f>
        <v>2</v>
      </c>
      <c r="D463" s="971" t="str">
        <f>'1.2 Budgeted Enrollment YR1'!D463</f>
        <v>Las Vegas</v>
      </c>
      <c r="E463" s="968" t="str">
        <f>'1.2 Budgeted Enrollment YR1'!E463</f>
        <v>Triggs, Vincent L ES</v>
      </c>
      <c r="F463" s="1061"/>
      <c r="G463" s="1108">
        <f>'1.2 Budgeted Enrollment YR1'!G463+('1.2 Budgeted Enrollment YR1'!G463*$G$7)</f>
        <v>728.6862185759511</v>
      </c>
      <c r="H463" s="1108"/>
      <c r="I463" s="1114">
        <v>0</v>
      </c>
      <c r="J463" s="1115">
        <v>0</v>
      </c>
      <c r="K463" s="1114">
        <v>0</v>
      </c>
      <c r="L463" s="1108">
        <f>'1.2 Budgeted Enrollment YR1'!L463</f>
        <v>0</v>
      </c>
      <c r="M463" s="1104"/>
      <c r="N463" s="875"/>
    </row>
    <row r="464" spans="1:14" ht="16.5" thickTop="1" thickBot="1" x14ac:dyDescent="0.3">
      <c r="A464" s="968" t="str">
        <f>'1.2 Budgeted Enrollment YR1'!A464</f>
        <v>Clark</v>
      </c>
      <c r="B464" s="971">
        <f>'1.2 Budgeted Enrollment YR1'!B464</f>
        <v>2</v>
      </c>
      <c r="C464" s="971">
        <f>'1.2 Budgeted Enrollment YR1'!C464</f>
        <v>2</v>
      </c>
      <c r="D464" s="971" t="str">
        <f>'1.2 Budgeted Enrollment YR1'!D464</f>
        <v>Las Vegas</v>
      </c>
      <c r="E464" s="968" t="str">
        <f>'1.2 Budgeted Enrollment YR1'!E464</f>
        <v>Twin Lakes ES</v>
      </c>
      <c r="F464" s="1061"/>
      <c r="G464" s="1108">
        <f>'1.2 Budgeted Enrollment YR1'!G464+('1.2 Budgeted Enrollment YR1'!G464*$G$7)</f>
        <v>483.96995003219422</v>
      </c>
      <c r="H464" s="1108"/>
      <c r="I464" s="1114">
        <v>0</v>
      </c>
      <c r="J464" s="1115">
        <v>0</v>
      </c>
      <c r="K464" s="1114">
        <v>0</v>
      </c>
      <c r="L464" s="1108">
        <f>'1.2 Budgeted Enrollment YR1'!L464</f>
        <v>0</v>
      </c>
      <c r="M464" s="1104"/>
      <c r="N464" s="875"/>
    </row>
    <row r="465" spans="1:14" ht="16.5" thickTop="1" thickBot="1" x14ac:dyDescent="0.3">
      <c r="A465" s="968" t="str">
        <f>'1.2 Budgeted Enrollment YR1'!A465</f>
        <v>Clark</v>
      </c>
      <c r="B465" s="971">
        <f>'1.2 Budgeted Enrollment YR1'!B465</f>
        <v>2</v>
      </c>
      <c r="C465" s="971">
        <f>'1.2 Budgeted Enrollment YR1'!C465</f>
        <v>2</v>
      </c>
      <c r="D465" s="971" t="str">
        <f>'1.2 Budgeted Enrollment YR1'!D465</f>
        <v>Las Vegas</v>
      </c>
      <c r="E465" s="968" t="str">
        <f>'1.2 Budgeted Enrollment YR1'!E465</f>
        <v>Twitchell, Neil C ES</v>
      </c>
      <c r="F465" s="1061"/>
      <c r="G465" s="1108">
        <f>'1.2 Budgeted Enrollment YR1'!G465+('1.2 Budgeted Enrollment YR1'!G465*$G$7)</f>
        <v>503.88035870887438</v>
      </c>
      <c r="H465" s="1108"/>
      <c r="I465" s="1114">
        <v>0</v>
      </c>
      <c r="J465" s="1115">
        <v>0</v>
      </c>
      <c r="K465" s="1114">
        <v>0</v>
      </c>
      <c r="L465" s="1108">
        <f>'1.2 Budgeted Enrollment YR1'!L465</f>
        <v>0</v>
      </c>
      <c r="M465" s="1104"/>
      <c r="N465" s="875"/>
    </row>
    <row r="466" spans="1:14" ht="16.5" thickTop="1" thickBot="1" x14ac:dyDescent="0.3">
      <c r="A466" s="968" t="str">
        <f>'1.2 Budgeted Enrollment YR1'!A466</f>
        <v>Clark</v>
      </c>
      <c r="B466" s="971">
        <f>'1.2 Budgeted Enrollment YR1'!B466</f>
        <v>2</v>
      </c>
      <c r="C466" s="971">
        <f>'1.2 Budgeted Enrollment YR1'!C466</f>
        <v>2</v>
      </c>
      <c r="D466" s="971" t="str">
        <f>'1.2 Budgeted Enrollment YR1'!D466</f>
        <v>Las Vegas</v>
      </c>
      <c r="E466" s="968" t="str">
        <f>'1.2 Budgeted Enrollment YR1'!E466</f>
        <v>Ullom, J M ES</v>
      </c>
      <c r="F466" s="1061"/>
      <c r="G466" s="1108">
        <f>'1.2 Budgeted Enrollment YR1'!G466+('1.2 Budgeted Enrollment YR1'!G466*$G$7)</f>
        <v>532.97664556195707</v>
      </c>
      <c r="H466" s="1108"/>
      <c r="I466" s="1114">
        <v>0</v>
      </c>
      <c r="J466" s="1115">
        <v>0</v>
      </c>
      <c r="K466" s="1114">
        <v>0</v>
      </c>
      <c r="L466" s="1108">
        <f>'1.2 Budgeted Enrollment YR1'!L466</f>
        <v>0</v>
      </c>
      <c r="M466" s="1104"/>
      <c r="N466" s="875"/>
    </row>
    <row r="467" spans="1:14" ht="16.5" thickTop="1" thickBot="1" x14ac:dyDescent="0.3">
      <c r="A467" s="968" t="str">
        <f>'1.2 Budgeted Enrollment YR1'!A467</f>
        <v>Clark</v>
      </c>
      <c r="B467" s="971">
        <f>'1.2 Budgeted Enrollment YR1'!B467</f>
        <v>2</v>
      </c>
      <c r="C467" s="971">
        <f>'1.2 Budgeted Enrollment YR1'!C467</f>
        <v>2</v>
      </c>
      <c r="D467" s="971" t="str">
        <f>'1.2 Budgeted Enrollment YR1'!D467</f>
        <v>Las Vegas</v>
      </c>
      <c r="E467" s="968" t="str">
        <f>'1.2 Budgeted Enrollment YR1'!E467</f>
        <v>Valley HS</v>
      </c>
      <c r="F467" s="1061"/>
      <c r="G467" s="1108">
        <f>'1.2 Budgeted Enrollment YR1'!G467+('1.2 Budgeted Enrollment YR1'!G467*$G$7)</f>
        <v>2377.1555010397719</v>
      </c>
      <c r="H467" s="1108"/>
      <c r="I467" s="1114">
        <v>0</v>
      </c>
      <c r="J467" s="1115">
        <v>0</v>
      </c>
      <c r="K467" s="1114">
        <v>0</v>
      </c>
      <c r="L467" s="1108">
        <f>'1.2 Budgeted Enrollment YR1'!L467</f>
        <v>0</v>
      </c>
      <c r="M467" s="1104"/>
      <c r="N467" s="875"/>
    </row>
    <row r="468" spans="1:14" ht="16.5" thickTop="1" thickBot="1" x14ac:dyDescent="0.3">
      <c r="A468" s="968" t="str">
        <f>'1.2 Budgeted Enrollment YR1'!A468</f>
        <v>Clark</v>
      </c>
      <c r="B468" s="971">
        <f>'1.2 Budgeted Enrollment YR1'!B468</f>
        <v>2</v>
      </c>
      <c r="C468" s="971">
        <f>'1.2 Budgeted Enrollment YR1'!C468</f>
        <v>2</v>
      </c>
      <c r="D468" s="971" t="str">
        <f>'1.2 Budgeted Enrollment YR1'!D468</f>
        <v>Las Vegas</v>
      </c>
      <c r="E468" s="968" t="str">
        <f>'1.2 Budgeted Enrollment YR1'!E468</f>
        <v>Vanderburg, John ES</v>
      </c>
      <c r="F468" s="1061"/>
      <c r="G468" s="1108">
        <f>'1.2 Budgeted Enrollment YR1'!G468+('1.2 Budgeted Enrollment YR1'!G468*$G$7)</f>
        <v>524.25746222556052</v>
      </c>
      <c r="H468" s="1108"/>
      <c r="I468" s="1114">
        <v>0</v>
      </c>
      <c r="J468" s="1115">
        <v>0</v>
      </c>
      <c r="K468" s="1114">
        <v>0</v>
      </c>
      <c r="L468" s="1108">
        <f>'1.2 Budgeted Enrollment YR1'!L468</f>
        <v>0</v>
      </c>
      <c r="M468" s="1104"/>
      <c r="N468" s="875"/>
    </row>
    <row r="469" spans="1:14" ht="16.5" thickTop="1" thickBot="1" x14ac:dyDescent="0.3">
      <c r="A469" s="968" t="str">
        <f>'1.2 Budgeted Enrollment YR1'!A469</f>
        <v>Clark</v>
      </c>
      <c r="B469" s="971">
        <f>'1.2 Budgeted Enrollment YR1'!B469</f>
        <v>2</v>
      </c>
      <c r="C469" s="971">
        <f>'1.2 Budgeted Enrollment YR1'!C469</f>
        <v>2</v>
      </c>
      <c r="D469" s="971" t="str">
        <f>'1.2 Budgeted Enrollment YR1'!D469</f>
        <v>Las Vegas</v>
      </c>
      <c r="E469" s="968" t="str">
        <f>'1.2 Budgeted Enrollment YR1'!E469</f>
        <v>Variety ES</v>
      </c>
      <c r="F469" s="1061"/>
      <c r="G469" s="1108">
        <f>'1.2 Budgeted Enrollment YR1'!G469+('1.2 Budgeted Enrollment YR1'!G469*$G$7)</f>
        <v>28.630547894301124</v>
      </c>
      <c r="H469" s="1108"/>
      <c r="I469" s="1114">
        <v>0</v>
      </c>
      <c r="J469" s="1115">
        <v>0</v>
      </c>
      <c r="K469" s="1114">
        <v>0</v>
      </c>
      <c r="L469" s="1108">
        <f>'1.2 Budgeted Enrollment YR1'!L469</f>
        <v>0</v>
      </c>
      <c r="M469" s="1104"/>
      <c r="N469" s="875"/>
    </row>
    <row r="470" spans="1:14" ht="16.5" thickTop="1" thickBot="1" x14ac:dyDescent="0.3">
      <c r="A470" s="968" t="str">
        <f>'1.2 Budgeted Enrollment YR1'!A470</f>
        <v>Clark</v>
      </c>
      <c r="B470" s="971">
        <f>'1.2 Budgeted Enrollment YR1'!B470</f>
        <v>2</v>
      </c>
      <c r="C470" s="971">
        <f>'1.2 Budgeted Enrollment YR1'!C470</f>
        <v>2</v>
      </c>
      <c r="D470" s="971" t="str">
        <f>'1.2 Budgeted Enrollment YR1'!D470</f>
        <v>Las Vegas</v>
      </c>
      <c r="E470" s="968" t="str">
        <f>'1.2 Budgeted Enrollment YR1'!E470</f>
        <v>Variety J-SHS</v>
      </c>
      <c r="F470" s="1061"/>
      <c r="G470" s="1108">
        <f>'1.2 Budgeted Enrollment YR1'!G470+('1.2 Budgeted Enrollment YR1'!G470*$G$7)</f>
        <v>104.52438166684834</v>
      </c>
      <c r="H470" s="1108"/>
      <c r="I470" s="1114">
        <v>0</v>
      </c>
      <c r="J470" s="1115">
        <v>0</v>
      </c>
      <c r="K470" s="1114">
        <v>0</v>
      </c>
      <c r="L470" s="1108">
        <f>'1.2 Budgeted Enrollment YR1'!L470</f>
        <v>0</v>
      </c>
      <c r="M470" s="1104"/>
      <c r="N470" s="875"/>
    </row>
    <row r="471" spans="1:14" ht="16.5" thickTop="1" thickBot="1" x14ac:dyDescent="0.3">
      <c r="A471" s="968" t="str">
        <f>'1.2 Budgeted Enrollment YR1'!A471</f>
        <v>Clark</v>
      </c>
      <c r="B471" s="971">
        <f>'1.2 Budgeted Enrollment YR1'!B471</f>
        <v>2</v>
      </c>
      <c r="C471" s="971">
        <f>'1.2 Budgeted Enrollment YR1'!C471</f>
        <v>2</v>
      </c>
      <c r="D471" s="971" t="str">
        <f>'1.2 Budgeted Enrollment YR1'!D471</f>
        <v>Las Vegas</v>
      </c>
      <c r="E471" s="968" t="str">
        <f>'1.2 Budgeted Enrollment YR1'!E471</f>
        <v>Vassiliadis, Billy &amp; Rosemary ES</v>
      </c>
      <c r="F471" s="1061"/>
      <c r="G471" s="1108">
        <f>'1.2 Budgeted Enrollment YR1'!G471+('1.2 Budgeted Enrollment YR1'!G471*$G$7)</f>
        <v>1051.4271337086009</v>
      </c>
      <c r="H471" s="1108"/>
      <c r="I471" s="1114">
        <v>0</v>
      </c>
      <c r="J471" s="1115">
        <v>0</v>
      </c>
      <c r="K471" s="1114">
        <v>0</v>
      </c>
      <c r="L471" s="1108">
        <f>'1.2 Budgeted Enrollment YR1'!L471</f>
        <v>0</v>
      </c>
      <c r="M471" s="1104"/>
      <c r="N471" s="875"/>
    </row>
    <row r="472" spans="1:14" ht="16.5" thickTop="1" thickBot="1" x14ac:dyDescent="0.3">
      <c r="A472" s="968" t="str">
        <f>'1.2 Budgeted Enrollment YR1'!A472</f>
        <v>Clark</v>
      </c>
      <c r="B472" s="971">
        <f>'1.2 Budgeted Enrollment YR1'!B472</f>
        <v>2</v>
      </c>
      <c r="C472" s="971">
        <f>'1.2 Budgeted Enrollment YR1'!C472</f>
        <v>2</v>
      </c>
      <c r="D472" s="971" t="str">
        <f>'1.2 Budgeted Enrollment YR1'!D472</f>
        <v>Las Vegas</v>
      </c>
      <c r="E472" s="968" t="str">
        <f>'1.2 Budgeted Enrollment YR1'!E472</f>
        <v>Vegas Verdes ES</v>
      </c>
      <c r="F472" s="1061"/>
      <c r="G472" s="1108">
        <f>'1.2 Budgeted Enrollment YR1'!G472+('1.2 Budgeted Enrollment YR1'!G472*$G$7)</f>
        <v>656.3690060166814</v>
      </c>
      <c r="H472" s="1108"/>
      <c r="I472" s="1114">
        <v>0</v>
      </c>
      <c r="J472" s="1115">
        <v>0</v>
      </c>
      <c r="K472" s="1114">
        <v>0</v>
      </c>
      <c r="L472" s="1108">
        <f>'1.2 Budgeted Enrollment YR1'!L472</f>
        <v>0</v>
      </c>
      <c r="M472" s="1104"/>
      <c r="N472" s="875"/>
    </row>
    <row r="473" spans="1:14" ht="16.5" thickTop="1" thickBot="1" x14ac:dyDescent="0.3">
      <c r="A473" s="968" t="str">
        <f>'1.2 Budgeted Enrollment YR1'!A473</f>
        <v>Clark</v>
      </c>
      <c r="B473" s="971">
        <f>'1.2 Budgeted Enrollment YR1'!B473</f>
        <v>2</v>
      </c>
      <c r="C473" s="971">
        <f>'1.2 Budgeted Enrollment YR1'!C473</f>
        <v>2</v>
      </c>
      <c r="D473" s="971" t="str">
        <f>'1.2 Budgeted Enrollment YR1'!D473</f>
        <v>Las Vegas</v>
      </c>
      <c r="E473" s="968" t="str">
        <f>'1.2 Budgeted Enrollment YR1'!E473</f>
        <v>Veterans Tribute CTA HS</v>
      </c>
      <c r="F473" s="1061"/>
      <c r="G473" s="1108">
        <f>'1.2 Budgeted Enrollment YR1'!G473+('1.2 Budgeted Enrollment YR1'!G473*$G$7)</f>
        <v>814.07764519535385</v>
      </c>
      <c r="H473" s="1108"/>
      <c r="I473" s="1114">
        <v>0</v>
      </c>
      <c r="J473" s="1115">
        <v>0</v>
      </c>
      <c r="K473" s="1114">
        <v>0</v>
      </c>
      <c r="L473" s="1108">
        <f>'1.2 Budgeted Enrollment YR1'!L473</f>
        <v>0</v>
      </c>
      <c r="M473" s="1104"/>
      <c r="N473" s="875"/>
    </row>
    <row r="474" spans="1:14" ht="16.5" thickTop="1" thickBot="1" x14ac:dyDescent="0.3">
      <c r="A474" s="968" t="str">
        <f>'1.2 Budgeted Enrollment YR1'!A474</f>
        <v>Clark</v>
      </c>
      <c r="B474" s="971">
        <f>'1.2 Budgeted Enrollment YR1'!B474</f>
        <v>2</v>
      </c>
      <c r="C474" s="971">
        <f>'1.2 Budgeted Enrollment YR1'!C474</f>
        <v>2</v>
      </c>
      <c r="D474" s="971" t="str">
        <f>'1.2 Budgeted Enrollment YR1'!D474</f>
        <v>Mesquite</v>
      </c>
      <c r="E474" s="968" t="str">
        <f>'1.2 Budgeted Enrollment YR1'!E474</f>
        <v>Virgin Valley ES</v>
      </c>
      <c r="F474" s="1061"/>
      <c r="G474" s="1108">
        <f>'1.2 Budgeted Enrollment YR1'!G474+('1.2 Budgeted Enrollment YR1'!G474*$G$7)</f>
        <v>570.97493279123103</v>
      </c>
      <c r="H474" s="1108"/>
      <c r="I474" s="1114">
        <v>0</v>
      </c>
      <c r="J474" s="1115">
        <v>0</v>
      </c>
      <c r="K474" s="1114">
        <v>0</v>
      </c>
      <c r="L474" s="1108">
        <f>'1.2 Budgeted Enrollment YR1'!L474</f>
        <v>0</v>
      </c>
      <c r="M474" s="1104"/>
      <c r="N474" s="875"/>
    </row>
    <row r="475" spans="1:14" ht="16.5" thickTop="1" thickBot="1" x14ac:dyDescent="0.3">
      <c r="A475" s="968" t="str">
        <f>'1.2 Budgeted Enrollment YR1'!A475</f>
        <v>Clark</v>
      </c>
      <c r="B475" s="971">
        <f>'1.2 Budgeted Enrollment YR1'!B475</f>
        <v>2</v>
      </c>
      <c r="C475" s="971">
        <f>'1.2 Budgeted Enrollment YR1'!C475</f>
        <v>2</v>
      </c>
      <c r="D475" s="971" t="str">
        <f>'1.2 Budgeted Enrollment YR1'!D475</f>
        <v>Mesquite</v>
      </c>
      <c r="E475" s="968" t="str">
        <f>'1.2 Budgeted Enrollment YR1'!E475</f>
        <v>Virgin Valley HS</v>
      </c>
      <c r="F475" s="1061"/>
      <c r="G475" s="1108">
        <f>'1.2 Budgeted Enrollment YR1'!G475+('1.2 Budgeted Enrollment YR1'!G475*$G$7)</f>
        <v>761.78347023732272</v>
      </c>
      <c r="H475" s="1108"/>
      <c r="I475" s="1114">
        <v>0</v>
      </c>
      <c r="J475" s="1115">
        <v>0</v>
      </c>
      <c r="K475" s="1114">
        <v>0</v>
      </c>
      <c r="L475" s="1108">
        <f>'1.2 Budgeted Enrollment YR1'!L475</f>
        <v>0</v>
      </c>
      <c r="M475" s="1104"/>
      <c r="N475" s="875"/>
    </row>
    <row r="476" spans="1:14" ht="16.5" thickTop="1" thickBot="1" x14ac:dyDescent="0.3">
      <c r="A476" s="968" t="str">
        <f>'1.2 Budgeted Enrollment YR1'!A476</f>
        <v>Clark</v>
      </c>
      <c r="B476" s="971">
        <f>'1.2 Budgeted Enrollment YR1'!B476</f>
        <v>2</v>
      </c>
      <c r="C476" s="971">
        <f>'1.2 Budgeted Enrollment YR1'!C476</f>
        <v>2</v>
      </c>
      <c r="D476" s="971" t="str">
        <f>'1.2 Budgeted Enrollment YR1'!D476</f>
        <v>Las Vegas</v>
      </c>
      <c r="E476" s="968" t="str">
        <f>'1.2 Budgeted Enrollment YR1'!E476</f>
        <v>Von Tobel, Ed MS</v>
      </c>
      <c r="F476" s="1061"/>
      <c r="G476" s="1108">
        <f>'1.2 Budgeted Enrollment YR1'!G476+('1.2 Budgeted Enrollment YR1'!G476*$G$7)</f>
        <v>859.05477953316665</v>
      </c>
      <c r="H476" s="1108"/>
      <c r="I476" s="1114">
        <v>0</v>
      </c>
      <c r="J476" s="1115">
        <v>0</v>
      </c>
      <c r="K476" s="1114">
        <v>0</v>
      </c>
      <c r="L476" s="1108">
        <f>'1.2 Budgeted Enrollment YR1'!L476</f>
        <v>0</v>
      </c>
      <c r="M476" s="1104"/>
      <c r="N476" s="875"/>
    </row>
    <row r="477" spans="1:14" ht="16.5" thickTop="1" thickBot="1" x14ac:dyDescent="0.3">
      <c r="A477" s="968" t="str">
        <f>'1.2 Budgeted Enrollment YR1'!A477</f>
        <v>Clark</v>
      </c>
      <c r="B477" s="971">
        <f>'1.2 Budgeted Enrollment YR1'!B477</f>
        <v>2</v>
      </c>
      <c r="C477" s="971">
        <f>'1.2 Budgeted Enrollment YR1'!C477</f>
        <v>2</v>
      </c>
      <c r="D477" s="971" t="str">
        <f>'1.2 Budgeted Enrollment YR1'!D477</f>
        <v>Las Vegas</v>
      </c>
      <c r="E477" s="968" t="str">
        <f>'1.2 Budgeted Enrollment YR1'!E477</f>
        <v>Walker, J Marlan Int'l School ES</v>
      </c>
      <c r="F477" s="1061"/>
      <c r="G477" s="1108">
        <f>'1.2 Budgeted Enrollment YR1'!G477+('1.2 Budgeted Enrollment YR1'!G477*$G$7)</f>
        <v>514.57493053622534</v>
      </c>
      <c r="H477" s="1108"/>
      <c r="I477" s="1114">
        <v>0</v>
      </c>
      <c r="J477" s="1115">
        <v>0</v>
      </c>
      <c r="K477" s="1114">
        <v>0</v>
      </c>
      <c r="L477" s="1108">
        <f>'1.2 Budgeted Enrollment YR1'!L477</f>
        <v>0</v>
      </c>
      <c r="M477" s="1104"/>
      <c r="N477" s="875"/>
    </row>
    <row r="478" spans="1:14" ht="16.5" thickTop="1" thickBot="1" x14ac:dyDescent="0.3">
      <c r="A478" s="968" t="str">
        <f>'1.2 Budgeted Enrollment YR1'!A478</f>
        <v>Clark</v>
      </c>
      <c r="B478" s="971">
        <f>'1.2 Budgeted Enrollment YR1'!B478</f>
        <v>2</v>
      </c>
      <c r="C478" s="971">
        <f>'1.2 Budgeted Enrollment YR1'!C478</f>
        <v>2</v>
      </c>
      <c r="D478" s="971" t="str">
        <f>'1.2 Budgeted Enrollment YR1'!D478</f>
        <v>Las Vegas</v>
      </c>
      <c r="E478" s="968" t="str">
        <f>'1.2 Budgeted Enrollment YR1'!E478</f>
        <v>Wallin, Shirley &amp; Bill ES</v>
      </c>
      <c r="F478" s="1061"/>
      <c r="G478" s="1108">
        <f>'1.2 Budgeted Enrollment YR1'!G478+('1.2 Budgeted Enrollment YR1'!G478*$G$7)</f>
        <v>658.17050635752867</v>
      </c>
      <c r="H478" s="1108"/>
      <c r="I478" s="1114">
        <v>0</v>
      </c>
      <c r="J478" s="1115">
        <v>0</v>
      </c>
      <c r="K478" s="1114">
        <v>0</v>
      </c>
      <c r="L478" s="1108">
        <f>'1.2 Budgeted Enrollment YR1'!L478</f>
        <v>0</v>
      </c>
      <c r="M478" s="1104"/>
      <c r="N478" s="875"/>
    </row>
    <row r="479" spans="1:14" ht="16.5" thickTop="1" thickBot="1" x14ac:dyDescent="0.3">
      <c r="A479" s="968" t="str">
        <f>'1.2 Budgeted Enrollment YR1'!A479</f>
        <v>Clark</v>
      </c>
      <c r="B479" s="971">
        <f>'1.2 Budgeted Enrollment YR1'!B479</f>
        <v>2</v>
      </c>
      <c r="C479" s="971">
        <f>'1.2 Budgeted Enrollment YR1'!C479</f>
        <v>2</v>
      </c>
      <c r="D479" s="971" t="str">
        <f>'1.2 Budgeted Enrollment YR1'!D479</f>
        <v>Las Vegas</v>
      </c>
      <c r="E479" s="968" t="str">
        <f>'1.2 Budgeted Enrollment YR1'!E479</f>
        <v>Ward, Gene ES</v>
      </c>
      <c r="F479" s="1061"/>
      <c r="G479" s="1108">
        <f>'1.2 Budgeted Enrollment YR1'!G479+('1.2 Budgeted Enrollment YR1'!G479*$G$7)</f>
        <v>556.03075755872737</v>
      </c>
      <c r="H479" s="1108"/>
      <c r="I479" s="1114">
        <v>0</v>
      </c>
      <c r="J479" s="1115">
        <v>0</v>
      </c>
      <c r="K479" s="1114">
        <v>0</v>
      </c>
      <c r="L479" s="1108">
        <f>'1.2 Budgeted Enrollment YR1'!L479</f>
        <v>0</v>
      </c>
      <c r="M479" s="1104"/>
      <c r="N479" s="875"/>
    </row>
    <row r="480" spans="1:14" ht="16.5" thickTop="1" thickBot="1" x14ac:dyDescent="0.3">
      <c r="A480" s="968" t="str">
        <f>'1.2 Budgeted Enrollment YR1'!A480</f>
        <v>Clark</v>
      </c>
      <c r="B480" s="971">
        <f>'1.2 Budgeted Enrollment YR1'!B480</f>
        <v>2</v>
      </c>
      <c r="C480" s="971">
        <f>'1.2 Budgeted Enrollment YR1'!C480</f>
        <v>2</v>
      </c>
      <c r="D480" s="971" t="str">
        <f>'1.2 Budgeted Enrollment YR1'!D480</f>
        <v>Las Vegas</v>
      </c>
      <c r="E480" s="968" t="str">
        <f>'1.2 Budgeted Enrollment YR1'!E480</f>
        <v>Ward, Kitty McDonough ES</v>
      </c>
      <c r="F480" s="1061"/>
      <c r="G480" s="1108">
        <f>'1.2 Budgeted Enrollment YR1'!G480+('1.2 Budgeted Enrollment YR1'!G480*$G$7)</f>
        <v>655.40517110355495</v>
      </c>
      <c r="H480" s="1108"/>
      <c r="I480" s="1114">
        <v>0</v>
      </c>
      <c r="J480" s="1115">
        <v>0</v>
      </c>
      <c r="K480" s="1114">
        <v>0</v>
      </c>
      <c r="L480" s="1108">
        <f>'1.2 Budgeted Enrollment YR1'!L480</f>
        <v>0</v>
      </c>
      <c r="M480" s="1104"/>
      <c r="N480" s="875"/>
    </row>
    <row r="481" spans="1:14" ht="16.5" thickTop="1" thickBot="1" x14ac:dyDescent="0.3">
      <c r="A481" s="968" t="str">
        <f>'1.2 Budgeted Enrollment YR1'!A481</f>
        <v>Clark</v>
      </c>
      <c r="B481" s="971">
        <f>'1.2 Budgeted Enrollment YR1'!B481</f>
        <v>2</v>
      </c>
      <c r="C481" s="971">
        <f>'1.2 Budgeted Enrollment YR1'!C481</f>
        <v>2</v>
      </c>
      <c r="D481" s="971" t="str">
        <f>'1.2 Budgeted Enrollment YR1'!D481</f>
        <v>Las Vegas</v>
      </c>
      <c r="E481" s="968" t="str">
        <f>'1.2 Budgeted Enrollment YR1'!E481</f>
        <v>Warren, Rose ES</v>
      </c>
      <c r="F481" s="1061"/>
      <c r="G481" s="1108">
        <f>'1.2 Budgeted Enrollment YR1'!G481+('1.2 Budgeted Enrollment YR1'!G481*$G$7)</f>
        <v>509.11291415626368</v>
      </c>
      <c r="H481" s="1108"/>
      <c r="I481" s="1114">
        <v>0</v>
      </c>
      <c r="J481" s="1115">
        <v>0</v>
      </c>
      <c r="K481" s="1114">
        <v>0</v>
      </c>
      <c r="L481" s="1108">
        <f>'1.2 Budgeted Enrollment YR1'!L481</f>
        <v>0</v>
      </c>
      <c r="M481" s="1104"/>
      <c r="N481" s="875"/>
    </row>
    <row r="482" spans="1:14" ht="16.5" thickTop="1" thickBot="1" x14ac:dyDescent="0.3">
      <c r="A482" s="968" t="str">
        <f>'1.2 Budgeted Enrollment YR1'!A482</f>
        <v>Clark</v>
      </c>
      <c r="B482" s="971">
        <f>'1.2 Budgeted Enrollment YR1'!B482</f>
        <v>2</v>
      </c>
      <c r="C482" s="971">
        <f>'1.2 Budgeted Enrollment YR1'!C482</f>
        <v>2</v>
      </c>
      <c r="D482" s="971" t="str">
        <f>'1.2 Budgeted Enrollment YR1'!D482</f>
        <v>Las Vegas</v>
      </c>
      <c r="E482" s="968" t="str">
        <f>'1.2 Budgeted Enrollment YR1'!E482</f>
        <v>Wasden, Howard ES</v>
      </c>
      <c r="F482" s="1061"/>
      <c r="G482" s="1108">
        <f>'1.2 Budgeted Enrollment YR1'!G482+('1.2 Budgeted Enrollment YR1'!G482*$G$7)</f>
        <v>418.79676547396224</v>
      </c>
      <c r="H482" s="1108"/>
      <c r="I482" s="1114">
        <v>0</v>
      </c>
      <c r="J482" s="1115">
        <v>0</v>
      </c>
      <c r="K482" s="1114">
        <v>0</v>
      </c>
      <c r="L482" s="1108">
        <f>'1.2 Budgeted Enrollment YR1'!L482</f>
        <v>0</v>
      </c>
      <c r="M482" s="1104"/>
      <c r="N482" s="875"/>
    </row>
    <row r="483" spans="1:14" ht="16.5" thickTop="1" thickBot="1" x14ac:dyDescent="0.3">
      <c r="A483" s="968" t="str">
        <f>'1.2 Budgeted Enrollment YR1'!A483</f>
        <v>Clark</v>
      </c>
      <c r="B483" s="971">
        <f>'1.2 Budgeted Enrollment YR1'!B483</f>
        <v>2</v>
      </c>
      <c r="C483" s="971">
        <f>'1.2 Budgeted Enrollment YR1'!C483</f>
        <v>2</v>
      </c>
      <c r="D483" s="971" t="str">
        <f>'1.2 Budgeted Enrollment YR1'!D483</f>
        <v>Las Vegas</v>
      </c>
      <c r="E483" s="968" t="str">
        <f>'1.2 Budgeted Enrollment YR1'!E483</f>
        <v>Watson, Fredric W ES</v>
      </c>
      <c r="F483" s="1061"/>
      <c r="G483" s="1108">
        <f>'1.2 Budgeted Enrollment YR1'!G483+('1.2 Budgeted Enrollment YR1'!G483*$G$7)</f>
        <v>640.58882219743089</v>
      </c>
      <c r="H483" s="1108"/>
      <c r="I483" s="1114">
        <v>0</v>
      </c>
      <c r="J483" s="1115">
        <v>0</v>
      </c>
      <c r="K483" s="1114">
        <v>0</v>
      </c>
      <c r="L483" s="1108">
        <f>'1.2 Budgeted Enrollment YR1'!L483</f>
        <v>0</v>
      </c>
      <c r="M483" s="1104"/>
      <c r="N483" s="875"/>
    </row>
    <row r="484" spans="1:14" ht="16.5" thickTop="1" thickBot="1" x14ac:dyDescent="0.3">
      <c r="A484" s="968" t="str">
        <f>'1.2 Budgeted Enrollment YR1'!A484</f>
        <v>Clark</v>
      </c>
      <c r="B484" s="971">
        <f>'1.2 Budgeted Enrollment YR1'!B484</f>
        <v>2</v>
      </c>
      <c r="C484" s="971">
        <f>'1.2 Budgeted Enrollment YR1'!C484</f>
        <v>2</v>
      </c>
      <c r="D484" s="971" t="str">
        <f>'1.2 Budgeted Enrollment YR1'!D484</f>
        <v>Las Vegas</v>
      </c>
      <c r="E484" s="968" t="str">
        <f>'1.2 Budgeted Enrollment YR1'!E484</f>
        <v>Webb, Del E MS</v>
      </c>
      <c r="F484" s="1061"/>
      <c r="G484" s="1108">
        <f>'1.2 Budgeted Enrollment YR1'!G484+('1.2 Budgeted Enrollment YR1'!G484*$G$7)</f>
        <v>1632.0678683853041</v>
      </c>
      <c r="H484" s="1108"/>
      <c r="I484" s="1114">
        <v>0</v>
      </c>
      <c r="J484" s="1115">
        <v>0</v>
      </c>
      <c r="K484" s="1114">
        <v>0</v>
      </c>
      <c r="L484" s="1108">
        <f>'1.2 Budgeted Enrollment YR1'!L484</f>
        <v>0</v>
      </c>
      <c r="M484" s="1104"/>
      <c r="N484" s="875"/>
    </row>
    <row r="485" spans="1:14" ht="16.5" thickTop="1" thickBot="1" x14ac:dyDescent="0.3">
      <c r="A485" s="968" t="str">
        <f>'1.2 Budgeted Enrollment YR1'!A485</f>
        <v>Clark</v>
      </c>
      <c r="B485" s="971">
        <f>'1.2 Budgeted Enrollment YR1'!B485</f>
        <v>2</v>
      </c>
      <c r="C485" s="971">
        <f>'1.2 Budgeted Enrollment YR1'!C485</f>
        <v>2</v>
      </c>
      <c r="D485" s="971" t="str">
        <f>'1.2 Budgeted Enrollment YR1'!D485</f>
        <v>Las Vegas</v>
      </c>
      <c r="E485" s="968" t="str">
        <f>'1.2 Budgeted Enrollment YR1'!E485</f>
        <v>Wengert, Cyril ES</v>
      </c>
      <c r="F485" s="1061"/>
      <c r="G485" s="1108">
        <f>'1.2 Budgeted Enrollment YR1'!G485+('1.2 Budgeted Enrollment YR1'!G485*$G$7)</f>
        <v>482.32028847139088</v>
      </c>
      <c r="H485" s="1108"/>
      <c r="I485" s="1114">
        <v>0</v>
      </c>
      <c r="J485" s="1115">
        <v>0</v>
      </c>
      <c r="K485" s="1114">
        <v>0</v>
      </c>
      <c r="L485" s="1108">
        <f>'1.2 Budgeted Enrollment YR1'!L485</f>
        <v>0</v>
      </c>
      <c r="M485" s="1104"/>
      <c r="N485" s="875"/>
    </row>
    <row r="486" spans="1:14" ht="16.5" thickTop="1" thickBot="1" x14ac:dyDescent="0.3">
      <c r="A486" s="968" t="str">
        <f>'1.2 Budgeted Enrollment YR1'!A486</f>
        <v>Clark</v>
      </c>
      <c r="B486" s="971">
        <f>'1.2 Budgeted Enrollment YR1'!B486</f>
        <v>2</v>
      </c>
      <c r="C486" s="971">
        <f>'1.2 Budgeted Enrollment YR1'!C486</f>
        <v>2</v>
      </c>
      <c r="D486" s="971" t="str">
        <f>'1.2 Budgeted Enrollment YR1'!D486</f>
        <v>Las Vegas</v>
      </c>
      <c r="E486" s="968" t="str">
        <f>'1.2 Budgeted Enrollment YR1'!E486</f>
        <v>West Career &amp; Technical Academy HS</v>
      </c>
      <c r="F486" s="1061"/>
      <c r="G486" s="1108">
        <f>'1.2 Budgeted Enrollment YR1'!G486+('1.2 Budgeted Enrollment YR1'!G486*$G$7)</f>
        <v>1493.3821308983736</v>
      </c>
      <c r="H486" s="1108"/>
      <c r="I486" s="1114">
        <v>0</v>
      </c>
      <c r="J486" s="1115">
        <v>0</v>
      </c>
      <c r="K486" s="1114">
        <v>0</v>
      </c>
      <c r="L486" s="1108">
        <f>'1.2 Budgeted Enrollment YR1'!L486</f>
        <v>0</v>
      </c>
      <c r="M486" s="1104"/>
      <c r="N486" s="875"/>
    </row>
    <row r="487" spans="1:14" ht="16.5" thickTop="1" thickBot="1" x14ac:dyDescent="0.3">
      <c r="A487" s="968" t="str">
        <f>'1.2 Budgeted Enrollment YR1'!A487</f>
        <v>Clark</v>
      </c>
      <c r="B487" s="971">
        <f>'1.2 Budgeted Enrollment YR1'!B487</f>
        <v>2</v>
      </c>
      <c r="C487" s="971">
        <f>'1.2 Budgeted Enrollment YR1'!C487</f>
        <v>2</v>
      </c>
      <c r="D487" s="971" t="str">
        <f>'1.2 Budgeted Enrollment YR1'!D487</f>
        <v>Las Vegas</v>
      </c>
      <c r="E487" s="968" t="str">
        <f>'1.2 Budgeted Enrollment YR1'!E487</f>
        <v>West Prep ES</v>
      </c>
      <c r="F487" s="1061"/>
      <c r="G487" s="1108">
        <f>'1.2 Budgeted Enrollment YR1'!G487+('1.2 Budgeted Enrollment YR1'!G487*$G$7)</f>
        <v>316.99361150323386</v>
      </c>
      <c r="H487" s="1108"/>
      <c r="I487" s="1114">
        <v>0</v>
      </c>
      <c r="J487" s="1115">
        <v>0</v>
      </c>
      <c r="K487" s="1114">
        <v>0</v>
      </c>
      <c r="L487" s="1108">
        <f>'1.2 Budgeted Enrollment YR1'!L487</f>
        <v>0</v>
      </c>
      <c r="M487" s="1104"/>
      <c r="N487" s="875"/>
    </row>
    <row r="488" spans="1:14" ht="16.5" thickTop="1" thickBot="1" x14ac:dyDescent="0.3">
      <c r="A488" s="968" t="str">
        <f>'1.2 Budgeted Enrollment YR1'!A488</f>
        <v>Clark</v>
      </c>
      <c r="B488" s="971">
        <f>'1.2 Budgeted Enrollment YR1'!B488</f>
        <v>2</v>
      </c>
      <c r="C488" s="971">
        <f>'1.2 Budgeted Enrollment YR1'!C488</f>
        <v>2</v>
      </c>
      <c r="D488" s="971" t="str">
        <f>'1.2 Budgeted Enrollment YR1'!D488</f>
        <v>Las Vegas</v>
      </c>
      <c r="E488" s="968" t="str">
        <f>'1.2 Budgeted Enrollment YR1'!E488</f>
        <v>West Preparatory Institute J-SHS</v>
      </c>
      <c r="F488" s="1061"/>
      <c r="G488" s="1108">
        <f>'1.2 Budgeted Enrollment YR1'!G488+('1.2 Budgeted Enrollment YR1'!G488*$G$7)</f>
        <v>1189.5237182414571</v>
      </c>
      <c r="H488" s="1108"/>
      <c r="I488" s="1114">
        <v>0</v>
      </c>
      <c r="J488" s="1115">
        <v>0</v>
      </c>
      <c r="K488" s="1114">
        <v>0</v>
      </c>
      <c r="L488" s="1108">
        <f>'1.2 Budgeted Enrollment YR1'!L488</f>
        <v>0</v>
      </c>
      <c r="M488" s="1104"/>
      <c r="N488" s="875"/>
    </row>
    <row r="489" spans="1:14" ht="16.5" thickTop="1" thickBot="1" x14ac:dyDescent="0.3">
      <c r="A489" s="968" t="str">
        <f>'1.2 Budgeted Enrollment YR1'!A489</f>
        <v>Clark</v>
      </c>
      <c r="B489" s="971">
        <f>'1.2 Budgeted Enrollment YR1'!B489</f>
        <v>2</v>
      </c>
      <c r="C489" s="971">
        <f>'1.2 Budgeted Enrollment YR1'!C489</f>
        <v>2</v>
      </c>
      <c r="D489" s="971" t="str">
        <f>'1.2 Budgeted Enrollment YR1'!D489</f>
        <v>Las Vegas</v>
      </c>
      <c r="E489" s="968" t="str">
        <f>'1.2 Budgeted Enrollment YR1'!E489</f>
        <v>Western HS</v>
      </c>
      <c r="F489" s="1061"/>
      <c r="G489" s="1108">
        <f>'1.2 Budgeted Enrollment YR1'!G489+('1.2 Budgeted Enrollment YR1'!G489*$G$7)</f>
        <v>2618.6644059411369</v>
      </c>
      <c r="H489" s="1108"/>
      <c r="I489" s="1114">
        <v>0</v>
      </c>
      <c r="J489" s="1115">
        <v>0</v>
      </c>
      <c r="K489" s="1114">
        <v>0</v>
      </c>
      <c r="L489" s="1108">
        <f>'1.2 Budgeted Enrollment YR1'!L489</f>
        <v>0</v>
      </c>
      <c r="M489" s="1104"/>
      <c r="N489" s="875"/>
    </row>
    <row r="490" spans="1:14" ht="16.5" thickTop="1" thickBot="1" x14ac:dyDescent="0.3">
      <c r="A490" s="968" t="str">
        <f>'1.2 Budgeted Enrollment YR1'!A490</f>
        <v>Clark</v>
      </c>
      <c r="B490" s="971">
        <f>'1.2 Budgeted Enrollment YR1'!B490</f>
        <v>2</v>
      </c>
      <c r="C490" s="971">
        <f>'1.2 Budgeted Enrollment YR1'!C490</f>
        <v>2</v>
      </c>
      <c r="D490" s="971" t="str">
        <f>'1.2 Budgeted Enrollment YR1'!D490</f>
        <v>Las Vegas</v>
      </c>
      <c r="E490" s="968" t="str">
        <f>'1.2 Budgeted Enrollment YR1'!E490</f>
        <v>White, Thurman Academy of the Arts MS</v>
      </c>
      <c r="F490" s="1061"/>
      <c r="G490" s="1108">
        <f>'1.2 Budgeted Enrollment YR1'!G490+('1.2 Budgeted Enrollment YR1'!G490*$G$7)</f>
        <v>1491.2791971584682</v>
      </c>
      <c r="H490" s="1108"/>
      <c r="I490" s="1114">
        <v>0</v>
      </c>
      <c r="J490" s="1115">
        <v>0</v>
      </c>
      <c r="K490" s="1114">
        <v>0</v>
      </c>
      <c r="L490" s="1108">
        <f>'1.2 Budgeted Enrollment YR1'!L490</f>
        <v>0</v>
      </c>
      <c r="M490" s="1104"/>
      <c r="N490" s="875"/>
    </row>
    <row r="491" spans="1:14" ht="16.5" thickTop="1" thickBot="1" x14ac:dyDescent="0.3">
      <c r="A491" s="968" t="str">
        <f>'1.2 Budgeted Enrollment YR1'!A491</f>
        <v>Clark</v>
      </c>
      <c r="B491" s="971">
        <f>'1.2 Budgeted Enrollment YR1'!B491</f>
        <v>2</v>
      </c>
      <c r="C491" s="971">
        <f>'1.2 Budgeted Enrollment YR1'!C491</f>
        <v>2</v>
      </c>
      <c r="D491" s="971" t="str">
        <f>'1.2 Budgeted Enrollment YR1'!D491</f>
        <v>Las Vegas</v>
      </c>
      <c r="E491" s="968" t="str">
        <f>'1.2 Budgeted Enrollment YR1'!E491</f>
        <v>Whitney ES</v>
      </c>
      <c r="F491" s="1061"/>
      <c r="G491" s="1108">
        <f>'1.2 Budgeted Enrollment YR1'!G491+('1.2 Budgeted Enrollment YR1'!G491*$G$7)</f>
        <v>345.76227422782722</v>
      </c>
      <c r="H491" s="1108"/>
      <c r="I491" s="1114">
        <v>0</v>
      </c>
      <c r="J491" s="1115">
        <v>0</v>
      </c>
      <c r="K491" s="1114">
        <v>0</v>
      </c>
      <c r="L491" s="1108">
        <f>'1.2 Budgeted Enrollment YR1'!L491</f>
        <v>0</v>
      </c>
      <c r="M491" s="1104"/>
      <c r="N491" s="875"/>
    </row>
    <row r="492" spans="1:14" ht="16.5" thickTop="1" thickBot="1" x14ac:dyDescent="0.3">
      <c r="A492" s="968" t="str">
        <f>'1.2 Budgeted Enrollment YR1'!A492</f>
        <v>Clark</v>
      </c>
      <c r="B492" s="971">
        <f>'1.2 Budgeted Enrollment YR1'!B492</f>
        <v>2</v>
      </c>
      <c r="C492" s="971">
        <f>'1.2 Budgeted Enrollment YR1'!C492</f>
        <v>2</v>
      </c>
      <c r="D492" s="971" t="str">
        <f>'1.2 Budgeted Enrollment YR1'!D492</f>
        <v>Las Vegas</v>
      </c>
      <c r="E492" s="968" t="str">
        <f>'1.2 Budgeted Enrollment YR1'!E492</f>
        <v>Wiener, Jr , Louis ES</v>
      </c>
      <c r="F492" s="1061"/>
      <c r="G492" s="1108">
        <f>'1.2 Budgeted Enrollment YR1'!G492+('1.2 Budgeted Enrollment YR1'!G492*$G$7)</f>
        <v>407.36496519943643</v>
      </c>
      <c r="H492" s="1108"/>
      <c r="I492" s="1114">
        <v>0</v>
      </c>
      <c r="J492" s="1115">
        <v>0</v>
      </c>
      <c r="K492" s="1114">
        <v>0</v>
      </c>
      <c r="L492" s="1108">
        <f>'1.2 Budgeted Enrollment YR1'!L492</f>
        <v>0</v>
      </c>
      <c r="M492" s="1104"/>
      <c r="N492" s="875"/>
    </row>
    <row r="493" spans="1:14" ht="16.5" thickTop="1" thickBot="1" x14ac:dyDescent="0.3">
      <c r="A493" s="968" t="str">
        <f>'1.2 Budgeted Enrollment YR1'!A493</f>
        <v>Clark</v>
      </c>
      <c r="B493" s="971">
        <f>'1.2 Budgeted Enrollment YR1'!B493</f>
        <v>2</v>
      </c>
      <c r="C493" s="971">
        <f>'1.2 Budgeted Enrollment YR1'!C493</f>
        <v>2</v>
      </c>
      <c r="D493" s="971" t="str">
        <f>'1.2 Budgeted Enrollment YR1'!D493</f>
        <v>Las Vegas</v>
      </c>
      <c r="E493" s="968" t="str">
        <f>'1.2 Budgeted Enrollment YR1'!E493</f>
        <v>Wilhelm, Elizabeth ES</v>
      </c>
      <c r="F493" s="1061"/>
      <c r="G493" s="1108">
        <f>'1.2 Budgeted Enrollment YR1'!G493+('1.2 Budgeted Enrollment YR1'!G493*$G$7)</f>
        <v>446.50318943492113</v>
      </c>
      <c r="H493" s="1108"/>
      <c r="I493" s="1114">
        <v>0</v>
      </c>
      <c r="J493" s="1115">
        <v>0</v>
      </c>
      <c r="K493" s="1114">
        <v>0</v>
      </c>
      <c r="L493" s="1108">
        <f>'1.2 Budgeted Enrollment YR1'!L493</f>
        <v>0</v>
      </c>
      <c r="M493" s="1104"/>
      <c r="N493" s="875"/>
    </row>
    <row r="494" spans="1:14" ht="16.5" thickTop="1" thickBot="1" x14ac:dyDescent="0.3">
      <c r="A494" s="968" t="str">
        <f>'1.2 Budgeted Enrollment YR1'!A494</f>
        <v>Clark</v>
      </c>
      <c r="B494" s="971">
        <f>'1.2 Budgeted Enrollment YR1'!B494</f>
        <v>2</v>
      </c>
      <c r="C494" s="971">
        <f>'1.2 Budgeted Enrollment YR1'!C494</f>
        <v>2</v>
      </c>
      <c r="D494" s="971" t="str">
        <f>'1.2 Budgeted Enrollment YR1'!D494</f>
        <v>Las Vegas</v>
      </c>
      <c r="E494" s="968" t="str">
        <f>'1.2 Budgeted Enrollment YR1'!E494</f>
        <v>Williams, Tom ES</v>
      </c>
      <c r="F494" s="1061"/>
      <c r="G494" s="1108">
        <f>'1.2 Budgeted Enrollment YR1'!G494+('1.2 Budgeted Enrollment YR1'!G494*$G$7)</f>
        <v>532.80476884433494</v>
      </c>
      <c r="H494" s="1108"/>
      <c r="I494" s="1114">
        <v>0</v>
      </c>
      <c r="J494" s="1115">
        <v>0</v>
      </c>
      <c r="K494" s="1114">
        <v>0</v>
      </c>
      <c r="L494" s="1108">
        <f>'1.2 Budgeted Enrollment YR1'!L494</f>
        <v>0</v>
      </c>
      <c r="M494" s="1104"/>
      <c r="N494" s="875"/>
    </row>
    <row r="495" spans="1:14" ht="16.5" thickTop="1" thickBot="1" x14ac:dyDescent="0.3">
      <c r="A495" s="968" t="str">
        <f>'1.2 Budgeted Enrollment YR1'!A495</f>
        <v>Clark</v>
      </c>
      <c r="B495" s="971">
        <f>'1.2 Budgeted Enrollment YR1'!B495</f>
        <v>2</v>
      </c>
      <c r="C495" s="971">
        <f>'1.2 Budgeted Enrollment YR1'!C495</f>
        <v>2</v>
      </c>
      <c r="D495" s="971" t="str">
        <f>'1.2 Budgeted Enrollment YR1'!D495</f>
        <v>Las Vegas</v>
      </c>
      <c r="E495" s="968" t="str">
        <f>'1.2 Budgeted Enrollment YR1'!E495</f>
        <v>Williams, Wendell ES</v>
      </c>
      <c r="F495" s="1061"/>
      <c r="G495" s="1108">
        <f>'1.2 Budgeted Enrollment YR1'!G495+('1.2 Budgeted Enrollment YR1'!G495*$G$7)</f>
        <v>282.02874180702878</v>
      </c>
      <c r="H495" s="1108"/>
      <c r="I495" s="1114">
        <v>0</v>
      </c>
      <c r="J495" s="1115">
        <v>0</v>
      </c>
      <c r="K495" s="1114">
        <v>0</v>
      </c>
      <c r="L495" s="1108">
        <f>'1.2 Budgeted Enrollment YR1'!L495</f>
        <v>0</v>
      </c>
      <c r="M495" s="1104"/>
      <c r="N495" s="875"/>
    </row>
    <row r="496" spans="1:14" ht="16.5" thickTop="1" thickBot="1" x14ac:dyDescent="0.3">
      <c r="A496" s="968" t="str">
        <f>'1.2 Budgeted Enrollment YR1'!A496</f>
        <v>Clark</v>
      </c>
      <c r="B496" s="971">
        <f>'1.2 Budgeted Enrollment YR1'!B496</f>
        <v>2</v>
      </c>
      <c r="C496" s="971">
        <f>'1.2 Budgeted Enrollment YR1'!C496</f>
        <v>2</v>
      </c>
      <c r="D496" s="971" t="str">
        <f>'1.2 Budgeted Enrollment YR1'!D496</f>
        <v>Las Vegas</v>
      </c>
      <c r="E496" s="968" t="str">
        <f>'1.2 Budgeted Enrollment YR1'!E496</f>
        <v>Wolfe, Eva ES</v>
      </c>
      <c r="F496" s="1061"/>
      <c r="G496" s="1108">
        <f>'1.2 Budgeted Enrollment YR1'!G496+('1.2 Budgeted Enrollment YR1'!G496*$G$7)</f>
        <v>406.75674713093326</v>
      </c>
      <c r="H496" s="1108"/>
      <c r="I496" s="1114">
        <v>0</v>
      </c>
      <c r="J496" s="1115">
        <v>0</v>
      </c>
      <c r="K496" s="1114">
        <v>0</v>
      </c>
      <c r="L496" s="1108">
        <f>'1.2 Budgeted Enrollment YR1'!L496</f>
        <v>0</v>
      </c>
      <c r="M496" s="1104"/>
      <c r="N496" s="875"/>
    </row>
    <row r="497" spans="1:14" ht="16.5" thickTop="1" thickBot="1" x14ac:dyDescent="0.3">
      <c r="A497" s="968" t="str">
        <f>'1.2 Budgeted Enrollment YR1'!A497</f>
        <v>Clark</v>
      </c>
      <c r="B497" s="971">
        <f>'1.2 Budgeted Enrollment YR1'!B497</f>
        <v>2</v>
      </c>
      <c r="C497" s="971">
        <f>'1.2 Budgeted Enrollment YR1'!C497</f>
        <v>2</v>
      </c>
      <c r="D497" s="971" t="str">
        <f>'1.2 Budgeted Enrollment YR1'!D497</f>
        <v>Las Vegas</v>
      </c>
      <c r="E497" s="968" t="str">
        <f>'1.2 Budgeted Enrollment YR1'!E497</f>
        <v>Wolff, Elise L ES</v>
      </c>
      <c r="F497" s="1061"/>
      <c r="G497" s="1108">
        <f>'1.2 Budgeted Enrollment YR1'!G497+('1.2 Budgeted Enrollment YR1'!G497*$G$7)</f>
        <v>716.33241617076771</v>
      </c>
      <c r="H497" s="1108"/>
      <c r="I497" s="1114">
        <v>0</v>
      </c>
      <c r="J497" s="1115">
        <v>0</v>
      </c>
      <c r="K497" s="1114">
        <v>0</v>
      </c>
      <c r="L497" s="1108">
        <f>'1.2 Budgeted Enrollment YR1'!L497</f>
        <v>0</v>
      </c>
      <c r="M497" s="1104"/>
      <c r="N497" s="875"/>
    </row>
    <row r="498" spans="1:14" ht="16.5" thickTop="1" thickBot="1" x14ac:dyDescent="0.3">
      <c r="A498" s="968" t="str">
        <f>'1.2 Budgeted Enrollment YR1'!A498</f>
        <v>Clark</v>
      </c>
      <c r="B498" s="971">
        <f>'1.2 Budgeted Enrollment YR1'!B498</f>
        <v>2</v>
      </c>
      <c r="C498" s="971">
        <f>'1.2 Budgeted Enrollment YR1'!C498</f>
        <v>2</v>
      </c>
      <c r="D498" s="971" t="str">
        <f>'1.2 Budgeted Enrollment YR1'!D498</f>
        <v>Las Vegas</v>
      </c>
      <c r="E498" s="968" t="str">
        <f>'1.2 Budgeted Enrollment YR1'!E498</f>
        <v>Woodbury, C W MS</v>
      </c>
      <c r="F498" s="1061"/>
      <c r="G498" s="1108">
        <f>'1.2 Budgeted Enrollment YR1'!G498+('1.2 Budgeted Enrollment YR1'!G498*$G$7)</f>
        <v>761.46817477715024</v>
      </c>
      <c r="H498" s="1108"/>
      <c r="I498" s="1114">
        <v>0</v>
      </c>
      <c r="J498" s="1115">
        <v>0</v>
      </c>
      <c r="K498" s="1114">
        <v>0</v>
      </c>
      <c r="L498" s="1108">
        <f>'1.2 Budgeted Enrollment YR1'!L498</f>
        <v>0</v>
      </c>
      <c r="M498" s="1104"/>
      <c r="N498" s="875"/>
    </row>
    <row r="499" spans="1:14" ht="16.5" thickTop="1" thickBot="1" x14ac:dyDescent="0.3">
      <c r="A499" s="968" t="str">
        <f>'1.2 Budgeted Enrollment YR1'!A499</f>
        <v>Clark</v>
      </c>
      <c r="B499" s="971">
        <f>'1.2 Budgeted Enrollment YR1'!B499</f>
        <v>2</v>
      </c>
      <c r="C499" s="971">
        <f>'1.2 Budgeted Enrollment YR1'!C499</f>
        <v>2</v>
      </c>
      <c r="D499" s="971" t="str">
        <f>'1.2 Budgeted Enrollment YR1'!D499</f>
        <v>Las Vegas</v>
      </c>
      <c r="E499" s="968" t="str">
        <f>'1.2 Budgeted Enrollment YR1'!E499</f>
        <v>Woolley, Gwendolyn ES</v>
      </c>
      <c r="F499" s="1061"/>
      <c r="G499" s="1108">
        <f>'1.2 Budgeted Enrollment YR1'!G499+('1.2 Budgeted Enrollment YR1'!G499*$G$7)</f>
        <v>640.62695629023688</v>
      </c>
      <c r="H499" s="1108"/>
      <c r="I499" s="1114">
        <v>0</v>
      </c>
      <c r="J499" s="1115">
        <v>0</v>
      </c>
      <c r="K499" s="1114">
        <v>0</v>
      </c>
      <c r="L499" s="1108">
        <f>'1.2 Budgeted Enrollment YR1'!L499</f>
        <v>0</v>
      </c>
      <c r="M499" s="1104"/>
      <c r="N499" s="875"/>
    </row>
    <row r="500" spans="1:14" ht="16.5" thickTop="1" thickBot="1" x14ac:dyDescent="0.3">
      <c r="A500" s="968" t="str">
        <f>'1.2 Budgeted Enrollment YR1'!A500</f>
        <v>Clark</v>
      </c>
      <c r="B500" s="971">
        <f>'1.2 Budgeted Enrollment YR1'!B500</f>
        <v>2</v>
      </c>
      <c r="C500" s="971">
        <f>'1.2 Budgeted Enrollment YR1'!C500</f>
        <v>2</v>
      </c>
      <c r="D500" s="971" t="str">
        <f>'1.2 Budgeted Enrollment YR1'!D500</f>
        <v>Las Vegas</v>
      </c>
      <c r="E500" s="968" t="str">
        <f>'1.2 Budgeted Enrollment YR1'!E500</f>
        <v>Wright, William V ES</v>
      </c>
      <c r="F500" s="1061"/>
      <c r="G500" s="1108">
        <f>'1.2 Budgeted Enrollment YR1'!G500+('1.2 Budgeted Enrollment YR1'!G500*$G$7)</f>
        <v>527.1044842078536</v>
      </c>
      <c r="H500" s="1108"/>
      <c r="I500" s="1114">
        <v>0</v>
      </c>
      <c r="J500" s="1115">
        <v>0</v>
      </c>
      <c r="K500" s="1114">
        <v>0</v>
      </c>
      <c r="L500" s="1108">
        <f>'1.2 Budgeted Enrollment YR1'!L500</f>
        <v>0</v>
      </c>
      <c r="M500" s="1104"/>
      <c r="N500" s="875"/>
    </row>
    <row r="501" spans="1:14" ht="16.5" thickTop="1" thickBot="1" x14ac:dyDescent="0.3">
      <c r="A501" s="968" t="str">
        <f>'1.2 Budgeted Enrollment YR1'!A501</f>
        <v>Clark</v>
      </c>
      <c r="B501" s="971">
        <f>'1.2 Budgeted Enrollment YR1'!B501</f>
        <v>2</v>
      </c>
      <c r="C501" s="971">
        <f>'1.2 Budgeted Enrollment YR1'!C501</f>
        <v>2</v>
      </c>
      <c r="D501" s="971" t="str">
        <f>'1.2 Budgeted Enrollment YR1'!D501</f>
        <v>Las Vegas</v>
      </c>
      <c r="E501" s="968" t="str">
        <f>'1.2 Budgeted Enrollment YR1'!E501</f>
        <v>Wynn, Elaine ES</v>
      </c>
      <c r="F501" s="1061"/>
      <c r="G501" s="1108">
        <f>'1.2 Budgeted Enrollment YR1'!G501+('1.2 Budgeted Enrollment YR1'!G501*$G$7)</f>
        <v>663.72461319462525</v>
      </c>
      <c r="H501" s="1108"/>
      <c r="I501" s="1114">
        <v>0</v>
      </c>
      <c r="J501" s="1115">
        <v>0</v>
      </c>
      <c r="K501" s="1114">
        <v>0</v>
      </c>
      <c r="L501" s="1108">
        <f>'1.2 Budgeted Enrollment YR1'!L501</f>
        <v>0</v>
      </c>
      <c r="M501" s="1104"/>
      <c r="N501" s="875"/>
    </row>
    <row r="502" spans="1:14" ht="16.5" thickTop="1" thickBot="1" x14ac:dyDescent="0.3">
      <c r="A502" s="968" t="str">
        <f>'1.2 Budgeted Enrollment YR1'!A502</f>
        <v>Douglas</v>
      </c>
      <c r="B502" s="971">
        <f>'1.2 Budgeted Enrollment YR1'!B502</f>
        <v>3</v>
      </c>
      <c r="C502" s="971">
        <f>'1.2 Budgeted Enrollment YR1'!C502</f>
        <v>3</v>
      </c>
      <c r="D502" s="971" t="str">
        <f>'1.2 Budgeted Enrollment YR1'!D502</f>
        <v>Gardnerville/Minden</v>
      </c>
      <c r="E502" s="968" t="str">
        <f>'1.2 Budgeted Enrollment YR1'!E502</f>
        <v>ALT School</v>
      </c>
      <c r="F502" s="1061"/>
      <c r="G502" s="1108">
        <f>'1.2 Budgeted Enrollment YR1'!G502+('1.2 Budgeted Enrollment YR1'!G502*$G$7)</f>
        <v>2.4355304061114125</v>
      </c>
      <c r="H502" s="1108"/>
      <c r="I502" s="1114">
        <v>0</v>
      </c>
      <c r="J502" s="1115">
        <v>0</v>
      </c>
      <c r="K502" s="1114">
        <v>0</v>
      </c>
      <c r="L502" s="1108">
        <f>'1.2 Budgeted Enrollment YR1'!L502</f>
        <v>0</v>
      </c>
      <c r="M502" s="1104"/>
      <c r="N502" s="875"/>
    </row>
    <row r="503" spans="1:14" ht="16.5" thickTop="1" thickBot="1" x14ac:dyDescent="0.3">
      <c r="A503" s="968" t="str">
        <f>'1.2 Budgeted Enrollment YR1'!A503</f>
        <v>Douglas</v>
      </c>
      <c r="B503" s="971">
        <f>'1.2 Budgeted Enrollment YR1'!B503</f>
        <v>3</v>
      </c>
      <c r="C503" s="971">
        <f>'1.2 Budgeted Enrollment YR1'!C503</f>
        <v>3</v>
      </c>
      <c r="D503" s="971" t="str">
        <f>'1.2 Budgeted Enrollment YR1'!D503</f>
        <v>Gardnerville/Minden</v>
      </c>
      <c r="E503" s="968" t="str">
        <f>'1.2 Budgeted Enrollment YR1'!E503</f>
        <v>ASPIRE Academy High School</v>
      </c>
      <c r="F503" s="1061"/>
      <c r="G503" s="1108">
        <f>'1.2 Budgeted Enrollment YR1'!G503+('1.2 Budgeted Enrollment YR1'!G503*$G$7)</f>
        <v>74.339629936002794</v>
      </c>
      <c r="H503" s="1108"/>
      <c r="I503" s="1114"/>
      <c r="J503" s="1115"/>
      <c r="K503" s="1114"/>
      <c r="L503" s="1108">
        <f>'1.2 Budgeted Enrollment YR1'!L503</f>
        <v>0</v>
      </c>
      <c r="M503" s="1104"/>
      <c r="N503" s="875"/>
    </row>
    <row r="504" spans="1:14" ht="16.5" thickTop="1" thickBot="1" x14ac:dyDescent="0.3">
      <c r="A504" s="968" t="str">
        <f>'1.2 Budgeted Enrollment YR1'!A504</f>
        <v>Douglas</v>
      </c>
      <c r="B504" s="971">
        <f>'1.2 Budgeted Enrollment YR1'!B504</f>
        <v>3</v>
      </c>
      <c r="C504" s="971">
        <f>'1.2 Budgeted Enrollment YR1'!C504</f>
        <v>3</v>
      </c>
      <c r="D504" s="971" t="str">
        <f>'1.2 Budgeted Enrollment YR1'!D504</f>
        <v>Gardnerville/Minden</v>
      </c>
      <c r="E504" s="968" t="str">
        <f>'1.2 Budgeted Enrollment YR1'!E504</f>
        <v>C. C. Meneley Elementary School</v>
      </c>
      <c r="F504" s="1061"/>
      <c r="G504" s="1108">
        <f>'1.2 Budgeted Enrollment YR1'!G504+('1.2 Budgeted Enrollment YR1'!G504*$G$7)</f>
        <v>343.99017279869355</v>
      </c>
      <c r="H504" s="1108"/>
      <c r="I504" s="1114">
        <v>0</v>
      </c>
      <c r="J504" s="1115">
        <v>0</v>
      </c>
      <c r="K504" s="1114">
        <v>0</v>
      </c>
      <c r="L504" s="1108">
        <f>'1.2 Budgeted Enrollment YR1'!L504</f>
        <v>0</v>
      </c>
      <c r="M504" s="1104"/>
      <c r="N504" s="875"/>
    </row>
    <row r="505" spans="1:14" ht="16.5" thickTop="1" thickBot="1" x14ac:dyDescent="0.3">
      <c r="A505" s="968" t="str">
        <f>'1.2 Budgeted Enrollment YR1'!A505</f>
        <v>Douglas</v>
      </c>
      <c r="B505" s="971">
        <f>'1.2 Budgeted Enrollment YR1'!B505</f>
        <v>3</v>
      </c>
      <c r="C505" s="971">
        <f>'1.2 Budgeted Enrollment YR1'!C505</f>
        <v>3</v>
      </c>
      <c r="D505" s="971" t="str">
        <f>'1.2 Budgeted Enrollment YR1'!D505</f>
        <v>Gardnerville/Minden</v>
      </c>
      <c r="E505" s="968" t="str">
        <f>'1.2 Budgeted Enrollment YR1'!E505</f>
        <v>Carson Valley Middle School</v>
      </c>
      <c r="F505" s="1061"/>
      <c r="G505" s="1108">
        <f>'1.2 Budgeted Enrollment YR1'!G505+('1.2 Budgeted Enrollment YR1'!G505*$G$7)</f>
        <v>582.3669757811731</v>
      </c>
      <c r="H505" s="1108"/>
      <c r="I505" s="1114">
        <v>0</v>
      </c>
      <c r="J505" s="1115">
        <v>0</v>
      </c>
      <c r="K505" s="1114">
        <v>0</v>
      </c>
      <c r="L505" s="1108">
        <f>'1.2 Budgeted Enrollment YR1'!L505</f>
        <v>0</v>
      </c>
      <c r="M505" s="1104"/>
      <c r="N505" s="875"/>
    </row>
    <row r="506" spans="1:14" ht="16.5" thickTop="1" thickBot="1" x14ac:dyDescent="0.3">
      <c r="A506" s="968" t="str">
        <f>'1.2 Budgeted Enrollment YR1'!A506</f>
        <v>Douglas</v>
      </c>
      <c r="B506" s="971">
        <f>'1.2 Budgeted Enrollment YR1'!B506</f>
        <v>3</v>
      </c>
      <c r="C506" s="971">
        <f>'1.2 Budgeted Enrollment YR1'!C506</f>
        <v>3</v>
      </c>
      <c r="D506" s="971" t="str">
        <f>'1.2 Budgeted Enrollment YR1'!D506</f>
        <v>Gardnerville/Minden</v>
      </c>
      <c r="E506" s="968" t="str">
        <f>'1.2 Budgeted Enrollment YR1'!E506</f>
        <v>Douglas High School</v>
      </c>
      <c r="F506" s="1061"/>
      <c r="G506" s="1108">
        <f>'1.2 Budgeted Enrollment YR1'!G506+('1.2 Budgeted Enrollment YR1'!G506*$G$7)</f>
        <v>1501.3829215628386</v>
      </c>
      <c r="H506" s="1108"/>
      <c r="I506" s="1114">
        <v>0</v>
      </c>
      <c r="J506" s="1115">
        <v>0</v>
      </c>
      <c r="K506" s="1114">
        <v>0</v>
      </c>
      <c r="L506" s="1108">
        <f>'1.2 Budgeted Enrollment YR1'!L506</f>
        <v>0</v>
      </c>
      <c r="M506" s="1104"/>
      <c r="N506" s="875"/>
    </row>
    <row r="507" spans="1:14" ht="16.5" thickTop="1" thickBot="1" x14ac:dyDescent="0.3">
      <c r="A507" s="1116" t="str">
        <f>'1.2 Budgeted Enrollment YR1'!A507</f>
        <v>Douglas</v>
      </c>
      <c r="B507" s="1117">
        <f>'1.2 Budgeted Enrollment YR1'!B507</f>
        <v>3</v>
      </c>
      <c r="C507" s="1117">
        <f>'1.2 Budgeted Enrollment YR1'!C507</f>
        <v>3</v>
      </c>
      <c r="D507" s="1117" t="str">
        <f>'1.2 Budgeted Enrollment YR1'!D507</f>
        <v>Gardnerville/Minden</v>
      </c>
      <c r="E507" s="1116" t="str">
        <f>'1.2 Budgeted Enrollment YR1'!E507</f>
        <v xml:space="preserve">Douglas Nevada Online </v>
      </c>
      <c r="F507" s="1118"/>
      <c r="G507" s="1119">
        <f>'1.2 Budgeted Enrollment YR1'!G507+('1.2 Budgeted Enrollment YR1'!G507*$G$7)</f>
        <v>15.264272057143687</v>
      </c>
      <c r="H507" s="1119"/>
      <c r="I507" s="1120">
        <v>0</v>
      </c>
      <c r="J507" s="1120">
        <v>0</v>
      </c>
      <c r="K507" s="1120">
        <v>0</v>
      </c>
      <c r="L507" s="1119">
        <f>G507</f>
        <v>15.264272057143687</v>
      </c>
      <c r="M507" s="1104"/>
      <c r="N507" s="875"/>
    </row>
    <row r="508" spans="1:14" ht="16.5" thickTop="1" thickBot="1" x14ac:dyDescent="0.3">
      <c r="A508" s="968" t="str">
        <f>'1.2 Budgeted Enrollment YR1'!A508</f>
        <v>Douglas</v>
      </c>
      <c r="B508" s="971">
        <f>'1.2 Budgeted Enrollment YR1'!B508</f>
        <v>3</v>
      </c>
      <c r="C508" s="971">
        <f>'1.2 Budgeted Enrollment YR1'!C508</f>
        <v>3</v>
      </c>
      <c r="D508" s="971" t="str">
        <f>'1.2 Budgeted Enrollment YR1'!D508</f>
        <v>Gardnerville/Minden</v>
      </c>
      <c r="E508" s="968" t="str">
        <f>'1.2 Budgeted Enrollment YR1'!E508</f>
        <v>G. L. Scarselli Elementary School</v>
      </c>
      <c r="F508" s="1061"/>
      <c r="G508" s="1108">
        <f>'1.2 Budgeted Enrollment YR1'!G508+('1.2 Budgeted Enrollment YR1'!G508*$G$7)</f>
        <v>320.13521695336215</v>
      </c>
      <c r="H508" s="1108"/>
      <c r="I508" s="1114">
        <v>0</v>
      </c>
      <c r="J508" s="1115">
        <v>0</v>
      </c>
      <c r="K508" s="1114">
        <v>0</v>
      </c>
      <c r="L508" s="1108">
        <f>'1.2 Budgeted Enrollment YR1'!L508</f>
        <v>0</v>
      </c>
      <c r="M508" s="1104"/>
      <c r="N508" s="875"/>
    </row>
    <row r="509" spans="1:14" ht="16.5" thickTop="1" thickBot="1" x14ac:dyDescent="0.3">
      <c r="A509" s="968" t="str">
        <f>'1.2 Budgeted Enrollment YR1'!A509</f>
        <v>Douglas</v>
      </c>
      <c r="B509" s="971">
        <f>'1.2 Budgeted Enrollment YR1'!B509</f>
        <v>3</v>
      </c>
      <c r="C509" s="971">
        <f>'1.2 Budgeted Enrollment YR1'!C509</f>
        <v>3</v>
      </c>
      <c r="D509" s="971" t="str">
        <f>'1.2 Budgeted Enrollment YR1'!D509</f>
        <v>Gardnerville/Minden</v>
      </c>
      <c r="E509" s="968" t="str">
        <f>'1.2 Budgeted Enrollment YR1'!E509</f>
        <v>Gardnerville Elementary School</v>
      </c>
      <c r="F509" s="1061"/>
      <c r="G509" s="1108">
        <f>'1.2 Budgeted Enrollment YR1'!G509+('1.2 Budgeted Enrollment YR1'!G509*$G$7)</f>
        <v>310.28399141966781</v>
      </c>
      <c r="H509" s="1108"/>
      <c r="I509" s="1114">
        <v>0</v>
      </c>
      <c r="J509" s="1115">
        <v>0</v>
      </c>
      <c r="K509" s="1114">
        <v>0</v>
      </c>
      <c r="L509" s="1108">
        <f>'1.2 Budgeted Enrollment YR1'!L509</f>
        <v>0</v>
      </c>
      <c r="M509" s="1104"/>
      <c r="N509" s="875"/>
    </row>
    <row r="510" spans="1:14" ht="16.5" thickTop="1" thickBot="1" x14ac:dyDescent="0.3">
      <c r="A510" s="968" t="str">
        <f>'1.2 Budgeted Enrollment YR1'!A510</f>
        <v>Douglas</v>
      </c>
      <c r="B510" s="971">
        <f>'1.2 Budgeted Enrollment YR1'!B510</f>
        <v>3</v>
      </c>
      <c r="C510" s="971">
        <f>'1.2 Budgeted Enrollment YR1'!C510</f>
        <v>3</v>
      </c>
      <c r="D510" s="971" t="str">
        <f>'1.2 Budgeted Enrollment YR1'!D510</f>
        <v>Zephyr Cove</v>
      </c>
      <c r="E510" s="968" t="str">
        <f>'1.2 Budgeted Enrollment YR1'!E510</f>
        <v>George Whittell High School</v>
      </c>
      <c r="F510" s="1061"/>
      <c r="G510" s="1108">
        <f>'1.2 Budgeted Enrollment YR1'!G510+('1.2 Budgeted Enrollment YR1'!G510*$G$7)</f>
        <v>129.49450997830334</v>
      </c>
      <c r="H510" s="1108"/>
      <c r="I510" s="1114">
        <v>0</v>
      </c>
      <c r="J510" s="1115">
        <v>0</v>
      </c>
      <c r="K510" s="1114">
        <v>0</v>
      </c>
      <c r="L510" s="1108">
        <f>'1.2 Budgeted Enrollment YR1'!L510</f>
        <v>0</v>
      </c>
      <c r="M510" s="1104"/>
      <c r="N510" s="875"/>
    </row>
    <row r="511" spans="1:14" ht="16.5" thickTop="1" thickBot="1" x14ac:dyDescent="0.3">
      <c r="A511" s="968" t="str">
        <f>'1.2 Budgeted Enrollment YR1'!A511</f>
        <v>Douglas</v>
      </c>
      <c r="B511" s="971">
        <f>'1.2 Budgeted Enrollment YR1'!B511</f>
        <v>3</v>
      </c>
      <c r="C511" s="971">
        <f>'1.2 Budgeted Enrollment YR1'!C511</f>
        <v>3</v>
      </c>
      <c r="D511" s="971" t="str">
        <f>'1.2 Budgeted Enrollment YR1'!D511</f>
        <v>Gardnerville/Minden</v>
      </c>
      <c r="E511" s="968" t="str">
        <f>'1.2 Budgeted Enrollment YR1'!E511</f>
        <v>Jacks Valley Elementary School</v>
      </c>
      <c r="F511" s="1061"/>
      <c r="G511" s="1108">
        <f>'1.2 Budgeted Enrollment YR1'!G511+('1.2 Budgeted Enrollment YR1'!G511*$G$7)</f>
        <v>300.88549935876489</v>
      </c>
      <c r="H511" s="1108"/>
      <c r="I511" s="1114">
        <v>0</v>
      </c>
      <c r="J511" s="1115">
        <v>0</v>
      </c>
      <c r="K511" s="1114">
        <v>0</v>
      </c>
      <c r="L511" s="1108">
        <f>'1.2 Budgeted Enrollment YR1'!L511</f>
        <v>0</v>
      </c>
      <c r="M511" s="1104"/>
      <c r="N511" s="875"/>
    </row>
    <row r="512" spans="1:14" ht="16.5" thickTop="1" thickBot="1" x14ac:dyDescent="0.3">
      <c r="A512" s="968" t="str">
        <f>'1.2 Budgeted Enrollment YR1'!A512</f>
        <v>Douglas</v>
      </c>
      <c r="B512" s="971">
        <f>'1.2 Budgeted Enrollment YR1'!B512</f>
        <v>3</v>
      </c>
      <c r="C512" s="971">
        <f>'1.2 Budgeted Enrollment YR1'!C512</f>
        <v>3</v>
      </c>
      <c r="D512" s="971" t="str">
        <f>'1.2 Budgeted Enrollment YR1'!D512</f>
        <v>Jacobsen</v>
      </c>
      <c r="E512" s="968" t="str">
        <f>'1.2 Budgeted Enrollment YR1'!E512</f>
        <v>Jacobsen High School</v>
      </c>
      <c r="F512" s="1061"/>
      <c r="G512" s="1108">
        <f>'1.2 Budgeted Enrollment YR1'!G512+('1.2 Budgeted Enrollment YR1'!G512*$G$7)</f>
        <v>21.757778987325345</v>
      </c>
      <c r="H512" s="1108"/>
      <c r="I512" s="1114">
        <v>0</v>
      </c>
      <c r="J512" s="1115">
        <v>0</v>
      </c>
      <c r="K512" s="1114">
        <v>0</v>
      </c>
      <c r="L512" s="1108">
        <f>'1.2 Budgeted Enrollment YR1'!L512</f>
        <v>0</v>
      </c>
      <c r="M512" s="1104"/>
      <c r="N512" s="875"/>
    </row>
    <row r="513" spans="1:14" ht="16.5" thickTop="1" thickBot="1" x14ac:dyDescent="0.3">
      <c r="A513" s="968" t="str">
        <f>'1.2 Budgeted Enrollment YR1'!A513</f>
        <v>Douglas</v>
      </c>
      <c r="B513" s="971">
        <f>'1.2 Budgeted Enrollment YR1'!B513</f>
        <v>3</v>
      </c>
      <c r="C513" s="971">
        <f>'1.2 Budgeted Enrollment YR1'!C513</f>
        <v>3</v>
      </c>
      <c r="D513" s="971" t="str">
        <f>'1.2 Budgeted Enrollment YR1'!D513</f>
        <v>Gardnerville/Minden</v>
      </c>
      <c r="E513" s="968" t="str">
        <f>'1.2 Budgeted Enrollment YR1'!E513</f>
        <v>Minden Elementary School</v>
      </c>
      <c r="F513" s="1061"/>
      <c r="G513" s="1108">
        <f>'1.2 Budgeted Enrollment YR1'!G513+('1.2 Budgeted Enrollment YR1'!G513*$G$7)</f>
        <v>354.68478174188056</v>
      </c>
      <c r="H513" s="1108"/>
      <c r="I513" s="1114">
        <v>0</v>
      </c>
      <c r="J513" s="1115">
        <v>0</v>
      </c>
      <c r="K513" s="1114">
        <v>0</v>
      </c>
      <c r="L513" s="1108">
        <f>'1.2 Budgeted Enrollment YR1'!L513</f>
        <v>0</v>
      </c>
      <c r="M513" s="1104"/>
      <c r="N513" s="875"/>
    </row>
    <row r="514" spans="1:14" ht="16.5" thickTop="1" thickBot="1" x14ac:dyDescent="0.3">
      <c r="A514" s="968" t="str">
        <f>'1.2 Budgeted Enrollment YR1'!A514</f>
        <v>Douglas</v>
      </c>
      <c r="B514" s="971">
        <f>'1.2 Budgeted Enrollment YR1'!B514</f>
        <v>3</v>
      </c>
      <c r="C514" s="971">
        <f>'1.2 Budgeted Enrollment YR1'!C514</f>
        <v>3</v>
      </c>
      <c r="D514" s="971" t="str">
        <f>'1.2 Budgeted Enrollment YR1'!D514</f>
        <v>Gardnerville/Minden</v>
      </c>
      <c r="E514" s="968" t="str">
        <f>'1.2 Budgeted Enrollment YR1'!E514</f>
        <v>Pau Wa Lu Middle School</v>
      </c>
      <c r="F514" s="1061"/>
      <c r="G514" s="1108">
        <f>'1.2 Budgeted Enrollment YR1'!G514+('1.2 Budgeted Enrollment YR1'!G514*$G$7)</f>
        <v>445.48743063281358</v>
      </c>
      <c r="H514" s="1108"/>
      <c r="I514" s="1114">
        <v>0</v>
      </c>
      <c r="J514" s="1115">
        <v>0</v>
      </c>
      <c r="K514" s="1114">
        <v>0</v>
      </c>
      <c r="L514" s="1108">
        <f>'1.2 Budgeted Enrollment YR1'!L514</f>
        <v>0</v>
      </c>
      <c r="M514" s="1104"/>
      <c r="N514" s="875"/>
    </row>
    <row r="515" spans="1:14" ht="16.5" thickTop="1" thickBot="1" x14ac:dyDescent="0.3">
      <c r="A515" s="968" t="str">
        <f>'1.2 Budgeted Enrollment YR1'!A515</f>
        <v>Douglas</v>
      </c>
      <c r="B515" s="971">
        <f>'1.2 Budgeted Enrollment YR1'!B515</f>
        <v>3</v>
      </c>
      <c r="C515" s="971">
        <f>'1.2 Budgeted Enrollment YR1'!C515</f>
        <v>3</v>
      </c>
      <c r="D515" s="971" t="str">
        <f>'1.2 Budgeted Enrollment YR1'!D515</f>
        <v>Gardnerville/Minden</v>
      </c>
      <c r="E515" s="968" t="str">
        <f>'1.2 Budgeted Enrollment YR1'!E515</f>
        <v>Pinon Hills Elementary School</v>
      </c>
      <c r="F515" s="1061"/>
      <c r="G515" s="1108">
        <f>'1.2 Budgeted Enrollment YR1'!G515+('1.2 Budgeted Enrollment YR1'!G515*$G$7)</f>
        <v>244.80304707610753</v>
      </c>
      <c r="H515" s="1108"/>
      <c r="I515" s="1114">
        <v>0</v>
      </c>
      <c r="J515" s="1115">
        <v>0</v>
      </c>
      <c r="K515" s="1114">
        <v>0</v>
      </c>
      <c r="L515" s="1108">
        <f>'1.2 Budgeted Enrollment YR1'!L515</f>
        <v>0</v>
      </c>
      <c r="M515" s="1104"/>
      <c r="N515" s="875"/>
    </row>
    <row r="516" spans="1:14" ht="16.5" thickTop="1" thickBot="1" x14ac:dyDescent="0.3">
      <c r="A516" s="968" t="str">
        <f>'1.2 Budgeted Enrollment YR1'!A516</f>
        <v>Douglas</v>
      </c>
      <c r="B516" s="971">
        <f>'1.2 Budgeted Enrollment YR1'!B516</f>
        <v>3</v>
      </c>
      <c r="C516" s="971">
        <f>'1.2 Budgeted Enrollment YR1'!C516</f>
        <v>3</v>
      </c>
      <c r="D516" s="971" t="str">
        <f>'1.2 Budgeted Enrollment YR1'!D516</f>
        <v>Zephyr Cove</v>
      </c>
      <c r="E516" s="968" t="str">
        <f>'1.2 Budgeted Enrollment YR1'!E516</f>
        <v>Zephyr Cove Elementary School</v>
      </c>
      <c r="F516" s="1061"/>
      <c r="G516" s="1108">
        <f>'1.2 Budgeted Enrollment YR1'!G516+('1.2 Budgeted Enrollment YR1'!G516*$G$7)</f>
        <v>143.27418762436386</v>
      </c>
      <c r="H516" s="1108"/>
      <c r="I516" s="1114">
        <v>0</v>
      </c>
      <c r="J516" s="1115">
        <v>0</v>
      </c>
      <c r="K516" s="1114">
        <v>0</v>
      </c>
      <c r="L516" s="1108">
        <f>'1.2 Budgeted Enrollment YR1'!L516</f>
        <v>0</v>
      </c>
      <c r="M516" s="1104"/>
      <c r="N516" s="875"/>
    </row>
    <row r="517" spans="1:14" ht="16.5" thickTop="1" thickBot="1" x14ac:dyDescent="0.3">
      <c r="A517" s="968" t="str">
        <f>'1.2 Budgeted Enrollment YR1'!A517</f>
        <v>Elko</v>
      </c>
      <c r="B517" s="971">
        <f>'1.2 Budgeted Enrollment YR1'!B517</f>
        <v>4</v>
      </c>
      <c r="C517" s="971">
        <f>'1.2 Budgeted Enrollment YR1'!C517</f>
        <v>4</v>
      </c>
      <c r="D517" s="971" t="str">
        <f>'1.2 Budgeted Enrollment YR1'!D517</f>
        <v>Elko</v>
      </c>
      <c r="E517" s="968" t="str">
        <f>'1.2 Budgeted Enrollment YR1'!E517</f>
        <v>Adobe Middle School</v>
      </c>
      <c r="F517" s="1061"/>
      <c r="G517" s="1108">
        <f>'1.2 Budgeted Enrollment YR1'!G517+('1.2 Budgeted Enrollment YR1'!G517*$G$7)</f>
        <v>657.43885259849651</v>
      </c>
      <c r="H517" s="1108"/>
      <c r="I517" s="1114">
        <v>0</v>
      </c>
      <c r="J517" s="1115">
        <v>0</v>
      </c>
      <c r="K517" s="1114">
        <v>0</v>
      </c>
      <c r="L517" s="1108">
        <f>'1.2 Budgeted Enrollment YR1'!L517</f>
        <v>0</v>
      </c>
      <c r="M517" s="1104"/>
      <c r="N517" s="875"/>
    </row>
    <row r="518" spans="1:14" ht="16.5" thickTop="1" thickBot="1" x14ac:dyDescent="0.3">
      <c r="A518" s="968" t="str">
        <f>'1.2 Budgeted Enrollment YR1'!A518</f>
        <v>Elko</v>
      </c>
      <c r="B518" s="971">
        <f>'1.2 Budgeted Enrollment YR1'!B518</f>
        <v>4</v>
      </c>
      <c r="C518" s="971">
        <f>'1.2 Budgeted Enrollment YR1'!C518</f>
        <v>4</v>
      </c>
      <c r="D518" s="971" t="str">
        <f>'1.2 Budgeted Enrollment YR1'!D518</f>
        <v>Carlin</v>
      </c>
      <c r="E518" s="968" t="str">
        <f>'1.2 Budgeted Enrollment YR1'!E518</f>
        <v>Battle Born Youth Challenge Academy</v>
      </c>
      <c r="F518" s="1061"/>
      <c r="G518" s="1108">
        <f>'1.2 Budgeted Enrollment YR1'!G518+('1.2 Budgeted Enrollment YR1'!G518*$G$7)</f>
        <v>43.365013137137588</v>
      </c>
      <c r="H518" s="1108"/>
      <c r="I518" s="1114">
        <v>0</v>
      </c>
      <c r="J518" s="1115">
        <v>0</v>
      </c>
      <c r="K518" s="1114">
        <v>0</v>
      </c>
      <c r="L518" s="1108">
        <f>'1.2 Budgeted Enrollment YR1'!L518</f>
        <v>0</v>
      </c>
      <c r="M518" s="1104"/>
      <c r="N518" s="875"/>
    </row>
    <row r="519" spans="1:14" ht="16.5" thickTop="1" thickBot="1" x14ac:dyDescent="0.3">
      <c r="A519" s="968" t="str">
        <f>'1.2 Budgeted Enrollment YR1'!A519</f>
        <v>Elko</v>
      </c>
      <c r="B519" s="971">
        <f>'1.2 Budgeted Enrollment YR1'!B519</f>
        <v>4</v>
      </c>
      <c r="C519" s="971">
        <f>'1.2 Budgeted Enrollment YR1'!C519</f>
        <v>4</v>
      </c>
      <c r="D519" s="971" t="str">
        <f>'1.2 Budgeted Enrollment YR1'!D519</f>
        <v>Carlin</v>
      </c>
      <c r="E519" s="968" t="str">
        <f>'1.2 Budgeted Enrollment YR1'!E519</f>
        <v>Carlin Elementary School</v>
      </c>
      <c r="F519" s="1061"/>
      <c r="G519" s="1108">
        <f>'1.2 Budgeted Enrollment YR1'!G519+('1.2 Budgeted Enrollment YR1'!G519*$G$7)</f>
        <v>177.56171064899075</v>
      </c>
      <c r="H519" s="1108"/>
      <c r="I519" s="1114">
        <v>0</v>
      </c>
      <c r="J519" s="1115">
        <v>0</v>
      </c>
      <c r="K519" s="1114">
        <v>0</v>
      </c>
      <c r="L519" s="1108">
        <f>'1.2 Budgeted Enrollment YR1'!L519</f>
        <v>0</v>
      </c>
      <c r="M519" s="1104"/>
      <c r="N519" s="875"/>
    </row>
    <row r="520" spans="1:14" ht="16.5" thickTop="1" thickBot="1" x14ac:dyDescent="0.3">
      <c r="A520" s="968" t="str">
        <f>'1.2 Budgeted Enrollment YR1'!A520</f>
        <v>Elko</v>
      </c>
      <c r="B520" s="971">
        <f>'1.2 Budgeted Enrollment YR1'!B520</f>
        <v>4</v>
      </c>
      <c r="C520" s="971">
        <f>'1.2 Budgeted Enrollment YR1'!C520</f>
        <v>4</v>
      </c>
      <c r="D520" s="971" t="str">
        <f>'1.2 Budgeted Enrollment YR1'!D520</f>
        <v>Carlin</v>
      </c>
      <c r="E520" s="968" t="str">
        <f>'1.2 Budgeted Enrollment YR1'!E520</f>
        <v>Carlin High School</v>
      </c>
      <c r="F520" s="1061"/>
      <c r="G520" s="1108">
        <f>'1.2 Budgeted Enrollment YR1'!G520+('1.2 Budgeted Enrollment YR1'!G520*$G$7)</f>
        <v>93.408463912776909</v>
      </c>
      <c r="H520" s="1108"/>
      <c r="I520" s="1114">
        <v>0</v>
      </c>
      <c r="J520" s="1115">
        <v>0</v>
      </c>
      <c r="K520" s="1114">
        <v>0</v>
      </c>
      <c r="L520" s="1108">
        <f>'1.2 Budgeted Enrollment YR1'!L520</f>
        <v>0</v>
      </c>
      <c r="M520" s="1104"/>
      <c r="N520" s="875"/>
    </row>
    <row r="521" spans="1:14" ht="16.5" thickTop="1" thickBot="1" x14ac:dyDescent="0.3">
      <c r="A521" s="968" t="str">
        <f>'1.2 Budgeted Enrollment YR1'!A521</f>
        <v>Elko</v>
      </c>
      <c r="B521" s="971">
        <f>'1.2 Budgeted Enrollment YR1'!B521</f>
        <v>4</v>
      </c>
      <c r="C521" s="971">
        <f>'1.2 Budgeted Enrollment YR1'!C521</f>
        <v>4</v>
      </c>
      <c r="D521" s="971" t="str">
        <f>'1.2 Budgeted Enrollment YR1'!D521</f>
        <v>Carlin</v>
      </c>
      <c r="E521" s="968" t="str">
        <f>'1.2 Budgeted Enrollment YR1'!E521</f>
        <v>Carlin Jr High School</v>
      </c>
      <c r="F521" s="1061"/>
      <c r="G521" s="1108">
        <f>'1.2 Budgeted Enrollment YR1'!G521+('1.2 Budgeted Enrollment YR1'!G521*$G$7)</f>
        <v>52.952725530899862</v>
      </c>
      <c r="H521" s="1108"/>
      <c r="I521" s="1114">
        <v>0</v>
      </c>
      <c r="J521" s="1115">
        <v>0</v>
      </c>
      <c r="K521" s="1114">
        <v>0</v>
      </c>
      <c r="L521" s="1108">
        <f>'1.2 Budgeted Enrollment YR1'!L521</f>
        <v>0</v>
      </c>
      <c r="M521" s="1104"/>
      <c r="N521" s="875"/>
    </row>
    <row r="522" spans="1:14" ht="16.5" thickTop="1" thickBot="1" x14ac:dyDescent="0.3">
      <c r="A522" s="968" t="str">
        <f>'1.2 Budgeted Enrollment YR1'!A522</f>
        <v>Elko</v>
      </c>
      <c r="B522" s="971">
        <f>'1.2 Budgeted Enrollment YR1'!B522</f>
        <v>4</v>
      </c>
      <c r="C522" s="971">
        <f>'1.2 Budgeted Enrollment YR1'!C522</f>
        <v>4</v>
      </c>
      <c r="D522" s="971" t="str">
        <f>'1.2 Budgeted Enrollment YR1'!D522</f>
        <v>Elko</v>
      </c>
      <c r="E522" s="968" t="str">
        <f>'1.2 Budgeted Enrollment YR1'!E522</f>
        <v>Early Childhood</v>
      </c>
      <c r="F522" s="1061"/>
      <c r="G522" s="1108">
        <f>'1.2 Budgeted Enrollment YR1'!G522+('1.2 Budgeted Enrollment YR1'!G522*$G$7)</f>
        <v>1.7296167631369446</v>
      </c>
      <c r="H522" s="1108"/>
      <c r="I522" s="1114">
        <v>0</v>
      </c>
      <c r="J522" s="1115">
        <v>0</v>
      </c>
      <c r="K522" s="1114">
        <v>0</v>
      </c>
      <c r="L522" s="1108">
        <f>'1.2 Budgeted Enrollment YR1'!L522</f>
        <v>0</v>
      </c>
      <c r="M522" s="1104"/>
      <c r="N522" s="875"/>
    </row>
    <row r="523" spans="1:14" ht="16.5" thickTop="1" thickBot="1" x14ac:dyDescent="0.3">
      <c r="A523" s="968" t="str">
        <f>'1.2 Budgeted Enrollment YR1'!A523</f>
        <v>Elko</v>
      </c>
      <c r="B523" s="971">
        <f>'1.2 Budgeted Enrollment YR1'!B523</f>
        <v>4</v>
      </c>
      <c r="C523" s="971">
        <f>'1.2 Budgeted Enrollment YR1'!C523</f>
        <v>4</v>
      </c>
      <c r="D523" s="971" t="str">
        <f>'1.2 Budgeted Enrollment YR1'!D523</f>
        <v>Elko</v>
      </c>
      <c r="E523" s="968" t="str">
        <f>'1.2 Budgeted Enrollment YR1'!E523</f>
        <v>Elko High School</v>
      </c>
      <c r="F523" s="1061"/>
      <c r="G523" s="1108">
        <f>'1.2 Budgeted Enrollment YR1'!G523+('1.2 Budgeted Enrollment YR1'!G523*$G$7)</f>
        <v>1348.6779616039514</v>
      </c>
      <c r="H523" s="1108"/>
      <c r="I523" s="1114">
        <v>0</v>
      </c>
      <c r="J523" s="1115">
        <v>0</v>
      </c>
      <c r="K523" s="1114">
        <v>0</v>
      </c>
      <c r="L523" s="1108">
        <f>'1.2 Budgeted Enrollment YR1'!L523</f>
        <v>0</v>
      </c>
      <c r="M523" s="1104"/>
      <c r="N523" s="875"/>
    </row>
    <row r="524" spans="1:14" ht="16.5" thickTop="1" thickBot="1" x14ac:dyDescent="0.3">
      <c r="A524" s="968" t="str">
        <f>'1.2 Budgeted Enrollment YR1'!A524</f>
        <v>Elko</v>
      </c>
      <c r="B524" s="971">
        <f>'1.2 Budgeted Enrollment YR1'!B524</f>
        <v>4</v>
      </c>
      <c r="C524" s="971">
        <f>'1.2 Budgeted Enrollment YR1'!C524</f>
        <v>4</v>
      </c>
      <c r="D524" s="971" t="str">
        <f>'1.2 Budgeted Enrollment YR1'!D524</f>
        <v>Elko</v>
      </c>
      <c r="E524" s="968" t="str">
        <f>'1.2 Budgeted Enrollment YR1'!E524</f>
        <v>Flagview Intermediate School</v>
      </c>
      <c r="F524" s="1061"/>
      <c r="G524" s="1108">
        <f>'1.2 Budgeted Enrollment YR1'!G524+('1.2 Budgeted Enrollment YR1'!G524*$G$7)</f>
        <v>659.45217549576819</v>
      </c>
      <c r="H524" s="1108"/>
      <c r="I524" s="1114">
        <v>0</v>
      </c>
      <c r="J524" s="1115">
        <v>0</v>
      </c>
      <c r="K524" s="1114">
        <v>0</v>
      </c>
      <c r="L524" s="1108">
        <f>'1.2 Budgeted Enrollment YR1'!L524</f>
        <v>0</v>
      </c>
      <c r="M524" s="1104"/>
      <c r="N524" s="875"/>
    </row>
    <row r="525" spans="1:14" ht="16.5" thickTop="1" thickBot="1" x14ac:dyDescent="0.3">
      <c r="A525" s="968" t="str">
        <f>'1.2 Budgeted Enrollment YR1'!A525</f>
        <v>Elko</v>
      </c>
      <c r="B525" s="971">
        <f>'1.2 Budgeted Enrollment YR1'!B525</f>
        <v>4</v>
      </c>
      <c r="C525" s="971">
        <f>'1.2 Budgeted Enrollment YR1'!C525</f>
        <v>4</v>
      </c>
      <c r="D525" s="971" t="str">
        <f>'1.2 Budgeted Enrollment YR1'!D525</f>
        <v>Elko</v>
      </c>
      <c r="E525" s="968" t="str">
        <f>'1.2 Budgeted Enrollment YR1'!E525</f>
        <v>Grammar School #2</v>
      </c>
      <c r="F525" s="1061"/>
      <c r="G525" s="1108">
        <f>'1.2 Budgeted Enrollment YR1'!G525+('1.2 Budgeted Enrollment YR1'!G525*$G$7)</f>
        <v>306.34012637864873</v>
      </c>
      <c r="H525" s="1108"/>
      <c r="I525" s="1114">
        <v>0</v>
      </c>
      <c r="J525" s="1115">
        <v>0</v>
      </c>
      <c r="K525" s="1114">
        <v>0</v>
      </c>
      <c r="L525" s="1108">
        <f>'1.2 Budgeted Enrollment YR1'!L525</f>
        <v>0</v>
      </c>
      <c r="M525" s="1104"/>
      <c r="N525" s="875"/>
    </row>
    <row r="526" spans="1:14" ht="16.5" thickTop="1" thickBot="1" x14ac:dyDescent="0.3">
      <c r="A526" s="968" t="str">
        <f>'1.2 Budgeted Enrollment YR1'!A526</f>
        <v>Elko</v>
      </c>
      <c r="B526" s="971">
        <f>'1.2 Budgeted Enrollment YR1'!B526</f>
        <v>4</v>
      </c>
      <c r="C526" s="971">
        <f>'1.2 Budgeted Enrollment YR1'!C526</f>
        <v>4</v>
      </c>
      <c r="D526" s="971" t="str">
        <f>'1.2 Budgeted Enrollment YR1'!D526</f>
        <v>Independence</v>
      </c>
      <c r="E526" s="968" t="str">
        <f>'1.2 Budgeted Enrollment YR1'!E526</f>
        <v>Independence Valley Elementary School</v>
      </c>
      <c r="F526" s="1061"/>
      <c r="G526" s="1108">
        <f>'1.2 Budgeted Enrollment YR1'!G526+('1.2 Budgeted Enrollment YR1'!G526*$G$7)</f>
        <v>7.7698438022583343</v>
      </c>
      <c r="H526" s="1108"/>
      <c r="I526" s="1114">
        <v>0</v>
      </c>
      <c r="J526" s="1115">
        <v>0</v>
      </c>
      <c r="K526" s="1114">
        <v>0</v>
      </c>
      <c r="L526" s="1108">
        <f>'1.2 Budgeted Enrollment YR1'!L526</f>
        <v>0</v>
      </c>
      <c r="M526" s="1104"/>
      <c r="N526" s="875"/>
    </row>
    <row r="527" spans="1:14" ht="16.5" thickTop="1" thickBot="1" x14ac:dyDescent="0.3">
      <c r="A527" s="968" t="str">
        <f>'1.2 Budgeted Enrollment YR1'!A527</f>
        <v>Elko</v>
      </c>
      <c r="B527" s="971">
        <f>'1.2 Budgeted Enrollment YR1'!B527</f>
        <v>4</v>
      </c>
      <c r="C527" s="971">
        <f>'1.2 Budgeted Enrollment YR1'!C527</f>
        <v>4</v>
      </c>
      <c r="D527" s="971" t="str">
        <f>'1.2 Budgeted Enrollment YR1'!D527</f>
        <v>Jackpot</v>
      </c>
      <c r="E527" s="968" t="str">
        <f>'1.2 Budgeted Enrollment YR1'!E527</f>
        <v>Jackpot Elementary School</v>
      </c>
      <c r="F527" s="1061"/>
      <c r="G527" s="1108">
        <f>'1.2 Budgeted Enrollment YR1'!G527+('1.2 Budgeted Enrollment YR1'!G527*$G$7)</f>
        <v>68.814404203656395</v>
      </c>
      <c r="H527" s="1108"/>
      <c r="I527" s="1114">
        <v>0</v>
      </c>
      <c r="J527" s="1115">
        <v>0</v>
      </c>
      <c r="K527" s="1114">
        <v>0</v>
      </c>
      <c r="L527" s="1108">
        <f>'1.2 Budgeted Enrollment YR1'!L527</f>
        <v>0</v>
      </c>
      <c r="M527" s="1104"/>
      <c r="N527" s="875"/>
    </row>
    <row r="528" spans="1:14" ht="16.5" thickTop="1" thickBot="1" x14ac:dyDescent="0.3">
      <c r="A528" s="968" t="str">
        <f>'1.2 Budgeted Enrollment YR1'!A528</f>
        <v>Elko</v>
      </c>
      <c r="B528" s="971">
        <f>'1.2 Budgeted Enrollment YR1'!B528</f>
        <v>4</v>
      </c>
      <c r="C528" s="971">
        <f>'1.2 Budgeted Enrollment YR1'!C528</f>
        <v>4</v>
      </c>
      <c r="D528" s="971" t="str">
        <f>'1.2 Budgeted Enrollment YR1'!D528</f>
        <v>Jackpot</v>
      </c>
      <c r="E528" s="968" t="str">
        <f>'1.2 Budgeted Enrollment YR1'!E528</f>
        <v>Jackpot High School</v>
      </c>
      <c r="F528" s="1061"/>
      <c r="G528" s="1108">
        <f>'1.2 Budgeted Enrollment YR1'!G528+('1.2 Budgeted Enrollment YR1'!G528*$G$7)</f>
        <v>42.182400904715813</v>
      </c>
      <c r="H528" s="1108"/>
      <c r="I528" s="1114">
        <v>0</v>
      </c>
      <c r="J528" s="1115">
        <v>0</v>
      </c>
      <c r="K528" s="1114">
        <v>0</v>
      </c>
      <c r="L528" s="1108">
        <f>'1.2 Budgeted Enrollment YR1'!L528</f>
        <v>0</v>
      </c>
      <c r="M528" s="1104"/>
      <c r="N528" s="875"/>
    </row>
    <row r="529" spans="1:14" ht="16.5" thickTop="1" thickBot="1" x14ac:dyDescent="0.3">
      <c r="A529" s="968" t="str">
        <f>'1.2 Budgeted Enrollment YR1'!A529</f>
        <v>Elko</v>
      </c>
      <c r="B529" s="971">
        <f>'1.2 Budgeted Enrollment YR1'!B529</f>
        <v>4</v>
      </c>
      <c r="C529" s="971">
        <f>'1.2 Budgeted Enrollment YR1'!C529</f>
        <v>4</v>
      </c>
      <c r="D529" s="971" t="str">
        <f>'1.2 Budgeted Enrollment YR1'!D529</f>
        <v>Jackpot</v>
      </c>
      <c r="E529" s="968" t="str">
        <f>'1.2 Budgeted Enrollment YR1'!E529</f>
        <v>Jackpot Jr High School</v>
      </c>
      <c r="F529" s="1061"/>
      <c r="G529" s="1108">
        <f>'1.2 Budgeted Enrollment YR1'!G529+('1.2 Budgeted Enrollment YR1'!G529*$G$7)</f>
        <v>14.557203481717281</v>
      </c>
      <c r="H529" s="1108"/>
      <c r="I529" s="1114">
        <v>0</v>
      </c>
      <c r="J529" s="1115">
        <v>0</v>
      </c>
      <c r="K529" s="1114">
        <v>0</v>
      </c>
      <c r="L529" s="1108">
        <f>'1.2 Budgeted Enrollment YR1'!L529</f>
        <v>0</v>
      </c>
      <c r="M529" s="1104"/>
      <c r="N529" s="875"/>
    </row>
    <row r="530" spans="1:14" ht="16.5" thickTop="1" thickBot="1" x14ac:dyDescent="0.3">
      <c r="A530" s="968" t="str">
        <f>'1.2 Budgeted Enrollment YR1'!A530</f>
        <v>Elko</v>
      </c>
      <c r="B530" s="971">
        <f>'1.2 Budgeted Enrollment YR1'!B530</f>
        <v>4</v>
      </c>
      <c r="C530" s="971">
        <f>'1.2 Budgeted Enrollment YR1'!C530</f>
        <v>4</v>
      </c>
      <c r="D530" s="971" t="str">
        <f>'1.2 Budgeted Enrollment YR1'!D530</f>
        <v>Spring Creek</v>
      </c>
      <c r="E530" s="968" t="str">
        <f>'1.2 Budgeted Enrollment YR1'!E530</f>
        <v>Liberty Peak Elementary School</v>
      </c>
      <c r="F530" s="1061"/>
      <c r="G530" s="1108">
        <f>'1.2 Budgeted Enrollment YR1'!G530+('1.2 Budgeted Enrollment YR1'!G530*$G$7)</f>
        <v>602.26512639484918</v>
      </c>
      <c r="H530" s="1108"/>
      <c r="I530" s="1114">
        <v>0</v>
      </c>
      <c r="J530" s="1115">
        <v>0</v>
      </c>
      <c r="K530" s="1114">
        <v>0</v>
      </c>
      <c r="L530" s="1108">
        <f>'1.2 Budgeted Enrollment YR1'!L530</f>
        <v>0</v>
      </c>
      <c r="M530" s="1104"/>
      <c r="N530" s="875"/>
    </row>
    <row r="531" spans="1:14" ht="16.5" thickTop="1" thickBot="1" x14ac:dyDescent="0.3">
      <c r="A531" s="968" t="str">
        <f>'1.2 Budgeted Enrollment YR1'!A531</f>
        <v>Elko</v>
      </c>
      <c r="B531" s="971">
        <f>'1.2 Budgeted Enrollment YR1'!B531</f>
        <v>4</v>
      </c>
      <c r="C531" s="971">
        <f>'1.2 Budgeted Enrollment YR1'!C531</f>
        <v>4</v>
      </c>
      <c r="D531" s="971" t="str">
        <f>'1.2 Budgeted Enrollment YR1'!D531</f>
        <v>Montello</v>
      </c>
      <c r="E531" s="968" t="str">
        <f>'1.2 Budgeted Enrollment YR1'!E531</f>
        <v>Montello Elementary School</v>
      </c>
      <c r="F531" s="1061"/>
      <c r="G531" s="1108">
        <f>'1.2 Budgeted Enrollment YR1'!G531+('1.2 Budgeted Enrollment YR1'!G531*$G$7)</f>
        <v>9.0420294649163502</v>
      </c>
      <c r="H531" s="1108"/>
      <c r="I531" s="1114">
        <v>0</v>
      </c>
      <c r="J531" s="1115">
        <v>0</v>
      </c>
      <c r="K531" s="1114">
        <v>0</v>
      </c>
      <c r="L531" s="1108">
        <f>'1.2 Budgeted Enrollment YR1'!L531</f>
        <v>0</v>
      </c>
      <c r="M531" s="1104"/>
      <c r="N531" s="875"/>
    </row>
    <row r="532" spans="1:14" ht="16.5" thickTop="1" thickBot="1" x14ac:dyDescent="0.3">
      <c r="A532" s="968" t="str">
        <f>'1.2 Budgeted Enrollment YR1'!A532</f>
        <v>Elko</v>
      </c>
      <c r="B532" s="971">
        <f>'1.2 Budgeted Enrollment YR1'!B532</f>
        <v>4</v>
      </c>
      <c r="C532" s="971">
        <f>'1.2 Budgeted Enrollment YR1'!C532</f>
        <v>4</v>
      </c>
      <c r="D532" s="971" t="str">
        <f>'1.2 Budgeted Enrollment YR1'!D532</f>
        <v>Mound Valley</v>
      </c>
      <c r="E532" s="968" t="str">
        <f>'1.2 Budgeted Enrollment YR1'!E532</f>
        <v>Mound Valley Elementary School</v>
      </c>
      <c r="F532" s="1061"/>
      <c r="G532" s="1108">
        <f>'1.2 Budgeted Enrollment YR1'!G532+('1.2 Budgeted Enrollment YR1'!G532*$G$7)</f>
        <v>9.345510337143045</v>
      </c>
      <c r="H532" s="1108"/>
      <c r="I532" s="1114">
        <v>0</v>
      </c>
      <c r="J532" s="1115">
        <v>0</v>
      </c>
      <c r="K532" s="1114">
        <v>0</v>
      </c>
      <c r="L532" s="1108">
        <f>'1.2 Budgeted Enrollment YR1'!L532</f>
        <v>0</v>
      </c>
      <c r="M532" s="1104"/>
      <c r="N532" s="875"/>
    </row>
    <row r="533" spans="1:14" ht="16.5" thickTop="1" thickBot="1" x14ac:dyDescent="0.3">
      <c r="A533" s="968" t="str">
        <f>'1.2 Budgeted Enrollment YR1'!A533</f>
        <v>Elko</v>
      </c>
      <c r="B533" s="971">
        <f>'1.2 Budgeted Enrollment YR1'!B533</f>
        <v>4</v>
      </c>
      <c r="C533" s="971">
        <f>'1.2 Budgeted Enrollment YR1'!C533</f>
        <v>4</v>
      </c>
      <c r="D533" s="971" t="str">
        <f>'1.2 Budgeted Enrollment YR1'!D533</f>
        <v>Elko</v>
      </c>
      <c r="E533" s="968" t="str">
        <f>'1.2 Budgeted Enrollment YR1'!E533</f>
        <v>Mountain View Elementary School</v>
      </c>
      <c r="F533" s="1061"/>
      <c r="G533" s="1108">
        <f>'1.2 Budgeted Enrollment YR1'!G533+('1.2 Budgeted Enrollment YR1'!G533*$G$7)</f>
        <v>533.43321338236115</v>
      </c>
      <c r="H533" s="1108"/>
      <c r="I533" s="1114">
        <v>0</v>
      </c>
      <c r="J533" s="1115">
        <v>0</v>
      </c>
      <c r="K533" s="1114">
        <v>0</v>
      </c>
      <c r="L533" s="1108">
        <f>'1.2 Budgeted Enrollment YR1'!L533</f>
        <v>0</v>
      </c>
      <c r="M533" s="1104"/>
      <c r="N533" s="875"/>
    </row>
    <row r="534" spans="1:14" ht="16.5" thickTop="1" thickBot="1" x14ac:dyDescent="0.3">
      <c r="A534" s="1116" t="str">
        <f>'1.2 Budgeted Enrollment YR1'!A534</f>
        <v>Elko</v>
      </c>
      <c r="B534" s="1117">
        <f>'1.2 Budgeted Enrollment YR1'!B534</f>
        <v>4</v>
      </c>
      <c r="C534" s="1117">
        <f>'1.2 Budgeted Enrollment YR1'!C534</f>
        <v>4</v>
      </c>
      <c r="D534" s="1117" t="str">
        <f>'1.2 Budgeted Enrollment YR1'!D534</f>
        <v>Elko</v>
      </c>
      <c r="E534" s="1116" t="str">
        <f>'1.2 Budgeted Enrollment YR1'!E534</f>
        <v>Northeastern Nevada Virtual Academy</v>
      </c>
      <c r="F534" s="1118"/>
      <c r="G534" s="1119">
        <f>'1.2 Budgeted Enrollment YR1'!G534+('1.2 Budgeted Enrollment YR1'!G534*$G$7)</f>
        <v>66.516314588571021</v>
      </c>
      <c r="H534" s="1119"/>
      <c r="I534" s="1120">
        <v>0</v>
      </c>
      <c r="J534" s="1120">
        <v>0</v>
      </c>
      <c r="K534" s="1120">
        <v>0</v>
      </c>
      <c r="L534" s="1119">
        <f>'1.2 Budgeted Enrollment YR1'!L534</f>
        <v>66.516314588571021</v>
      </c>
      <c r="M534" s="1104"/>
      <c r="N534" s="875"/>
    </row>
    <row r="535" spans="1:14" ht="16.5" thickTop="1" thickBot="1" x14ac:dyDescent="0.3">
      <c r="A535" s="968" t="str">
        <f>'1.2 Budgeted Enrollment YR1'!A535</f>
        <v>Elko</v>
      </c>
      <c r="B535" s="971">
        <f>'1.2 Budgeted Enrollment YR1'!B535</f>
        <v>4</v>
      </c>
      <c r="C535" s="971">
        <f>'1.2 Budgeted Enrollment YR1'!C535</f>
        <v>4</v>
      </c>
      <c r="D535" s="971" t="str">
        <f>'1.2 Budgeted Enrollment YR1'!D535</f>
        <v>Elko</v>
      </c>
      <c r="E535" s="968" t="str">
        <f>'1.2 Budgeted Enrollment YR1'!E535</f>
        <v>Northside Elementary School</v>
      </c>
      <c r="F535" s="1061"/>
      <c r="G535" s="1108">
        <f>'1.2 Budgeted Enrollment YR1'!G535+('1.2 Budgeted Enrollment YR1'!G535*$G$7)</f>
        <v>312.06538065519078</v>
      </c>
      <c r="H535" s="1108"/>
      <c r="I535" s="1114">
        <v>0</v>
      </c>
      <c r="J535" s="1115">
        <v>0</v>
      </c>
      <c r="K535" s="1114">
        <v>0</v>
      </c>
      <c r="L535" s="1108">
        <f>'1.2 Budgeted Enrollment YR1'!L535</f>
        <v>0</v>
      </c>
      <c r="M535" s="1104"/>
      <c r="N535" s="875"/>
    </row>
    <row r="536" spans="1:14" ht="16.5" thickTop="1" thickBot="1" x14ac:dyDescent="0.3">
      <c r="A536" s="968" t="str">
        <f>'1.2 Budgeted Enrollment YR1'!A536</f>
        <v>Elko</v>
      </c>
      <c r="B536" s="971">
        <f>'1.2 Budgeted Enrollment YR1'!B536</f>
        <v>4</v>
      </c>
      <c r="C536" s="971">
        <f>'1.2 Budgeted Enrollment YR1'!C536</f>
        <v>4</v>
      </c>
      <c r="D536" s="971" t="str">
        <f>'1.2 Budgeted Enrollment YR1'!D536</f>
        <v>Owyhee</v>
      </c>
      <c r="E536" s="968" t="str">
        <f>'1.2 Budgeted Enrollment YR1'!E536</f>
        <v>Owyhee Elementary School</v>
      </c>
      <c r="F536" s="1061"/>
      <c r="G536" s="1108">
        <f>'1.2 Budgeted Enrollment YR1'!G536+('1.2 Budgeted Enrollment YR1'!G536*$G$7)</f>
        <v>119.89877561171666</v>
      </c>
      <c r="H536" s="1108"/>
      <c r="I536" s="1114">
        <v>0</v>
      </c>
      <c r="J536" s="1115">
        <v>0</v>
      </c>
      <c r="K536" s="1114">
        <v>0</v>
      </c>
      <c r="L536" s="1108">
        <f>'1.2 Budgeted Enrollment YR1'!L536</f>
        <v>0</v>
      </c>
      <c r="M536" s="1104"/>
      <c r="N536" s="875"/>
    </row>
    <row r="537" spans="1:14" ht="16.5" thickTop="1" thickBot="1" x14ac:dyDescent="0.3">
      <c r="A537" s="968" t="str">
        <f>'1.2 Budgeted Enrollment YR1'!A537</f>
        <v>Elko</v>
      </c>
      <c r="B537" s="971">
        <f>'1.2 Budgeted Enrollment YR1'!B537</f>
        <v>4</v>
      </c>
      <c r="C537" s="971">
        <f>'1.2 Budgeted Enrollment YR1'!C537</f>
        <v>4</v>
      </c>
      <c r="D537" s="971" t="str">
        <f>'1.2 Budgeted Enrollment YR1'!D537</f>
        <v>Owyhee</v>
      </c>
      <c r="E537" s="968" t="str">
        <f>'1.2 Budgeted Enrollment YR1'!E537</f>
        <v>Owyhee High School</v>
      </c>
      <c r="F537" s="1061"/>
      <c r="G537" s="1108">
        <f>'1.2 Budgeted Enrollment YR1'!G537+('1.2 Budgeted Enrollment YR1'!G537*$G$7)</f>
        <v>64.171441772721778</v>
      </c>
      <c r="H537" s="1108"/>
      <c r="I537" s="1114">
        <v>0</v>
      </c>
      <c r="J537" s="1115">
        <v>0</v>
      </c>
      <c r="K537" s="1114">
        <v>0</v>
      </c>
      <c r="L537" s="1108">
        <f>'1.2 Budgeted Enrollment YR1'!L537</f>
        <v>0</v>
      </c>
      <c r="M537" s="1104"/>
      <c r="N537" s="875"/>
    </row>
    <row r="538" spans="1:14" ht="16.5" thickTop="1" thickBot="1" x14ac:dyDescent="0.3">
      <c r="A538" s="968" t="str">
        <f>'1.2 Budgeted Enrollment YR1'!A538</f>
        <v>Elko</v>
      </c>
      <c r="B538" s="971">
        <f>'1.2 Budgeted Enrollment YR1'!B538</f>
        <v>4</v>
      </c>
      <c r="C538" s="971">
        <f>'1.2 Budgeted Enrollment YR1'!C538</f>
        <v>4</v>
      </c>
      <c r="D538" s="971" t="str">
        <f>'1.2 Budgeted Enrollment YR1'!D538</f>
        <v>Owyhee</v>
      </c>
      <c r="E538" s="968" t="str">
        <f>'1.2 Budgeted Enrollment YR1'!E538</f>
        <v>Owyhee Jr High School</v>
      </c>
      <c r="F538" s="1061"/>
      <c r="G538" s="1108">
        <f>'1.2 Budgeted Enrollment YR1'!G538+('1.2 Budgeted Enrollment YR1'!G538*$G$7)</f>
        <v>38.761136662642606</v>
      </c>
      <c r="H538" s="1108"/>
      <c r="I538" s="1114">
        <v>0</v>
      </c>
      <c r="J538" s="1115">
        <v>0</v>
      </c>
      <c r="K538" s="1114">
        <v>0</v>
      </c>
      <c r="L538" s="1108">
        <f>'1.2 Budgeted Enrollment YR1'!L538</f>
        <v>0</v>
      </c>
      <c r="M538" s="1104"/>
      <c r="N538" s="875"/>
    </row>
    <row r="539" spans="1:14" ht="16.5" thickTop="1" thickBot="1" x14ac:dyDescent="0.3">
      <c r="A539" s="968" t="str">
        <f>'1.2 Budgeted Enrollment YR1'!A539</f>
        <v>Elko</v>
      </c>
      <c r="B539" s="971">
        <f>'1.2 Budgeted Enrollment YR1'!B539</f>
        <v>4</v>
      </c>
      <c r="C539" s="971">
        <f>'1.2 Budgeted Enrollment YR1'!C539</f>
        <v>4</v>
      </c>
      <c r="D539" s="971" t="str">
        <f>'1.2 Budgeted Enrollment YR1'!D539</f>
        <v>Ruby Valley</v>
      </c>
      <c r="E539" s="968" t="str">
        <f>'1.2 Budgeted Enrollment YR1'!E539</f>
        <v>Ruby Valley Elementary School</v>
      </c>
      <c r="F539" s="1061"/>
      <c r="G539" s="1108">
        <f>'1.2 Budgeted Enrollment YR1'!G539+('1.2 Budgeted Enrollment YR1'!G539*$G$7)</f>
        <v>7.8777581915974242</v>
      </c>
      <c r="H539" s="1108"/>
      <c r="I539" s="1114">
        <v>0</v>
      </c>
      <c r="J539" s="1115">
        <v>0</v>
      </c>
      <c r="K539" s="1114">
        <v>0</v>
      </c>
      <c r="L539" s="1108">
        <f>'1.2 Budgeted Enrollment YR1'!L539</f>
        <v>0</v>
      </c>
      <c r="M539" s="1104"/>
      <c r="N539" s="875"/>
    </row>
    <row r="540" spans="1:14" ht="16.5" thickTop="1" thickBot="1" x14ac:dyDescent="0.3">
      <c r="A540" s="968" t="str">
        <f>'1.2 Budgeted Enrollment YR1'!A540</f>
        <v>Elko</v>
      </c>
      <c r="B540" s="971">
        <f>'1.2 Budgeted Enrollment YR1'!B540</f>
        <v>4</v>
      </c>
      <c r="C540" s="971">
        <f>'1.2 Budgeted Enrollment YR1'!C540</f>
        <v>4</v>
      </c>
      <c r="D540" s="971" t="str">
        <f>'1.2 Budgeted Enrollment YR1'!D540</f>
        <v>Spring Creek</v>
      </c>
      <c r="E540" s="968" t="str">
        <f>'1.2 Budgeted Enrollment YR1'!E540</f>
        <v>Sage Elementary School</v>
      </c>
      <c r="F540" s="1061"/>
      <c r="G540" s="1108">
        <f>'1.2 Budgeted Enrollment YR1'!G540+('1.2 Budgeted Enrollment YR1'!G540*$G$7)</f>
        <v>406.10857738526215</v>
      </c>
      <c r="H540" s="1108"/>
      <c r="I540" s="1114">
        <v>0</v>
      </c>
      <c r="J540" s="1115">
        <v>0</v>
      </c>
      <c r="K540" s="1114">
        <v>0</v>
      </c>
      <c r="L540" s="1108">
        <f>'1.2 Budgeted Enrollment YR1'!L540</f>
        <v>0</v>
      </c>
      <c r="M540" s="1104"/>
      <c r="N540" s="875"/>
    </row>
    <row r="541" spans="1:14" ht="16.5" thickTop="1" thickBot="1" x14ac:dyDescent="0.3">
      <c r="A541" s="968" t="str">
        <f>'1.2 Budgeted Enrollment YR1'!A541</f>
        <v>Elko</v>
      </c>
      <c r="B541" s="971">
        <f>'1.2 Budgeted Enrollment YR1'!B541</f>
        <v>4</v>
      </c>
      <c r="C541" s="971">
        <f>'1.2 Budgeted Enrollment YR1'!C541</f>
        <v>4</v>
      </c>
      <c r="D541" s="971" t="str">
        <f>'1.2 Budgeted Enrollment YR1'!D541</f>
        <v>Elko</v>
      </c>
      <c r="E541" s="968" t="str">
        <f>'1.2 Budgeted Enrollment YR1'!E541</f>
        <v>Southside Elementary School</v>
      </c>
      <c r="F541" s="1061"/>
      <c r="G541" s="1108">
        <f>'1.2 Budgeted Enrollment YR1'!G541+('1.2 Budgeted Enrollment YR1'!G541*$G$7)</f>
        <v>495.15525222640576</v>
      </c>
      <c r="H541" s="1108"/>
      <c r="I541" s="1114">
        <v>0</v>
      </c>
      <c r="J541" s="1115">
        <v>0</v>
      </c>
      <c r="K541" s="1114">
        <v>0</v>
      </c>
      <c r="L541" s="1108">
        <f>'1.2 Budgeted Enrollment YR1'!L541</f>
        <v>0</v>
      </c>
      <c r="M541" s="1104"/>
      <c r="N541" s="875"/>
    </row>
    <row r="542" spans="1:14" ht="16.5" thickTop="1" thickBot="1" x14ac:dyDescent="0.3">
      <c r="A542" s="968" t="str">
        <f>'1.2 Budgeted Enrollment YR1'!A542</f>
        <v>Elko</v>
      </c>
      <c r="B542" s="971">
        <f>'1.2 Budgeted Enrollment YR1'!B542</f>
        <v>4</v>
      </c>
      <c r="C542" s="971">
        <f>'1.2 Budgeted Enrollment YR1'!C542</f>
        <v>4</v>
      </c>
      <c r="D542" s="971" t="str">
        <f>'1.2 Budgeted Enrollment YR1'!D542</f>
        <v>Spring Creek</v>
      </c>
      <c r="E542" s="968" t="str">
        <f>'1.2 Budgeted Enrollment YR1'!E542</f>
        <v>Spring Creek Elementary School</v>
      </c>
      <c r="F542" s="1061"/>
      <c r="G542" s="1108">
        <f>'1.2 Budgeted Enrollment YR1'!G542+('1.2 Budgeted Enrollment YR1'!G542*$G$7)</f>
        <v>380.31120900790683</v>
      </c>
      <c r="H542" s="1108"/>
      <c r="I542" s="1114">
        <v>0</v>
      </c>
      <c r="J542" s="1115">
        <v>0</v>
      </c>
      <c r="K542" s="1114">
        <v>0</v>
      </c>
      <c r="L542" s="1108">
        <f>'1.2 Budgeted Enrollment YR1'!L542</f>
        <v>0</v>
      </c>
      <c r="M542" s="1104"/>
      <c r="N542" s="875"/>
    </row>
    <row r="543" spans="1:14" ht="16.5" thickTop="1" thickBot="1" x14ac:dyDescent="0.3">
      <c r="A543" s="968" t="str">
        <f>'1.2 Budgeted Enrollment YR1'!A543</f>
        <v>Elko</v>
      </c>
      <c r="B543" s="971">
        <f>'1.2 Budgeted Enrollment YR1'!B543</f>
        <v>4</v>
      </c>
      <c r="C543" s="971">
        <f>'1.2 Budgeted Enrollment YR1'!C543</f>
        <v>4</v>
      </c>
      <c r="D543" s="971" t="str">
        <f>'1.2 Budgeted Enrollment YR1'!D543</f>
        <v>Spring Creek</v>
      </c>
      <c r="E543" s="968" t="str">
        <f>'1.2 Budgeted Enrollment YR1'!E543</f>
        <v>Spring Creek High School</v>
      </c>
      <c r="F543" s="1061"/>
      <c r="G543" s="1108">
        <f>'1.2 Budgeted Enrollment YR1'!G543+('1.2 Budgeted Enrollment YR1'!G543*$G$7)</f>
        <v>837.28846455776386</v>
      </c>
      <c r="H543" s="1108"/>
      <c r="I543" s="1114">
        <v>0</v>
      </c>
      <c r="J543" s="1115">
        <v>0</v>
      </c>
      <c r="K543" s="1114">
        <v>0</v>
      </c>
      <c r="L543" s="1108">
        <f>'1.2 Budgeted Enrollment YR1'!L543</f>
        <v>0</v>
      </c>
      <c r="M543" s="1104"/>
      <c r="N543" s="875"/>
    </row>
    <row r="544" spans="1:14" ht="16.5" thickTop="1" thickBot="1" x14ac:dyDescent="0.3">
      <c r="A544" s="968" t="str">
        <f>'1.2 Budgeted Enrollment YR1'!A544</f>
        <v>Elko</v>
      </c>
      <c r="B544" s="971">
        <f>'1.2 Budgeted Enrollment YR1'!B544</f>
        <v>4</v>
      </c>
      <c r="C544" s="971">
        <f>'1.2 Budgeted Enrollment YR1'!C544</f>
        <v>4</v>
      </c>
      <c r="D544" s="971" t="str">
        <f>'1.2 Budgeted Enrollment YR1'!D544</f>
        <v>Spring Creek</v>
      </c>
      <c r="E544" s="968" t="str">
        <f>'1.2 Budgeted Enrollment YR1'!E544</f>
        <v>Spring Creek Middle School</v>
      </c>
      <c r="F544" s="1061"/>
      <c r="G544" s="1108">
        <f>'1.2 Budgeted Enrollment YR1'!G544+('1.2 Budgeted Enrollment YR1'!G544*$G$7)</f>
        <v>698.11776755465098</v>
      </c>
      <c r="H544" s="1108"/>
      <c r="I544" s="1114">
        <v>0</v>
      </c>
      <c r="J544" s="1115">
        <v>0</v>
      </c>
      <c r="K544" s="1114">
        <v>0</v>
      </c>
      <c r="L544" s="1108">
        <f>'1.2 Budgeted Enrollment YR1'!L544</f>
        <v>0</v>
      </c>
      <c r="M544" s="1104"/>
      <c r="N544" s="875"/>
    </row>
    <row r="545" spans="1:14" ht="16.5" thickTop="1" thickBot="1" x14ac:dyDescent="0.3">
      <c r="A545" s="968" t="str">
        <f>'1.2 Budgeted Enrollment YR1'!A545</f>
        <v>Elko</v>
      </c>
      <c r="B545" s="971">
        <f>'1.2 Budgeted Enrollment YR1'!B545</f>
        <v>4</v>
      </c>
      <c r="C545" s="971">
        <f>'1.2 Budgeted Enrollment YR1'!C545</f>
        <v>4</v>
      </c>
      <c r="D545" s="971" t="str">
        <f>'1.2 Budgeted Enrollment YR1'!D545</f>
        <v>Wells</v>
      </c>
      <c r="E545" s="968" t="str">
        <f>'1.2 Budgeted Enrollment YR1'!E545</f>
        <v>Wells Elementary School</v>
      </c>
      <c r="F545" s="1061"/>
      <c r="G545" s="1108">
        <f>'1.2 Budgeted Enrollment YR1'!G545+('1.2 Budgeted Enrollment YR1'!G545*$G$7)</f>
        <v>144.37564961394258</v>
      </c>
      <c r="H545" s="1108"/>
      <c r="I545" s="1114"/>
      <c r="J545" s="1115"/>
      <c r="K545" s="1114"/>
      <c r="L545" s="1108">
        <f>'1.2 Budgeted Enrollment YR1'!L545</f>
        <v>0</v>
      </c>
      <c r="M545" s="1104"/>
      <c r="N545" s="875"/>
    </row>
    <row r="546" spans="1:14" ht="16.5" thickTop="1" thickBot="1" x14ac:dyDescent="0.3">
      <c r="A546" s="968" t="str">
        <f>'1.2 Budgeted Enrollment YR1'!A546</f>
        <v>Elko</v>
      </c>
      <c r="B546" s="971">
        <f>'1.2 Budgeted Enrollment YR1'!B546</f>
        <v>4</v>
      </c>
      <c r="C546" s="971">
        <f>'1.2 Budgeted Enrollment YR1'!C546</f>
        <v>4</v>
      </c>
      <c r="D546" s="971" t="str">
        <f>'1.2 Budgeted Enrollment YR1'!D546</f>
        <v>Wells</v>
      </c>
      <c r="E546" s="968" t="str">
        <f>'1.2 Budgeted Enrollment YR1'!E546</f>
        <v>Wells High School</v>
      </c>
      <c r="F546" s="1061"/>
      <c r="G546" s="1108">
        <f>'1.2 Budgeted Enrollment YR1'!G546+('1.2 Budgeted Enrollment YR1'!G546*$G$7)</f>
        <v>92.473912927624141</v>
      </c>
      <c r="H546" s="1108"/>
      <c r="I546" s="1114">
        <v>0</v>
      </c>
      <c r="J546" s="1115">
        <v>0</v>
      </c>
      <c r="K546" s="1114">
        <v>0</v>
      </c>
      <c r="L546" s="1108">
        <f>'1.2 Budgeted Enrollment YR1'!L546</f>
        <v>0</v>
      </c>
      <c r="M546" s="1104"/>
      <c r="N546" s="875"/>
    </row>
    <row r="547" spans="1:14" ht="16.5" thickTop="1" thickBot="1" x14ac:dyDescent="0.3">
      <c r="A547" s="968" t="str">
        <f>'1.2 Budgeted Enrollment YR1'!A547</f>
        <v>Elko</v>
      </c>
      <c r="B547" s="971">
        <f>'1.2 Budgeted Enrollment YR1'!B547</f>
        <v>4</v>
      </c>
      <c r="C547" s="971">
        <f>'1.2 Budgeted Enrollment YR1'!C547</f>
        <v>4</v>
      </c>
      <c r="D547" s="971" t="str">
        <f>'1.2 Budgeted Enrollment YR1'!D547</f>
        <v>Wells</v>
      </c>
      <c r="E547" s="968" t="str">
        <f>'1.2 Budgeted Enrollment YR1'!E547</f>
        <v>Wells Jr High School</v>
      </c>
      <c r="F547" s="1061"/>
      <c r="G547" s="1108">
        <f>'1.2 Budgeted Enrollment YR1'!G547+('1.2 Budgeted Enrollment YR1'!G547*$G$7)</f>
        <v>48.773334805124151</v>
      </c>
      <c r="H547" s="1108"/>
      <c r="I547" s="1114">
        <v>0</v>
      </c>
      <c r="J547" s="1115">
        <v>0</v>
      </c>
      <c r="K547" s="1114">
        <v>0</v>
      </c>
      <c r="L547" s="1108">
        <f>'1.2 Budgeted Enrollment YR1'!L547</f>
        <v>0</v>
      </c>
      <c r="M547" s="1104"/>
      <c r="N547" s="875"/>
    </row>
    <row r="548" spans="1:14" ht="16.5" thickTop="1" thickBot="1" x14ac:dyDescent="0.3">
      <c r="A548" s="968" t="str">
        <f>'1.2 Budgeted Enrollment YR1'!A548</f>
        <v>Elko</v>
      </c>
      <c r="B548" s="971">
        <f>'1.2 Budgeted Enrollment YR1'!B548</f>
        <v>4</v>
      </c>
      <c r="C548" s="971">
        <f>'1.2 Budgeted Enrollment YR1'!C548</f>
        <v>4</v>
      </c>
      <c r="D548" s="971" t="str">
        <f>'1.2 Budgeted Enrollment YR1'!D548</f>
        <v>West Wendover</v>
      </c>
      <c r="E548" s="968" t="str">
        <f>'1.2 Budgeted Enrollment YR1'!E548</f>
        <v>West Wendover Elementary School</v>
      </c>
      <c r="F548" s="1061"/>
      <c r="G548" s="1108">
        <f>'1.2 Budgeted Enrollment YR1'!G548+('1.2 Budgeted Enrollment YR1'!G548*$G$7)</f>
        <v>397.66973274372691</v>
      </c>
      <c r="H548" s="1108"/>
      <c r="I548" s="1114">
        <v>0</v>
      </c>
      <c r="J548" s="1115">
        <v>0</v>
      </c>
      <c r="K548" s="1114">
        <v>0</v>
      </c>
      <c r="L548" s="1108">
        <f>'1.2 Budgeted Enrollment YR1'!L548</f>
        <v>0</v>
      </c>
      <c r="M548" s="1104"/>
      <c r="N548" s="875"/>
    </row>
    <row r="549" spans="1:14" ht="16.5" thickTop="1" thickBot="1" x14ac:dyDescent="0.3">
      <c r="A549" s="968" t="str">
        <f>'1.2 Budgeted Enrollment YR1'!A549</f>
        <v>Elko</v>
      </c>
      <c r="B549" s="971">
        <f>'1.2 Budgeted Enrollment YR1'!B549</f>
        <v>4</v>
      </c>
      <c r="C549" s="971">
        <f>'1.2 Budgeted Enrollment YR1'!C549</f>
        <v>4</v>
      </c>
      <c r="D549" s="971" t="str">
        <f>'1.2 Budgeted Enrollment YR1'!D549</f>
        <v>West Wendover</v>
      </c>
      <c r="E549" s="968" t="str">
        <f>'1.2 Budgeted Enrollment YR1'!E549</f>
        <v>West Wendover High School</v>
      </c>
      <c r="F549" s="1061"/>
      <c r="G549" s="1108">
        <f>'1.2 Budgeted Enrollment YR1'!G549+('1.2 Budgeted Enrollment YR1'!G549*$G$7)</f>
        <v>295.77546985784119</v>
      </c>
      <c r="H549" s="1108"/>
      <c r="I549" s="1114">
        <v>0</v>
      </c>
      <c r="J549" s="1115">
        <v>0</v>
      </c>
      <c r="K549" s="1114">
        <v>0</v>
      </c>
      <c r="L549" s="1108">
        <f>'1.2 Budgeted Enrollment YR1'!L549</f>
        <v>0</v>
      </c>
      <c r="M549" s="1104"/>
      <c r="N549" s="875"/>
    </row>
    <row r="550" spans="1:14" ht="16.5" thickTop="1" thickBot="1" x14ac:dyDescent="0.3">
      <c r="A550" s="968" t="str">
        <f>'1.2 Budgeted Enrollment YR1'!A550</f>
        <v>Elko</v>
      </c>
      <c r="B550" s="971">
        <f>'1.2 Budgeted Enrollment YR1'!B550</f>
        <v>4</v>
      </c>
      <c r="C550" s="971">
        <f>'1.2 Budgeted Enrollment YR1'!C550</f>
        <v>4</v>
      </c>
      <c r="D550" s="971" t="str">
        <f>'1.2 Budgeted Enrollment YR1'!D550</f>
        <v>West Wendover</v>
      </c>
      <c r="E550" s="968" t="str">
        <f>'1.2 Budgeted Enrollment YR1'!E550</f>
        <v>West Wendover Middle School</v>
      </c>
      <c r="F550" s="1061"/>
      <c r="G550" s="1108">
        <f>'1.2 Budgeted Enrollment YR1'!G550+('1.2 Budgeted Enrollment YR1'!G550*$G$7)</f>
        <v>200.7717938824797</v>
      </c>
      <c r="H550" s="1108"/>
      <c r="I550" s="1114">
        <v>0</v>
      </c>
      <c r="J550" s="1115">
        <v>0</v>
      </c>
      <c r="K550" s="1114">
        <v>0</v>
      </c>
      <c r="L550" s="1108">
        <f>'1.2 Budgeted Enrollment YR1'!L550</f>
        <v>0</v>
      </c>
      <c r="M550" s="1104"/>
      <c r="N550" s="875"/>
    </row>
    <row r="551" spans="1:14" ht="16.5" thickTop="1" thickBot="1" x14ac:dyDescent="0.3">
      <c r="A551" s="968" t="str">
        <f>'1.2 Budgeted Enrollment YR1'!A551</f>
        <v>Esmeralda</v>
      </c>
      <c r="B551" s="971">
        <f>'1.2 Budgeted Enrollment YR1'!B551</f>
        <v>5</v>
      </c>
      <c r="C551" s="971">
        <f>'1.2 Budgeted Enrollment YR1'!C551</f>
        <v>5</v>
      </c>
      <c r="D551" s="971" t="str">
        <f>'1.2 Budgeted Enrollment YR1'!D551</f>
        <v>Dyer</v>
      </c>
      <c r="E551" s="968" t="str">
        <f>'1.2 Budgeted Enrollment YR1'!E551</f>
        <v>Dyer Elementary School</v>
      </c>
      <c r="F551" s="1061"/>
      <c r="G551" s="1108">
        <f>'1.2 Budgeted Enrollment YR1'!G551+('1.2 Budgeted Enrollment YR1'!G551*$G$7)</f>
        <v>34.318719767425726</v>
      </c>
      <c r="H551" s="1108"/>
      <c r="I551" s="1114">
        <v>0</v>
      </c>
      <c r="J551" s="1115">
        <v>0</v>
      </c>
      <c r="K551" s="1114">
        <v>0</v>
      </c>
      <c r="L551" s="1108">
        <f>'1.2 Budgeted Enrollment YR1'!L551</f>
        <v>0</v>
      </c>
      <c r="M551" s="1104"/>
      <c r="N551" s="875"/>
    </row>
    <row r="552" spans="1:14" ht="16.5" thickTop="1" thickBot="1" x14ac:dyDescent="0.3">
      <c r="A552" s="1116" t="str">
        <f>'1.2 Budgeted Enrollment YR1'!A552</f>
        <v>Esmeralda</v>
      </c>
      <c r="B552" s="1117">
        <f>'1.2 Budgeted Enrollment YR1'!B552</f>
        <v>5</v>
      </c>
      <c r="C552" s="1117">
        <f>'1.2 Budgeted Enrollment YR1'!C552</f>
        <v>5</v>
      </c>
      <c r="D552" s="1117" t="str">
        <f>'1.2 Budgeted Enrollment YR1'!D552</f>
        <v>Dyer</v>
      </c>
      <c r="E552" s="1116" t="str">
        <f>'1.2 Budgeted Enrollment YR1'!E552</f>
        <v>Esmeralda Virtual High School</v>
      </c>
      <c r="F552" s="1118"/>
      <c r="G552" s="1119">
        <f>'1.2 Budgeted Enrollment YR1'!G552+('1.2 Budgeted Enrollment YR1'!G552*$G$7)</f>
        <v>11.270292041752496</v>
      </c>
      <c r="H552" s="1119"/>
      <c r="I552" s="1120">
        <v>0</v>
      </c>
      <c r="J552" s="1120">
        <v>0</v>
      </c>
      <c r="K552" s="1120">
        <v>0</v>
      </c>
      <c r="L552" s="1119">
        <f>'1.2 Budgeted Enrollment YR1'!L552</f>
        <v>11.270292041752496</v>
      </c>
      <c r="M552" s="1104"/>
      <c r="N552" s="875"/>
    </row>
    <row r="553" spans="1:14" ht="16.5" thickTop="1" thickBot="1" x14ac:dyDescent="0.3">
      <c r="A553" s="968" t="str">
        <f>'1.2 Budgeted Enrollment YR1'!A553</f>
        <v>Esmeralda</v>
      </c>
      <c r="B553" s="971">
        <f>'1.2 Budgeted Enrollment YR1'!B553</f>
        <v>5</v>
      </c>
      <c r="C553" s="971">
        <f>'1.2 Budgeted Enrollment YR1'!C553</f>
        <v>5</v>
      </c>
      <c r="D553" s="971" t="str">
        <f>'1.2 Budgeted Enrollment YR1'!D553</f>
        <v>Goldfield</v>
      </c>
      <c r="E553" s="968" t="str">
        <f>'1.2 Budgeted Enrollment YR1'!E553</f>
        <v>Goldfield Elementary School</v>
      </c>
      <c r="F553" s="1061"/>
      <c r="G553" s="1108">
        <f>'1.2 Budgeted Enrollment YR1'!G553+('1.2 Budgeted Enrollment YR1'!G553*$G$7)</f>
        <v>19.954931868606803</v>
      </c>
      <c r="H553" s="1108"/>
      <c r="I553" s="1114">
        <v>0</v>
      </c>
      <c r="J553" s="1115">
        <v>0</v>
      </c>
      <c r="K553" s="1114">
        <v>0</v>
      </c>
      <c r="L553" s="1108">
        <f>'1.2 Budgeted Enrollment YR1'!L553</f>
        <v>0</v>
      </c>
      <c r="M553" s="1104"/>
      <c r="N553" s="875"/>
    </row>
    <row r="554" spans="1:14" ht="16.5" thickTop="1" thickBot="1" x14ac:dyDescent="0.3">
      <c r="A554" s="968" t="str">
        <f>'1.2 Budgeted Enrollment YR1'!A554</f>
        <v>Esmeralda</v>
      </c>
      <c r="B554" s="971">
        <f>'1.2 Budgeted Enrollment YR1'!B554</f>
        <v>5</v>
      </c>
      <c r="C554" s="971">
        <f>'1.2 Budgeted Enrollment YR1'!C554</f>
        <v>5</v>
      </c>
      <c r="D554" s="971" t="str">
        <f>'1.2 Budgeted Enrollment YR1'!D554</f>
        <v>Goldfield</v>
      </c>
      <c r="E554" s="968" t="str">
        <f>'1.2 Budgeted Enrollment YR1'!E554</f>
        <v>Out of State</v>
      </c>
      <c r="F554" s="1061"/>
      <c r="G554" s="1108">
        <f>'1.2 Budgeted Enrollment YR1'!G554+('1.2 Budgeted Enrollment YR1'!G554*$G$7)</f>
        <v>6.8223520640916453</v>
      </c>
      <c r="H554" s="1108"/>
      <c r="I554" s="1114">
        <v>0</v>
      </c>
      <c r="J554" s="1115">
        <v>0</v>
      </c>
      <c r="K554" s="1114">
        <v>0</v>
      </c>
      <c r="L554" s="1108">
        <f>'1.2 Budgeted Enrollment YR1'!L554</f>
        <v>0</v>
      </c>
      <c r="M554" s="1104"/>
      <c r="N554" s="875"/>
    </row>
    <row r="555" spans="1:14" ht="16.5" thickTop="1" thickBot="1" x14ac:dyDescent="0.3">
      <c r="A555" s="968" t="str">
        <f>'1.2 Budgeted Enrollment YR1'!A555</f>
        <v>Esmeralda</v>
      </c>
      <c r="B555" s="971">
        <f>'1.2 Budgeted Enrollment YR1'!B555</f>
        <v>5</v>
      </c>
      <c r="C555" s="971">
        <f>'1.2 Budgeted Enrollment YR1'!C555</f>
        <v>5</v>
      </c>
      <c r="D555" s="971" t="str">
        <f>'1.2 Budgeted Enrollment YR1'!D555</f>
        <v>Silver Peak</v>
      </c>
      <c r="E555" s="968" t="str">
        <f>'1.2 Budgeted Enrollment YR1'!E555</f>
        <v>Silver Peak Elementary School</v>
      </c>
      <c r="F555" s="1061"/>
      <c r="G555" s="1108">
        <f>'1.2 Budgeted Enrollment YR1'!G555+('1.2 Budgeted Enrollment YR1'!G555*$G$7)</f>
        <v>8.2695998182410762</v>
      </c>
      <c r="H555" s="1108"/>
      <c r="I555" s="1114">
        <v>0</v>
      </c>
      <c r="J555" s="1115">
        <v>0</v>
      </c>
      <c r="K555" s="1114">
        <v>0</v>
      </c>
      <c r="L555" s="1108">
        <f>'1.2 Budgeted Enrollment YR1'!L555</f>
        <v>0</v>
      </c>
      <c r="M555" s="1104"/>
      <c r="N555" s="875"/>
    </row>
    <row r="556" spans="1:14" ht="16.5" thickTop="1" thickBot="1" x14ac:dyDescent="0.3">
      <c r="A556" s="968" t="str">
        <f>'1.2 Budgeted Enrollment YR1'!A556</f>
        <v>Eureka</v>
      </c>
      <c r="B556" s="971">
        <f>'1.2 Budgeted Enrollment YR1'!B556</f>
        <v>6</v>
      </c>
      <c r="C556" s="971">
        <f>'1.2 Budgeted Enrollment YR1'!C556</f>
        <v>6</v>
      </c>
      <c r="D556" s="971" t="str">
        <f>'1.2 Budgeted Enrollment YR1'!D556</f>
        <v>Crescent Valley</v>
      </c>
      <c r="E556" s="968" t="str">
        <f>'1.2 Budgeted Enrollment YR1'!E556</f>
        <v>Crescent Valley Elementary</v>
      </c>
      <c r="F556" s="1061"/>
      <c r="G556" s="1108">
        <f>'1.2 Budgeted Enrollment YR1'!G556+('1.2 Budgeted Enrollment YR1'!G556*$G$7)</f>
        <v>26.400500304391105</v>
      </c>
      <c r="H556" s="1108"/>
      <c r="I556" s="1114">
        <v>0</v>
      </c>
      <c r="J556" s="1115">
        <v>0</v>
      </c>
      <c r="K556" s="1114">
        <v>0</v>
      </c>
      <c r="L556" s="1108">
        <f>'1.2 Budgeted Enrollment YR1'!L556</f>
        <v>0</v>
      </c>
      <c r="M556" s="1104"/>
      <c r="N556" s="875"/>
    </row>
    <row r="557" spans="1:14" ht="16.5" thickTop="1" thickBot="1" x14ac:dyDescent="0.3">
      <c r="A557" s="968" t="str">
        <f>'1.2 Budgeted Enrollment YR1'!A557</f>
        <v>Eureka</v>
      </c>
      <c r="B557" s="971">
        <f>'1.2 Budgeted Enrollment YR1'!B557</f>
        <v>6</v>
      </c>
      <c r="C557" s="971">
        <f>'1.2 Budgeted Enrollment YR1'!C557</f>
        <v>6</v>
      </c>
      <c r="D557" s="971" t="str">
        <f>'1.2 Budgeted Enrollment YR1'!D557</f>
        <v>Eureka</v>
      </c>
      <c r="E557" s="968" t="str">
        <f>'1.2 Budgeted Enrollment YR1'!E557</f>
        <v>Eureka County High School</v>
      </c>
      <c r="F557" s="1061"/>
      <c r="G557" s="1108">
        <f>'1.2 Budgeted Enrollment YR1'!G557+('1.2 Budgeted Enrollment YR1'!G557*$G$7)</f>
        <v>162.86404987582264</v>
      </c>
      <c r="H557" s="1108"/>
      <c r="I557" s="1114">
        <v>0</v>
      </c>
      <c r="J557" s="1115">
        <v>0</v>
      </c>
      <c r="K557" s="1114">
        <v>0</v>
      </c>
      <c r="L557" s="1108">
        <f>'1.2 Budgeted Enrollment YR1'!L557</f>
        <v>0</v>
      </c>
      <c r="M557" s="1104"/>
      <c r="N557" s="875"/>
    </row>
    <row r="558" spans="1:14" ht="16.5" thickTop="1" thickBot="1" x14ac:dyDescent="0.3">
      <c r="A558" s="968" t="str">
        <f>'1.2 Budgeted Enrollment YR1'!A558</f>
        <v>Eureka</v>
      </c>
      <c r="B558" s="971">
        <f>'1.2 Budgeted Enrollment YR1'!B558</f>
        <v>6</v>
      </c>
      <c r="C558" s="971">
        <f>'1.2 Budgeted Enrollment YR1'!C558</f>
        <v>6</v>
      </c>
      <c r="D558" s="971" t="str">
        <f>'1.2 Budgeted Enrollment YR1'!D558</f>
        <v>Eureka</v>
      </c>
      <c r="E558" s="968" t="str">
        <f>'1.2 Budgeted Enrollment YR1'!E558</f>
        <v>Eureka Elementary School</v>
      </c>
      <c r="F558" s="1061"/>
      <c r="G558" s="1108">
        <f>'1.2 Budgeted Enrollment YR1'!G558+('1.2 Budgeted Enrollment YR1'!G558*$G$7)</f>
        <v>108.31746971481685</v>
      </c>
      <c r="H558" s="1108"/>
      <c r="I558" s="1114">
        <v>0</v>
      </c>
      <c r="J558" s="1115">
        <v>0</v>
      </c>
      <c r="K558" s="1114">
        <v>0</v>
      </c>
      <c r="L558" s="1108">
        <f>'1.2 Budgeted Enrollment YR1'!L558</f>
        <v>0</v>
      </c>
      <c r="M558" s="1104"/>
      <c r="N558" s="875"/>
    </row>
    <row r="559" spans="1:14" ht="16.5" thickTop="1" thickBot="1" x14ac:dyDescent="0.3">
      <c r="A559" s="968" t="str">
        <f>'1.2 Budgeted Enrollment YR1'!A559</f>
        <v>Humboldt</v>
      </c>
      <c r="B559" s="971">
        <f>'1.2 Budgeted Enrollment YR1'!B559</f>
        <v>7</v>
      </c>
      <c r="C559" s="971">
        <f>'1.2 Budgeted Enrollment YR1'!C559</f>
        <v>7</v>
      </c>
      <c r="D559" s="971" t="str">
        <f>'1.2 Budgeted Enrollment YR1'!D559</f>
        <v>Winnemucca</v>
      </c>
      <c r="E559" s="968" t="str">
        <f>'1.2 Budgeted Enrollment YR1'!E559</f>
        <v>Albert M. Lowry High School</v>
      </c>
      <c r="F559" s="1061"/>
      <c r="G559" s="1108">
        <f>'1.2 Budgeted Enrollment YR1'!G559+('1.2 Budgeted Enrollment YR1'!G559*$G$7)</f>
        <v>946.26377911584734</v>
      </c>
      <c r="H559" s="1108"/>
      <c r="I559" s="1114">
        <v>0</v>
      </c>
      <c r="J559" s="1115">
        <v>0</v>
      </c>
      <c r="K559" s="1114">
        <v>0</v>
      </c>
      <c r="L559" s="1108">
        <f>'1.2 Budgeted Enrollment YR1'!L559</f>
        <v>0</v>
      </c>
      <c r="M559" s="1104"/>
      <c r="N559" s="875"/>
    </row>
    <row r="560" spans="1:14" ht="16.5" thickTop="1" thickBot="1" x14ac:dyDescent="0.3">
      <c r="A560" s="968" t="str">
        <f>'1.2 Budgeted Enrollment YR1'!A560</f>
        <v>Humboldt</v>
      </c>
      <c r="B560" s="971">
        <f>'1.2 Budgeted Enrollment YR1'!B560</f>
        <v>7</v>
      </c>
      <c r="C560" s="971">
        <f>'1.2 Budgeted Enrollment YR1'!C560</f>
        <v>7</v>
      </c>
      <c r="D560" s="971" t="str">
        <f>'1.2 Budgeted Enrollment YR1'!D560</f>
        <v>Denio</v>
      </c>
      <c r="E560" s="968" t="str">
        <f>'1.2 Budgeted Enrollment YR1'!E560</f>
        <v>Denio - Includes Child Find</v>
      </c>
      <c r="F560" s="1061"/>
      <c r="G560" s="1108">
        <f>'1.2 Budgeted Enrollment YR1'!G560+('1.2 Budgeted Enrollment YR1'!G560*$G$7)</f>
        <v>6.1532279571726054</v>
      </c>
      <c r="H560" s="1108"/>
      <c r="I560" s="1114">
        <v>0</v>
      </c>
      <c r="J560" s="1115">
        <v>0</v>
      </c>
      <c r="K560" s="1114">
        <v>0</v>
      </c>
      <c r="L560" s="1108">
        <f>'1.2 Budgeted Enrollment YR1'!L560</f>
        <v>0</v>
      </c>
      <c r="M560" s="1104"/>
      <c r="N560" s="875"/>
    </row>
    <row r="561" spans="1:14" ht="16.5" thickTop="1" thickBot="1" x14ac:dyDescent="0.3">
      <c r="A561" s="968" t="str">
        <f>'1.2 Budgeted Enrollment YR1'!A561</f>
        <v>Humboldt</v>
      </c>
      <c r="B561" s="971">
        <f>'1.2 Budgeted Enrollment YR1'!B561</f>
        <v>7</v>
      </c>
      <c r="C561" s="971">
        <f>'1.2 Budgeted Enrollment YR1'!C561</f>
        <v>7</v>
      </c>
      <c r="D561" s="971" t="str">
        <f>'1.2 Budgeted Enrollment YR1'!D561</f>
        <v>Winnemucca</v>
      </c>
      <c r="E561" s="968" t="str">
        <f>'1.2 Budgeted Enrollment YR1'!E561</f>
        <v>French Ford Middle School</v>
      </c>
      <c r="F561" s="1061"/>
      <c r="G561" s="1108">
        <f>'1.2 Budgeted Enrollment YR1'!G561+('1.2 Budgeted Enrollment YR1'!G561*$G$7)</f>
        <v>452.75383354737471</v>
      </c>
      <c r="H561" s="1108"/>
      <c r="I561" s="1114">
        <v>0</v>
      </c>
      <c r="J561" s="1115">
        <v>0</v>
      </c>
      <c r="K561" s="1114">
        <v>0</v>
      </c>
      <c r="L561" s="1108">
        <f>'1.2 Budgeted Enrollment YR1'!L561</f>
        <v>0</v>
      </c>
      <c r="M561" s="1104"/>
      <c r="N561" s="875"/>
    </row>
    <row r="562" spans="1:14" ht="16.5" thickTop="1" thickBot="1" x14ac:dyDescent="0.3">
      <c r="A562" s="968" t="str">
        <f>'1.2 Budgeted Enrollment YR1'!A562</f>
        <v>Humboldt</v>
      </c>
      <c r="B562" s="971">
        <f>'1.2 Budgeted Enrollment YR1'!B562</f>
        <v>7</v>
      </c>
      <c r="C562" s="971">
        <f>'1.2 Budgeted Enrollment YR1'!C562</f>
        <v>7</v>
      </c>
      <c r="D562" s="971" t="str">
        <f>'1.2 Budgeted Enrollment YR1'!D562</f>
        <v>Winnemucca</v>
      </c>
      <c r="E562" s="968" t="str">
        <f>'1.2 Budgeted Enrollment YR1'!E562</f>
        <v>Grass Valley Elementary</v>
      </c>
      <c r="F562" s="1061"/>
      <c r="G562" s="1108">
        <f>'1.2 Budgeted Enrollment YR1'!G562+('1.2 Budgeted Enrollment YR1'!G562*$G$7)</f>
        <v>342.4172295559195</v>
      </c>
      <c r="H562" s="1108"/>
      <c r="I562" s="1114">
        <v>0</v>
      </c>
      <c r="J562" s="1115">
        <v>0</v>
      </c>
      <c r="K562" s="1114">
        <v>0</v>
      </c>
      <c r="L562" s="1108">
        <f>'1.2 Budgeted Enrollment YR1'!L562</f>
        <v>0</v>
      </c>
      <c r="M562" s="1104"/>
      <c r="N562" s="875"/>
    </row>
    <row r="563" spans="1:14" ht="16.5" thickTop="1" thickBot="1" x14ac:dyDescent="0.3">
      <c r="A563" s="968" t="str">
        <f>'1.2 Budgeted Enrollment YR1'!A563</f>
        <v>Humboldt</v>
      </c>
      <c r="B563" s="971">
        <f>'1.2 Budgeted Enrollment YR1'!B563</f>
        <v>7</v>
      </c>
      <c r="C563" s="971">
        <f>'1.2 Budgeted Enrollment YR1'!C563</f>
        <v>7</v>
      </c>
      <c r="D563" s="971" t="str">
        <f>'1.2 Budgeted Enrollment YR1'!D563</f>
        <v>Kings River</v>
      </c>
      <c r="E563" s="968" t="str">
        <f>'1.2 Budgeted Enrollment YR1'!E563</f>
        <v>Kings River</v>
      </c>
      <c r="F563" s="1061"/>
      <c r="G563" s="1108">
        <f>'1.2 Budgeted Enrollment YR1'!G563+('1.2 Budgeted Enrollment YR1'!G563*$G$7)</f>
        <v>7.8578728185988655</v>
      </c>
      <c r="H563" s="1108"/>
      <c r="I563" s="1114">
        <v>0</v>
      </c>
      <c r="J563" s="1115">
        <v>0</v>
      </c>
      <c r="K563" s="1114">
        <v>0</v>
      </c>
      <c r="L563" s="1108">
        <f>'1.2 Budgeted Enrollment YR1'!L563</f>
        <v>0</v>
      </c>
      <c r="M563" s="1104"/>
      <c r="N563" s="875"/>
    </row>
    <row r="564" spans="1:14" ht="16.5" thickTop="1" thickBot="1" x14ac:dyDescent="0.3">
      <c r="A564" s="968" t="str">
        <f>'1.2 Budgeted Enrollment YR1'!A564</f>
        <v>Humboldt</v>
      </c>
      <c r="B564" s="971">
        <f>'1.2 Budgeted Enrollment YR1'!B564</f>
        <v>7</v>
      </c>
      <c r="C564" s="971">
        <f>'1.2 Budgeted Enrollment YR1'!C564</f>
        <v>7</v>
      </c>
      <c r="D564" s="971" t="str">
        <f>'1.2 Budgeted Enrollment YR1'!D564</f>
        <v>McDermitt</v>
      </c>
      <c r="E564" s="968" t="str">
        <f>'1.2 Budgeted Enrollment YR1'!E564</f>
        <v>McDermitt Elementary</v>
      </c>
      <c r="F564" s="1061"/>
      <c r="G564" s="1108">
        <f>'1.2 Budgeted Enrollment YR1'!G564+('1.2 Budgeted Enrollment YR1'!G564*$G$7)</f>
        <v>52.355109446838746</v>
      </c>
      <c r="H564" s="1108"/>
      <c r="I564" s="1114">
        <v>0</v>
      </c>
      <c r="J564" s="1115">
        <v>0</v>
      </c>
      <c r="K564" s="1114">
        <v>0</v>
      </c>
      <c r="L564" s="1108">
        <f>'1.2 Budgeted Enrollment YR1'!L564</f>
        <v>0</v>
      </c>
      <c r="M564" s="1104"/>
      <c r="N564" s="875"/>
    </row>
    <row r="565" spans="1:14" ht="16.5" thickTop="1" thickBot="1" x14ac:dyDescent="0.3">
      <c r="A565" s="968" t="str">
        <f>'1.2 Budgeted Enrollment YR1'!A565</f>
        <v>Humboldt</v>
      </c>
      <c r="B565" s="971">
        <f>'1.2 Budgeted Enrollment YR1'!B565</f>
        <v>7</v>
      </c>
      <c r="C565" s="971">
        <f>'1.2 Budgeted Enrollment YR1'!C565</f>
        <v>7</v>
      </c>
      <c r="D565" s="971" t="str">
        <f>'1.2 Budgeted Enrollment YR1'!D565</f>
        <v>McDermitt</v>
      </c>
      <c r="E565" s="968" t="str">
        <f>'1.2 Budgeted Enrollment YR1'!E565</f>
        <v>McDermitt High School</v>
      </c>
      <c r="F565" s="1061"/>
      <c r="G565" s="1108">
        <f>'1.2 Budgeted Enrollment YR1'!G565+('1.2 Budgeted Enrollment YR1'!G565*$G$7)</f>
        <v>34.352072183544088</v>
      </c>
      <c r="H565" s="1108"/>
      <c r="I565" s="1114">
        <v>0</v>
      </c>
      <c r="J565" s="1115">
        <v>0</v>
      </c>
      <c r="K565" s="1114">
        <v>0</v>
      </c>
      <c r="L565" s="1108">
        <f>'1.2 Budgeted Enrollment YR1'!L565</f>
        <v>0</v>
      </c>
      <c r="M565" s="1104"/>
      <c r="N565" s="875"/>
    </row>
    <row r="566" spans="1:14" ht="16.5" thickTop="1" thickBot="1" x14ac:dyDescent="0.3">
      <c r="A566" s="968" t="str">
        <f>'1.2 Budgeted Enrollment YR1'!A566</f>
        <v>Humboldt</v>
      </c>
      <c r="B566" s="971">
        <f>'1.2 Budgeted Enrollment YR1'!B566</f>
        <v>7</v>
      </c>
      <c r="C566" s="971">
        <f>'1.2 Budgeted Enrollment YR1'!C566</f>
        <v>7</v>
      </c>
      <c r="D566" s="971" t="str">
        <f>'1.2 Budgeted Enrollment YR1'!D566</f>
        <v>McDermitt</v>
      </c>
      <c r="E566" s="968" t="str">
        <f>'1.2 Budgeted Enrollment YR1'!E566</f>
        <v>McDermitt Junior High School</v>
      </c>
      <c r="F566" s="1061"/>
      <c r="G566" s="1108">
        <f>'1.2 Budgeted Enrollment YR1'!G566+('1.2 Budgeted Enrollment YR1'!G566*$G$7)</f>
        <v>25.216693536079557</v>
      </c>
      <c r="H566" s="1108"/>
      <c r="I566" s="1114">
        <v>0</v>
      </c>
      <c r="J566" s="1115">
        <v>0</v>
      </c>
      <c r="K566" s="1114">
        <v>0</v>
      </c>
      <c r="L566" s="1108">
        <f>'1.2 Budgeted Enrollment YR1'!L566</f>
        <v>0</v>
      </c>
      <c r="M566" s="1104"/>
      <c r="N566" s="875"/>
    </row>
    <row r="567" spans="1:14" ht="16.5" thickTop="1" thickBot="1" x14ac:dyDescent="0.3">
      <c r="A567" s="968" t="str">
        <f>'1.2 Budgeted Enrollment YR1'!A567</f>
        <v>Humboldt</v>
      </c>
      <c r="B567" s="971">
        <f>'1.2 Budgeted Enrollment YR1'!B567</f>
        <v>7</v>
      </c>
      <c r="C567" s="971">
        <f>'1.2 Budgeted Enrollment YR1'!C567</f>
        <v>7</v>
      </c>
      <c r="D567" s="971" t="str">
        <f>'1.2 Budgeted Enrollment YR1'!D567</f>
        <v>Orovada</v>
      </c>
      <c r="E567" s="968" t="str">
        <f>'1.2 Budgeted Enrollment YR1'!E567</f>
        <v>Orovada School</v>
      </c>
      <c r="F567" s="1061"/>
      <c r="G567" s="1108">
        <f>'1.2 Budgeted Enrollment YR1'!G567+('1.2 Budgeted Enrollment YR1'!G567*$G$7)</f>
        <v>34.73744067827058</v>
      </c>
      <c r="H567" s="1108"/>
      <c r="I567" s="1114">
        <v>0</v>
      </c>
      <c r="J567" s="1115">
        <v>0</v>
      </c>
      <c r="K567" s="1114">
        <v>0</v>
      </c>
      <c r="L567" s="1108">
        <f>'1.2 Budgeted Enrollment YR1'!L567</f>
        <v>0</v>
      </c>
      <c r="M567" s="1104"/>
      <c r="N567" s="875"/>
    </row>
    <row r="568" spans="1:14" ht="16.5" thickTop="1" thickBot="1" x14ac:dyDescent="0.3">
      <c r="A568" s="968" t="str">
        <f>'1.2 Budgeted Enrollment YR1'!A568</f>
        <v>Humboldt</v>
      </c>
      <c r="B568" s="971">
        <f>'1.2 Budgeted Enrollment YR1'!B568</f>
        <v>7</v>
      </c>
      <c r="C568" s="971">
        <f>'1.2 Budgeted Enrollment YR1'!C568</f>
        <v>7</v>
      </c>
      <c r="D568" s="971" t="str">
        <f>'1.2 Budgeted Enrollment YR1'!D568</f>
        <v>Paradise Valley</v>
      </c>
      <c r="E568" s="968" t="str">
        <f>'1.2 Budgeted Enrollment YR1'!E568</f>
        <v>Paradise Valley School</v>
      </c>
      <c r="F568" s="1061"/>
      <c r="G568" s="1108">
        <f>'1.2 Budgeted Enrollment YR1'!G568+('1.2 Budgeted Enrollment YR1'!G568*$G$7)</f>
        <v>26.182486735596299</v>
      </c>
      <c r="H568" s="1108"/>
      <c r="I568" s="1114">
        <v>0</v>
      </c>
      <c r="J568" s="1115">
        <v>0</v>
      </c>
      <c r="K568" s="1114">
        <v>0</v>
      </c>
      <c r="L568" s="1108">
        <f>'1.2 Budgeted Enrollment YR1'!L568</f>
        <v>0</v>
      </c>
      <c r="M568" s="1104"/>
      <c r="N568" s="875"/>
    </row>
    <row r="569" spans="1:14" ht="16.5" thickTop="1" thickBot="1" x14ac:dyDescent="0.3">
      <c r="A569" s="968" t="str">
        <f>'1.2 Budgeted Enrollment YR1'!A569</f>
        <v>Humboldt</v>
      </c>
      <c r="B569" s="971">
        <f>'1.2 Budgeted Enrollment YR1'!B569</f>
        <v>7</v>
      </c>
      <c r="C569" s="971">
        <f>'1.2 Budgeted Enrollment YR1'!C569</f>
        <v>7</v>
      </c>
      <c r="D569" s="971" t="str">
        <f>'1.2 Budgeted Enrollment YR1'!D569</f>
        <v>Winnemucca</v>
      </c>
      <c r="E569" s="968" t="str">
        <f>'1.2 Budgeted Enrollment YR1'!E569</f>
        <v>Sonoma Heights Elementary</v>
      </c>
      <c r="F569" s="1061"/>
      <c r="G569" s="1108">
        <f>'1.2 Budgeted Enrollment YR1'!G569+('1.2 Budgeted Enrollment YR1'!G569*$G$7)</f>
        <v>457.99026812499761</v>
      </c>
      <c r="H569" s="1108"/>
      <c r="I569" s="1114">
        <v>0</v>
      </c>
      <c r="J569" s="1115">
        <v>0</v>
      </c>
      <c r="K569" s="1114">
        <v>0</v>
      </c>
      <c r="L569" s="1108">
        <f>'1.2 Budgeted Enrollment YR1'!L569</f>
        <v>0</v>
      </c>
      <c r="M569" s="1104"/>
      <c r="N569" s="875"/>
    </row>
    <row r="570" spans="1:14" ht="16.5" thickTop="1" thickBot="1" x14ac:dyDescent="0.3">
      <c r="A570" s="968" t="str">
        <f>'1.2 Budgeted Enrollment YR1'!A570</f>
        <v>Humboldt</v>
      </c>
      <c r="B570" s="971">
        <f>'1.2 Budgeted Enrollment YR1'!B570</f>
        <v>7</v>
      </c>
      <c r="C570" s="971">
        <f>'1.2 Budgeted Enrollment YR1'!C570</f>
        <v>7</v>
      </c>
      <c r="D570" s="971" t="str">
        <f>'1.2 Budgeted Enrollment YR1'!D570</f>
        <v>Winnemucca</v>
      </c>
      <c r="E570" s="968" t="str">
        <f>'1.2 Budgeted Enrollment YR1'!E570</f>
        <v>Winnemucca Grammar School</v>
      </c>
      <c r="F570" s="1061"/>
      <c r="G570" s="1108">
        <f>'1.2 Budgeted Enrollment YR1'!G570+('1.2 Budgeted Enrollment YR1'!G570*$G$7)</f>
        <v>275.38960463525638</v>
      </c>
      <c r="H570" s="1108"/>
      <c r="I570" s="1114">
        <v>0</v>
      </c>
      <c r="J570" s="1115">
        <v>0</v>
      </c>
      <c r="K570" s="1114">
        <v>0</v>
      </c>
      <c r="L570" s="1108">
        <f>'1.2 Budgeted Enrollment YR1'!L570</f>
        <v>0</v>
      </c>
      <c r="M570" s="1104"/>
      <c r="N570" s="875"/>
    </row>
    <row r="571" spans="1:14" ht="16.5" thickTop="1" thickBot="1" x14ac:dyDescent="0.3">
      <c r="A571" s="968" t="str">
        <f>'1.2 Budgeted Enrollment YR1'!A571</f>
        <v>Humboldt</v>
      </c>
      <c r="B571" s="971">
        <f>'1.2 Budgeted Enrollment YR1'!B571</f>
        <v>7</v>
      </c>
      <c r="C571" s="971">
        <f>'1.2 Budgeted Enrollment YR1'!C571</f>
        <v>7</v>
      </c>
      <c r="D571" s="971" t="str">
        <f>'1.2 Budgeted Enrollment YR1'!D571</f>
        <v>Winnemucca</v>
      </c>
      <c r="E571" s="968" t="str">
        <f>'1.2 Budgeted Enrollment YR1'!E571</f>
        <v>Winnemucca Junior High School</v>
      </c>
      <c r="F571" s="1061"/>
      <c r="G571" s="1108">
        <f>'1.2 Budgeted Enrollment YR1'!G571+('1.2 Budgeted Enrollment YR1'!G571*$G$7)</f>
        <v>474.21616175852375</v>
      </c>
      <c r="H571" s="1108"/>
      <c r="I571" s="1114">
        <v>0</v>
      </c>
      <c r="J571" s="1115">
        <v>0</v>
      </c>
      <c r="K571" s="1114">
        <v>0</v>
      </c>
      <c r="L571" s="1108">
        <f>'1.2 Budgeted Enrollment YR1'!L571</f>
        <v>0</v>
      </c>
      <c r="M571" s="1104"/>
      <c r="N571" s="875"/>
    </row>
    <row r="572" spans="1:14" ht="16.5" thickTop="1" thickBot="1" x14ac:dyDescent="0.3">
      <c r="A572" s="968" t="str">
        <f>'1.2 Budgeted Enrollment YR1'!A572</f>
        <v>Lander</v>
      </c>
      <c r="B572" s="971">
        <f>'1.2 Budgeted Enrollment YR1'!B572</f>
        <v>8</v>
      </c>
      <c r="C572" s="971">
        <f>'1.2 Budgeted Enrollment YR1'!C572</f>
        <v>8</v>
      </c>
      <c r="D572" s="971" t="str">
        <f>'1.2 Budgeted Enrollment YR1'!D572</f>
        <v>Austin</v>
      </c>
      <c r="E572" s="968" t="str">
        <f>'1.2 Budgeted Enrollment YR1'!E572</f>
        <v>Austin Combined Schools</v>
      </c>
      <c r="F572" s="1061"/>
      <c r="G572" s="1108">
        <f>'1.2 Budgeted Enrollment YR1'!G572+('1.2 Budgeted Enrollment YR1'!G572*$G$7)</f>
        <v>7.596048896613067</v>
      </c>
      <c r="H572" s="1108"/>
      <c r="I572" s="1114">
        <v>0</v>
      </c>
      <c r="J572" s="1115">
        <v>0</v>
      </c>
      <c r="K572" s="1114">
        <v>0</v>
      </c>
      <c r="L572" s="1108">
        <f>'1.2 Budgeted Enrollment YR1'!L572</f>
        <v>0</v>
      </c>
      <c r="M572" s="1104"/>
      <c r="N572" s="875"/>
    </row>
    <row r="573" spans="1:14" ht="16.5" thickTop="1" thickBot="1" x14ac:dyDescent="0.3">
      <c r="A573" s="968" t="str">
        <f>'1.2 Budgeted Enrollment YR1'!A573</f>
        <v>Lander</v>
      </c>
      <c r="B573" s="971">
        <f>'1.2 Budgeted Enrollment YR1'!B573</f>
        <v>8</v>
      </c>
      <c r="C573" s="971">
        <f>'1.2 Budgeted Enrollment YR1'!C573</f>
        <v>8</v>
      </c>
      <c r="D573" s="971" t="str">
        <f>'1.2 Budgeted Enrollment YR1'!D573</f>
        <v>Battle Mountain</v>
      </c>
      <c r="E573" s="968" t="str">
        <f>'1.2 Budgeted Enrollment YR1'!E573</f>
        <v>Battle Mountain Elementary School</v>
      </c>
      <c r="F573" s="1061"/>
      <c r="G573" s="1108">
        <f>'1.2 Budgeted Enrollment YR1'!G573+('1.2 Budgeted Enrollment YR1'!G573*$G$7)</f>
        <v>368.03219413260092</v>
      </c>
      <c r="H573" s="1108"/>
      <c r="I573" s="1114">
        <v>0</v>
      </c>
      <c r="J573" s="1115">
        <v>0</v>
      </c>
      <c r="K573" s="1114">
        <v>0</v>
      </c>
      <c r="L573" s="1108">
        <f>'1.2 Budgeted Enrollment YR1'!L573</f>
        <v>0</v>
      </c>
      <c r="M573" s="1104"/>
      <c r="N573" s="875"/>
    </row>
    <row r="574" spans="1:14" ht="16.5" thickTop="1" thickBot="1" x14ac:dyDescent="0.3">
      <c r="A574" s="968" t="str">
        <f>'1.2 Budgeted Enrollment YR1'!A574</f>
        <v>Lander</v>
      </c>
      <c r="B574" s="971">
        <f>'1.2 Budgeted Enrollment YR1'!B574</f>
        <v>8</v>
      </c>
      <c r="C574" s="971">
        <f>'1.2 Budgeted Enrollment YR1'!C574</f>
        <v>8</v>
      </c>
      <c r="D574" s="971" t="str">
        <f>'1.2 Budgeted Enrollment YR1'!D574</f>
        <v>Battle Mountain</v>
      </c>
      <c r="E574" s="968" t="str">
        <f>'1.2 Budgeted Enrollment YR1'!E574</f>
        <v>Battle Mountain High School</v>
      </c>
      <c r="F574" s="1061"/>
      <c r="G574" s="1108">
        <f>'1.2 Budgeted Enrollment YR1'!G574+('1.2 Budgeted Enrollment YR1'!G574*$G$7)</f>
        <v>287.67711417038373</v>
      </c>
      <c r="H574" s="1108"/>
      <c r="I574" s="1114">
        <v>0</v>
      </c>
      <c r="J574" s="1115">
        <v>0</v>
      </c>
      <c r="K574" s="1114">
        <v>0</v>
      </c>
      <c r="L574" s="1108">
        <f>'1.2 Budgeted Enrollment YR1'!L574</f>
        <v>0</v>
      </c>
      <c r="M574" s="1104"/>
      <c r="N574" s="875"/>
    </row>
    <row r="575" spans="1:14" ht="16.5" thickTop="1" thickBot="1" x14ac:dyDescent="0.3">
      <c r="A575" s="968" t="str">
        <f>'1.2 Budgeted Enrollment YR1'!A575</f>
        <v>Lander</v>
      </c>
      <c r="B575" s="971">
        <f>'1.2 Budgeted Enrollment YR1'!B575</f>
        <v>8</v>
      </c>
      <c r="C575" s="971">
        <f>'1.2 Budgeted Enrollment YR1'!C575</f>
        <v>8</v>
      </c>
      <c r="D575" s="971" t="str">
        <f>'1.2 Budgeted Enrollment YR1'!D575</f>
        <v>Battle Mountain</v>
      </c>
      <c r="E575" s="968" t="str">
        <f>'1.2 Budgeted Enrollment YR1'!E575</f>
        <v>Eleanor Lemaire Junior High School</v>
      </c>
      <c r="F575" s="1061"/>
      <c r="G575" s="1108">
        <f>'1.2 Budgeted Enrollment YR1'!G575+('1.2 Budgeted Enrollment YR1'!G575*$G$7)</f>
        <v>306.97633999089635</v>
      </c>
      <c r="H575" s="1108"/>
      <c r="I575" s="1114">
        <v>0</v>
      </c>
      <c r="J575" s="1115">
        <v>0</v>
      </c>
      <c r="K575" s="1114">
        <v>0</v>
      </c>
      <c r="L575" s="1108">
        <f>'1.2 Budgeted Enrollment YR1'!L575</f>
        <v>0</v>
      </c>
      <c r="M575" s="1104"/>
      <c r="N575" s="875"/>
    </row>
    <row r="576" spans="1:14" ht="16.5" thickTop="1" thickBot="1" x14ac:dyDescent="0.3">
      <c r="A576" s="968" t="str">
        <f>'1.2 Budgeted Enrollment YR1'!A576</f>
        <v>Lincoln</v>
      </c>
      <c r="B576" s="971">
        <f>'1.2 Budgeted Enrollment YR1'!B576</f>
        <v>9</v>
      </c>
      <c r="C576" s="971">
        <f>'1.2 Budgeted Enrollment YR1'!C576</f>
        <v>9</v>
      </c>
      <c r="D576" s="971" t="str">
        <f>'1.2 Budgeted Enrollment YR1'!D576</f>
        <v>Caliente</v>
      </c>
      <c r="E576" s="968" t="str">
        <f>'1.2 Budgeted Enrollment YR1'!E576</f>
        <v>C O Bastian High School</v>
      </c>
      <c r="F576" s="1061"/>
      <c r="G576" s="1108">
        <f>'1.2 Budgeted Enrollment YR1'!G576+('1.2 Budgeted Enrollment YR1'!G576*$G$7)</f>
        <v>48.692789146558653</v>
      </c>
      <c r="H576" s="1108"/>
      <c r="I576" s="1114">
        <v>0</v>
      </c>
      <c r="J576" s="1115">
        <v>0</v>
      </c>
      <c r="K576" s="1114">
        <v>0</v>
      </c>
      <c r="L576" s="1108">
        <f>'1.2 Budgeted Enrollment YR1'!L576</f>
        <v>0</v>
      </c>
      <c r="M576" s="1104"/>
      <c r="N576" s="875"/>
    </row>
    <row r="577" spans="1:14" ht="16.5" thickTop="1" thickBot="1" x14ac:dyDescent="0.3">
      <c r="A577" s="968" t="str">
        <f>'1.2 Budgeted Enrollment YR1'!A577</f>
        <v>Lincoln</v>
      </c>
      <c r="B577" s="971">
        <f>'1.2 Budgeted Enrollment YR1'!B577</f>
        <v>9</v>
      </c>
      <c r="C577" s="971">
        <f>'1.2 Budgeted Enrollment YR1'!C577</f>
        <v>9</v>
      </c>
      <c r="D577" s="971" t="str">
        <f>'1.2 Budgeted Enrollment YR1'!D577</f>
        <v>Caliente</v>
      </c>
      <c r="E577" s="968" t="str">
        <f>'1.2 Budgeted Enrollment YR1'!E577</f>
        <v>Caliente Elementary School</v>
      </c>
      <c r="F577" s="1061"/>
      <c r="G577" s="1108">
        <f>'1.2 Budgeted Enrollment YR1'!G577+('1.2 Budgeted Enrollment YR1'!G577*$G$7)</f>
        <v>70.480553676933766</v>
      </c>
      <c r="H577" s="1108"/>
      <c r="I577" s="1114">
        <v>0</v>
      </c>
      <c r="J577" s="1115">
        <v>0</v>
      </c>
      <c r="K577" s="1114">
        <v>0</v>
      </c>
      <c r="L577" s="1108">
        <f>'1.2 Budgeted Enrollment YR1'!L577</f>
        <v>0</v>
      </c>
      <c r="M577" s="1104"/>
      <c r="N577" s="875"/>
    </row>
    <row r="578" spans="1:14" ht="16.5" thickTop="1" thickBot="1" x14ac:dyDescent="0.3">
      <c r="A578" s="968" t="str">
        <f>'1.2 Budgeted Enrollment YR1'!A578</f>
        <v>Lincoln</v>
      </c>
      <c r="B578" s="971">
        <f>'1.2 Budgeted Enrollment YR1'!B578</f>
        <v>9</v>
      </c>
      <c r="C578" s="971">
        <f>'1.2 Budgeted Enrollment YR1'!C578</f>
        <v>9</v>
      </c>
      <c r="D578" s="971" t="str">
        <f>'1.2 Budgeted Enrollment YR1'!D578</f>
        <v>Panaca</v>
      </c>
      <c r="E578" s="968" t="str">
        <f>'1.2 Budgeted Enrollment YR1'!E578</f>
        <v>Lincoln County High School</v>
      </c>
      <c r="F578" s="1061"/>
      <c r="G578" s="1108">
        <f>'1.2 Budgeted Enrollment YR1'!G578+('1.2 Budgeted Enrollment YR1'!G578*$G$7)</f>
        <v>157.43355041177011</v>
      </c>
      <c r="H578" s="1108"/>
      <c r="I578" s="1114">
        <v>0</v>
      </c>
      <c r="J578" s="1115">
        <v>0</v>
      </c>
      <c r="K578" s="1114">
        <v>0</v>
      </c>
      <c r="L578" s="1108">
        <f>'1.2 Budgeted Enrollment YR1'!L578</f>
        <v>0</v>
      </c>
      <c r="M578" s="1104"/>
      <c r="N578" s="875"/>
    </row>
    <row r="579" spans="1:14" ht="16.5" thickTop="1" thickBot="1" x14ac:dyDescent="0.3">
      <c r="A579" s="968" t="str">
        <f>'1.2 Budgeted Enrollment YR1'!A579</f>
        <v>Lincoln</v>
      </c>
      <c r="B579" s="971">
        <f>'1.2 Budgeted Enrollment YR1'!B579</f>
        <v>9</v>
      </c>
      <c r="C579" s="971">
        <f>'1.2 Budgeted Enrollment YR1'!C579</f>
        <v>9</v>
      </c>
      <c r="D579" s="971" t="str">
        <f>'1.2 Budgeted Enrollment YR1'!D579</f>
        <v>Panaca</v>
      </c>
      <c r="E579" s="968" t="str">
        <f>'1.2 Budgeted Enrollment YR1'!E579</f>
        <v>Meadow Valley Middle School</v>
      </c>
      <c r="F579" s="1061"/>
      <c r="G579" s="1108">
        <f>'1.2 Budgeted Enrollment YR1'!G579+('1.2 Budgeted Enrollment YR1'!G579*$G$7)</f>
        <v>82.838180528685641</v>
      </c>
      <c r="H579" s="1108"/>
      <c r="I579" s="1114">
        <v>0</v>
      </c>
      <c r="J579" s="1115">
        <v>0</v>
      </c>
      <c r="K579" s="1114">
        <v>0</v>
      </c>
      <c r="L579" s="1108">
        <f>'1.2 Budgeted Enrollment YR1'!L579</f>
        <v>0</v>
      </c>
      <c r="M579" s="1104"/>
      <c r="N579" s="875"/>
    </row>
    <row r="580" spans="1:14" ht="16.5" thickTop="1" thickBot="1" x14ac:dyDescent="0.3">
      <c r="A580" s="968" t="str">
        <f>'1.2 Budgeted Enrollment YR1'!A580</f>
        <v>Lincoln</v>
      </c>
      <c r="B580" s="971">
        <f>'1.2 Budgeted Enrollment YR1'!B580</f>
        <v>9</v>
      </c>
      <c r="C580" s="971">
        <f>'1.2 Budgeted Enrollment YR1'!C580</f>
        <v>9</v>
      </c>
      <c r="D580" s="971" t="str">
        <f>'1.2 Budgeted Enrollment YR1'!D580</f>
        <v>Alamo</v>
      </c>
      <c r="E580" s="968" t="str">
        <f>'1.2 Budgeted Enrollment YR1'!E580</f>
        <v>Pahranagat Valley Elementary School</v>
      </c>
      <c r="F580" s="1061"/>
      <c r="G580" s="1108">
        <f>'1.2 Budgeted Enrollment YR1'!G580+('1.2 Budgeted Enrollment YR1'!G580*$G$7)</f>
        <v>133.10817647424687</v>
      </c>
      <c r="H580" s="1108"/>
      <c r="I580" s="1114">
        <v>0</v>
      </c>
      <c r="J580" s="1115">
        <v>0</v>
      </c>
      <c r="K580" s="1114">
        <v>0</v>
      </c>
      <c r="L580" s="1108">
        <f>'1.2 Budgeted Enrollment YR1'!L580</f>
        <v>0</v>
      </c>
      <c r="M580" s="1104"/>
      <c r="N580" s="875"/>
    </row>
    <row r="581" spans="1:14" ht="16.5" thickTop="1" thickBot="1" x14ac:dyDescent="0.3">
      <c r="A581" s="968" t="str">
        <f>'1.2 Budgeted Enrollment YR1'!A581</f>
        <v>Lincoln</v>
      </c>
      <c r="B581" s="971">
        <f>'1.2 Budgeted Enrollment YR1'!B581</f>
        <v>9</v>
      </c>
      <c r="C581" s="971">
        <f>'1.2 Budgeted Enrollment YR1'!C581</f>
        <v>9</v>
      </c>
      <c r="D581" s="971" t="str">
        <f>'1.2 Budgeted Enrollment YR1'!D581</f>
        <v>Alamo</v>
      </c>
      <c r="E581" s="968" t="str">
        <f>'1.2 Budgeted Enrollment YR1'!E581</f>
        <v>Pahranagat Valley High School</v>
      </c>
      <c r="F581" s="1061"/>
      <c r="G581" s="1108">
        <f>'1.2 Budgeted Enrollment YR1'!G581+('1.2 Budgeted Enrollment YR1'!G581*$G$7)</f>
        <v>102.3825515290025</v>
      </c>
      <c r="H581" s="1108"/>
      <c r="I581" s="1114">
        <v>0</v>
      </c>
      <c r="J581" s="1115">
        <v>0</v>
      </c>
      <c r="K581" s="1114">
        <v>0</v>
      </c>
      <c r="L581" s="1108">
        <f>'1.2 Budgeted Enrollment YR1'!L581</f>
        <v>0</v>
      </c>
      <c r="M581" s="1104"/>
      <c r="N581" s="875"/>
    </row>
    <row r="582" spans="1:14" ht="16.5" thickTop="1" thickBot="1" x14ac:dyDescent="0.3">
      <c r="A582" s="968" t="str">
        <f>'1.2 Budgeted Enrollment YR1'!A582</f>
        <v>Lincoln</v>
      </c>
      <c r="B582" s="971">
        <f>'1.2 Budgeted Enrollment YR1'!B582</f>
        <v>9</v>
      </c>
      <c r="C582" s="971">
        <f>'1.2 Budgeted Enrollment YR1'!C582</f>
        <v>9</v>
      </c>
      <c r="D582" s="971" t="str">
        <f>'1.2 Budgeted Enrollment YR1'!D582</f>
        <v>Alamo</v>
      </c>
      <c r="E582" s="968" t="str">
        <f>'1.2 Budgeted Enrollment YR1'!E582</f>
        <v>Pahranagat Valley Middle School</v>
      </c>
      <c r="F582" s="1061"/>
      <c r="G582" s="1108">
        <f>'1.2 Budgeted Enrollment YR1'!G582+('1.2 Budgeted Enrollment YR1'!G582*$G$7)</f>
        <v>61.173134490517931</v>
      </c>
      <c r="H582" s="1108"/>
      <c r="I582" s="1114">
        <v>0</v>
      </c>
      <c r="J582" s="1115">
        <v>0</v>
      </c>
      <c r="K582" s="1114">
        <v>0</v>
      </c>
      <c r="L582" s="1108">
        <f>'1.2 Budgeted Enrollment YR1'!L582</f>
        <v>0</v>
      </c>
      <c r="M582" s="1104"/>
      <c r="N582" s="875"/>
    </row>
    <row r="583" spans="1:14" ht="16.5" thickTop="1" thickBot="1" x14ac:dyDescent="0.3">
      <c r="A583" s="968" t="str">
        <f>'1.2 Budgeted Enrollment YR1'!A583</f>
        <v>Lincoln</v>
      </c>
      <c r="B583" s="971">
        <f>'1.2 Budgeted Enrollment YR1'!B583</f>
        <v>9</v>
      </c>
      <c r="C583" s="971">
        <f>'1.2 Budgeted Enrollment YR1'!C583</f>
        <v>9</v>
      </c>
      <c r="D583" s="971" t="str">
        <f>'1.2 Budgeted Enrollment YR1'!D583</f>
        <v>Panaca</v>
      </c>
      <c r="E583" s="968" t="str">
        <f>'1.2 Budgeted Enrollment YR1'!E583</f>
        <v>Panaca Elementary School</v>
      </c>
      <c r="F583" s="1061"/>
      <c r="G583" s="1108">
        <f>'1.2 Budgeted Enrollment YR1'!G583+('1.2 Budgeted Enrollment YR1'!G583*$G$7)</f>
        <v>165.07630833606052</v>
      </c>
      <c r="H583" s="1108"/>
      <c r="I583" s="1114">
        <v>0</v>
      </c>
      <c r="J583" s="1115">
        <v>0</v>
      </c>
      <c r="K583" s="1114">
        <v>0</v>
      </c>
      <c r="L583" s="1108">
        <f>'1.2 Budgeted Enrollment YR1'!L583</f>
        <v>0</v>
      </c>
      <c r="M583" s="1104"/>
      <c r="N583" s="875"/>
    </row>
    <row r="584" spans="1:14" ht="16.5" thickTop="1" thickBot="1" x14ac:dyDescent="0.3">
      <c r="A584" s="968" t="str">
        <f>'1.2 Budgeted Enrollment YR1'!A584</f>
        <v>Lincoln</v>
      </c>
      <c r="B584" s="971">
        <f>'1.2 Budgeted Enrollment YR1'!B584</f>
        <v>9</v>
      </c>
      <c r="C584" s="971">
        <f>'1.2 Budgeted Enrollment YR1'!C584</f>
        <v>9</v>
      </c>
      <c r="D584" s="971" t="str">
        <f>'1.2 Budgeted Enrollment YR1'!D584</f>
        <v>Pioche</v>
      </c>
      <c r="E584" s="968" t="str">
        <f>'1.2 Budgeted Enrollment YR1'!E584</f>
        <v>Pioche Elementary School</v>
      </c>
      <c r="F584" s="1061"/>
      <c r="G584" s="1108">
        <f>'1.2 Budgeted Enrollment YR1'!G584+('1.2 Budgeted Enrollment YR1'!G584*$G$7)</f>
        <v>48.841745893566603</v>
      </c>
      <c r="H584" s="1108"/>
      <c r="I584" s="1114">
        <v>0</v>
      </c>
      <c r="J584" s="1115">
        <v>0</v>
      </c>
      <c r="K584" s="1114">
        <v>0</v>
      </c>
      <c r="L584" s="1108">
        <f>'1.2 Budgeted Enrollment YR1'!L584</f>
        <v>0</v>
      </c>
      <c r="M584" s="1104"/>
      <c r="N584" s="875"/>
    </row>
    <row r="585" spans="1:14" ht="16.5" thickTop="1" thickBot="1" x14ac:dyDescent="0.3">
      <c r="A585" s="968" t="str">
        <f>'1.2 Budgeted Enrollment YR1'!A585</f>
        <v>Lyon</v>
      </c>
      <c r="B585" s="971">
        <f>'1.2 Budgeted Enrollment YR1'!B585</f>
        <v>10</v>
      </c>
      <c r="C585" s="971">
        <f>'1.2 Budgeted Enrollment YR1'!C585</f>
        <v>10</v>
      </c>
      <c r="D585" s="971" t="str">
        <f>'1.2 Budgeted Enrollment YR1'!D585</f>
        <v>Fernley</v>
      </c>
      <c r="E585" s="968" t="str">
        <f>'1.2 Budgeted Enrollment YR1'!E585</f>
        <v>Cottonwood Elementary School</v>
      </c>
      <c r="F585" s="1061"/>
      <c r="G585" s="1108">
        <f>'1.2 Budgeted Enrollment YR1'!G585+('1.2 Budgeted Enrollment YR1'!G585*$G$7)</f>
        <v>563.29935915303054</v>
      </c>
      <c r="H585" s="1108"/>
      <c r="I585" s="1114">
        <v>0</v>
      </c>
      <c r="J585" s="1115">
        <v>0</v>
      </c>
      <c r="K585" s="1114">
        <v>0</v>
      </c>
      <c r="L585" s="1108">
        <f>'1.2 Budgeted Enrollment YR1'!L585</f>
        <v>0</v>
      </c>
      <c r="M585" s="1104"/>
      <c r="N585" s="875"/>
    </row>
    <row r="586" spans="1:14" ht="16.5" thickTop="1" thickBot="1" x14ac:dyDescent="0.3">
      <c r="A586" s="968" t="str">
        <f>'1.2 Budgeted Enrollment YR1'!A586</f>
        <v>Lyon</v>
      </c>
      <c r="B586" s="971">
        <f>'1.2 Budgeted Enrollment YR1'!B586</f>
        <v>10</v>
      </c>
      <c r="C586" s="971">
        <f>'1.2 Budgeted Enrollment YR1'!C586</f>
        <v>10</v>
      </c>
      <c r="D586" s="971" t="str">
        <f>'1.2 Budgeted Enrollment YR1'!D586</f>
        <v>Dayton</v>
      </c>
      <c r="E586" s="968" t="str">
        <f>'1.2 Budgeted Enrollment YR1'!E586</f>
        <v>Dayton Elementary School</v>
      </c>
      <c r="F586" s="1061"/>
      <c r="G586" s="1108">
        <f>'1.2 Budgeted Enrollment YR1'!G586+('1.2 Budgeted Enrollment YR1'!G586*$G$7)</f>
        <v>456.99327309076375</v>
      </c>
      <c r="H586" s="1108"/>
      <c r="I586" s="1114"/>
      <c r="J586" s="1115"/>
      <c r="K586" s="1114"/>
      <c r="L586" s="1108">
        <f>'1.2 Budgeted Enrollment YR1'!L586</f>
        <v>0</v>
      </c>
      <c r="M586" s="1104"/>
      <c r="N586" s="875"/>
    </row>
    <row r="587" spans="1:14" ht="16.5" thickTop="1" thickBot="1" x14ac:dyDescent="0.3">
      <c r="A587" s="968" t="str">
        <f>'1.2 Budgeted Enrollment YR1'!A587</f>
        <v>Lyon</v>
      </c>
      <c r="B587" s="971">
        <f>'1.2 Budgeted Enrollment YR1'!B587</f>
        <v>10</v>
      </c>
      <c r="C587" s="971">
        <f>'1.2 Budgeted Enrollment YR1'!C587</f>
        <v>10</v>
      </c>
      <c r="D587" s="971" t="str">
        <f>'1.2 Budgeted Enrollment YR1'!D587</f>
        <v>Dayton</v>
      </c>
      <c r="E587" s="968" t="str">
        <f>'1.2 Budgeted Enrollment YR1'!E587</f>
        <v>Dayton High School</v>
      </c>
      <c r="F587" s="1061"/>
      <c r="G587" s="1108">
        <f>'1.2 Budgeted Enrollment YR1'!G587+('1.2 Budgeted Enrollment YR1'!G587*$G$7)</f>
        <v>741.15626453089999</v>
      </c>
      <c r="H587" s="1108"/>
      <c r="I587" s="1114">
        <v>0</v>
      </c>
      <c r="J587" s="1115">
        <v>0</v>
      </c>
      <c r="K587" s="1114">
        <v>0</v>
      </c>
      <c r="L587" s="1108">
        <f>'1.2 Budgeted Enrollment YR1'!L587</f>
        <v>0</v>
      </c>
      <c r="M587" s="1104"/>
      <c r="N587" s="875"/>
    </row>
    <row r="588" spans="1:14" ht="16.5" thickTop="1" thickBot="1" x14ac:dyDescent="0.3">
      <c r="A588" s="968" t="str">
        <f>'1.2 Budgeted Enrollment YR1'!A588</f>
        <v>Lyon</v>
      </c>
      <c r="B588" s="971">
        <f>'1.2 Budgeted Enrollment YR1'!B588</f>
        <v>10</v>
      </c>
      <c r="C588" s="971">
        <f>'1.2 Budgeted Enrollment YR1'!C588</f>
        <v>10</v>
      </c>
      <c r="D588" s="971" t="str">
        <f>'1.2 Budgeted Enrollment YR1'!D588</f>
        <v>Dayton</v>
      </c>
      <c r="E588" s="968" t="str">
        <f>'1.2 Budgeted Enrollment YR1'!E588</f>
        <v>Dayton Intermediate School</v>
      </c>
      <c r="F588" s="1061"/>
      <c r="G588" s="1108">
        <f>'1.2 Budgeted Enrollment YR1'!G588+('1.2 Budgeted Enrollment YR1'!G588*$G$7)</f>
        <v>364.25006767864403</v>
      </c>
      <c r="H588" s="1108"/>
      <c r="I588" s="1114">
        <v>0</v>
      </c>
      <c r="J588" s="1115">
        <v>0</v>
      </c>
      <c r="K588" s="1114">
        <v>0</v>
      </c>
      <c r="L588" s="1108">
        <f>'1.2 Budgeted Enrollment YR1'!L588</f>
        <v>0</v>
      </c>
      <c r="M588" s="1104"/>
      <c r="N588" s="875"/>
    </row>
    <row r="589" spans="1:14" ht="16.5" thickTop="1" thickBot="1" x14ac:dyDescent="0.3">
      <c r="A589" s="968" t="str">
        <f>'1.2 Budgeted Enrollment YR1'!A589</f>
        <v>Lyon</v>
      </c>
      <c r="B589" s="971">
        <f>'1.2 Budgeted Enrollment YR1'!B589</f>
        <v>10</v>
      </c>
      <c r="C589" s="971">
        <f>'1.2 Budgeted Enrollment YR1'!C589</f>
        <v>10</v>
      </c>
      <c r="D589" s="971" t="str">
        <f>'1.2 Budgeted Enrollment YR1'!D589</f>
        <v>Silver Springs</v>
      </c>
      <c r="E589" s="968" t="str">
        <f>'1.2 Budgeted Enrollment YR1'!E589</f>
        <v>Eagle Ridge High School</v>
      </c>
      <c r="F589" s="1061"/>
      <c r="G589" s="1108">
        <f>'1.2 Budgeted Enrollment YR1'!G589+('1.2 Budgeted Enrollment YR1'!G589*$G$7)</f>
        <v>9.5402857277736661</v>
      </c>
      <c r="H589" s="1108"/>
      <c r="I589" s="1114">
        <v>0</v>
      </c>
      <c r="J589" s="1115">
        <v>0</v>
      </c>
      <c r="K589" s="1114">
        <v>0</v>
      </c>
      <c r="L589" s="1108">
        <f>'1.2 Budgeted Enrollment YR1'!L589</f>
        <v>0</v>
      </c>
      <c r="M589" s="1104"/>
      <c r="N589" s="875"/>
    </row>
    <row r="590" spans="1:14" ht="16.5" thickTop="1" thickBot="1" x14ac:dyDescent="0.3">
      <c r="A590" s="968" t="str">
        <f>'1.2 Budgeted Enrollment YR1'!A590</f>
        <v>Lyon</v>
      </c>
      <c r="B590" s="971">
        <f>'1.2 Budgeted Enrollment YR1'!B590</f>
        <v>10</v>
      </c>
      <c r="C590" s="971">
        <f>'1.2 Budgeted Enrollment YR1'!C590</f>
        <v>10</v>
      </c>
      <c r="D590" s="971" t="str">
        <f>'1.2 Budgeted Enrollment YR1'!D590</f>
        <v>Fernley</v>
      </c>
      <c r="E590" s="968" t="str">
        <f>'1.2 Budgeted Enrollment YR1'!E590</f>
        <v>East Valley Elementary School</v>
      </c>
      <c r="F590" s="1061"/>
      <c r="G590" s="1108">
        <f>'1.2 Budgeted Enrollment YR1'!G590+('1.2 Budgeted Enrollment YR1'!G590*$G$7)</f>
        <v>500.5769139450162</v>
      </c>
      <c r="H590" s="1108"/>
      <c r="I590" s="1114">
        <v>0</v>
      </c>
      <c r="J590" s="1115">
        <v>0</v>
      </c>
      <c r="K590" s="1114">
        <v>0</v>
      </c>
      <c r="L590" s="1108">
        <f>'1.2 Budgeted Enrollment YR1'!L590</f>
        <v>0</v>
      </c>
      <c r="M590" s="1104"/>
      <c r="N590" s="875"/>
    </row>
    <row r="591" spans="1:14" ht="16.5" thickTop="1" thickBot="1" x14ac:dyDescent="0.3">
      <c r="A591" s="968" t="str">
        <f>'1.2 Budgeted Enrollment YR1'!A591</f>
        <v>Lyon</v>
      </c>
      <c r="B591" s="971">
        <f>'1.2 Budgeted Enrollment YR1'!B591</f>
        <v>10</v>
      </c>
      <c r="C591" s="971">
        <f>'1.2 Budgeted Enrollment YR1'!C591</f>
        <v>10</v>
      </c>
      <c r="D591" s="971" t="str">
        <f>'1.2 Budgeted Enrollment YR1'!D591</f>
        <v>Fernley</v>
      </c>
      <c r="E591" s="968" t="str">
        <f>'1.2 Budgeted Enrollment YR1'!E591</f>
        <v>Fernley Elementary School</v>
      </c>
      <c r="F591" s="1061"/>
      <c r="G591" s="1108">
        <f>'1.2 Budgeted Enrollment YR1'!G591+('1.2 Budgeted Enrollment YR1'!G591*$G$7)</f>
        <v>420.21048254690328</v>
      </c>
      <c r="H591" s="1108"/>
      <c r="I591" s="1114">
        <v>0</v>
      </c>
      <c r="J591" s="1115">
        <v>0</v>
      </c>
      <c r="K591" s="1114">
        <v>0</v>
      </c>
      <c r="L591" s="1108">
        <f>'1.2 Budgeted Enrollment YR1'!L591</f>
        <v>0</v>
      </c>
      <c r="M591" s="1104"/>
      <c r="N591" s="875"/>
    </row>
    <row r="592" spans="1:14" ht="16.5" thickTop="1" thickBot="1" x14ac:dyDescent="0.3">
      <c r="A592" s="968" t="str">
        <f>'1.2 Budgeted Enrollment YR1'!A592</f>
        <v>Lyon</v>
      </c>
      <c r="B592" s="971">
        <f>'1.2 Budgeted Enrollment YR1'!B592</f>
        <v>10</v>
      </c>
      <c r="C592" s="971">
        <f>'1.2 Budgeted Enrollment YR1'!C592</f>
        <v>10</v>
      </c>
      <c r="D592" s="971" t="str">
        <f>'1.2 Budgeted Enrollment YR1'!D592</f>
        <v>Fernley</v>
      </c>
      <c r="E592" s="968" t="str">
        <f>'1.2 Budgeted Enrollment YR1'!E592</f>
        <v>Fernley High School</v>
      </c>
      <c r="F592" s="1061"/>
      <c r="G592" s="1108">
        <f>'1.2 Budgeted Enrollment YR1'!G592+('1.2 Budgeted Enrollment YR1'!G592*$G$7)</f>
        <v>1300.7716122505506</v>
      </c>
      <c r="H592" s="1108"/>
      <c r="I592" s="1114">
        <v>0</v>
      </c>
      <c r="J592" s="1115">
        <v>0</v>
      </c>
      <c r="K592" s="1114">
        <v>0</v>
      </c>
      <c r="L592" s="1108">
        <f>'1.2 Budgeted Enrollment YR1'!L592</f>
        <v>0</v>
      </c>
      <c r="M592" s="1104"/>
      <c r="N592" s="875"/>
    </row>
    <row r="593" spans="1:14" ht="16.5" thickTop="1" thickBot="1" x14ac:dyDescent="0.3">
      <c r="A593" s="968" t="str">
        <f>'1.2 Budgeted Enrollment YR1'!A593</f>
        <v>Lyon</v>
      </c>
      <c r="B593" s="971">
        <f>'1.2 Budgeted Enrollment YR1'!B593</f>
        <v>10</v>
      </c>
      <c r="C593" s="971">
        <f>'1.2 Budgeted Enrollment YR1'!C593</f>
        <v>10</v>
      </c>
      <c r="D593" s="971" t="str">
        <f>'1.2 Budgeted Enrollment YR1'!D593</f>
        <v>Fernley</v>
      </c>
      <c r="E593" s="968" t="str">
        <f>'1.2 Budgeted Enrollment YR1'!E593</f>
        <v>Fernley Intermediate School</v>
      </c>
      <c r="F593" s="1061"/>
      <c r="G593" s="1108">
        <f>'1.2 Budgeted Enrollment YR1'!G593+('1.2 Budgeted Enrollment YR1'!G593*$G$7)</f>
        <v>656.77696098130093</v>
      </c>
      <c r="H593" s="1108"/>
      <c r="I593" s="1114">
        <v>0</v>
      </c>
      <c r="J593" s="1115">
        <v>0</v>
      </c>
      <c r="K593" s="1114">
        <v>0</v>
      </c>
      <c r="L593" s="1108">
        <f>'1.2 Budgeted Enrollment YR1'!L593</f>
        <v>0</v>
      </c>
      <c r="M593" s="1104"/>
      <c r="N593" s="875"/>
    </row>
    <row r="594" spans="1:14" ht="16.5" thickTop="1" thickBot="1" x14ac:dyDescent="0.3">
      <c r="A594" s="968" t="str">
        <f>'1.2 Budgeted Enrollment YR1'!A594</f>
        <v>Lyon</v>
      </c>
      <c r="B594" s="971">
        <f>'1.2 Budgeted Enrollment YR1'!B594</f>
        <v>10</v>
      </c>
      <c r="C594" s="971">
        <f>'1.2 Budgeted Enrollment YR1'!C594</f>
        <v>10</v>
      </c>
      <c r="D594" s="971" t="str">
        <f>'1.2 Budgeted Enrollment YR1'!D594</f>
        <v>Dayton</v>
      </c>
      <c r="E594" s="968" t="str">
        <f>'1.2 Budgeted Enrollment YR1'!E594</f>
        <v>Riverview Elementary School</v>
      </c>
      <c r="F594" s="1061"/>
      <c r="G594" s="1108">
        <f>'1.2 Budgeted Enrollment YR1'!G594+('1.2 Budgeted Enrollment YR1'!G594*$G$7)</f>
        <v>435.48049529545511</v>
      </c>
      <c r="H594" s="1108"/>
      <c r="I594" s="1114">
        <v>0</v>
      </c>
      <c r="J594" s="1115">
        <v>0</v>
      </c>
      <c r="K594" s="1114">
        <v>0</v>
      </c>
      <c r="L594" s="1108">
        <f>'1.2 Budgeted Enrollment YR1'!L594</f>
        <v>0</v>
      </c>
      <c r="M594" s="1104"/>
      <c r="N594" s="875"/>
    </row>
    <row r="595" spans="1:14" ht="16.5" thickTop="1" thickBot="1" x14ac:dyDescent="0.3">
      <c r="A595" s="968" t="str">
        <f>'1.2 Budgeted Enrollment YR1'!A595</f>
        <v>Lyon</v>
      </c>
      <c r="B595" s="971">
        <f>'1.2 Budgeted Enrollment YR1'!B595</f>
        <v>10</v>
      </c>
      <c r="C595" s="971">
        <f>'1.2 Budgeted Enrollment YR1'!C595</f>
        <v>10</v>
      </c>
      <c r="D595" s="971" t="str">
        <f>'1.2 Budgeted Enrollment YR1'!D595</f>
        <v>Silver Springs</v>
      </c>
      <c r="E595" s="968" t="str">
        <f>'1.2 Budgeted Enrollment YR1'!E595</f>
        <v>Silver Stage Elementary School</v>
      </c>
      <c r="F595" s="1061"/>
      <c r="G595" s="1108">
        <f>'1.2 Budgeted Enrollment YR1'!G595+('1.2 Budgeted Enrollment YR1'!G595*$G$7)</f>
        <v>348.978680645623</v>
      </c>
      <c r="H595" s="1108"/>
      <c r="I595" s="1114">
        <v>0</v>
      </c>
      <c r="J595" s="1115">
        <v>0</v>
      </c>
      <c r="K595" s="1114">
        <v>0</v>
      </c>
      <c r="L595" s="1108">
        <f>'1.2 Budgeted Enrollment YR1'!L595</f>
        <v>0</v>
      </c>
      <c r="M595" s="1104"/>
      <c r="N595" s="875"/>
    </row>
    <row r="596" spans="1:14" ht="16.5" thickTop="1" thickBot="1" x14ac:dyDescent="0.3">
      <c r="A596" s="968" t="str">
        <f>'1.2 Budgeted Enrollment YR1'!A596</f>
        <v>Lyon</v>
      </c>
      <c r="B596" s="971">
        <f>'1.2 Budgeted Enrollment YR1'!B596</f>
        <v>10</v>
      </c>
      <c r="C596" s="971">
        <f>'1.2 Budgeted Enrollment YR1'!C596</f>
        <v>10</v>
      </c>
      <c r="D596" s="971" t="str">
        <f>'1.2 Budgeted Enrollment YR1'!D596</f>
        <v>Silver Springs</v>
      </c>
      <c r="E596" s="968" t="str">
        <f>'1.2 Budgeted Enrollment YR1'!E596</f>
        <v>Silver Stage High School</v>
      </c>
      <c r="F596" s="1061"/>
      <c r="G596" s="1108">
        <f>'1.2 Budgeted Enrollment YR1'!G596+('1.2 Budgeted Enrollment YR1'!G596*$G$7)</f>
        <v>331.63352029078112</v>
      </c>
      <c r="H596" s="1108"/>
      <c r="I596" s="1114">
        <v>0</v>
      </c>
      <c r="J596" s="1115">
        <v>0</v>
      </c>
      <c r="K596" s="1114">
        <v>0</v>
      </c>
      <c r="L596" s="1108">
        <f>'1.2 Budgeted Enrollment YR1'!L596</f>
        <v>0</v>
      </c>
      <c r="M596" s="1104"/>
      <c r="N596" s="875"/>
    </row>
    <row r="597" spans="1:14" ht="16.5" thickTop="1" thickBot="1" x14ac:dyDescent="0.3">
      <c r="A597" s="968" t="str">
        <f>'1.2 Budgeted Enrollment YR1'!A597</f>
        <v>Lyon</v>
      </c>
      <c r="B597" s="971">
        <f>'1.2 Budgeted Enrollment YR1'!B597</f>
        <v>10</v>
      </c>
      <c r="C597" s="971">
        <f>'1.2 Budgeted Enrollment YR1'!C597</f>
        <v>10</v>
      </c>
      <c r="D597" s="971" t="str">
        <f>'1.2 Budgeted Enrollment YR1'!D597</f>
        <v>Silver Springs</v>
      </c>
      <c r="E597" s="968" t="str">
        <f>'1.2 Budgeted Enrollment YR1'!E597</f>
        <v>Silver Stage Middle School</v>
      </c>
      <c r="F597" s="1061"/>
      <c r="G597" s="1108">
        <f>'1.2 Budgeted Enrollment YR1'!G597+('1.2 Budgeted Enrollment YR1'!G597*$G$7)</f>
        <v>321.15926524242741</v>
      </c>
      <c r="H597" s="1108"/>
      <c r="I597" s="1114">
        <v>0</v>
      </c>
      <c r="J597" s="1115">
        <v>0</v>
      </c>
      <c r="K597" s="1114">
        <v>0</v>
      </c>
      <c r="L597" s="1108">
        <f>'1.2 Budgeted Enrollment YR1'!L597</f>
        <v>0</v>
      </c>
      <c r="M597" s="1104"/>
      <c r="N597" s="875"/>
    </row>
    <row r="598" spans="1:14" ht="16.5" thickTop="1" thickBot="1" x14ac:dyDescent="0.3">
      <c r="A598" s="968" t="str">
        <f>'1.2 Budgeted Enrollment YR1'!A598</f>
        <v>Lyon</v>
      </c>
      <c r="B598" s="971">
        <f>'1.2 Budgeted Enrollment YR1'!B598</f>
        <v>10</v>
      </c>
      <c r="C598" s="971">
        <f>'1.2 Budgeted Enrollment YR1'!C598</f>
        <v>10</v>
      </c>
      <c r="D598" s="971" t="str">
        <f>'1.2 Budgeted Enrollment YR1'!D598</f>
        <v>Fernley</v>
      </c>
      <c r="E598" s="968" t="str">
        <f>'1.2 Budgeted Enrollment YR1'!E598</f>
        <v>Silverland Middle School</v>
      </c>
      <c r="F598" s="1061"/>
      <c r="G598" s="1108">
        <f>'1.2 Budgeted Enrollment YR1'!G598+('1.2 Budgeted Enrollment YR1'!G598*$G$7)</f>
        <v>636.6053766126754</v>
      </c>
      <c r="H598" s="1108"/>
      <c r="I598" s="1114">
        <v>0</v>
      </c>
      <c r="J598" s="1115">
        <v>0</v>
      </c>
      <c r="K598" s="1114">
        <v>0</v>
      </c>
      <c r="L598" s="1108">
        <f>'1.2 Budgeted Enrollment YR1'!L598</f>
        <v>0</v>
      </c>
      <c r="M598" s="1104"/>
      <c r="N598" s="875"/>
    </row>
    <row r="599" spans="1:14" ht="16.5" thickTop="1" thickBot="1" x14ac:dyDescent="0.3">
      <c r="A599" s="968" t="str">
        <f>'1.2 Budgeted Enrollment YR1'!A599</f>
        <v>Lyon</v>
      </c>
      <c r="B599" s="971">
        <f>'1.2 Budgeted Enrollment YR1'!B599</f>
        <v>10</v>
      </c>
      <c r="C599" s="971">
        <f>'1.2 Budgeted Enrollment YR1'!C599</f>
        <v>10</v>
      </c>
      <c r="D599" s="971" t="str">
        <f>'1.2 Budgeted Enrollment YR1'!D599</f>
        <v>Smith Valley</v>
      </c>
      <c r="E599" s="968" t="str">
        <f>'1.2 Budgeted Enrollment YR1'!E599</f>
        <v>Smith Valley Schools</v>
      </c>
      <c r="F599" s="1061"/>
      <c r="G599" s="1108">
        <f>'1.2 Budgeted Enrollment YR1'!G599+('1.2 Budgeted Enrollment YR1'!G599*$G$7)</f>
        <v>189.86443292246088</v>
      </c>
      <c r="H599" s="1108"/>
      <c r="I599" s="1114">
        <v>0</v>
      </c>
      <c r="J599" s="1115">
        <v>0</v>
      </c>
      <c r="K599" s="1114">
        <v>0</v>
      </c>
      <c r="L599" s="1108">
        <f>'1.2 Budgeted Enrollment YR1'!L599</f>
        <v>0</v>
      </c>
      <c r="M599" s="1104"/>
      <c r="N599" s="875"/>
    </row>
    <row r="600" spans="1:14" ht="16.5" thickTop="1" thickBot="1" x14ac:dyDescent="0.3">
      <c r="A600" s="968" t="str">
        <f>'1.2 Budgeted Enrollment YR1'!A600</f>
        <v>Lyon</v>
      </c>
      <c r="B600" s="971">
        <f>'1.2 Budgeted Enrollment YR1'!B600</f>
        <v>10</v>
      </c>
      <c r="C600" s="971">
        <f>'1.2 Budgeted Enrollment YR1'!C600</f>
        <v>10</v>
      </c>
      <c r="D600" s="971" t="str">
        <f>'1.2 Budgeted Enrollment YR1'!D600</f>
        <v>Dayton</v>
      </c>
      <c r="E600" s="968" t="str">
        <f>'1.2 Budgeted Enrollment YR1'!E600</f>
        <v>Sutro Elementary School</v>
      </c>
      <c r="F600" s="1061"/>
      <c r="G600" s="1108">
        <f>'1.2 Budgeted Enrollment YR1'!G600+('1.2 Budgeted Enrollment YR1'!G600*$G$7)</f>
        <v>401.0516520787636</v>
      </c>
      <c r="H600" s="1108"/>
      <c r="I600" s="1114">
        <v>0</v>
      </c>
      <c r="J600" s="1115">
        <v>0</v>
      </c>
      <c r="K600" s="1114">
        <v>0</v>
      </c>
      <c r="L600" s="1108">
        <f>'1.2 Budgeted Enrollment YR1'!L600</f>
        <v>0</v>
      </c>
      <c r="M600" s="1104"/>
      <c r="N600" s="875"/>
    </row>
    <row r="601" spans="1:14" ht="16.5" thickTop="1" thickBot="1" x14ac:dyDescent="0.3">
      <c r="A601" s="968" t="str">
        <f>'1.2 Budgeted Enrollment YR1'!A601</f>
        <v>Lyon</v>
      </c>
      <c r="B601" s="971">
        <f>'1.2 Budgeted Enrollment YR1'!B601</f>
        <v>10</v>
      </c>
      <c r="C601" s="971">
        <f>'1.2 Budgeted Enrollment YR1'!C601</f>
        <v>10</v>
      </c>
      <c r="D601" s="971" t="str">
        <f>'1.2 Budgeted Enrollment YR1'!D601</f>
        <v>Yerington</v>
      </c>
      <c r="E601" s="968" t="str">
        <f>'1.2 Budgeted Enrollment YR1'!E601</f>
        <v>Yerington Elementary School</v>
      </c>
      <c r="F601" s="1061"/>
      <c r="G601" s="1108">
        <f>'1.2 Budgeted Enrollment YR1'!G601+('1.2 Budgeted Enrollment YR1'!G601*$G$7)</f>
        <v>458.43989245803624</v>
      </c>
      <c r="H601" s="1108"/>
      <c r="I601" s="1114">
        <v>0</v>
      </c>
      <c r="J601" s="1115">
        <v>0</v>
      </c>
      <c r="K601" s="1114">
        <v>0</v>
      </c>
      <c r="L601" s="1108">
        <f>'1.2 Budgeted Enrollment YR1'!L601</f>
        <v>0</v>
      </c>
      <c r="M601" s="1104"/>
      <c r="N601" s="875"/>
    </row>
    <row r="602" spans="1:14" ht="16.5" thickTop="1" thickBot="1" x14ac:dyDescent="0.3">
      <c r="A602" s="968" t="str">
        <f>'1.2 Budgeted Enrollment YR1'!A602</f>
        <v>Lyon</v>
      </c>
      <c r="B602" s="971">
        <f>'1.2 Budgeted Enrollment YR1'!B602</f>
        <v>10</v>
      </c>
      <c r="C602" s="971">
        <f>'1.2 Budgeted Enrollment YR1'!C602</f>
        <v>10</v>
      </c>
      <c r="D602" s="971" t="str">
        <f>'1.2 Budgeted Enrollment YR1'!D602</f>
        <v>Yerington</v>
      </c>
      <c r="E602" s="968" t="str">
        <f>'1.2 Budgeted Enrollment YR1'!E602</f>
        <v>Yerington High School</v>
      </c>
      <c r="F602" s="1061"/>
      <c r="G602" s="1108">
        <f>'1.2 Budgeted Enrollment YR1'!G602+('1.2 Budgeted Enrollment YR1'!G602*$G$7)</f>
        <v>402.20756883981511</v>
      </c>
      <c r="H602" s="1108"/>
      <c r="I602" s="1114">
        <v>0</v>
      </c>
      <c r="J602" s="1115">
        <v>0</v>
      </c>
      <c r="K602" s="1114">
        <v>0</v>
      </c>
      <c r="L602" s="1108">
        <f>'1.2 Budgeted Enrollment YR1'!L602</f>
        <v>0</v>
      </c>
      <c r="M602" s="1104"/>
      <c r="N602" s="875"/>
    </row>
    <row r="603" spans="1:14" ht="16.5" thickTop="1" thickBot="1" x14ac:dyDescent="0.3">
      <c r="A603" s="968" t="str">
        <f>'1.2 Budgeted Enrollment YR1'!A603</f>
        <v>Lyon</v>
      </c>
      <c r="B603" s="971">
        <f>'1.2 Budgeted Enrollment YR1'!B603</f>
        <v>10</v>
      </c>
      <c r="C603" s="971">
        <f>'1.2 Budgeted Enrollment YR1'!C603</f>
        <v>10</v>
      </c>
      <c r="D603" s="971" t="str">
        <f>'1.2 Budgeted Enrollment YR1'!D603</f>
        <v>Yerington</v>
      </c>
      <c r="E603" s="968" t="str">
        <f>'1.2 Budgeted Enrollment YR1'!E603</f>
        <v>Yerington Intermediate School</v>
      </c>
      <c r="F603" s="1061"/>
      <c r="G603" s="1108">
        <f>'1.2 Budgeted Enrollment YR1'!G603+('1.2 Budgeted Enrollment YR1'!G603*$G$7)</f>
        <v>394.980372480207</v>
      </c>
      <c r="H603" s="1108"/>
      <c r="I603" s="1114">
        <v>0</v>
      </c>
      <c r="J603" s="1115">
        <v>0</v>
      </c>
      <c r="K603" s="1114">
        <v>0</v>
      </c>
      <c r="L603" s="1108">
        <f>'1.2 Budgeted Enrollment YR1'!L603</f>
        <v>0</v>
      </c>
      <c r="M603" s="1104"/>
      <c r="N603" s="875"/>
    </row>
    <row r="604" spans="1:14" ht="16.5" thickTop="1" thickBot="1" x14ac:dyDescent="0.3">
      <c r="A604" s="968" t="str">
        <f>'1.2 Budgeted Enrollment YR1'!A604</f>
        <v>Mineral</v>
      </c>
      <c r="B604" s="971">
        <f>'1.2 Budgeted Enrollment YR1'!B604</f>
        <v>11</v>
      </c>
      <c r="C604" s="971">
        <f>'1.2 Budgeted Enrollment YR1'!C604</f>
        <v>11</v>
      </c>
      <c r="D604" s="971" t="str">
        <f>'1.2 Budgeted Enrollment YR1'!D604</f>
        <v>Hawthorne</v>
      </c>
      <c r="E604" s="968" t="str">
        <f>'1.2 Budgeted Enrollment YR1'!E604</f>
        <v>Hawthorne Elementary</v>
      </c>
      <c r="F604" s="1061"/>
      <c r="G604" s="1108">
        <f>'1.2 Budgeted Enrollment YR1'!G604+('1.2 Budgeted Enrollment YR1'!G604*$G$7)</f>
        <v>253.8011518798867</v>
      </c>
      <c r="H604" s="1108"/>
      <c r="I604" s="1114">
        <v>0</v>
      </c>
      <c r="J604" s="1115">
        <v>0</v>
      </c>
      <c r="K604" s="1114">
        <v>0</v>
      </c>
      <c r="L604" s="1108">
        <f>'1.2 Budgeted Enrollment YR1'!L604</f>
        <v>0</v>
      </c>
      <c r="M604" s="1104"/>
      <c r="N604" s="875"/>
    </row>
    <row r="605" spans="1:14" ht="16.5" thickTop="1" thickBot="1" x14ac:dyDescent="0.3">
      <c r="A605" s="968" t="str">
        <f>'1.2 Budgeted Enrollment YR1'!A605</f>
        <v>Mineral</v>
      </c>
      <c r="B605" s="971">
        <f>'1.2 Budgeted Enrollment YR1'!B605</f>
        <v>11</v>
      </c>
      <c r="C605" s="971">
        <f>'1.2 Budgeted Enrollment YR1'!C605</f>
        <v>11</v>
      </c>
      <c r="D605" s="971" t="str">
        <f>'1.2 Budgeted Enrollment YR1'!D605</f>
        <v>Hawthorne</v>
      </c>
      <c r="E605" s="968" t="str">
        <f>'1.2 Budgeted Enrollment YR1'!E605</f>
        <v>Hawthorne Junior High</v>
      </c>
      <c r="F605" s="1061"/>
      <c r="G605" s="1108">
        <f>'1.2 Budgeted Enrollment YR1'!G605+('1.2 Budgeted Enrollment YR1'!G605*$G$7)</f>
        <v>70.278704207061125</v>
      </c>
      <c r="H605" s="1108"/>
      <c r="I605" s="1114">
        <v>0</v>
      </c>
      <c r="J605" s="1115">
        <v>0</v>
      </c>
      <c r="K605" s="1114">
        <v>0</v>
      </c>
      <c r="L605" s="1108">
        <f>'1.2 Budgeted Enrollment YR1'!L605</f>
        <v>0</v>
      </c>
      <c r="M605" s="1104"/>
      <c r="N605" s="875"/>
    </row>
    <row r="606" spans="1:14" ht="16.5" thickTop="1" thickBot="1" x14ac:dyDescent="0.3">
      <c r="A606" s="968" t="str">
        <f>'1.2 Budgeted Enrollment YR1'!A606</f>
        <v>Mineral</v>
      </c>
      <c r="B606" s="971">
        <f>'1.2 Budgeted Enrollment YR1'!B606</f>
        <v>11</v>
      </c>
      <c r="C606" s="971">
        <f>'1.2 Budgeted Enrollment YR1'!C606</f>
        <v>11</v>
      </c>
      <c r="D606" s="971" t="str">
        <f>'1.2 Budgeted Enrollment YR1'!D606</f>
        <v>Hawthorne</v>
      </c>
      <c r="E606" s="968" t="str">
        <f>'1.2 Budgeted Enrollment YR1'!E606</f>
        <v>Mineral County High School</v>
      </c>
      <c r="F606" s="1061"/>
      <c r="G606" s="1108">
        <f>'1.2 Budgeted Enrollment YR1'!G606+('1.2 Budgeted Enrollment YR1'!G606*$G$7)</f>
        <v>125.40781276998059</v>
      </c>
      <c r="H606" s="1108"/>
      <c r="I606" s="1114">
        <v>0</v>
      </c>
      <c r="J606" s="1115">
        <v>0</v>
      </c>
      <c r="K606" s="1114">
        <v>0</v>
      </c>
      <c r="L606" s="1108">
        <f>'1.2 Budgeted Enrollment YR1'!L606</f>
        <v>0</v>
      </c>
      <c r="M606" s="1104"/>
      <c r="N606" s="875"/>
    </row>
    <row r="607" spans="1:14" ht="16.5" thickTop="1" thickBot="1" x14ac:dyDescent="0.3">
      <c r="A607" s="968" t="str">
        <f>'1.2 Budgeted Enrollment YR1'!A607</f>
        <v>Mineral</v>
      </c>
      <c r="B607" s="971">
        <f>'1.2 Budgeted Enrollment YR1'!B607</f>
        <v>11</v>
      </c>
      <c r="C607" s="971">
        <f>'1.2 Budgeted Enrollment YR1'!C607</f>
        <v>11</v>
      </c>
      <c r="D607" s="971" t="str">
        <f>'1.2 Budgeted Enrollment YR1'!D607</f>
        <v>Schurz</v>
      </c>
      <c r="E607" s="968" t="str">
        <f>'1.2 Budgeted Enrollment YR1'!E607</f>
        <v>Schurz Elementary</v>
      </c>
      <c r="F607" s="1061"/>
      <c r="G607" s="1108">
        <f>'1.2 Budgeted Enrollment YR1'!G607+('1.2 Budgeted Enrollment YR1'!G607*$G$7)</f>
        <v>60.115563926162991</v>
      </c>
      <c r="H607" s="1108"/>
      <c r="I607" s="1114">
        <v>0</v>
      </c>
      <c r="J607" s="1115">
        <v>0</v>
      </c>
      <c r="K607" s="1114">
        <v>0</v>
      </c>
      <c r="L607" s="1108">
        <f>'1.2 Budgeted Enrollment YR1'!L607</f>
        <v>0</v>
      </c>
      <c r="M607" s="1104"/>
      <c r="N607" s="875"/>
    </row>
    <row r="608" spans="1:14" ht="16.5" thickTop="1" thickBot="1" x14ac:dyDescent="0.3">
      <c r="A608" s="968" t="str">
        <f>'1.2 Budgeted Enrollment YR1'!A608</f>
        <v>Nye</v>
      </c>
      <c r="B608" s="971">
        <f>'1.2 Budgeted Enrollment YR1'!B608</f>
        <v>12</v>
      </c>
      <c r="C608" s="971">
        <f>'1.2 Budgeted Enrollment YR1'!C608</f>
        <v>12</v>
      </c>
      <c r="D608" s="971" t="str">
        <f>'1.2 Budgeted Enrollment YR1'!D608</f>
        <v>Amargosa Valley</v>
      </c>
      <c r="E608" s="968" t="str">
        <f>'1.2 Budgeted Enrollment YR1'!E608</f>
        <v>Amargosa Valley Elementary School</v>
      </c>
      <c r="F608" s="1061"/>
      <c r="G608" s="1108">
        <f>'1.2 Budgeted Enrollment YR1'!G608+('1.2 Budgeted Enrollment YR1'!G608*$G$7)</f>
        <v>88.589170171578246</v>
      </c>
      <c r="H608" s="1108"/>
      <c r="I608" s="1114">
        <v>0</v>
      </c>
      <c r="J608" s="1115">
        <v>0</v>
      </c>
      <c r="K608" s="1114">
        <v>0</v>
      </c>
      <c r="L608" s="1108">
        <f>'1.2 Budgeted Enrollment YR1'!L608</f>
        <v>0</v>
      </c>
      <c r="M608" s="1104"/>
      <c r="N608" s="875"/>
    </row>
    <row r="609" spans="1:14" ht="16.5" thickTop="1" thickBot="1" x14ac:dyDescent="0.3">
      <c r="A609" s="968" t="str">
        <f>'1.2 Budgeted Enrollment YR1'!A609</f>
        <v>Nye</v>
      </c>
      <c r="B609" s="971">
        <f>'1.2 Budgeted Enrollment YR1'!B609</f>
        <v>12</v>
      </c>
      <c r="C609" s="971">
        <f>'1.2 Budgeted Enrollment YR1'!C609</f>
        <v>12</v>
      </c>
      <c r="D609" s="971" t="str">
        <f>'1.2 Budgeted Enrollment YR1'!D609</f>
        <v>Amargosa Valley</v>
      </c>
      <c r="E609" s="968" t="str">
        <f>'1.2 Budgeted Enrollment YR1'!E609</f>
        <v>Amargosa Valley Middle School</v>
      </c>
      <c r="F609" s="1061"/>
      <c r="G609" s="1108">
        <f>'1.2 Budgeted Enrollment YR1'!G609+('1.2 Budgeted Enrollment YR1'!G609*$G$7)</f>
        <v>53.880203188914024</v>
      </c>
      <c r="H609" s="1108"/>
      <c r="I609" s="1114">
        <v>0</v>
      </c>
      <c r="J609" s="1115">
        <v>0</v>
      </c>
      <c r="K609" s="1114">
        <v>0</v>
      </c>
      <c r="L609" s="1108">
        <f>'1.2 Budgeted Enrollment YR1'!L609</f>
        <v>0</v>
      </c>
      <c r="M609" s="1104"/>
      <c r="N609" s="875"/>
    </row>
    <row r="610" spans="1:14" ht="16.5" thickTop="1" thickBot="1" x14ac:dyDescent="0.3">
      <c r="A610" s="968" t="str">
        <f>'1.2 Budgeted Enrollment YR1'!A610</f>
        <v>Nye</v>
      </c>
      <c r="B610" s="971">
        <f>'1.2 Budgeted Enrollment YR1'!B610</f>
        <v>12</v>
      </c>
      <c r="C610" s="971">
        <f>'1.2 Budgeted Enrollment YR1'!C610</f>
        <v>12</v>
      </c>
      <c r="D610" s="971" t="str">
        <f>'1.2 Budgeted Enrollment YR1'!D610</f>
        <v>Beatty</v>
      </c>
      <c r="E610" s="968" t="str">
        <f>'1.2 Budgeted Enrollment YR1'!E610</f>
        <v>Beatty Elementary School</v>
      </c>
      <c r="F610" s="1061"/>
      <c r="G610" s="1108">
        <f>'1.2 Budgeted Enrollment YR1'!G610+('1.2 Budgeted Enrollment YR1'!G610*$G$7)</f>
        <v>52.799251712392483</v>
      </c>
      <c r="H610" s="1108"/>
      <c r="I610" s="1114">
        <v>0</v>
      </c>
      <c r="J610" s="1115">
        <v>0</v>
      </c>
      <c r="K610" s="1114">
        <v>0</v>
      </c>
      <c r="L610" s="1108">
        <f>'1.2 Budgeted Enrollment YR1'!L610</f>
        <v>0</v>
      </c>
      <c r="M610" s="1104"/>
      <c r="N610" s="875"/>
    </row>
    <row r="611" spans="1:14" ht="16.5" thickTop="1" thickBot="1" x14ac:dyDescent="0.3">
      <c r="A611" s="968" t="str">
        <f>'1.2 Budgeted Enrollment YR1'!A611</f>
        <v>Nye</v>
      </c>
      <c r="B611" s="971">
        <f>'1.2 Budgeted Enrollment YR1'!B611</f>
        <v>12</v>
      </c>
      <c r="C611" s="971">
        <f>'1.2 Budgeted Enrollment YR1'!C611</f>
        <v>12</v>
      </c>
      <c r="D611" s="971" t="str">
        <f>'1.2 Budgeted Enrollment YR1'!D611</f>
        <v>Beatty</v>
      </c>
      <c r="E611" s="968" t="str">
        <f>'1.2 Budgeted Enrollment YR1'!E611</f>
        <v>Beatty High School</v>
      </c>
      <c r="F611" s="1061"/>
      <c r="G611" s="1108">
        <f>'1.2 Budgeted Enrollment YR1'!G611+('1.2 Budgeted Enrollment YR1'!G611*$G$7)</f>
        <v>101.1037161979294</v>
      </c>
      <c r="H611" s="1108"/>
      <c r="I611" s="1114">
        <v>0</v>
      </c>
      <c r="J611" s="1115">
        <v>0</v>
      </c>
      <c r="K611" s="1114">
        <v>0</v>
      </c>
      <c r="L611" s="1108">
        <f>'1.2 Budgeted Enrollment YR1'!L611</f>
        <v>0</v>
      </c>
      <c r="M611" s="1104"/>
      <c r="N611" s="875"/>
    </row>
    <row r="612" spans="1:14" ht="16.5" thickTop="1" thickBot="1" x14ac:dyDescent="0.3">
      <c r="A612" s="968" t="str">
        <f>'1.2 Budgeted Enrollment YR1'!A612</f>
        <v>Nye</v>
      </c>
      <c r="B612" s="971">
        <f>'1.2 Budgeted Enrollment YR1'!B612</f>
        <v>12</v>
      </c>
      <c r="C612" s="971">
        <f>'1.2 Budgeted Enrollment YR1'!C612</f>
        <v>12</v>
      </c>
      <c r="D612" s="971" t="str">
        <f>'1.2 Budgeted Enrollment YR1'!D612</f>
        <v>Beatty</v>
      </c>
      <c r="E612" s="968" t="str">
        <f>'1.2 Budgeted Enrollment YR1'!E612</f>
        <v>Beatty Middle School</v>
      </c>
      <c r="F612" s="1061"/>
      <c r="G612" s="1108">
        <f>'1.2 Budgeted Enrollment YR1'!G612+('1.2 Budgeted Enrollment YR1'!G612*$G$7)</f>
        <v>29.23187109819898</v>
      </c>
      <c r="H612" s="1108"/>
      <c r="I612" s="1114">
        <v>0</v>
      </c>
      <c r="J612" s="1115">
        <v>0</v>
      </c>
      <c r="K612" s="1114">
        <v>0</v>
      </c>
      <c r="L612" s="1108">
        <f>'1.2 Budgeted Enrollment YR1'!L612</f>
        <v>0</v>
      </c>
      <c r="M612" s="1104"/>
      <c r="N612" s="875"/>
    </row>
    <row r="613" spans="1:14" ht="16.5" thickTop="1" thickBot="1" x14ac:dyDescent="0.3">
      <c r="A613" s="968" t="str">
        <f>'1.2 Budgeted Enrollment YR1'!A613</f>
        <v>Nye</v>
      </c>
      <c r="B613" s="971">
        <f>'1.2 Budgeted Enrollment YR1'!B613</f>
        <v>12</v>
      </c>
      <c r="C613" s="971">
        <f>'1.2 Budgeted Enrollment YR1'!C613</f>
        <v>12</v>
      </c>
      <c r="D613" s="971" t="str">
        <f>'1.2 Budgeted Enrollment YR1'!D613</f>
        <v>Pahrump</v>
      </c>
      <c r="E613" s="968" t="str">
        <f>'1.2 Budgeted Enrollment YR1'!E613</f>
        <v>Floyd Elementary School</v>
      </c>
      <c r="F613" s="1061"/>
      <c r="G613" s="1108">
        <f>'1.2 Budgeted Enrollment YR1'!G613+('1.2 Budgeted Enrollment YR1'!G613*$G$7)</f>
        <v>543.45822771679786</v>
      </c>
      <c r="H613" s="1108"/>
      <c r="I613" s="1114">
        <v>0</v>
      </c>
      <c r="J613" s="1115">
        <v>0</v>
      </c>
      <c r="K613" s="1114">
        <v>0</v>
      </c>
      <c r="L613" s="1108">
        <f>'1.2 Budgeted Enrollment YR1'!L613</f>
        <v>0</v>
      </c>
      <c r="M613" s="1104"/>
      <c r="N613" s="875"/>
    </row>
    <row r="614" spans="1:14" ht="16.5" thickTop="1" thickBot="1" x14ac:dyDescent="0.3">
      <c r="A614" s="968" t="str">
        <f>'1.2 Budgeted Enrollment YR1'!A614</f>
        <v>Nye</v>
      </c>
      <c r="B614" s="971">
        <f>'1.2 Budgeted Enrollment YR1'!B614</f>
        <v>12</v>
      </c>
      <c r="C614" s="971">
        <f>'1.2 Budgeted Enrollment YR1'!C614</f>
        <v>12</v>
      </c>
      <c r="D614" s="971" t="str">
        <f>'1.2 Budgeted Enrollment YR1'!D614</f>
        <v>Gabbs</v>
      </c>
      <c r="E614" s="968" t="str">
        <f>'1.2 Budgeted Enrollment YR1'!E614</f>
        <v>Gabbs Elementary School</v>
      </c>
      <c r="F614" s="1061"/>
      <c r="G614" s="1108">
        <f>'1.2 Budgeted Enrollment YR1'!G614+('1.2 Budgeted Enrollment YR1'!G614*$G$7)</f>
        <v>11.883430087938493</v>
      </c>
      <c r="H614" s="1108"/>
      <c r="I614" s="1114">
        <v>0</v>
      </c>
      <c r="J614" s="1115">
        <v>0</v>
      </c>
      <c r="K614" s="1114">
        <v>0</v>
      </c>
      <c r="L614" s="1108">
        <f>'1.2 Budgeted Enrollment YR1'!L614</f>
        <v>0</v>
      </c>
      <c r="M614" s="1104"/>
      <c r="N614" s="875"/>
    </row>
    <row r="615" spans="1:14" ht="16.5" thickTop="1" thickBot="1" x14ac:dyDescent="0.3">
      <c r="A615" s="968" t="str">
        <f>'1.2 Budgeted Enrollment YR1'!A615</f>
        <v>Nye</v>
      </c>
      <c r="B615" s="971">
        <f>'1.2 Budgeted Enrollment YR1'!B615</f>
        <v>12</v>
      </c>
      <c r="C615" s="971">
        <f>'1.2 Budgeted Enrollment YR1'!C615</f>
        <v>12</v>
      </c>
      <c r="D615" s="971" t="str">
        <f>'1.2 Budgeted Enrollment YR1'!D615</f>
        <v>Gabbs</v>
      </c>
      <c r="E615" s="968" t="str">
        <f>'1.2 Budgeted Enrollment YR1'!E615</f>
        <v>Gabbs High School</v>
      </c>
      <c r="F615" s="1061"/>
      <c r="G615" s="1108">
        <f>'1.2 Budgeted Enrollment YR1'!G615+('1.2 Budgeted Enrollment YR1'!G615*$G$7)</f>
        <v>6.6806827145705023</v>
      </c>
      <c r="H615" s="1108"/>
      <c r="I615" s="1114">
        <v>0</v>
      </c>
      <c r="J615" s="1115">
        <v>0</v>
      </c>
      <c r="K615" s="1114">
        <v>0</v>
      </c>
      <c r="L615" s="1108">
        <f>'1.2 Budgeted Enrollment YR1'!L615</f>
        <v>0</v>
      </c>
      <c r="M615" s="1104"/>
      <c r="N615" s="875"/>
    </row>
    <row r="616" spans="1:14" ht="16.5" thickTop="1" thickBot="1" x14ac:dyDescent="0.3">
      <c r="A616" s="968" t="str">
        <f>'1.2 Budgeted Enrollment YR1'!A616</f>
        <v>Nye</v>
      </c>
      <c r="B616" s="971">
        <f>'1.2 Budgeted Enrollment YR1'!B616</f>
        <v>12</v>
      </c>
      <c r="C616" s="971">
        <f>'1.2 Budgeted Enrollment YR1'!C616</f>
        <v>12</v>
      </c>
      <c r="D616" s="971" t="str">
        <f>'1.2 Budgeted Enrollment YR1'!D616</f>
        <v>Gabbs</v>
      </c>
      <c r="E616" s="968" t="str">
        <f>'1.2 Budgeted Enrollment YR1'!E616</f>
        <v>Gabbs Middle School</v>
      </c>
      <c r="F616" s="1061"/>
      <c r="G616" s="1108">
        <f>'1.2 Budgeted Enrollment YR1'!G616+('1.2 Budgeted Enrollment YR1'!G616*$G$7)</f>
        <v>7.9590692835528625</v>
      </c>
      <c r="H616" s="1108"/>
      <c r="I616" s="1114">
        <v>0</v>
      </c>
      <c r="J616" s="1115">
        <v>0</v>
      </c>
      <c r="K616" s="1114">
        <v>0</v>
      </c>
      <c r="L616" s="1108">
        <f>'1.2 Budgeted Enrollment YR1'!L616</f>
        <v>0</v>
      </c>
      <c r="M616" s="1104"/>
      <c r="N616" s="875"/>
    </row>
    <row r="617" spans="1:14" ht="16.5" thickTop="1" thickBot="1" x14ac:dyDescent="0.3">
      <c r="A617" s="968" t="str">
        <f>'1.2 Budgeted Enrollment YR1'!A617</f>
        <v>Nye</v>
      </c>
      <c r="B617" s="971">
        <f>'1.2 Budgeted Enrollment YR1'!B617</f>
        <v>12</v>
      </c>
      <c r="C617" s="971">
        <f>'1.2 Budgeted Enrollment YR1'!C617</f>
        <v>12</v>
      </c>
      <c r="D617" s="971" t="str">
        <f>'1.2 Budgeted Enrollment YR1'!D617</f>
        <v>Pahrump</v>
      </c>
      <c r="E617" s="968" t="str">
        <f>'1.2 Budgeted Enrollment YR1'!E617</f>
        <v>Hafen Elementary School</v>
      </c>
      <c r="F617" s="1061"/>
      <c r="G617" s="1108">
        <f>'1.2 Budgeted Enrollment YR1'!G617+('1.2 Budgeted Enrollment YR1'!G617*$G$7)</f>
        <v>405.90129708041542</v>
      </c>
      <c r="H617" s="1108"/>
      <c r="I617" s="1114">
        <v>0</v>
      </c>
      <c r="J617" s="1115">
        <v>0</v>
      </c>
      <c r="K617" s="1114">
        <v>0</v>
      </c>
      <c r="L617" s="1108">
        <f>'1.2 Budgeted Enrollment YR1'!L617</f>
        <v>0</v>
      </c>
      <c r="M617" s="1104"/>
      <c r="N617" s="875"/>
    </row>
    <row r="618" spans="1:14" ht="16.5" thickTop="1" thickBot="1" x14ac:dyDescent="0.3">
      <c r="A618" s="968" t="str">
        <f>'1.2 Budgeted Enrollment YR1'!A618</f>
        <v>Nye</v>
      </c>
      <c r="B618" s="971">
        <f>'1.2 Budgeted Enrollment YR1'!B618</f>
        <v>12</v>
      </c>
      <c r="C618" s="971">
        <f>'1.2 Budgeted Enrollment YR1'!C618</f>
        <v>12</v>
      </c>
      <c r="D618" s="971" t="str">
        <f>'1.2 Budgeted Enrollment YR1'!D618</f>
        <v>Pahrump</v>
      </c>
      <c r="E618" s="968" t="str">
        <f>'1.2 Budgeted Enrollment YR1'!E618</f>
        <v>J G Johnson Elementary School</v>
      </c>
      <c r="F618" s="1061"/>
      <c r="G618" s="1108">
        <f>'1.2 Budgeted Enrollment YR1'!G618+('1.2 Budgeted Enrollment YR1'!G618*$G$7)</f>
        <v>534.94889805536275</v>
      </c>
      <c r="H618" s="1108"/>
      <c r="I618" s="1114">
        <v>0</v>
      </c>
      <c r="J618" s="1115">
        <v>0</v>
      </c>
      <c r="K618" s="1114">
        <v>0</v>
      </c>
      <c r="L618" s="1108">
        <f>'1.2 Budgeted Enrollment YR1'!L618</f>
        <v>0</v>
      </c>
      <c r="M618" s="1104"/>
      <c r="N618" s="875"/>
    </row>
    <row r="619" spans="1:14" ht="16.5" thickTop="1" thickBot="1" x14ac:dyDescent="0.3">
      <c r="A619" s="968" t="str">
        <f>'1.2 Budgeted Enrollment YR1'!A619</f>
        <v>Nye</v>
      </c>
      <c r="B619" s="971">
        <f>'1.2 Budgeted Enrollment YR1'!B619</f>
        <v>12</v>
      </c>
      <c r="C619" s="971">
        <f>'1.2 Budgeted Enrollment YR1'!C619</f>
        <v>12</v>
      </c>
      <c r="D619" s="971" t="str">
        <f>'1.2 Budgeted Enrollment YR1'!D619</f>
        <v>Pahrump</v>
      </c>
      <c r="E619" s="968" t="str">
        <f>'1.2 Budgeted Enrollment YR1'!E619</f>
        <v>Manse Elementary School</v>
      </c>
      <c r="F619" s="1061"/>
      <c r="G619" s="1108">
        <f>'1.2 Budgeted Enrollment YR1'!G619+('1.2 Budgeted Enrollment YR1'!G619*$G$7)</f>
        <v>516.37971959324784</v>
      </c>
      <c r="H619" s="1108"/>
      <c r="I619" s="1114">
        <v>0</v>
      </c>
      <c r="J619" s="1115">
        <v>0</v>
      </c>
      <c r="K619" s="1114">
        <v>0</v>
      </c>
      <c r="L619" s="1108">
        <f>'1.2 Budgeted Enrollment YR1'!L619</f>
        <v>0</v>
      </c>
      <c r="M619" s="1104"/>
      <c r="N619" s="875"/>
    </row>
    <row r="620" spans="1:14" ht="16.5" thickTop="1" thickBot="1" x14ac:dyDescent="0.3">
      <c r="A620" s="968" t="str">
        <f>'1.2 Budgeted Enrollment YR1'!A620</f>
        <v>Nye</v>
      </c>
      <c r="B620" s="971">
        <f>'1.2 Budgeted Enrollment YR1'!B620</f>
        <v>12</v>
      </c>
      <c r="C620" s="971">
        <f>'1.2 Budgeted Enrollment YR1'!C620</f>
        <v>12</v>
      </c>
      <c r="D620" s="971" t="str">
        <f>'1.2 Budgeted Enrollment YR1'!D620</f>
        <v>Pahrump</v>
      </c>
      <c r="E620" s="968" t="str">
        <f>'1.2 Budgeted Enrollment YR1'!E620</f>
        <v>Mt Charleston Elementary School</v>
      </c>
      <c r="F620" s="1061"/>
      <c r="G620" s="1108">
        <f>'1.2 Budgeted Enrollment YR1'!G620+('1.2 Budgeted Enrollment YR1'!G620*$G$7)</f>
        <v>38.569484025974745</v>
      </c>
      <c r="H620" s="1108"/>
      <c r="I620" s="1114">
        <v>0</v>
      </c>
      <c r="J620" s="1115">
        <v>0</v>
      </c>
      <c r="K620" s="1114">
        <v>0</v>
      </c>
      <c r="L620" s="1108">
        <f>'1.2 Budgeted Enrollment YR1'!L620</f>
        <v>0</v>
      </c>
      <c r="M620" s="1104"/>
      <c r="N620" s="875"/>
    </row>
    <row r="621" spans="1:14" ht="16.5" thickTop="1" thickBot="1" x14ac:dyDescent="0.3">
      <c r="A621" s="968" t="str">
        <f>'1.2 Budgeted Enrollment YR1'!A621</f>
        <v>Nye</v>
      </c>
      <c r="B621" s="971">
        <f>'1.2 Budgeted Enrollment YR1'!B621</f>
        <v>12</v>
      </c>
      <c r="C621" s="971">
        <f>'1.2 Budgeted Enrollment YR1'!C621</f>
        <v>12</v>
      </c>
      <c r="D621" s="971" t="str">
        <f>'1.2 Budgeted Enrollment YR1'!D621</f>
        <v>Pahrump</v>
      </c>
      <c r="E621" s="968" t="str">
        <f>'1.2 Budgeted Enrollment YR1'!E621</f>
        <v>Pahrump Valley High School</v>
      </c>
      <c r="F621" s="1061"/>
      <c r="G621" s="1108">
        <f>'1.2 Budgeted Enrollment YR1'!G621+('1.2 Budgeted Enrollment YR1'!G621*$G$7)</f>
        <v>1325.6432074581919</v>
      </c>
      <c r="H621" s="1108"/>
      <c r="I621" s="1114">
        <v>0</v>
      </c>
      <c r="J621" s="1115">
        <v>0</v>
      </c>
      <c r="K621" s="1114">
        <v>0</v>
      </c>
      <c r="L621" s="1108">
        <f>'1.2 Budgeted Enrollment YR1'!L621</f>
        <v>0</v>
      </c>
      <c r="M621" s="1104"/>
      <c r="N621" s="875"/>
    </row>
    <row r="622" spans="1:14" ht="16.5" thickTop="1" thickBot="1" x14ac:dyDescent="0.3">
      <c r="A622" s="968" t="str">
        <f>'1.2 Budgeted Enrollment YR1'!A622</f>
        <v>Nye</v>
      </c>
      <c r="B622" s="971">
        <f>'1.2 Budgeted Enrollment YR1'!B622</f>
        <v>12</v>
      </c>
      <c r="C622" s="971">
        <f>'1.2 Budgeted Enrollment YR1'!C622</f>
        <v>12</v>
      </c>
      <c r="D622" s="971" t="str">
        <f>'1.2 Budgeted Enrollment YR1'!D622</f>
        <v>Pahrump</v>
      </c>
      <c r="E622" s="968" t="str">
        <f>'1.2 Budgeted Enrollment YR1'!E622</f>
        <v>Pathways Elementary School</v>
      </c>
      <c r="F622" s="1061"/>
      <c r="G622" s="1108">
        <f>'1.2 Budgeted Enrollment YR1'!G622+('1.2 Budgeted Enrollment YR1'!G622*$G$7)</f>
        <v>0.75305151328758624</v>
      </c>
      <c r="H622" s="1108"/>
      <c r="I622" s="1114">
        <v>0</v>
      </c>
      <c r="J622" s="1115">
        <v>0</v>
      </c>
      <c r="K622" s="1114">
        <v>0</v>
      </c>
      <c r="L622" s="1108">
        <f>'1.2 Budgeted Enrollment YR1'!L622</f>
        <v>0</v>
      </c>
      <c r="M622" s="1104"/>
      <c r="N622" s="875"/>
    </row>
    <row r="623" spans="1:14" ht="16.5" thickTop="1" thickBot="1" x14ac:dyDescent="0.3">
      <c r="A623" s="1116" t="str">
        <f>'1.2 Budgeted Enrollment YR1'!A623</f>
        <v>Nye</v>
      </c>
      <c r="B623" s="1117">
        <f>'1.2 Budgeted Enrollment YR1'!B623</f>
        <v>12</v>
      </c>
      <c r="C623" s="1117">
        <f>'1.2 Budgeted Enrollment YR1'!C623</f>
        <v>12</v>
      </c>
      <c r="D623" s="1117" t="str">
        <f>'1.2 Budgeted Enrollment YR1'!D623</f>
        <v>Pahrump</v>
      </c>
      <c r="E623" s="1116" t="str">
        <f>'1.2 Budgeted Enrollment YR1'!E623</f>
        <v>Pathways High School</v>
      </c>
      <c r="F623" s="1118"/>
      <c r="G623" s="1119">
        <f>'1.2 Budgeted Enrollment YR1'!G623+('1.2 Budgeted Enrollment YR1'!G623*$G$7)</f>
        <v>91.805265751411909</v>
      </c>
      <c r="H623" s="1119"/>
      <c r="I623" s="1120">
        <v>0</v>
      </c>
      <c r="J623" s="1120">
        <v>0</v>
      </c>
      <c r="K623" s="1120">
        <v>0</v>
      </c>
      <c r="L623" s="1119">
        <f>G623</f>
        <v>91.805265751411909</v>
      </c>
      <c r="M623" s="1104"/>
      <c r="N623" s="875"/>
    </row>
    <row r="624" spans="1:14" ht="16.5" thickTop="1" thickBot="1" x14ac:dyDescent="0.3">
      <c r="A624" s="1116" t="str">
        <f>'1.2 Budgeted Enrollment YR1'!A624</f>
        <v>Nye</v>
      </c>
      <c r="B624" s="1117">
        <f>'1.2 Budgeted Enrollment YR1'!B624</f>
        <v>12</v>
      </c>
      <c r="C624" s="1117">
        <f>'1.2 Budgeted Enrollment YR1'!C624</f>
        <v>12</v>
      </c>
      <c r="D624" s="1117" t="str">
        <f>'1.2 Budgeted Enrollment YR1'!D624</f>
        <v>Pahrump</v>
      </c>
      <c r="E624" s="1116" t="str">
        <f>'1.2 Budgeted Enrollment YR1'!E624</f>
        <v>Pathways Middle School</v>
      </c>
      <c r="F624" s="1118"/>
      <c r="G624" s="1119">
        <f>'1.2 Budgeted Enrollment YR1'!G624+('1.2 Budgeted Enrollment YR1'!G624*$G$7)</f>
        <v>69.440604779360228</v>
      </c>
      <c r="H624" s="1119"/>
      <c r="I624" s="1120">
        <v>0</v>
      </c>
      <c r="J624" s="1120">
        <v>0</v>
      </c>
      <c r="K624" s="1120">
        <v>0</v>
      </c>
      <c r="L624" s="1119">
        <f>G624</f>
        <v>69.440604779360228</v>
      </c>
      <c r="M624" s="1104"/>
      <c r="N624" s="875"/>
    </row>
    <row r="625" spans="1:14" ht="16.5" thickTop="1" thickBot="1" x14ac:dyDescent="0.3">
      <c r="A625" s="968" t="str">
        <f>'1.2 Budgeted Enrollment YR1'!A625</f>
        <v>Nye</v>
      </c>
      <c r="B625" s="971">
        <f>'1.2 Budgeted Enrollment YR1'!B625</f>
        <v>12</v>
      </c>
      <c r="C625" s="971">
        <f>'1.2 Budgeted Enrollment YR1'!C625</f>
        <v>12</v>
      </c>
      <c r="D625" s="971" t="str">
        <f>'1.2 Budgeted Enrollment YR1'!D625</f>
        <v>Pahrump</v>
      </c>
      <c r="E625" s="968" t="str">
        <f>'1.2 Budgeted Enrollment YR1'!E625</f>
        <v>Rosemary Clarke Middle School</v>
      </c>
      <c r="F625" s="1061"/>
      <c r="G625" s="1108">
        <f>'1.2 Budgeted Enrollment YR1'!G625+('1.2 Budgeted Enrollment YR1'!G625*$G$7)</f>
        <v>1031.7530190824875</v>
      </c>
      <c r="H625" s="1108"/>
      <c r="I625" s="1114">
        <v>0</v>
      </c>
      <c r="J625" s="1115">
        <v>0</v>
      </c>
      <c r="K625" s="1114">
        <v>0</v>
      </c>
      <c r="L625" s="1108">
        <f>'1.2 Budgeted Enrollment YR1'!L625</f>
        <v>0</v>
      </c>
      <c r="M625" s="1104"/>
      <c r="N625" s="875"/>
    </row>
    <row r="626" spans="1:14" ht="16.5" thickTop="1" thickBot="1" x14ac:dyDescent="0.3">
      <c r="A626" s="968" t="str">
        <f>'1.2 Budgeted Enrollment YR1'!A626</f>
        <v>Nye</v>
      </c>
      <c r="B626" s="971">
        <f>'1.2 Budgeted Enrollment YR1'!B626</f>
        <v>12</v>
      </c>
      <c r="C626" s="971">
        <f>'1.2 Budgeted Enrollment YR1'!C626</f>
        <v>12</v>
      </c>
      <c r="D626" s="971" t="str">
        <f>'1.2 Budgeted Enrollment YR1'!D626</f>
        <v>Round Mountain</v>
      </c>
      <c r="E626" s="968" t="str">
        <f>'1.2 Budgeted Enrollment YR1'!E626</f>
        <v>Round Mountain Elementary School</v>
      </c>
      <c r="F626" s="1061"/>
      <c r="G626" s="1108">
        <f>'1.2 Budgeted Enrollment YR1'!G626+('1.2 Budgeted Enrollment YR1'!G626*$G$7)</f>
        <v>124.45289680332196</v>
      </c>
      <c r="H626" s="1108"/>
      <c r="I626" s="1114">
        <v>0</v>
      </c>
      <c r="J626" s="1115">
        <v>0</v>
      </c>
      <c r="K626" s="1114">
        <v>0</v>
      </c>
      <c r="L626" s="1108">
        <f>'1.2 Budgeted Enrollment YR1'!L626</f>
        <v>0</v>
      </c>
      <c r="M626" s="1104"/>
      <c r="N626" s="875"/>
    </row>
    <row r="627" spans="1:14" ht="16.5" thickTop="1" thickBot="1" x14ac:dyDescent="0.3">
      <c r="A627" s="968" t="str">
        <f>'1.2 Budgeted Enrollment YR1'!A627</f>
        <v>Nye</v>
      </c>
      <c r="B627" s="971">
        <f>'1.2 Budgeted Enrollment YR1'!B627</f>
        <v>12</v>
      </c>
      <c r="C627" s="971">
        <f>'1.2 Budgeted Enrollment YR1'!C627</f>
        <v>12</v>
      </c>
      <c r="D627" s="971" t="str">
        <f>'1.2 Budgeted Enrollment YR1'!D627</f>
        <v>Round Mountain</v>
      </c>
      <c r="E627" s="968" t="str">
        <f>'1.2 Budgeted Enrollment YR1'!E627</f>
        <v>Round Mountain High School</v>
      </c>
      <c r="F627" s="1061"/>
      <c r="G627" s="1108">
        <f>'1.2 Budgeted Enrollment YR1'!G627+('1.2 Budgeted Enrollment YR1'!G627*$G$7)</f>
        <v>81.717822258389461</v>
      </c>
      <c r="H627" s="1108"/>
      <c r="I627" s="1114">
        <v>0</v>
      </c>
      <c r="J627" s="1115">
        <v>0</v>
      </c>
      <c r="K627" s="1114">
        <v>0</v>
      </c>
      <c r="L627" s="1108">
        <f>'1.2 Budgeted Enrollment YR1'!L627</f>
        <v>0</v>
      </c>
      <c r="M627" s="1104"/>
      <c r="N627" s="875"/>
    </row>
    <row r="628" spans="1:14" ht="16.5" thickTop="1" thickBot="1" x14ac:dyDescent="0.3">
      <c r="A628" s="968" t="str">
        <f>'1.2 Budgeted Enrollment YR1'!A628</f>
        <v>Nye</v>
      </c>
      <c r="B628" s="971">
        <f>'1.2 Budgeted Enrollment YR1'!B628</f>
        <v>12</v>
      </c>
      <c r="C628" s="971">
        <f>'1.2 Budgeted Enrollment YR1'!C628</f>
        <v>12</v>
      </c>
      <c r="D628" s="971" t="str">
        <f>'1.2 Budgeted Enrollment YR1'!D628</f>
        <v>Round Mountain</v>
      </c>
      <c r="E628" s="968" t="str">
        <f>'1.2 Budgeted Enrollment YR1'!E628</f>
        <v>Round Mountain Middle School</v>
      </c>
      <c r="F628" s="1061"/>
      <c r="G628" s="1108">
        <f>'1.2 Budgeted Enrollment YR1'!G628+('1.2 Budgeted Enrollment YR1'!G628*$G$7)</f>
        <v>59.077455095212869</v>
      </c>
      <c r="H628" s="1108"/>
      <c r="I628" s="1114"/>
      <c r="J628" s="1115"/>
      <c r="K628" s="1114"/>
      <c r="L628" s="1108">
        <f>'1.2 Budgeted Enrollment YR1'!L628</f>
        <v>0</v>
      </c>
      <c r="M628" s="1104"/>
      <c r="N628" s="875"/>
    </row>
    <row r="629" spans="1:14" ht="16.5" thickTop="1" thickBot="1" x14ac:dyDescent="0.3">
      <c r="A629" s="968" t="str">
        <f>'1.2 Budgeted Enrollment YR1'!A629</f>
        <v>Nye</v>
      </c>
      <c r="B629" s="971">
        <f>'1.2 Budgeted Enrollment YR1'!B629</f>
        <v>12</v>
      </c>
      <c r="C629" s="971">
        <f>'1.2 Budgeted Enrollment YR1'!C629</f>
        <v>12</v>
      </c>
      <c r="D629" s="971" t="str">
        <f>'1.2 Budgeted Enrollment YR1'!D629</f>
        <v>Tonopah</v>
      </c>
      <c r="E629" s="968" t="str">
        <f>'1.2 Budgeted Enrollment YR1'!E629</f>
        <v>Tonopah Elementary School</v>
      </c>
      <c r="F629" s="1061"/>
      <c r="G629" s="1108">
        <f>'1.2 Budgeted Enrollment YR1'!G629+('1.2 Budgeted Enrollment YR1'!G629*$G$7)</f>
        <v>133.18817710076613</v>
      </c>
      <c r="H629" s="1108"/>
      <c r="I629" s="1114">
        <v>0</v>
      </c>
      <c r="J629" s="1115">
        <v>0</v>
      </c>
      <c r="K629" s="1114">
        <v>0</v>
      </c>
      <c r="L629" s="1108">
        <f>'1.2 Budgeted Enrollment YR1'!L629</f>
        <v>0</v>
      </c>
      <c r="M629" s="1104"/>
      <c r="N629" s="875"/>
    </row>
    <row r="630" spans="1:14" ht="16.5" thickTop="1" thickBot="1" x14ac:dyDescent="0.3">
      <c r="A630" s="968" t="str">
        <f>'1.2 Budgeted Enrollment YR1'!A630</f>
        <v>Nye</v>
      </c>
      <c r="B630" s="971">
        <f>'1.2 Budgeted Enrollment YR1'!B630</f>
        <v>12</v>
      </c>
      <c r="C630" s="971">
        <f>'1.2 Budgeted Enrollment YR1'!C630</f>
        <v>12</v>
      </c>
      <c r="D630" s="971" t="str">
        <f>'1.2 Budgeted Enrollment YR1'!D630</f>
        <v>Tonopah</v>
      </c>
      <c r="E630" s="968" t="str">
        <f>'1.2 Budgeted Enrollment YR1'!E630</f>
        <v>Tonopah High School</v>
      </c>
      <c r="F630" s="1061"/>
      <c r="G630" s="1108">
        <f>'1.2 Budgeted Enrollment YR1'!G630+('1.2 Budgeted Enrollment YR1'!G630*$G$7)</f>
        <v>82.112086600352427</v>
      </c>
      <c r="H630" s="1108"/>
      <c r="I630" s="1114">
        <v>0</v>
      </c>
      <c r="J630" s="1115">
        <v>0</v>
      </c>
      <c r="K630" s="1114">
        <v>0</v>
      </c>
      <c r="L630" s="1108">
        <f>'1.2 Budgeted Enrollment YR1'!L630</f>
        <v>0</v>
      </c>
      <c r="M630" s="1104"/>
      <c r="N630" s="875"/>
    </row>
    <row r="631" spans="1:14" ht="16.5" thickTop="1" thickBot="1" x14ac:dyDescent="0.3">
      <c r="A631" s="968" t="str">
        <f>'1.2 Budgeted Enrollment YR1'!A631</f>
        <v>Nye</v>
      </c>
      <c r="B631" s="971">
        <f>'1.2 Budgeted Enrollment YR1'!B631</f>
        <v>12</v>
      </c>
      <c r="C631" s="971">
        <f>'1.2 Budgeted Enrollment YR1'!C631</f>
        <v>12</v>
      </c>
      <c r="D631" s="971" t="str">
        <f>'1.2 Budgeted Enrollment YR1'!D631</f>
        <v>Tonopah</v>
      </c>
      <c r="E631" s="968" t="str">
        <f>'1.2 Budgeted Enrollment YR1'!E631</f>
        <v>Tonopah Middle School</v>
      </c>
      <c r="F631" s="1061"/>
      <c r="G631" s="1108">
        <f>'1.2 Budgeted Enrollment YR1'!G631+('1.2 Budgeted Enrollment YR1'!G631*$G$7)</f>
        <v>65.717155141563296</v>
      </c>
      <c r="H631" s="1108"/>
      <c r="I631" s="1114">
        <v>0</v>
      </c>
      <c r="J631" s="1115">
        <v>0</v>
      </c>
      <c r="K631" s="1114">
        <v>0</v>
      </c>
      <c r="L631" s="1108">
        <f>'1.2 Budgeted Enrollment YR1'!L631</f>
        <v>0</v>
      </c>
      <c r="M631" s="1104"/>
      <c r="N631" s="875"/>
    </row>
    <row r="632" spans="1:14" ht="16.5" thickTop="1" thickBot="1" x14ac:dyDescent="0.3">
      <c r="A632" s="968" t="str">
        <f>'1.2 Budgeted Enrollment YR1'!A632</f>
        <v>Pershing</v>
      </c>
      <c r="B632" s="971">
        <f>'1.2 Budgeted Enrollment YR1'!B632</f>
        <v>14</v>
      </c>
      <c r="C632" s="971">
        <f>'1.2 Budgeted Enrollment YR1'!C632</f>
        <v>14</v>
      </c>
      <c r="D632" s="971" t="str">
        <f>'1.2 Budgeted Enrollment YR1'!D632</f>
        <v>Lovelock</v>
      </c>
      <c r="E632" s="968" t="str">
        <f>'1.2 Budgeted Enrollment YR1'!E632</f>
        <v>Early Childhood Education PK</v>
      </c>
      <c r="F632" s="1061"/>
      <c r="G632" s="1108">
        <f>'1.2 Budgeted Enrollment YR1'!G632+('1.2 Budgeted Enrollment YR1'!G632*$G$7)</f>
        <v>0.66727865048116242</v>
      </c>
      <c r="H632" s="1108"/>
      <c r="I632" s="1114">
        <v>0</v>
      </c>
      <c r="J632" s="1115">
        <v>0</v>
      </c>
      <c r="K632" s="1114">
        <v>0</v>
      </c>
      <c r="L632" s="1108">
        <f>'1.2 Budgeted Enrollment YR1'!L632</f>
        <v>0</v>
      </c>
      <c r="M632" s="1104"/>
      <c r="N632" s="875"/>
    </row>
    <row r="633" spans="1:14" ht="16.5" thickTop="1" thickBot="1" x14ac:dyDescent="0.3">
      <c r="A633" s="968" t="str">
        <f>'1.2 Budgeted Enrollment YR1'!A633</f>
        <v>Pershing</v>
      </c>
      <c r="B633" s="971">
        <f>'1.2 Budgeted Enrollment YR1'!B633</f>
        <v>14</v>
      </c>
      <c r="C633" s="971">
        <f>'1.2 Budgeted Enrollment YR1'!C633</f>
        <v>14</v>
      </c>
      <c r="D633" s="971" t="str">
        <f>'1.2 Budgeted Enrollment YR1'!D633</f>
        <v>Imlay</v>
      </c>
      <c r="E633" s="968" t="str">
        <f>'1.2 Budgeted Enrollment YR1'!E633</f>
        <v>Imlay Elementary School</v>
      </c>
      <c r="F633" s="1061"/>
      <c r="G633" s="1108">
        <f>'1.2 Budgeted Enrollment YR1'!G633+('1.2 Budgeted Enrollment YR1'!G633*$G$7)</f>
        <v>15.32928314037374</v>
      </c>
      <c r="H633" s="1108"/>
      <c r="I633" s="1114">
        <v>0</v>
      </c>
      <c r="J633" s="1115">
        <v>0</v>
      </c>
      <c r="K633" s="1114">
        <v>0</v>
      </c>
      <c r="L633" s="1108">
        <f>'1.2 Budgeted Enrollment YR1'!L633</f>
        <v>0</v>
      </c>
      <c r="M633" s="1104"/>
      <c r="N633" s="875"/>
    </row>
    <row r="634" spans="1:14" ht="16.5" thickTop="1" thickBot="1" x14ac:dyDescent="0.3">
      <c r="A634" s="968" t="str">
        <f>'1.2 Budgeted Enrollment YR1'!A634</f>
        <v>Pershing</v>
      </c>
      <c r="B634" s="971">
        <f>'1.2 Budgeted Enrollment YR1'!B634</f>
        <v>14</v>
      </c>
      <c r="C634" s="971">
        <f>'1.2 Budgeted Enrollment YR1'!C634</f>
        <v>14</v>
      </c>
      <c r="D634" s="971" t="str">
        <f>'1.2 Budgeted Enrollment YR1'!D634</f>
        <v>Lovelock</v>
      </c>
      <c r="E634" s="968" t="str">
        <f>'1.2 Budgeted Enrollment YR1'!E634</f>
        <v>Lovelock Elementary School</v>
      </c>
      <c r="F634" s="1061"/>
      <c r="G634" s="1108">
        <f>'1.2 Budgeted Enrollment YR1'!G634+('1.2 Budgeted Enrollment YR1'!G634*$G$7)</f>
        <v>289.64690685118728</v>
      </c>
      <c r="H634" s="1108"/>
      <c r="I634" s="1114">
        <v>0</v>
      </c>
      <c r="J634" s="1115">
        <v>0</v>
      </c>
      <c r="K634" s="1114">
        <v>0</v>
      </c>
      <c r="L634" s="1108">
        <f>'1.2 Budgeted Enrollment YR1'!L634</f>
        <v>0</v>
      </c>
      <c r="M634" s="1104"/>
      <c r="N634" s="875"/>
    </row>
    <row r="635" spans="1:14" ht="16.5" thickTop="1" thickBot="1" x14ac:dyDescent="0.3">
      <c r="A635" s="968" t="str">
        <f>'1.2 Budgeted Enrollment YR1'!A635</f>
        <v>Pershing</v>
      </c>
      <c r="B635" s="971">
        <f>'1.2 Budgeted Enrollment YR1'!B635</f>
        <v>14</v>
      </c>
      <c r="C635" s="971">
        <f>'1.2 Budgeted Enrollment YR1'!C635</f>
        <v>14</v>
      </c>
      <c r="D635" s="971" t="str">
        <f>'1.2 Budgeted Enrollment YR1'!D635</f>
        <v>Lovelock</v>
      </c>
      <c r="E635" s="968" t="str">
        <f>'1.2 Budgeted Enrollment YR1'!E635</f>
        <v>Pershing County High School</v>
      </c>
      <c r="F635" s="1061"/>
      <c r="G635" s="1108">
        <f>'1.2 Budgeted Enrollment YR1'!G635+('1.2 Budgeted Enrollment YR1'!G635*$G$7)</f>
        <v>176.71466529430279</v>
      </c>
      <c r="H635" s="1108"/>
      <c r="I635" s="1114">
        <v>0</v>
      </c>
      <c r="J635" s="1115">
        <v>0</v>
      </c>
      <c r="K635" s="1114">
        <v>0</v>
      </c>
      <c r="L635" s="1108">
        <f>'1.2 Budgeted Enrollment YR1'!L635</f>
        <v>0</v>
      </c>
      <c r="M635" s="1104"/>
      <c r="N635" s="875"/>
    </row>
    <row r="636" spans="1:14" ht="16.5" thickTop="1" thickBot="1" x14ac:dyDescent="0.3">
      <c r="A636" s="968" t="str">
        <f>'1.2 Budgeted Enrollment YR1'!A636</f>
        <v>Pershing</v>
      </c>
      <c r="B636" s="971">
        <f>'1.2 Budgeted Enrollment YR1'!B636</f>
        <v>14</v>
      </c>
      <c r="C636" s="971">
        <f>'1.2 Budgeted Enrollment YR1'!C636</f>
        <v>14</v>
      </c>
      <c r="D636" s="971" t="str">
        <f>'1.2 Budgeted Enrollment YR1'!D636</f>
        <v>Lovelock</v>
      </c>
      <c r="E636" s="968" t="str">
        <f>'1.2 Budgeted Enrollment YR1'!E636</f>
        <v>Pershing County Middle School</v>
      </c>
      <c r="F636" s="1061"/>
      <c r="G636" s="1108">
        <f>'1.2 Budgeted Enrollment YR1'!G636+('1.2 Budgeted Enrollment YR1'!G636*$G$7)</f>
        <v>153.50109176354516</v>
      </c>
      <c r="H636" s="1108"/>
      <c r="I636" s="1114">
        <v>0</v>
      </c>
      <c r="J636" s="1115">
        <v>0</v>
      </c>
      <c r="K636" s="1114">
        <v>0</v>
      </c>
      <c r="L636" s="1108">
        <f>'1.2 Budgeted Enrollment YR1'!L636</f>
        <v>0</v>
      </c>
      <c r="M636" s="1104"/>
      <c r="N636" s="875"/>
    </row>
    <row r="637" spans="1:14" ht="16.5" thickTop="1" thickBot="1" x14ac:dyDescent="0.3">
      <c r="A637" s="968" t="str">
        <f>'1.2 Budgeted Enrollment YR1'!A637</f>
        <v>Storey</v>
      </c>
      <c r="B637" s="971">
        <f>'1.2 Budgeted Enrollment YR1'!B637</f>
        <v>15</v>
      </c>
      <c r="C637" s="971">
        <f>'1.2 Budgeted Enrollment YR1'!C637</f>
        <v>15</v>
      </c>
      <c r="D637" s="971" t="str">
        <f>'1.2 Budgeted Enrollment YR1'!D637</f>
        <v>Hillside</v>
      </c>
      <c r="E637" s="968" t="str">
        <f>'1.2 Budgeted Enrollment YR1'!E637</f>
        <v>Hillside Elementary School</v>
      </c>
      <c r="F637" s="1061"/>
      <c r="G637" s="1108">
        <f>'1.2 Budgeted Enrollment YR1'!G637+('1.2 Budgeted Enrollment YR1'!G637*$G$7)</f>
        <v>42.867496326932724</v>
      </c>
      <c r="H637" s="1108"/>
      <c r="I637" s="1114">
        <v>0</v>
      </c>
      <c r="J637" s="1115">
        <v>0</v>
      </c>
      <c r="K637" s="1114">
        <v>0</v>
      </c>
      <c r="L637" s="1108">
        <f>'1.2 Budgeted Enrollment YR1'!L637</f>
        <v>0</v>
      </c>
      <c r="M637" s="1104"/>
      <c r="N637" s="875"/>
    </row>
    <row r="638" spans="1:14" ht="16.5" thickTop="1" thickBot="1" x14ac:dyDescent="0.3">
      <c r="A638" s="968" t="str">
        <f>'1.2 Budgeted Enrollment YR1'!A638</f>
        <v>Storey</v>
      </c>
      <c r="B638" s="971">
        <f>'1.2 Budgeted Enrollment YR1'!B638</f>
        <v>15</v>
      </c>
      <c r="C638" s="971">
        <f>'1.2 Budgeted Enrollment YR1'!C638</f>
        <v>15</v>
      </c>
      <c r="D638" s="971" t="str">
        <f>'1.2 Budgeted Enrollment YR1'!D638</f>
        <v>Virginia City</v>
      </c>
      <c r="E638" s="968" t="str">
        <f>'1.2 Budgeted Enrollment YR1'!E638</f>
        <v>Hugh Gallagher Elementary School</v>
      </c>
      <c r="F638" s="1061"/>
      <c r="G638" s="1108">
        <f>'1.2 Budgeted Enrollment YR1'!G638+('1.2 Budgeted Enrollment YR1'!G638*$G$7)</f>
        <v>124.71557296846782</v>
      </c>
      <c r="H638" s="1108"/>
      <c r="I638" s="1114">
        <v>0</v>
      </c>
      <c r="J638" s="1115">
        <v>0</v>
      </c>
      <c r="K638" s="1114">
        <v>0</v>
      </c>
      <c r="L638" s="1108">
        <f>'1.2 Budgeted Enrollment YR1'!L638</f>
        <v>0</v>
      </c>
      <c r="M638" s="1104"/>
      <c r="N638" s="875"/>
    </row>
    <row r="639" spans="1:14" ht="16.5" thickTop="1" thickBot="1" x14ac:dyDescent="0.3">
      <c r="A639" s="968" t="str">
        <f>'1.2 Budgeted Enrollment YR1'!A639</f>
        <v>Storey</v>
      </c>
      <c r="B639" s="971">
        <f>'1.2 Budgeted Enrollment YR1'!B639</f>
        <v>15</v>
      </c>
      <c r="C639" s="971">
        <f>'1.2 Budgeted Enrollment YR1'!C639</f>
        <v>15</v>
      </c>
      <c r="D639" s="971" t="str">
        <f>'1.2 Budgeted Enrollment YR1'!D639</f>
        <v>Virginia City</v>
      </c>
      <c r="E639" s="968" t="str">
        <f>'1.2 Budgeted Enrollment YR1'!E639</f>
        <v>Virginia City High School</v>
      </c>
      <c r="F639" s="1061"/>
      <c r="G639" s="1108">
        <f>'1.2 Budgeted Enrollment YR1'!G639+('1.2 Budgeted Enrollment YR1'!G639*$G$7)</f>
        <v>127.18918680800049</v>
      </c>
      <c r="H639" s="1108"/>
      <c r="I639" s="1114">
        <v>0</v>
      </c>
      <c r="J639" s="1115">
        <v>0</v>
      </c>
      <c r="K639" s="1114">
        <v>0</v>
      </c>
      <c r="L639" s="1108">
        <f>'1.2 Budgeted Enrollment YR1'!L639</f>
        <v>0</v>
      </c>
      <c r="M639" s="1104"/>
      <c r="N639" s="875"/>
    </row>
    <row r="640" spans="1:14" ht="16.5" thickTop="1" thickBot="1" x14ac:dyDescent="0.3">
      <c r="A640" s="968" t="str">
        <f>'1.2 Budgeted Enrollment YR1'!A640</f>
        <v>Storey</v>
      </c>
      <c r="B640" s="971">
        <f>'1.2 Budgeted Enrollment YR1'!B640</f>
        <v>15</v>
      </c>
      <c r="C640" s="971">
        <f>'1.2 Budgeted Enrollment YR1'!C640</f>
        <v>15</v>
      </c>
      <c r="D640" s="971" t="str">
        <f>'1.2 Budgeted Enrollment YR1'!D640</f>
        <v>Virginia City</v>
      </c>
      <c r="E640" s="968" t="str">
        <f>'1.2 Budgeted Enrollment YR1'!E640</f>
        <v>Virginia City Middle School</v>
      </c>
      <c r="F640" s="1061"/>
      <c r="G640" s="1108">
        <f>'1.2 Budgeted Enrollment YR1'!G640+('1.2 Budgeted Enrollment YR1'!G640*$G$7)</f>
        <v>100.5685303204328</v>
      </c>
      <c r="H640" s="1108"/>
      <c r="I640" s="1114">
        <v>0</v>
      </c>
      <c r="J640" s="1115">
        <v>0</v>
      </c>
      <c r="K640" s="1114">
        <v>0</v>
      </c>
      <c r="L640" s="1108">
        <f>'1.2 Budgeted Enrollment YR1'!L640</f>
        <v>0</v>
      </c>
      <c r="M640" s="1104"/>
      <c r="N640" s="875"/>
    </row>
    <row r="641" spans="1:14" ht="16.5" thickTop="1" thickBot="1" x14ac:dyDescent="0.3">
      <c r="A641" s="968" t="str">
        <f>'1.2 Budgeted Enrollment YR1'!A641</f>
        <v>Washoe</v>
      </c>
      <c r="B641" s="971">
        <f>'1.2 Budgeted Enrollment YR1'!B641</f>
        <v>16</v>
      </c>
      <c r="C641" s="971">
        <f>'1.2 Budgeted Enrollment YR1'!C641</f>
        <v>16</v>
      </c>
      <c r="D641" s="971" t="str">
        <f>'1.2 Budgeted Enrollment YR1'!D641</f>
        <v>Reno/Sparks</v>
      </c>
      <c r="E641" s="968" t="str">
        <f>'1.2 Budgeted Enrollment YR1'!E641</f>
        <v>ACADEMY OF ARTS CAREERS &amp; TECH</v>
      </c>
      <c r="F641" s="1061"/>
      <c r="G641" s="1108">
        <f>'1.2 Budgeted Enrollment YR1'!G641+('1.2 Budgeted Enrollment YR1'!G641*$G$7)</f>
        <v>536.83979601199962</v>
      </c>
      <c r="H641" s="1108"/>
      <c r="I641" s="1114">
        <v>0</v>
      </c>
      <c r="J641" s="1115">
        <v>0</v>
      </c>
      <c r="K641" s="1114">
        <v>0</v>
      </c>
      <c r="L641" s="1108">
        <f>'1.2 Budgeted Enrollment YR1'!L641</f>
        <v>0</v>
      </c>
      <c r="M641" s="1104"/>
      <c r="N641" s="875"/>
    </row>
    <row r="642" spans="1:14" ht="16.5" thickTop="1" thickBot="1" x14ac:dyDescent="0.3">
      <c r="A642" s="968" t="str">
        <f>'1.2 Budgeted Enrollment YR1'!A642</f>
        <v>Washoe</v>
      </c>
      <c r="B642" s="971">
        <f>'1.2 Budgeted Enrollment YR1'!B642</f>
        <v>16</v>
      </c>
      <c r="C642" s="971">
        <f>'1.2 Budgeted Enrollment YR1'!C642</f>
        <v>16</v>
      </c>
      <c r="D642" s="971" t="str">
        <f>'1.2 Budgeted Enrollment YR1'!D642</f>
        <v>Reno/Sparks</v>
      </c>
      <c r="E642" s="968" t="str">
        <f>'1.2 Budgeted Enrollment YR1'!E642</f>
        <v>AGNES RISLEY ELEMENTARY</v>
      </c>
      <c r="F642" s="1061"/>
      <c r="G642" s="1108">
        <f>'1.2 Budgeted Enrollment YR1'!G642+('1.2 Budgeted Enrollment YR1'!G642*$G$7)</f>
        <v>367.39406359758442</v>
      </c>
      <c r="H642" s="1108"/>
      <c r="I642" s="1114">
        <v>0</v>
      </c>
      <c r="J642" s="1115">
        <v>0</v>
      </c>
      <c r="K642" s="1114">
        <v>0</v>
      </c>
      <c r="L642" s="1108">
        <f>'1.2 Budgeted Enrollment YR1'!L642</f>
        <v>0</v>
      </c>
      <c r="M642" s="1104"/>
      <c r="N642" s="875"/>
    </row>
    <row r="643" spans="1:14" ht="16.5" thickTop="1" thickBot="1" x14ac:dyDescent="0.3">
      <c r="A643" s="968" t="str">
        <f>'1.2 Budgeted Enrollment YR1'!A643</f>
        <v>Washoe</v>
      </c>
      <c r="B643" s="971">
        <f>'1.2 Budgeted Enrollment YR1'!B643</f>
        <v>16</v>
      </c>
      <c r="C643" s="971">
        <f>'1.2 Budgeted Enrollment YR1'!C643</f>
        <v>16</v>
      </c>
      <c r="D643" s="971" t="str">
        <f>'1.2 Budgeted Enrollment YR1'!D643</f>
        <v>Reno/Sparks</v>
      </c>
      <c r="E643" s="968" t="str">
        <f>'1.2 Budgeted Enrollment YR1'!E643</f>
        <v>ALICE MAXWELL ELEMENTARY</v>
      </c>
      <c r="F643" s="1061"/>
      <c r="G643" s="1108">
        <f>'1.2 Budgeted Enrollment YR1'!G643+('1.2 Budgeted Enrollment YR1'!G643*$G$7)</f>
        <v>381.60250081919213</v>
      </c>
      <c r="H643" s="1108"/>
      <c r="I643" s="1114">
        <v>0</v>
      </c>
      <c r="J643" s="1115">
        <v>0</v>
      </c>
      <c r="K643" s="1114">
        <v>0</v>
      </c>
      <c r="L643" s="1108">
        <f>'1.2 Budgeted Enrollment YR1'!L643</f>
        <v>0</v>
      </c>
      <c r="M643" s="1104"/>
      <c r="N643" s="875"/>
    </row>
    <row r="644" spans="1:14" ht="16.5" thickTop="1" thickBot="1" x14ac:dyDescent="0.3">
      <c r="A644" s="968" t="str">
        <f>'1.2 Budgeted Enrollment YR1'!A644</f>
        <v>Washoe</v>
      </c>
      <c r="B644" s="971">
        <f>'1.2 Budgeted Enrollment YR1'!B644</f>
        <v>16</v>
      </c>
      <c r="C644" s="971">
        <f>'1.2 Budgeted Enrollment YR1'!C644</f>
        <v>16</v>
      </c>
      <c r="D644" s="971" t="str">
        <f>'1.2 Budgeted Enrollment YR1'!D644</f>
        <v>Stead</v>
      </c>
      <c r="E644" s="968" t="str">
        <f>'1.2 Budgeted Enrollment YR1'!E644</f>
        <v>ALICE SMITH ELEMENTARY</v>
      </c>
      <c r="F644" s="1061"/>
      <c r="G644" s="1108">
        <f>'1.2 Budgeted Enrollment YR1'!G644+('1.2 Budgeted Enrollment YR1'!G644*$G$7)</f>
        <v>506.36589662640341</v>
      </c>
      <c r="H644" s="1108"/>
      <c r="I644" s="1114">
        <v>0</v>
      </c>
      <c r="J644" s="1115">
        <v>0</v>
      </c>
      <c r="K644" s="1114">
        <v>0</v>
      </c>
      <c r="L644" s="1108">
        <f>'1.2 Budgeted Enrollment YR1'!L644</f>
        <v>0</v>
      </c>
      <c r="M644" s="1104"/>
      <c r="N644" s="875"/>
    </row>
    <row r="645" spans="1:14" ht="16.5" thickTop="1" thickBot="1" x14ac:dyDescent="0.3">
      <c r="A645" s="968" t="str">
        <f>'1.2 Budgeted Enrollment YR1'!A645</f>
        <v>Washoe</v>
      </c>
      <c r="B645" s="971">
        <f>'1.2 Budgeted Enrollment YR1'!B645</f>
        <v>16</v>
      </c>
      <c r="C645" s="971">
        <f>'1.2 Budgeted Enrollment YR1'!C645</f>
        <v>16</v>
      </c>
      <c r="D645" s="971" t="str">
        <f>'1.2 Budgeted Enrollment YR1'!D645</f>
        <v>Reno/Sparks</v>
      </c>
      <c r="E645" s="968" t="str">
        <f>'1.2 Budgeted Enrollment YR1'!E645</f>
        <v>ALYCE TAYLOR ELEMENTARY</v>
      </c>
      <c r="F645" s="1061"/>
      <c r="G645" s="1108">
        <f>'1.2 Budgeted Enrollment YR1'!G645+('1.2 Budgeted Enrollment YR1'!G645*$G$7)</f>
        <v>440.07832082196484</v>
      </c>
      <c r="H645" s="1108"/>
      <c r="I645" s="1114">
        <v>0</v>
      </c>
      <c r="J645" s="1115">
        <v>0</v>
      </c>
      <c r="K645" s="1114">
        <v>0</v>
      </c>
      <c r="L645" s="1108">
        <f>'1.2 Budgeted Enrollment YR1'!L645</f>
        <v>0</v>
      </c>
      <c r="M645" s="1104"/>
      <c r="N645" s="875"/>
    </row>
    <row r="646" spans="1:14" ht="16.5" thickTop="1" thickBot="1" x14ac:dyDescent="0.3">
      <c r="A646" s="968" t="str">
        <f>'1.2 Budgeted Enrollment YR1'!A646</f>
        <v>Washoe</v>
      </c>
      <c r="B646" s="971">
        <f>'1.2 Budgeted Enrollment YR1'!B646</f>
        <v>16</v>
      </c>
      <c r="C646" s="971">
        <f>'1.2 Budgeted Enrollment YR1'!C646</f>
        <v>16</v>
      </c>
      <c r="D646" s="971" t="str">
        <f>'1.2 Budgeted Enrollment YR1'!D646</f>
        <v>Reno/Sparks</v>
      </c>
      <c r="E646" s="968" t="str">
        <f>'1.2 Budgeted Enrollment YR1'!E646</f>
        <v>ANDERSON ELEMENTARY</v>
      </c>
      <c r="F646" s="1061"/>
      <c r="G646" s="1108">
        <f>'1.2 Budgeted Enrollment YR1'!G646+('1.2 Budgeted Enrollment YR1'!G646*$G$7)</f>
        <v>306.65406796291433</v>
      </c>
      <c r="H646" s="1108"/>
      <c r="I646" s="1114">
        <v>0</v>
      </c>
      <c r="J646" s="1115">
        <v>0</v>
      </c>
      <c r="K646" s="1114">
        <v>0</v>
      </c>
      <c r="L646" s="1108">
        <f>'1.2 Budgeted Enrollment YR1'!L646</f>
        <v>0</v>
      </c>
      <c r="M646" s="1104"/>
      <c r="N646" s="875"/>
    </row>
    <row r="647" spans="1:14" ht="16.5" thickTop="1" thickBot="1" x14ac:dyDescent="0.3">
      <c r="A647" s="968" t="str">
        <f>'1.2 Budgeted Enrollment YR1'!A647</f>
        <v>Washoe</v>
      </c>
      <c r="B647" s="971">
        <f>'1.2 Budgeted Enrollment YR1'!B647</f>
        <v>16</v>
      </c>
      <c r="C647" s="971">
        <f>'1.2 Budgeted Enrollment YR1'!C647</f>
        <v>16</v>
      </c>
      <c r="D647" s="971" t="str">
        <f>'1.2 Budgeted Enrollment YR1'!D647</f>
        <v>Reno/Sparks</v>
      </c>
      <c r="E647" s="968" t="str">
        <f>'1.2 Budgeted Enrollment YR1'!E647</f>
        <v>ARCHIE CLAYTON PRE-A.P. ACADEMY</v>
      </c>
      <c r="F647" s="1061"/>
      <c r="G647" s="1108">
        <f>'1.2 Budgeted Enrollment YR1'!G647+('1.2 Budgeted Enrollment YR1'!G647*$G$7)</f>
        <v>678.70262735311246</v>
      </c>
      <c r="H647" s="1108"/>
      <c r="I647" s="1114">
        <v>0</v>
      </c>
      <c r="J647" s="1115">
        <v>0</v>
      </c>
      <c r="K647" s="1114">
        <v>0</v>
      </c>
      <c r="L647" s="1108">
        <f>'1.2 Budgeted Enrollment YR1'!L647</f>
        <v>0</v>
      </c>
      <c r="M647" s="1104"/>
      <c r="N647" s="875"/>
    </row>
    <row r="648" spans="1:14" ht="16.5" thickTop="1" thickBot="1" x14ac:dyDescent="0.3">
      <c r="A648" s="968" t="str">
        <f>'1.2 Budgeted Enrollment YR1'!A648</f>
        <v>Washoe</v>
      </c>
      <c r="B648" s="971">
        <f>'1.2 Budgeted Enrollment YR1'!B648</f>
        <v>16</v>
      </c>
      <c r="C648" s="971">
        <f>'1.2 Budgeted Enrollment YR1'!C648</f>
        <v>16</v>
      </c>
      <c r="D648" s="971" t="str">
        <f>'1.2 Budgeted Enrollment YR1'!D648</f>
        <v>Reno/Sparks</v>
      </c>
      <c r="E648" s="968" t="str">
        <f>'1.2 Budgeted Enrollment YR1'!E648</f>
        <v>BERNICE MATHEWS ELEMENTARY</v>
      </c>
      <c r="F648" s="1061"/>
      <c r="G648" s="1108">
        <f>'1.2 Budgeted Enrollment YR1'!G648+('1.2 Budgeted Enrollment YR1'!G648*$G$7)</f>
        <v>415.94780055364396</v>
      </c>
      <c r="H648" s="1108"/>
      <c r="I648" s="1114">
        <v>0</v>
      </c>
      <c r="J648" s="1115">
        <v>0</v>
      </c>
      <c r="K648" s="1114">
        <v>0</v>
      </c>
      <c r="L648" s="1108">
        <f>'1.2 Budgeted Enrollment YR1'!L648</f>
        <v>0</v>
      </c>
      <c r="M648" s="1104"/>
      <c r="N648" s="875"/>
    </row>
    <row r="649" spans="1:14" ht="16.5" thickTop="1" thickBot="1" x14ac:dyDescent="0.3">
      <c r="A649" s="968" t="str">
        <f>'1.2 Budgeted Enrollment YR1'!A649</f>
        <v>Washoe</v>
      </c>
      <c r="B649" s="971">
        <f>'1.2 Budgeted Enrollment YR1'!B649</f>
        <v>16</v>
      </c>
      <c r="C649" s="971">
        <f>'1.2 Budgeted Enrollment YR1'!C649</f>
        <v>16</v>
      </c>
      <c r="D649" s="971" t="str">
        <f>'1.2 Budgeted Enrollment YR1'!D649</f>
        <v>Reno/Sparks</v>
      </c>
      <c r="E649" s="968" t="str">
        <f>'1.2 Budgeted Enrollment YR1'!E649</f>
        <v>BILLINGHURST MIDDLE SCHOOL</v>
      </c>
      <c r="F649" s="1061"/>
      <c r="G649" s="1108">
        <f>'1.2 Budgeted Enrollment YR1'!G649+('1.2 Budgeted Enrollment YR1'!G649*$G$7)</f>
        <v>922.77484573579397</v>
      </c>
      <c r="H649" s="1108"/>
      <c r="I649" s="1114">
        <v>0</v>
      </c>
      <c r="J649" s="1115">
        <v>0</v>
      </c>
      <c r="K649" s="1114">
        <v>0</v>
      </c>
      <c r="L649" s="1108">
        <f>'1.2 Budgeted Enrollment YR1'!L649</f>
        <v>0</v>
      </c>
      <c r="M649" s="1104"/>
      <c r="N649" s="875"/>
    </row>
    <row r="650" spans="1:14" ht="16.5" thickTop="1" thickBot="1" x14ac:dyDescent="0.3">
      <c r="A650" s="968" t="str">
        <f>'1.2 Budgeted Enrollment YR1'!A650</f>
        <v>Washoe</v>
      </c>
      <c r="B650" s="971">
        <f>'1.2 Budgeted Enrollment YR1'!B650</f>
        <v>16</v>
      </c>
      <c r="C650" s="971">
        <f>'1.2 Budgeted Enrollment YR1'!C650</f>
        <v>16</v>
      </c>
      <c r="D650" s="971" t="str">
        <f>'1.2 Budgeted Enrollment YR1'!D650</f>
        <v>Reno/Sparks</v>
      </c>
      <c r="E650" s="968" t="str">
        <f>'1.2 Budgeted Enrollment YR1'!E650</f>
        <v>BROWN ELEMENTARY</v>
      </c>
      <c r="F650" s="1061"/>
      <c r="G650" s="1108">
        <f>'1.2 Budgeted Enrollment YR1'!G650+('1.2 Budgeted Enrollment YR1'!G650*$G$7)</f>
        <v>539.36125693425197</v>
      </c>
      <c r="H650" s="1108"/>
      <c r="I650" s="1114">
        <v>0</v>
      </c>
      <c r="J650" s="1115">
        <v>0</v>
      </c>
      <c r="K650" s="1114">
        <v>0</v>
      </c>
      <c r="L650" s="1108">
        <f>'1.2 Budgeted Enrollment YR1'!L650</f>
        <v>0</v>
      </c>
      <c r="M650" s="1104"/>
      <c r="N650" s="875"/>
    </row>
    <row r="651" spans="1:14" ht="16.5" thickTop="1" thickBot="1" x14ac:dyDescent="0.3">
      <c r="A651" s="968" t="str">
        <f>'1.2 Budgeted Enrollment YR1'!A651</f>
        <v>Washoe</v>
      </c>
      <c r="B651" s="971">
        <f>'1.2 Budgeted Enrollment YR1'!B651</f>
        <v>16</v>
      </c>
      <c r="C651" s="971">
        <f>'1.2 Budgeted Enrollment YR1'!C651</f>
        <v>16</v>
      </c>
      <c r="D651" s="971" t="str">
        <f>'1.2 Budgeted Enrollment YR1'!D651</f>
        <v>Reno/Sparks</v>
      </c>
      <c r="E651" s="968" t="str">
        <f>'1.2 Budgeted Enrollment YR1'!E651</f>
        <v>BUD BEASLEY ELEMENTARY</v>
      </c>
      <c r="F651" s="1061"/>
      <c r="G651" s="1108">
        <f>'1.2 Budgeted Enrollment YR1'!G651+('1.2 Budgeted Enrollment YR1'!G651*$G$7)</f>
        <v>595.24022978859239</v>
      </c>
      <c r="H651" s="1108"/>
      <c r="I651" s="1114">
        <v>0</v>
      </c>
      <c r="J651" s="1115">
        <v>0</v>
      </c>
      <c r="K651" s="1114">
        <v>0</v>
      </c>
      <c r="L651" s="1108">
        <f>'1.2 Budgeted Enrollment YR1'!L651</f>
        <v>0</v>
      </c>
      <c r="M651" s="1104"/>
      <c r="N651" s="875"/>
    </row>
    <row r="652" spans="1:14" ht="16.5" thickTop="1" thickBot="1" x14ac:dyDescent="0.3">
      <c r="A652" s="968" t="str">
        <f>'1.2 Budgeted Enrollment YR1'!A652</f>
        <v>Washoe</v>
      </c>
      <c r="B652" s="971">
        <f>'1.2 Budgeted Enrollment YR1'!B652</f>
        <v>16</v>
      </c>
      <c r="C652" s="971">
        <f>'1.2 Budgeted Enrollment YR1'!C652</f>
        <v>16</v>
      </c>
      <c r="D652" s="971" t="str">
        <f>'1.2 Budgeted Enrollment YR1'!D652</f>
        <v>Reno/Sparks</v>
      </c>
      <c r="E652" s="968" t="str">
        <f>'1.2 Budgeted Enrollment YR1'!E652</f>
        <v>CAUGHLIN RANCH ELEMENTARY</v>
      </c>
      <c r="F652" s="1061"/>
      <c r="G652" s="1108">
        <f>'1.2 Budgeted Enrollment YR1'!G652+('1.2 Budgeted Enrollment YR1'!G652*$G$7)</f>
        <v>455.0844367891894</v>
      </c>
      <c r="H652" s="1108"/>
      <c r="I652" s="1114">
        <v>0</v>
      </c>
      <c r="J652" s="1115">
        <v>0</v>
      </c>
      <c r="K652" s="1114">
        <v>0</v>
      </c>
      <c r="L652" s="1108">
        <f>'1.2 Budgeted Enrollment YR1'!L652</f>
        <v>0</v>
      </c>
      <c r="M652" s="1104"/>
      <c r="N652" s="875"/>
    </row>
    <row r="653" spans="1:14" ht="16.5" thickTop="1" thickBot="1" x14ac:dyDescent="0.3">
      <c r="A653" s="968" t="str">
        <f>'1.2 Budgeted Enrollment YR1'!A653</f>
        <v>Washoe</v>
      </c>
      <c r="B653" s="971">
        <f>'1.2 Budgeted Enrollment YR1'!B653</f>
        <v>16</v>
      </c>
      <c r="C653" s="971">
        <f>'1.2 Budgeted Enrollment YR1'!C653</f>
        <v>16</v>
      </c>
      <c r="D653" s="971" t="str">
        <f>'1.2 Budgeted Enrollment YR1'!D653</f>
        <v>Bordertown</v>
      </c>
      <c r="E653" s="968" t="str">
        <f>'1.2 Budgeted Enrollment YR1'!E653</f>
        <v>COLD SPRINGS MIDDLE SCHOOL</v>
      </c>
      <c r="F653" s="1061"/>
      <c r="G653" s="1108">
        <f>'1.2 Budgeted Enrollment YR1'!G653+('1.2 Budgeted Enrollment YR1'!G653*$G$7)</f>
        <v>631.11988336742593</v>
      </c>
      <c r="H653" s="1108"/>
      <c r="I653" s="1114">
        <v>0</v>
      </c>
      <c r="J653" s="1115">
        <v>0</v>
      </c>
      <c r="K653" s="1114">
        <v>0</v>
      </c>
      <c r="L653" s="1108">
        <f>'1.2 Budgeted Enrollment YR1'!L653</f>
        <v>0</v>
      </c>
      <c r="M653" s="1104"/>
      <c r="N653" s="875"/>
    </row>
    <row r="654" spans="1:14" ht="16.5" thickTop="1" thickBot="1" x14ac:dyDescent="0.3">
      <c r="A654" s="968" t="str">
        <f>'1.2 Budgeted Enrollment YR1'!A654</f>
        <v>Washoe</v>
      </c>
      <c r="B654" s="971">
        <f>'1.2 Budgeted Enrollment YR1'!B654</f>
        <v>16</v>
      </c>
      <c r="C654" s="971">
        <f>'1.2 Budgeted Enrollment YR1'!C654</f>
        <v>16</v>
      </c>
      <c r="D654" s="971" t="str">
        <f>'1.2 Budgeted Enrollment YR1'!D654</f>
        <v>Reno/Sparks</v>
      </c>
      <c r="E654" s="968" t="str">
        <f>'1.2 Budgeted Enrollment YR1'!E654</f>
        <v>DAMONTE RANCH HIGH SCHOOL</v>
      </c>
      <c r="F654" s="1061"/>
      <c r="G654" s="1108">
        <f>'1.2 Budgeted Enrollment YR1'!G654+('1.2 Budgeted Enrollment YR1'!G654*$G$7)</f>
        <v>1730.0827067279179</v>
      </c>
      <c r="H654" s="1108"/>
      <c r="I654" s="1114">
        <v>0</v>
      </c>
      <c r="J654" s="1115">
        <v>0</v>
      </c>
      <c r="K654" s="1114">
        <v>0</v>
      </c>
      <c r="L654" s="1108">
        <f>'1.2 Budgeted Enrollment YR1'!L654</f>
        <v>0</v>
      </c>
      <c r="M654" s="1104"/>
      <c r="N654" s="875"/>
    </row>
    <row r="655" spans="1:14" ht="16.5" thickTop="1" thickBot="1" x14ac:dyDescent="0.3">
      <c r="A655" s="968" t="str">
        <f>'1.2 Budgeted Enrollment YR1'!A655</f>
        <v>Washoe</v>
      </c>
      <c r="B655" s="971">
        <f>'1.2 Budgeted Enrollment YR1'!B655</f>
        <v>16</v>
      </c>
      <c r="C655" s="971">
        <f>'1.2 Budgeted Enrollment YR1'!C655</f>
        <v>16</v>
      </c>
      <c r="D655" s="971" t="str">
        <f>'1.2 Budgeted Enrollment YR1'!D655</f>
        <v>Reno/Sparks</v>
      </c>
      <c r="E655" s="968" t="str">
        <f>'1.2 Budgeted Enrollment YR1'!E655</f>
        <v>DARREL SWOPE MIDDLE SCHOOL</v>
      </c>
      <c r="F655" s="1061"/>
      <c r="G655" s="1108">
        <f>'1.2 Budgeted Enrollment YR1'!G655+('1.2 Budgeted Enrollment YR1'!G655*$G$7)</f>
        <v>980.91031579498565</v>
      </c>
      <c r="H655" s="1108"/>
      <c r="I655" s="1114">
        <v>0</v>
      </c>
      <c r="J655" s="1115">
        <v>0</v>
      </c>
      <c r="K655" s="1114">
        <v>0</v>
      </c>
      <c r="L655" s="1108">
        <f>'1.2 Budgeted Enrollment YR1'!L655</f>
        <v>0</v>
      </c>
      <c r="M655" s="1104"/>
      <c r="N655" s="875"/>
    </row>
    <row r="656" spans="1:14" ht="16.5" thickTop="1" thickBot="1" x14ac:dyDescent="0.3">
      <c r="A656" s="968" t="str">
        <f>'1.2 Budgeted Enrollment YR1'!A656</f>
        <v>Washoe</v>
      </c>
      <c r="B656" s="971">
        <f>'1.2 Budgeted Enrollment YR1'!B656</f>
        <v>16</v>
      </c>
      <c r="C656" s="971">
        <f>'1.2 Budgeted Enrollment YR1'!C656</f>
        <v>16</v>
      </c>
      <c r="D656" s="971" t="str">
        <f>'1.2 Budgeted Enrollment YR1'!D656</f>
        <v>Reno/Sparks</v>
      </c>
      <c r="E656" s="968" t="str">
        <f>'1.2 Budgeted Enrollment YR1'!E656</f>
        <v>DESERT HEIGHTS ELEMENTARY</v>
      </c>
      <c r="F656" s="1061"/>
      <c r="G656" s="1108">
        <f>'1.2 Budgeted Enrollment YR1'!G656+('1.2 Budgeted Enrollment YR1'!G656*$G$7)</f>
        <v>492.37169939282825</v>
      </c>
      <c r="H656" s="1108"/>
      <c r="I656" s="1114">
        <v>0</v>
      </c>
      <c r="J656" s="1115">
        <v>0</v>
      </c>
      <c r="K656" s="1114">
        <v>0</v>
      </c>
      <c r="L656" s="1108">
        <f>'1.2 Budgeted Enrollment YR1'!L656</f>
        <v>0</v>
      </c>
      <c r="M656" s="1104"/>
      <c r="N656" s="875"/>
    </row>
    <row r="657" spans="1:14" ht="16.5" thickTop="1" thickBot="1" x14ac:dyDescent="0.3">
      <c r="A657" s="968" t="str">
        <f>'1.2 Budgeted Enrollment YR1'!A657</f>
        <v>Washoe</v>
      </c>
      <c r="B657" s="971">
        <f>'1.2 Budgeted Enrollment YR1'!B657</f>
        <v>16</v>
      </c>
      <c r="C657" s="971">
        <f>'1.2 Budgeted Enrollment YR1'!C657</f>
        <v>16</v>
      </c>
      <c r="D657" s="971" t="str">
        <f>'1.2 Budgeted Enrollment YR1'!D657</f>
        <v>Reno/Sparks</v>
      </c>
      <c r="E657" s="968" t="str">
        <f>'1.2 Budgeted Enrollment YR1'!E657</f>
        <v>DESERT SKIES MIDDLE SCHOOL</v>
      </c>
      <c r="F657" s="1061"/>
      <c r="G657" s="1108">
        <f>'1.2 Budgeted Enrollment YR1'!G657+('1.2 Budgeted Enrollment YR1'!G657*$G$7)</f>
        <v>894.48308573549684</v>
      </c>
      <c r="H657" s="1108"/>
      <c r="I657" s="1114">
        <v>0</v>
      </c>
      <c r="J657" s="1115">
        <v>0</v>
      </c>
      <c r="K657" s="1114">
        <v>0</v>
      </c>
      <c r="L657" s="1108">
        <f>'1.2 Budgeted Enrollment YR1'!L657</f>
        <v>0</v>
      </c>
      <c r="M657" s="1104"/>
      <c r="N657" s="875"/>
    </row>
    <row r="658" spans="1:14" ht="16.5" thickTop="1" thickBot="1" x14ac:dyDescent="0.3">
      <c r="A658" s="968" t="str">
        <f>'1.2 Budgeted Enrollment YR1'!A658</f>
        <v>Washoe</v>
      </c>
      <c r="B658" s="971">
        <f>'1.2 Budgeted Enrollment YR1'!B658</f>
        <v>16</v>
      </c>
      <c r="C658" s="971">
        <f>'1.2 Budgeted Enrollment YR1'!C658</f>
        <v>16</v>
      </c>
      <c r="D658" s="971" t="str">
        <f>'1.2 Budgeted Enrollment YR1'!D658</f>
        <v>Reno/Sparks</v>
      </c>
      <c r="E658" s="968" t="str">
        <f>'1.2 Budgeted Enrollment YR1'!E658</f>
        <v>DONNER SPRINGS ELEMENTARY</v>
      </c>
      <c r="F658" s="1061"/>
      <c r="G658" s="1108">
        <f>'1.2 Budgeted Enrollment YR1'!G658+('1.2 Budgeted Enrollment YR1'!G658*$G$7)</f>
        <v>450.53686930650196</v>
      </c>
      <c r="H658" s="1108"/>
      <c r="I658" s="1114">
        <v>0</v>
      </c>
      <c r="J658" s="1115">
        <v>0</v>
      </c>
      <c r="K658" s="1114">
        <v>0</v>
      </c>
      <c r="L658" s="1108">
        <f>'1.2 Budgeted Enrollment YR1'!L658</f>
        <v>0</v>
      </c>
      <c r="M658" s="1104"/>
      <c r="N658" s="875"/>
    </row>
    <row r="659" spans="1:14" ht="16.5" thickTop="1" thickBot="1" x14ac:dyDescent="0.3">
      <c r="A659" s="968" t="str">
        <f>'1.2 Budgeted Enrollment YR1'!A659</f>
        <v>Washoe</v>
      </c>
      <c r="B659" s="971">
        <f>'1.2 Budgeted Enrollment YR1'!B659</f>
        <v>16</v>
      </c>
      <c r="C659" s="971">
        <f>'1.2 Budgeted Enrollment YR1'!C659</f>
        <v>16</v>
      </c>
      <c r="D659" s="971" t="str">
        <f>'1.2 Budgeted Enrollment YR1'!D659</f>
        <v>Reno/Sparks</v>
      </c>
      <c r="E659" s="968" t="str">
        <f>'1.2 Budgeted Enrollment YR1'!E659</f>
        <v>DOROTHY LEMELSON S.T.E.M. ACADEMY ES</v>
      </c>
      <c r="F659" s="1061"/>
      <c r="G659" s="1108">
        <f>'1.2 Budgeted Enrollment YR1'!G659+('1.2 Budgeted Enrollment YR1'!G659*$G$7)</f>
        <v>247.46311704674648</v>
      </c>
      <c r="H659" s="1108"/>
      <c r="I659" s="1114">
        <v>0</v>
      </c>
      <c r="J659" s="1115">
        <v>0</v>
      </c>
      <c r="K659" s="1114">
        <v>0</v>
      </c>
      <c r="L659" s="1108">
        <f>'1.2 Budgeted Enrollment YR1'!L659</f>
        <v>0</v>
      </c>
      <c r="M659" s="1104"/>
      <c r="N659" s="875"/>
    </row>
    <row r="660" spans="1:14" ht="16.5" thickTop="1" thickBot="1" x14ac:dyDescent="0.3">
      <c r="A660" s="968" t="str">
        <f>'1.2 Budgeted Enrollment YR1'!A660</f>
        <v>Washoe</v>
      </c>
      <c r="B660" s="971">
        <f>'1.2 Budgeted Enrollment YR1'!B660</f>
        <v>16</v>
      </c>
      <c r="C660" s="971">
        <f>'1.2 Budgeted Enrollment YR1'!C660</f>
        <v>16</v>
      </c>
      <c r="D660" s="971" t="str">
        <f>'1.2 Budgeted Enrollment YR1'!D660</f>
        <v>Reno/Sparks</v>
      </c>
      <c r="E660" s="968" t="str">
        <f>'1.2 Budgeted Enrollment YR1'!E660</f>
        <v>DOUBLE DIAMOND ELEMENTARY</v>
      </c>
      <c r="F660" s="1061"/>
      <c r="G660" s="1108">
        <f>'1.2 Budgeted Enrollment YR1'!G660+('1.2 Budgeted Enrollment YR1'!G660*$G$7)</f>
        <v>487.62925117556023</v>
      </c>
      <c r="H660" s="1108"/>
      <c r="I660" s="1114">
        <v>0</v>
      </c>
      <c r="J660" s="1115">
        <v>0</v>
      </c>
      <c r="K660" s="1114">
        <v>0</v>
      </c>
      <c r="L660" s="1108">
        <f>'1.2 Budgeted Enrollment YR1'!L660</f>
        <v>0</v>
      </c>
      <c r="M660" s="1104"/>
      <c r="N660" s="875"/>
    </row>
    <row r="661" spans="1:14" ht="16.5" thickTop="1" thickBot="1" x14ac:dyDescent="0.3">
      <c r="A661" s="968" t="str">
        <f>'1.2 Budgeted Enrollment YR1'!A661</f>
        <v>Washoe</v>
      </c>
      <c r="B661" s="971">
        <f>'1.2 Budgeted Enrollment YR1'!B661</f>
        <v>16</v>
      </c>
      <c r="C661" s="971">
        <f>'1.2 Budgeted Enrollment YR1'!C661</f>
        <v>16</v>
      </c>
      <c r="D661" s="971" t="str">
        <f>'1.2 Budgeted Enrollment YR1'!D661</f>
        <v>Reno/Sparks</v>
      </c>
      <c r="E661" s="968" t="str">
        <f>'1.2 Budgeted Enrollment YR1'!E661</f>
        <v>E. OTIS VAUGHN MIDDLE SCHOOL</v>
      </c>
      <c r="F661" s="1061"/>
      <c r="G661" s="1108">
        <f>'1.2 Budgeted Enrollment YR1'!G661+('1.2 Budgeted Enrollment YR1'!G661*$G$7)</f>
        <v>552.3413081253085</v>
      </c>
      <c r="H661" s="1108"/>
      <c r="I661" s="1114">
        <v>0</v>
      </c>
      <c r="J661" s="1115">
        <v>0</v>
      </c>
      <c r="K661" s="1114">
        <v>0</v>
      </c>
      <c r="L661" s="1108">
        <f>'1.2 Budgeted Enrollment YR1'!L661</f>
        <v>0</v>
      </c>
      <c r="M661" s="1104"/>
      <c r="N661" s="875"/>
    </row>
    <row r="662" spans="1:14" ht="16.5" thickTop="1" thickBot="1" x14ac:dyDescent="0.3">
      <c r="A662" s="968" t="str">
        <f>'1.2 Budgeted Enrollment YR1'!A662</f>
        <v>Washoe</v>
      </c>
      <c r="B662" s="971">
        <f>'1.2 Budgeted Enrollment YR1'!B662</f>
        <v>16</v>
      </c>
      <c r="C662" s="971">
        <f>'1.2 Budgeted Enrollment YR1'!C662</f>
        <v>16</v>
      </c>
      <c r="D662" s="971" t="str">
        <f>'1.2 Budgeted Enrollment YR1'!D662</f>
        <v>Reno/Sparks</v>
      </c>
      <c r="E662" s="968" t="str">
        <f>'1.2 Budgeted Enrollment YR1'!E662</f>
        <v>EARL WOOSTER HIGH SCHOOL</v>
      </c>
      <c r="F662" s="1061"/>
      <c r="G662" s="1108">
        <f>'1.2 Budgeted Enrollment YR1'!G662+('1.2 Budgeted Enrollment YR1'!G662*$G$7)</f>
        <v>1416.1624252676108</v>
      </c>
      <c r="H662" s="1108"/>
      <c r="I662" s="1114">
        <v>0</v>
      </c>
      <c r="J662" s="1115">
        <v>0</v>
      </c>
      <c r="K662" s="1114">
        <v>0</v>
      </c>
      <c r="L662" s="1108">
        <f>'1.2 Budgeted Enrollment YR1'!L662</f>
        <v>0</v>
      </c>
      <c r="M662" s="1104"/>
      <c r="N662" s="875"/>
    </row>
    <row r="663" spans="1:14" ht="16.5" thickTop="1" thickBot="1" x14ac:dyDescent="0.3">
      <c r="A663" s="968" t="str">
        <f>'1.2 Budgeted Enrollment YR1'!A663</f>
        <v>Washoe</v>
      </c>
      <c r="B663" s="971">
        <f>'1.2 Budgeted Enrollment YR1'!B663</f>
        <v>16</v>
      </c>
      <c r="C663" s="971">
        <f>'1.2 Budgeted Enrollment YR1'!C663</f>
        <v>16</v>
      </c>
      <c r="D663" s="971" t="str">
        <f>'1.2 Budgeted Enrollment YR1'!D663</f>
        <v>Reno/Sparks</v>
      </c>
      <c r="E663" s="968" t="str">
        <f>'1.2 Budgeted Enrollment YR1'!E663</f>
        <v>ECHO LODER ELEMENTARY SCHOOL</v>
      </c>
      <c r="F663" s="1061"/>
      <c r="G663" s="1108">
        <f>'1.2 Budgeted Enrollment YR1'!G663+('1.2 Budgeted Enrollment YR1'!G663*$G$7)</f>
        <v>337.61756674249347</v>
      </c>
      <c r="H663" s="1108"/>
      <c r="I663" s="1114">
        <v>0</v>
      </c>
      <c r="J663" s="1115">
        <v>0</v>
      </c>
      <c r="K663" s="1114">
        <v>0</v>
      </c>
      <c r="L663" s="1108">
        <f>'1.2 Budgeted Enrollment YR1'!L663</f>
        <v>0</v>
      </c>
      <c r="M663" s="1104"/>
      <c r="N663" s="875"/>
    </row>
    <row r="664" spans="1:14" ht="16.5" thickTop="1" thickBot="1" x14ac:dyDescent="0.3">
      <c r="A664" s="968" t="str">
        <f>'1.2 Budgeted Enrollment YR1'!A664</f>
        <v>Washoe</v>
      </c>
      <c r="B664" s="971">
        <f>'1.2 Budgeted Enrollment YR1'!B664</f>
        <v>16</v>
      </c>
      <c r="C664" s="971">
        <f>'1.2 Budgeted Enrollment YR1'!C664</f>
        <v>16</v>
      </c>
      <c r="D664" s="971" t="str">
        <f>'1.2 Budgeted Enrollment YR1'!D664</f>
        <v>Reno/Sparks</v>
      </c>
      <c r="E664" s="968" t="str">
        <f>'1.2 Budgeted Enrollment YR1'!E664</f>
        <v>EDWARD C. REED HIGH SCHOOL</v>
      </c>
      <c r="F664" s="1061"/>
      <c r="G664" s="1108">
        <f>'1.2 Budgeted Enrollment YR1'!G664+('1.2 Budgeted Enrollment YR1'!G664*$G$7)</f>
        <v>2032.3625453378479</v>
      </c>
      <c r="H664" s="1108"/>
      <c r="I664" s="1114">
        <v>0</v>
      </c>
      <c r="J664" s="1115">
        <v>0</v>
      </c>
      <c r="K664" s="1114">
        <v>0</v>
      </c>
      <c r="L664" s="1108">
        <f>'1.2 Budgeted Enrollment YR1'!L664</f>
        <v>0</v>
      </c>
      <c r="M664" s="1104"/>
      <c r="N664" s="875"/>
    </row>
    <row r="665" spans="1:14" ht="16.5" thickTop="1" thickBot="1" x14ac:dyDescent="0.3">
      <c r="A665" s="968" t="str">
        <f>'1.2 Budgeted Enrollment YR1'!A665</f>
        <v>Washoe</v>
      </c>
      <c r="B665" s="971">
        <f>'1.2 Budgeted Enrollment YR1'!B665</f>
        <v>16</v>
      </c>
      <c r="C665" s="971">
        <f>'1.2 Budgeted Enrollment YR1'!C665</f>
        <v>16</v>
      </c>
      <c r="D665" s="971" t="str">
        <f>'1.2 Budgeted Enrollment YR1'!D665</f>
        <v>Reno/Sparks</v>
      </c>
      <c r="E665" s="968" t="str">
        <f>'1.2 Budgeted Enrollment YR1'!E665</f>
        <v>EDWARD L. PINE MIDDLE SCHOOL</v>
      </c>
      <c r="F665" s="1061"/>
      <c r="G665" s="1108">
        <f>'1.2 Budgeted Enrollment YR1'!G665+('1.2 Budgeted Enrollment YR1'!G665*$G$7)</f>
        <v>793.67633074826733</v>
      </c>
      <c r="H665" s="1108"/>
      <c r="I665" s="1114">
        <v>0</v>
      </c>
      <c r="J665" s="1115">
        <v>0</v>
      </c>
      <c r="K665" s="1114">
        <v>0</v>
      </c>
      <c r="L665" s="1108">
        <f>'1.2 Budgeted Enrollment YR1'!L665</f>
        <v>0</v>
      </c>
      <c r="M665" s="1104"/>
      <c r="N665" s="875"/>
    </row>
    <row r="666" spans="1:14" ht="16.5" thickTop="1" thickBot="1" x14ac:dyDescent="0.3">
      <c r="A666" s="968" t="str">
        <f>'1.2 Budgeted Enrollment YR1'!A666</f>
        <v>Washoe</v>
      </c>
      <c r="B666" s="971">
        <f>'1.2 Budgeted Enrollment YR1'!B666</f>
        <v>16</v>
      </c>
      <c r="C666" s="971">
        <f>'1.2 Budgeted Enrollment YR1'!C666</f>
        <v>16</v>
      </c>
      <c r="D666" s="971" t="str">
        <f>'1.2 Budgeted Enrollment YR1'!D666</f>
        <v>Reno/Sparks</v>
      </c>
      <c r="E666" s="968" t="str">
        <f>'1.2 Budgeted Enrollment YR1'!E666</f>
        <v>EDWIN S. DODSON ELEMENTARY</v>
      </c>
      <c r="F666" s="1061"/>
      <c r="G666" s="1108">
        <f>'1.2 Budgeted Enrollment YR1'!G666+('1.2 Budgeted Enrollment YR1'!G666*$G$7)</f>
        <v>230.86327732349272</v>
      </c>
      <c r="H666" s="1108"/>
      <c r="I666" s="1114">
        <v>0</v>
      </c>
      <c r="J666" s="1115">
        <v>0</v>
      </c>
      <c r="K666" s="1114">
        <v>0</v>
      </c>
      <c r="L666" s="1108">
        <f>'1.2 Budgeted Enrollment YR1'!L666</f>
        <v>0</v>
      </c>
      <c r="M666" s="1104"/>
      <c r="N666" s="875"/>
    </row>
    <row r="667" spans="1:14" ht="16.5" thickTop="1" thickBot="1" x14ac:dyDescent="0.3">
      <c r="A667" s="968" t="str">
        <f>'1.2 Budgeted Enrollment YR1'!A667</f>
        <v>Washoe</v>
      </c>
      <c r="B667" s="971">
        <f>'1.2 Budgeted Enrollment YR1'!B667</f>
        <v>16</v>
      </c>
      <c r="C667" s="971">
        <f>'1.2 Budgeted Enrollment YR1'!C667</f>
        <v>16</v>
      </c>
      <c r="D667" s="971" t="str">
        <f>'1.2 Budgeted Enrollment YR1'!D667</f>
        <v>Reno/Sparks</v>
      </c>
      <c r="E667" s="968" t="str">
        <f>'1.2 Budgeted Enrollment YR1'!E667</f>
        <v>ELIZABETH LENZ ELEMENTARY</v>
      </c>
      <c r="F667" s="1061"/>
      <c r="G667" s="1108">
        <f>'1.2 Budgeted Enrollment YR1'!G667+('1.2 Budgeted Enrollment YR1'!G667*$G$7)</f>
        <v>388.03686394304475</v>
      </c>
      <c r="H667" s="1108"/>
      <c r="I667" s="1114">
        <v>0</v>
      </c>
      <c r="J667" s="1115">
        <v>0</v>
      </c>
      <c r="K667" s="1114">
        <v>0</v>
      </c>
      <c r="L667" s="1108">
        <f>'1.2 Budgeted Enrollment YR1'!L667</f>
        <v>0</v>
      </c>
      <c r="M667" s="1104"/>
      <c r="N667" s="875"/>
    </row>
    <row r="668" spans="1:14" ht="16.5" thickTop="1" thickBot="1" x14ac:dyDescent="0.3">
      <c r="A668" s="968" t="str">
        <f>'1.2 Budgeted Enrollment YR1'!A668</f>
        <v>Washoe</v>
      </c>
      <c r="B668" s="971">
        <f>'1.2 Budgeted Enrollment YR1'!B668</f>
        <v>16</v>
      </c>
      <c r="C668" s="971">
        <f>'1.2 Budgeted Enrollment YR1'!C668</f>
        <v>16</v>
      </c>
      <c r="D668" s="971" t="str">
        <f>'1.2 Budgeted Enrollment YR1'!D668</f>
        <v>Reno/Sparks</v>
      </c>
      <c r="E668" s="968" t="str">
        <f>'1.2 Budgeted Enrollment YR1'!E668</f>
        <v>ELMCREST ELEMENTARY</v>
      </c>
      <c r="F668" s="1061"/>
      <c r="G668" s="1108">
        <f>'1.2 Budgeted Enrollment YR1'!G668+('1.2 Budgeted Enrollment YR1'!G668*$G$7)</f>
        <v>272.54088743762532</v>
      </c>
      <c r="H668" s="1108"/>
      <c r="I668" s="1114">
        <v>0</v>
      </c>
      <c r="J668" s="1115">
        <v>0</v>
      </c>
      <c r="K668" s="1114">
        <v>0</v>
      </c>
      <c r="L668" s="1108">
        <f>'1.2 Budgeted Enrollment YR1'!L668</f>
        <v>0</v>
      </c>
      <c r="M668" s="1104"/>
      <c r="N668" s="875"/>
    </row>
    <row r="669" spans="1:14" ht="16.5" thickTop="1" thickBot="1" x14ac:dyDescent="0.3">
      <c r="A669" s="968" t="str">
        <f>'1.2 Budgeted Enrollment YR1'!A669</f>
        <v>Washoe</v>
      </c>
      <c r="B669" s="971">
        <f>'1.2 Budgeted Enrollment YR1'!B669</f>
        <v>16</v>
      </c>
      <c r="C669" s="971">
        <f>'1.2 Budgeted Enrollment YR1'!C669</f>
        <v>16</v>
      </c>
      <c r="D669" s="971" t="str">
        <f>'1.2 Budgeted Enrollment YR1'!D669</f>
        <v>Stead</v>
      </c>
      <c r="E669" s="968" t="str">
        <f>'1.2 Budgeted Enrollment YR1'!E669</f>
        <v>ESTHER BENNETT ELEMENTARY</v>
      </c>
      <c r="F669" s="1061"/>
      <c r="G669" s="1108">
        <f>'1.2 Budgeted Enrollment YR1'!G669+('1.2 Budgeted Enrollment YR1'!G669*$G$7)</f>
        <v>542.0632119617452</v>
      </c>
      <c r="H669" s="1108"/>
      <c r="I669" s="1114">
        <v>0</v>
      </c>
      <c r="J669" s="1115">
        <v>0</v>
      </c>
      <c r="K669" s="1114">
        <v>0</v>
      </c>
      <c r="L669" s="1108">
        <f>'1.2 Budgeted Enrollment YR1'!L669</f>
        <v>0</v>
      </c>
      <c r="M669" s="1104"/>
      <c r="N669" s="875"/>
    </row>
    <row r="670" spans="1:14" ht="16.5" thickTop="1" thickBot="1" x14ac:dyDescent="0.3">
      <c r="A670" s="968" t="str">
        <f>'1.2 Budgeted Enrollment YR1'!A670</f>
        <v>Washoe</v>
      </c>
      <c r="B670" s="971">
        <f>'1.2 Budgeted Enrollment YR1'!B670</f>
        <v>16</v>
      </c>
      <c r="C670" s="971">
        <f>'1.2 Budgeted Enrollment YR1'!C670</f>
        <v>16</v>
      </c>
      <c r="D670" s="971" t="str">
        <f>'1.2 Budgeted Enrollment YR1'!D670</f>
        <v>Reno/Sparks</v>
      </c>
      <c r="E670" s="968" t="str">
        <f>'1.2 Budgeted Enrollment YR1'!E670</f>
        <v>FLORENCE DRAKE ELEMENTARY</v>
      </c>
      <c r="F670" s="1061"/>
      <c r="G670" s="1108">
        <f>'1.2 Budgeted Enrollment YR1'!G670+('1.2 Budgeted Enrollment YR1'!G670*$G$7)</f>
        <v>243.973421113303</v>
      </c>
      <c r="H670" s="1108"/>
      <c r="I670" s="1114">
        <v>0</v>
      </c>
      <c r="J670" s="1115">
        <v>0</v>
      </c>
      <c r="K670" s="1114">
        <v>0</v>
      </c>
      <c r="L670" s="1108">
        <f>'1.2 Budgeted Enrollment YR1'!L670</f>
        <v>0</v>
      </c>
      <c r="M670" s="1104"/>
      <c r="N670" s="875"/>
    </row>
    <row r="671" spans="1:14" ht="16.5" thickTop="1" thickBot="1" x14ac:dyDescent="0.3">
      <c r="A671" s="968" t="str">
        <f>'1.2 Budgeted Enrollment YR1'!A671</f>
        <v>Washoe</v>
      </c>
      <c r="B671" s="971">
        <f>'1.2 Budgeted Enrollment YR1'!B671</f>
        <v>16</v>
      </c>
      <c r="C671" s="971">
        <f>'1.2 Budgeted Enrollment YR1'!C671</f>
        <v>16</v>
      </c>
      <c r="D671" s="971" t="str">
        <f>'1.2 Budgeted Enrollment YR1'!D671</f>
        <v>Reno/Sparks</v>
      </c>
      <c r="E671" s="968" t="str">
        <f>'1.2 Budgeted Enrollment YR1'!E671</f>
        <v>FRED W. TRANER MIDDLE SCHOOL</v>
      </c>
      <c r="F671" s="1061"/>
      <c r="G671" s="1108">
        <f>'1.2 Budgeted Enrollment YR1'!G671+('1.2 Budgeted Enrollment YR1'!G671*$G$7)</f>
        <v>545.5398742660966</v>
      </c>
      <c r="H671" s="1108"/>
      <c r="I671" s="1114">
        <v>0</v>
      </c>
      <c r="J671" s="1115">
        <v>0</v>
      </c>
      <c r="K671" s="1114">
        <v>0</v>
      </c>
      <c r="L671" s="1108">
        <f>'1.2 Budgeted Enrollment YR1'!L671</f>
        <v>0</v>
      </c>
      <c r="M671" s="1104"/>
      <c r="N671" s="875"/>
    </row>
    <row r="672" spans="1:14" ht="16.5" thickTop="1" thickBot="1" x14ac:dyDescent="0.3">
      <c r="A672" s="968" t="str">
        <f>'1.2 Budgeted Enrollment YR1'!A672</f>
        <v>Washoe</v>
      </c>
      <c r="B672" s="971">
        <f>'1.2 Budgeted Enrollment YR1'!B672</f>
        <v>16</v>
      </c>
      <c r="C672" s="971">
        <f>'1.2 Budgeted Enrollment YR1'!C672</f>
        <v>16</v>
      </c>
      <c r="D672" s="971" t="str">
        <f>'1.2 Budgeted Enrollment YR1'!D672</f>
        <v>Reno/Sparks</v>
      </c>
      <c r="E672" s="968" t="str">
        <f>'1.2 Budgeted Enrollment YR1'!E672</f>
        <v>GALENA HIGH SCHOOL</v>
      </c>
      <c r="F672" s="1061"/>
      <c r="G672" s="1108">
        <f>'1.2 Budgeted Enrollment YR1'!G672+('1.2 Budgeted Enrollment YR1'!G672*$G$7)</f>
        <v>1252.7547345755336</v>
      </c>
      <c r="H672" s="1108"/>
      <c r="I672" s="1114">
        <v>0</v>
      </c>
      <c r="J672" s="1115">
        <v>0</v>
      </c>
      <c r="K672" s="1114">
        <v>0</v>
      </c>
      <c r="L672" s="1108">
        <f>'1.2 Budgeted Enrollment YR1'!L672</f>
        <v>0</v>
      </c>
      <c r="M672" s="1104"/>
      <c r="N672" s="875"/>
    </row>
    <row r="673" spans="1:14" ht="16.5" thickTop="1" thickBot="1" x14ac:dyDescent="0.3">
      <c r="A673" s="968" t="str">
        <f>'1.2 Budgeted Enrollment YR1'!A673</f>
        <v>Washoe</v>
      </c>
      <c r="B673" s="971">
        <f>'1.2 Budgeted Enrollment YR1'!B673</f>
        <v>16</v>
      </c>
      <c r="C673" s="971">
        <f>'1.2 Budgeted Enrollment YR1'!C673</f>
        <v>16</v>
      </c>
      <c r="D673" s="971" t="str">
        <f>'1.2 Budgeted Enrollment YR1'!D673</f>
        <v>Reno/Sparks</v>
      </c>
      <c r="E673" s="968" t="str">
        <f>'1.2 Budgeted Enrollment YR1'!E673</f>
        <v>GEORGE L. DILWORTH S.T.E.M ACADEMY</v>
      </c>
      <c r="F673" s="1061"/>
      <c r="G673" s="1108">
        <f>'1.2 Budgeted Enrollment YR1'!G673+('1.2 Budgeted Enrollment YR1'!G673*$G$7)</f>
        <v>594.60104992983702</v>
      </c>
      <c r="H673" s="1108"/>
      <c r="I673" s="1114">
        <v>0</v>
      </c>
      <c r="J673" s="1115">
        <v>0</v>
      </c>
      <c r="K673" s="1114">
        <v>0</v>
      </c>
      <c r="L673" s="1108">
        <f>'1.2 Budgeted Enrollment YR1'!L673</f>
        <v>0</v>
      </c>
      <c r="M673" s="1104"/>
      <c r="N673" s="875"/>
    </row>
    <row r="674" spans="1:14" ht="16.5" thickTop="1" thickBot="1" x14ac:dyDescent="0.3">
      <c r="A674" s="968" t="str">
        <f>'1.2 Budgeted Enrollment YR1'!A674</f>
        <v>Washoe</v>
      </c>
      <c r="B674" s="971">
        <f>'1.2 Budgeted Enrollment YR1'!B674</f>
        <v>16</v>
      </c>
      <c r="C674" s="971">
        <f>'1.2 Budgeted Enrollment YR1'!C674</f>
        <v>16</v>
      </c>
      <c r="D674" s="971" t="str">
        <f>'1.2 Budgeted Enrollment YR1'!D674</f>
        <v>Reno/Sparks</v>
      </c>
      <c r="E674" s="968" t="str">
        <f>'1.2 Budgeted Enrollment YR1'!E674</f>
        <v>GEORGE WESTERGARD ELEMENTARY</v>
      </c>
      <c r="F674" s="1061"/>
      <c r="G674" s="1108">
        <f>'1.2 Budgeted Enrollment YR1'!G674+('1.2 Budgeted Enrollment YR1'!G674*$G$7)</f>
        <v>455.52503914171569</v>
      </c>
      <c r="H674" s="1108"/>
      <c r="I674" s="1114">
        <v>0</v>
      </c>
      <c r="J674" s="1115">
        <v>0</v>
      </c>
      <c r="K674" s="1114">
        <v>0</v>
      </c>
      <c r="L674" s="1108">
        <f>'1.2 Budgeted Enrollment YR1'!L674</f>
        <v>0</v>
      </c>
      <c r="M674" s="1104"/>
      <c r="N674" s="875"/>
    </row>
    <row r="675" spans="1:14" ht="16.5" thickTop="1" thickBot="1" x14ac:dyDescent="0.3">
      <c r="A675" s="968" t="str">
        <f>'1.2 Budgeted Enrollment YR1'!A675</f>
        <v>Washoe</v>
      </c>
      <c r="B675" s="971">
        <f>'1.2 Budgeted Enrollment YR1'!B675</f>
        <v>16</v>
      </c>
      <c r="C675" s="971">
        <f>'1.2 Budgeted Enrollment YR1'!C675</f>
        <v>16</v>
      </c>
      <c r="D675" s="971" t="str">
        <f>'1.2 Budgeted Enrollment YR1'!D675</f>
        <v>Gerlach</v>
      </c>
      <c r="E675" s="968" t="str">
        <f>'1.2 Budgeted Enrollment YR1'!E675</f>
        <v>GERLACH K-12 SCHOOL</v>
      </c>
      <c r="F675" s="1061"/>
      <c r="G675" s="1108">
        <f>'1.2 Budgeted Enrollment YR1'!G675+('1.2 Budgeted Enrollment YR1'!G675*$G$7)</f>
        <v>24.345171974615241</v>
      </c>
      <c r="H675" s="1108"/>
      <c r="I675" s="1114">
        <v>0</v>
      </c>
      <c r="J675" s="1115">
        <v>0</v>
      </c>
      <c r="K675" s="1114">
        <v>0</v>
      </c>
      <c r="L675" s="1108">
        <f>'1.2 Budgeted Enrollment YR1'!L675</f>
        <v>0</v>
      </c>
      <c r="M675" s="1104"/>
      <c r="N675" s="875"/>
    </row>
    <row r="676" spans="1:14" ht="16.5" thickTop="1" thickBot="1" x14ac:dyDescent="0.3">
      <c r="A676" s="968" t="str">
        <f>'1.2 Budgeted Enrollment YR1'!A676</f>
        <v>Washoe</v>
      </c>
      <c r="B676" s="971">
        <f>'1.2 Budgeted Enrollment YR1'!B676</f>
        <v>16</v>
      </c>
      <c r="C676" s="971">
        <f>'1.2 Budgeted Enrollment YR1'!C676</f>
        <v>16</v>
      </c>
      <c r="D676" s="971" t="str">
        <f>'1.2 Budgeted Enrollment YR1'!D676</f>
        <v>Reno/Sparks</v>
      </c>
      <c r="E676" s="968" t="str">
        <f>'1.2 Budgeted Enrollment YR1'!E676</f>
        <v>GLENN DUNCAN S.T.E.M. ACADEMY</v>
      </c>
      <c r="F676" s="1061"/>
      <c r="G676" s="1108">
        <f>'1.2 Budgeted Enrollment YR1'!G676+('1.2 Budgeted Enrollment YR1'!G676*$G$7)</f>
        <v>334.62874741120049</v>
      </c>
      <c r="H676" s="1108"/>
      <c r="I676" s="1114">
        <v>0</v>
      </c>
      <c r="J676" s="1115">
        <v>0</v>
      </c>
      <c r="K676" s="1114">
        <v>0</v>
      </c>
      <c r="L676" s="1108">
        <f>'1.2 Budgeted Enrollment YR1'!L676</f>
        <v>0</v>
      </c>
      <c r="M676" s="1104"/>
      <c r="N676" s="875"/>
    </row>
    <row r="677" spans="1:14" ht="16.5" thickTop="1" thickBot="1" x14ac:dyDescent="0.3">
      <c r="A677" s="968" t="str">
        <f>'1.2 Budgeted Enrollment YR1'!A677</f>
        <v>Washoe</v>
      </c>
      <c r="B677" s="971">
        <f>'1.2 Budgeted Enrollment YR1'!B677</f>
        <v>16</v>
      </c>
      <c r="C677" s="971">
        <f>'1.2 Budgeted Enrollment YR1'!C677</f>
        <v>16</v>
      </c>
      <c r="D677" s="971" t="str">
        <f>'1.2 Budgeted Enrollment YR1'!D677</f>
        <v>Reno/Sparks</v>
      </c>
      <c r="E677" s="968" t="str">
        <f>'1.2 Budgeted Enrollment YR1'!E677</f>
        <v>GRACE WARNER ELEMENTARY</v>
      </c>
      <c r="F677" s="1061"/>
      <c r="G677" s="1108">
        <f>'1.2 Budgeted Enrollment YR1'!G677+('1.2 Budgeted Enrollment YR1'!G677*$G$7)</f>
        <v>351.54107418295968</v>
      </c>
      <c r="H677" s="1108"/>
      <c r="I677" s="1114">
        <v>0</v>
      </c>
      <c r="J677" s="1115">
        <v>0</v>
      </c>
      <c r="K677" s="1114">
        <v>0</v>
      </c>
      <c r="L677" s="1108">
        <f>'1.2 Budgeted Enrollment YR1'!L677</f>
        <v>0</v>
      </c>
      <c r="M677" s="1104"/>
      <c r="N677" s="875"/>
    </row>
    <row r="678" spans="1:14" ht="16.5" thickTop="1" thickBot="1" x14ac:dyDescent="0.3">
      <c r="A678" s="968" t="str">
        <f>'1.2 Budgeted Enrollment YR1'!A678</f>
        <v>Washoe</v>
      </c>
      <c r="B678" s="971">
        <f>'1.2 Budgeted Enrollment YR1'!B678</f>
        <v>16</v>
      </c>
      <c r="C678" s="971">
        <f>'1.2 Budgeted Enrollment YR1'!C678</f>
        <v>16</v>
      </c>
      <c r="D678" s="971" t="str">
        <f>'1.2 Budgeted Enrollment YR1'!D678</f>
        <v>Reno/Sparks</v>
      </c>
      <c r="E678" s="968" t="str">
        <f>'1.2 Budgeted Enrollment YR1'!E678</f>
        <v>GREENBRAE ELEMENTARY</v>
      </c>
      <c r="F678" s="1061"/>
      <c r="G678" s="1108">
        <f>'1.2 Budgeted Enrollment YR1'!G678+('1.2 Budgeted Enrollment YR1'!G678*$G$7)</f>
        <v>328.27606798536749</v>
      </c>
      <c r="H678" s="1108"/>
      <c r="I678" s="1114">
        <v>0</v>
      </c>
      <c r="J678" s="1115">
        <v>0</v>
      </c>
      <c r="K678" s="1114">
        <v>0</v>
      </c>
      <c r="L678" s="1108">
        <f>'1.2 Budgeted Enrollment YR1'!L678</f>
        <v>0</v>
      </c>
      <c r="M678" s="1104"/>
      <c r="N678" s="875"/>
    </row>
    <row r="679" spans="1:14" ht="16.5" thickTop="1" thickBot="1" x14ac:dyDescent="0.3">
      <c r="A679" s="968" t="str">
        <f>'1.2 Budgeted Enrollment YR1'!A679</f>
        <v>Washoe</v>
      </c>
      <c r="B679" s="971">
        <f>'1.2 Budgeted Enrollment YR1'!B679</f>
        <v>16</v>
      </c>
      <c r="C679" s="971">
        <f>'1.2 Budgeted Enrollment YR1'!C679</f>
        <v>16</v>
      </c>
      <c r="D679" s="971" t="str">
        <f>'1.2 Budgeted Enrollment YR1'!D679</f>
        <v>Reno/Sparks</v>
      </c>
      <c r="E679" s="968" t="str">
        <f>'1.2 Budgeted Enrollment YR1'!E679</f>
        <v>HIDDEN VALLEY ELEMENTARY</v>
      </c>
      <c r="F679" s="1061"/>
      <c r="G679" s="1108">
        <f>'1.2 Budgeted Enrollment YR1'!G679+('1.2 Budgeted Enrollment YR1'!G679*$G$7)</f>
        <v>221.62472956724943</v>
      </c>
      <c r="H679" s="1108"/>
      <c r="I679" s="1114">
        <v>0</v>
      </c>
      <c r="J679" s="1115">
        <v>0</v>
      </c>
      <c r="K679" s="1114">
        <v>0</v>
      </c>
      <c r="L679" s="1108">
        <f>'1.2 Budgeted Enrollment YR1'!L679</f>
        <v>0</v>
      </c>
      <c r="M679" s="1104"/>
      <c r="N679" s="875"/>
    </row>
    <row r="680" spans="1:14" ht="16.5" thickTop="1" thickBot="1" x14ac:dyDescent="0.3">
      <c r="A680" s="968" t="str">
        <f>'1.2 Budgeted Enrollment YR1'!A680</f>
        <v>Washoe</v>
      </c>
      <c r="B680" s="971">
        <f>'1.2 Budgeted Enrollment YR1'!B680</f>
        <v>16</v>
      </c>
      <c r="C680" s="971">
        <f>'1.2 Budgeted Enrollment YR1'!C680</f>
        <v>16</v>
      </c>
      <c r="D680" s="971" t="str">
        <f>'1.2 Budgeted Enrollment YR1'!D680</f>
        <v>Reno/Sparks</v>
      </c>
      <c r="E680" s="968" t="str">
        <f>'1.2 Budgeted Enrollment YR1'!E680</f>
        <v>HUFFAKER ELEMENTARY</v>
      </c>
      <c r="F680" s="1061"/>
      <c r="G680" s="1108">
        <f>'1.2 Budgeted Enrollment YR1'!G680+('1.2 Budgeted Enrollment YR1'!G680*$G$7)</f>
        <v>363.64944817329905</v>
      </c>
      <c r="H680" s="1108"/>
      <c r="I680" s="1114">
        <v>0</v>
      </c>
      <c r="J680" s="1115">
        <v>0</v>
      </c>
      <c r="K680" s="1114">
        <v>0</v>
      </c>
      <c r="L680" s="1108">
        <f>'1.2 Budgeted Enrollment YR1'!L680</f>
        <v>0</v>
      </c>
      <c r="M680" s="1104"/>
      <c r="N680" s="875"/>
    </row>
    <row r="681" spans="1:14" ht="16.5" thickTop="1" thickBot="1" x14ac:dyDescent="0.3">
      <c r="A681" s="968" t="str">
        <f>'1.2 Budgeted Enrollment YR1'!A681</f>
        <v>Washoe</v>
      </c>
      <c r="B681" s="971">
        <f>'1.2 Budgeted Enrollment YR1'!B681</f>
        <v>16</v>
      </c>
      <c r="C681" s="971">
        <f>'1.2 Budgeted Enrollment YR1'!C681</f>
        <v>16</v>
      </c>
      <c r="D681" s="971" t="str">
        <f>'1.2 Budgeted Enrollment YR1'!D681</f>
        <v>Reno/Sparks</v>
      </c>
      <c r="E681" s="968" t="str">
        <f>'1.2 Budgeted Enrollment YR1'!E681</f>
        <v>HUNTER LAKE ELEMENTARY</v>
      </c>
      <c r="F681" s="1061"/>
      <c r="G681" s="1108">
        <f>'1.2 Budgeted Enrollment YR1'!G681+('1.2 Budgeted Enrollment YR1'!G681*$G$7)</f>
        <v>316.17398731807526</v>
      </c>
      <c r="H681" s="1108"/>
      <c r="I681" s="1114">
        <v>0</v>
      </c>
      <c r="J681" s="1115">
        <v>0</v>
      </c>
      <c r="K681" s="1114">
        <v>0</v>
      </c>
      <c r="L681" s="1108">
        <f>'1.2 Budgeted Enrollment YR1'!L681</f>
        <v>0</v>
      </c>
      <c r="M681" s="1104"/>
      <c r="N681" s="875"/>
    </row>
    <row r="682" spans="1:14" ht="16.5" thickTop="1" thickBot="1" x14ac:dyDescent="0.3">
      <c r="A682" s="968" t="str">
        <f>'1.2 Budgeted Enrollment YR1'!A682</f>
        <v>Washoe</v>
      </c>
      <c r="B682" s="971">
        <f>'1.2 Budgeted Enrollment YR1'!B682</f>
        <v>16</v>
      </c>
      <c r="C682" s="971">
        <f>'1.2 Budgeted Enrollment YR1'!C682</f>
        <v>16</v>
      </c>
      <c r="D682" s="971" t="str">
        <f>'1.2 Budgeted Enrollment YR1'!D682</f>
        <v>Incline Village</v>
      </c>
      <c r="E682" s="968" t="str">
        <f>'1.2 Budgeted Enrollment YR1'!E682</f>
        <v>INCLINE ELEMENTARY</v>
      </c>
      <c r="F682" s="1061"/>
      <c r="G682" s="1108">
        <f>'1.2 Budgeted Enrollment YR1'!G682+('1.2 Budgeted Enrollment YR1'!G682*$G$7)</f>
        <v>231.66235440973199</v>
      </c>
      <c r="H682" s="1108"/>
      <c r="I682" s="1114">
        <v>0</v>
      </c>
      <c r="J682" s="1115">
        <v>0</v>
      </c>
      <c r="K682" s="1114">
        <v>0</v>
      </c>
      <c r="L682" s="1108">
        <f>'1.2 Budgeted Enrollment YR1'!L682</f>
        <v>0</v>
      </c>
      <c r="M682" s="1104"/>
      <c r="N682" s="875"/>
    </row>
    <row r="683" spans="1:14" ht="16.5" thickTop="1" thickBot="1" x14ac:dyDescent="0.3">
      <c r="A683" s="968" t="str">
        <f>'1.2 Budgeted Enrollment YR1'!A683</f>
        <v>Washoe</v>
      </c>
      <c r="B683" s="971">
        <f>'1.2 Budgeted Enrollment YR1'!B683</f>
        <v>16</v>
      </c>
      <c r="C683" s="971">
        <f>'1.2 Budgeted Enrollment YR1'!C683</f>
        <v>16</v>
      </c>
      <c r="D683" s="971" t="str">
        <f>'1.2 Budgeted Enrollment YR1'!D683</f>
        <v>Incline Village</v>
      </c>
      <c r="E683" s="968" t="str">
        <f>'1.2 Budgeted Enrollment YR1'!E683</f>
        <v>INCLINE HIGH SCHOOL</v>
      </c>
      <c r="F683" s="1061"/>
      <c r="G683" s="1108">
        <f>'1.2 Budgeted Enrollment YR1'!G683+('1.2 Budgeted Enrollment YR1'!G683*$G$7)</f>
        <v>286.17711688041453</v>
      </c>
      <c r="H683" s="1108"/>
      <c r="I683" s="1114">
        <v>0</v>
      </c>
      <c r="J683" s="1115">
        <v>0</v>
      </c>
      <c r="K683" s="1114">
        <v>0</v>
      </c>
      <c r="L683" s="1108">
        <f>'1.2 Budgeted Enrollment YR1'!L683</f>
        <v>0</v>
      </c>
      <c r="M683" s="1104"/>
      <c r="N683" s="875"/>
    </row>
    <row r="684" spans="1:14" ht="16.5" thickTop="1" thickBot="1" x14ac:dyDescent="0.3">
      <c r="A684" s="968" t="str">
        <f>'1.2 Budgeted Enrollment YR1'!A684</f>
        <v>Washoe</v>
      </c>
      <c r="B684" s="971">
        <f>'1.2 Budgeted Enrollment YR1'!B684</f>
        <v>16</v>
      </c>
      <c r="C684" s="971">
        <f>'1.2 Budgeted Enrollment YR1'!C684</f>
        <v>16</v>
      </c>
      <c r="D684" s="971" t="str">
        <f>'1.2 Budgeted Enrollment YR1'!D684</f>
        <v>Incline Village</v>
      </c>
      <c r="E684" s="968" t="str">
        <f>'1.2 Budgeted Enrollment YR1'!E684</f>
        <v>INCLINE MIDDLE SCHOOL</v>
      </c>
      <c r="F684" s="1061"/>
      <c r="G684" s="1108">
        <f>'1.2 Budgeted Enrollment YR1'!G684+('1.2 Budgeted Enrollment YR1'!G684*$G$7)</f>
        <v>119.67919367523577</v>
      </c>
      <c r="H684" s="1108"/>
      <c r="I684" s="1114">
        <v>0</v>
      </c>
      <c r="J684" s="1115">
        <v>0</v>
      </c>
      <c r="K684" s="1114">
        <v>0</v>
      </c>
      <c r="L684" s="1108">
        <f>'1.2 Budgeted Enrollment YR1'!L684</f>
        <v>0</v>
      </c>
      <c r="M684" s="1104"/>
      <c r="N684" s="875"/>
    </row>
    <row r="685" spans="1:14" ht="16.5" thickTop="1" thickBot="1" x14ac:dyDescent="0.3">
      <c r="A685" s="968" t="str">
        <f>'1.2 Budgeted Enrollment YR1'!A685</f>
        <v>Washoe</v>
      </c>
      <c r="B685" s="971">
        <f>'1.2 Budgeted Enrollment YR1'!B685</f>
        <v>16</v>
      </c>
      <c r="C685" s="971">
        <f>'1.2 Budgeted Enrollment YR1'!C685</f>
        <v>16</v>
      </c>
      <c r="D685" s="971" t="str">
        <f>'1.2 Budgeted Enrollment YR1'!D685</f>
        <v>Reno/Sparks</v>
      </c>
      <c r="E685" s="968" t="str">
        <f>'1.2 Budgeted Enrollment YR1'!E685</f>
        <v>INNOVATIONS HIGH SCHOOL</v>
      </c>
      <c r="F685" s="1061"/>
      <c r="G685" s="1108">
        <f>'1.2 Budgeted Enrollment YR1'!G685+('1.2 Budgeted Enrollment YR1'!G685*$G$7)</f>
        <v>124.08025247884862</v>
      </c>
      <c r="H685" s="1108"/>
      <c r="I685" s="1114">
        <v>0</v>
      </c>
      <c r="J685" s="1115">
        <v>0</v>
      </c>
      <c r="K685" s="1114">
        <v>0</v>
      </c>
      <c r="L685" s="1108">
        <f>'1.2 Budgeted Enrollment YR1'!L685</f>
        <v>0</v>
      </c>
      <c r="M685" s="1104"/>
      <c r="N685" s="875"/>
    </row>
    <row r="686" spans="1:14" ht="16.5" thickTop="1" thickBot="1" x14ac:dyDescent="0.3">
      <c r="A686" s="968" t="str">
        <f>'1.2 Budgeted Enrollment YR1'!A686</f>
        <v>Washoe</v>
      </c>
      <c r="B686" s="971">
        <f>'1.2 Budgeted Enrollment YR1'!B686</f>
        <v>16</v>
      </c>
      <c r="C686" s="971">
        <f>'1.2 Budgeted Enrollment YR1'!C686</f>
        <v>16</v>
      </c>
      <c r="D686" s="971" t="str">
        <f>'1.2 Budgeted Enrollment YR1'!D686</f>
        <v>Reno/Sparks</v>
      </c>
      <c r="E686" s="968" t="str">
        <f>'1.2 Budgeted Enrollment YR1'!E686</f>
        <v>JERRY WHITEHEAD ELEMENTARY</v>
      </c>
      <c r="F686" s="1061"/>
      <c r="G686" s="1108">
        <f>'1.2 Budgeted Enrollment YR1'!G686+('1.2 Budgeted Enrollment YR1'!G686*$G$7)</f>
        <v>227.90899392361388</v>
      </c>
      <c r="H686" s="1108"/>
      <c r="I686" s="1114">
        <v>0</v>
      </c>
      <c r="J686" s="1115">
        <v>0</v>
      </c>
      <c r="K686" s="1114">
        <v>0</v>
      </c>
      <c r="L686" s="1108">
        <f>'1.2 Budgeted Enrollment YR1'!L686</f>
        <v>0</v>
      </c>
      <c r="M686" s="1104"/>
      <c r="N686" s="875"/>
    </row>
    <row r="687" spans="1:14" ht="16.5" thickTop="1" thickBot="1" x14ac:dyDescent="0.3">
      <c r="A687" s="968" t="str">
        <f>'1.2 Budgeted Enrollment YR1'!A687</f>
        <v>Washoe</v>
      </c>
      <c r="B687" s="971">
        <f>'1.2 Budgeted Enrollment YR1'!B687</f>
        <v>16</v>
      </c>
      <c r="C687" s="971">
        <f>'1.2 Budgeted Enrollment YR1'!C687</f>
        <v>16</v>
      </c>
      <c r="D687" s="971" t="str">
        <f>'1.2 Budgeted Enrollment YR1'!D687</f>
        <v>Reno/Sparks</v>
      </c>
      <c r="E687" s="968" t="str">
        <f>'1.2 Budgeted Enrollment YR1'!E687</f>
        <v>JESSE HALL ELEMENTARY SCHOOL</v>
      </c>
      <c r="F687" s="1061"/>
      <c r="G687" s="1108">
        <f>'1.2 Budgeted Enrollment YR1'!G687+('1.2 Budgeted Enrollment YR1'!G687*$G$7)</f>
        <v>448.64082146301558</v>
      </c>
      <c r="H687" s="1108"/>
      <c r="I687" s="1114">
        <v>0</v>
      </c>
      <c r="J687" s="1115">
        <v>0</v>
      </c>
      <c r="K687" s="1114">
        <v>0</v>
      </c>
      <c r="L687" s="1108">
        <f>'1.2 Budgeted Enrollment YR1'!L687</f>
        <v>0</v>
      </c>
      <c r="M687" s="1104"/>
      <c r="N687" s="875"/>
    </row>
    <row r="688" spans="1:14" ht="16.5" thickTop="1" thickBot="1" x14ac:dyDescent="0.3">
      <c r="A688" s="968" t="str">
        <f>'1.2 Budgeted Enrollment YR1'!A688</f>
        <v>Washoe</v>
      </c>
      <c r="B688" s="971">
        <f>'1.2 Budgeted Enrollment YR1'!B688</f>
        <v>16</v>
      </c>
      <c r="C688" s="971">
        <f>'1.2 Budgeted Enrollment YR1'!C688</f>
        <v>16</v>
      </c>
      <c r="D688" s="971" t="str">
        <f>'1.2 Budgeted Enrollment YR1'!D688</f>
        <v>Reno/Sparks</v>
      </c>
      <c r="E688" s="968" t="str">
        <f>'1.2 Budgeted Enrollment YR1'!E688</f>
        <v>JESSIE BECK ELEMENTARY</v>
      </c>
      <c r="F688" s="1061"/>
      <c r="G688" s="1108">
        <f>'1.2 Budgeted Enrollment YR1'!G688+('1.2 Budgeted Enrollment YR1'!G688*$G$7)</f>
        <v>451.10253690912157</v>
      </c>
      <c r="H688" s="1108"/>
      <c r="I688" s="1114">
        <v>0</v>
      </c>
      <c r="J688" s="1115">
        <v>0</v>
      </c>
      <c r="K688" s="1114">
        <v>0</v>
      </c>
      <c r="L688" s="1108">
        <f>'1.2 Budgeted Enrollment YR1'!L688</f>
        <v>0</v>
      </c>
      <c r="M688" s="1104"/>
      <c r="N688" s="875"/>
    </row>
    <row r="689" spans="1:14" ht="16.5" thickTop="1" thickBot="1" x14ac:dyDescent="0.3">
      <c r="A689" s="968" t="str">
        <f>'1.2 Budgeted Enrollment YR1'!A689</f>
        <v>Washoe</v>
      </c>
      <c r="B689" s="971">
        <f>'1.2 Budgeted Enrollment YR1'!B689</f>
        <v>16</v>
      </c>
      <c r="C689" s="971">
        <f>'1.2 Budgeted Enrollment YR1'!C689</f>
        <v>16</v>
      </c>
      <c r="D689" s="971" t="str">
        <f>'1.2 Budgeted Enrollment YR1'!D689</f>
        <v>Reno/Sparks</v>
      </c>
      <c r="E689" s="968" t="str">
        <f>'1.2 Budgeted Enrollment YR1'!E689</f>
        <v>JOHN BOHACH ELEMENTARY SCHOOL</v>
      </c>
      <c r="F689" s="1061"/>
      <c r="G689" s="1108">
        <f>'1.2 Budgeted Enrollment YR1'!G689+('1.2 Budgeted Enrollment YR1'!G689*$G$7)</f>
        <v>840.15819581420419</v>
      </c>
      <c r="H689" s="1108"/>
      <c r="I689" s="1114">
        <v>0</v>
      </c>
      <c r="J689" s="1115">
        <v>0</v>
      </c>
      <c r="K689" s="1114">
        <v>0</v>
      </c>
      <c r="L689" s="1108">
        <f>'1.2 Budgeted Enrollment YR1'!L689</f>
        <v>0</v>
      </c>
      <c r="M689" s="1104"/>
      <c r="N689" s="875"/>
    </row>
    <row r="690" spans="1:14" ht="16.5" thickTop="1" thickBot="1" x14ac:dyDescent="0.3">
      <c r="A690" s="968" t="str">
        <f>'1.2 Budgeted Enrollment YR1'!A690</f>
        <v>Washoe</v>
      </c>
      <c r="B690" s="971">
        <f>'1.2 Budgeted Enrollment YR1'!B690</f>
        <v>16</v>
      </c>
      <c r="C690" s="971">
        <f>'1.2 Budgeted Enrollment YR1'!C690</f>
        <v>16</v>
      </c>
      <c r="D690" s="971" t="str">
        <f>'1.2 Budgeted Enrollment YR1'!D690</f>
        <v>Reno/Sparks</v>
      </c>
      <c r="E690" s="968" t="str">
        <f>'1.2 Budgeted Enrollment YR1'!E690</f>
        <v>JWOOD RAW ELEMENTARY SCHOOL</v>
      </c>
      <c r="F690" s="1061"/>
      <c r="G690" s="1108">
        <f>'1.2 Budgeted Enrollment YR1'!G690+('1.2 Budgeted Enrollment YR1'!G690*$G$7)</f>
        <v>539.60121627458625</v>
      </c>
      <c r="H690" s="1108"/>
      <c r="I690" s="1114">
        <v>0</v>
      </c>
      <c r="J690" s="1115">
        <v>0</v>
      </c>
      <c r="K690" s="1114">
        <v>0</v>
      </c>
      <c r="L690" s="1108">
        <f>'1.2 Budgeted Enrollment YR1'!L690</f>
        <v>0</v>
      </c>
      <c r="M690" s="1104"/>
      <c r="N690" s="875"/>
    </row>
    <row r="691" spans="1:14" ht="16.5" thickTop="1" thickBot="1" x14ac:dyDescent="0.3">
      <c r="A691" s="968" t="str">
        <f>'1.2 Budgeted Enrollment YR1'!A691</f>
        <v>Washoe</v>
      </c>
      <c r="B691" s="971">
        <f>'1.2 Budgeted Enrollment YR1'!B691</f>
        <v>16</v>
      </c>
      <c r="C691" s="971">
        <f>'1.2 Budgeted Enrollment YR1'!C691</f>
        <v>16</v>
      </c>
      <c r="D691" s="971" t="str">
        <f>'1.2 Budgeted Enrollment YR1'!D691</f>
        <v>Reno/Sparks</v>
      </c>
      <c r="E691" s="968" t="str">
        <f>'1.2 Budgeted Enrollment YR1'!E691</f>
        <v>KATE SMITH ELEMENTARY</v>
      </c>
      <c r="F691" s="1061"/>
      <c r="G691" s="1108">
        <f>'1.2 Budgeted Enrollment YR1'!G691+('1.2 Budgeted Enrollment YR1'!G691*$G$7)</f>
        <v>189.69098657555662</v>
      </c>
      <c r="H691" s="1108"/>
      <c r="I691" s="1114">
        <v>0</v>
      </c>
      <c r="J691" s="1115">
        <v>0</v>
      </c>
      <c r="K691" s="1114">
        <v>0</v>
      </c>
      <c r="L691" s="1108">
        <f>'1.2 Budgeted Enrollment YR1'!L691</f>
        <v>0</v>
      </c>
      <c r="M691" s="1104"/>
      <c r="N691" s="875"/>
    </row>
    <row r="692" spans="1:14" ht="16.5" thickTop="1" thickBot="1" x14ac:dyDescent="0.3">
      <c r="A692" s="968" t="str">
        <f>'1.2 Budgeted Enrollment YR1'!A692</f>
        <v>Washoe</v>
      </c>
      <c r="B692" s="971">
        <f>'1.2 Budgeted Enrollment YR1'!B692</f>
        <v>16</v>
      </c>
      <c r="C692" s="971">
        <f>'1.2 Budgeted Enrollment YR1'!C692</f>
        <v>16</v>
      </c>
      <c r="D692" s="971" t="str">
        <f>'1.2 Budgeted Enrollment YR1'!D692</f>
        <v>Reno/Sparks</v>
      </c>
      <c r="E692" s="968" t="str">
        <f>'1.2 Budgeted Enrollment YR1'!E692</f>
        <v>KATHERINE DUNN ELEMENTARY</v>
      </c>
      <c r="F692" s="1061"/>
      <c r="G692" s="1108">
        <f>'1.2 Budgeted Enrollment YR1'!G692+('1.2 Budgeted Enrollment YR1'!G692*$G$7)</f>
        <v>425.55710959370623</v>
      </c>
      <c r="H692" s="1108"/>
      <c r="I692" s="1114">
        <v>0</v>
      </c>
      <c r="J692" s="1115">
        <v>0</v>
      </c>
      <c r="K692" s="1114">
        <v>0</v>
      </c>
      <c r="L692" s="1108">
        <f>'1.2 Budgeted Enrollment YR1'!L692</f>
        <v>0</v>
      </c>
      <c r="M692" s="1104"/>
      <c r="N692" s="875"/>
    </row>
    <row r="693" spans="1:14" ht="16.5" thickTop="1" thickBot="1" x14ac:dyDescent="0.3">
      <c r="A693" s="968" t="str">
        <f>'1.2 Budgeted Enrollment YR1'!A693</f>
        <v>Washoe</v>
      </c>
      <c r="B693" s="971">
        <f>'1.2 Budgeted Enrollment YR1'!B693</f>
        <v>16</v>
      </c>
      <c r="C693" s="971">
        <f>'1.2 Budgeted Enrollment YR1'!C693</f>
        <v>16</v>
      </c>
      <c r="D693" s="971" t="str">
        <f>'1.2 Budgeted Enrollment YR1'!D693</f>
        <v>Reno/Sparks</v>
      </c>
      <c r="E693" s="968" t="str">
        <f>'1.2 Budgeted Enrollment YR1'!E693</f>
        <v>KENDYL DEPOALI MIDDLE SCHOOL</v>
      </c>
      <c r="F693" s="1061"/>
      <c r="G693" s="1108">
        <f>'1.2 Budgeted Enrollment YR1'!G693+('1.2 Budgeted Enrollment YR1'!G693*$G$7)</f>
        <v>857.43412601740988</v>
      </c>
      <c r="H693" s="1108"/>
      <c r="I693" s="1114">
        <v>0</v>
      </c>
      <c r="J693" s="1115">
        <v>0</v>
      </c>
      <c r="K693" s="1114">
        <v>0</v>
      </c>
      <c r="L693" s="1108">
        <f>'1.2 Budgeted Enrollment YR1'!L693</f>
        <v>0</v>
      </c>
      <c r="M693" s="1104"/>
      <c r="N693" s="875"/>
    </row>
    <row r="694" spans="1:14" ht="16.5" thickTop="1" thickBot="1" x14ac:dyDescent="0.3">
      <c r="A694" s="968" t="str">
        <f>'1.2 Budgeted Enrollment YR1'!A694</f>
        <v>Washoe</v>
      </c>
      <c r="B694" s="971">
        <f>'1.2 Budgeted Enrollment YR1'!B694</f>
        <v>16</v>
      </c>
      <c r="C694" s="971">
        <f>'1.2 Budgeted Enrollment YR1'!C694</f>
        <v>16</v>
      </c>
      <c r="D694" s="971" t="str">
        <f>'1.2 Budgeted Enrollment YR1'!D694</f>
        <v>Reno/Sparks</v>
      </c>
      <c r="E694" s="968" t="str">
        <f>'1.2 Budgeted Enrollment YR1'!E694</f>
        <v>LEMMON VALLEY ELEMENTARY</v>
      </c>
      <c r="F694" s="1061"/>
      <c r="G694" s="1108">
        <f>'1.2 Budgeted Enrollment YR1'!G694+('1.2 Budgeted Enrollment YR1'!G694*$G$7)</f>
        <v>629.53598740928214</v>
      </c>
      <c r="H694" s="1108"/>
      <c r="I694" s="1114">
        <v>0</v>
      </c>
      <c r="J694" s="1115">
        <v>0</v>
      </c>
      <c r="K694" s="1114">
        <v>0</v>
      </c>
      <c r="L694" s="1108">
        <f>'1.2 Budgeted Enrollment YR1'!L694</f>
        <v>0</v>
      </c>
      <c r="M694" s="1104"/>
      <c r="N694" s="875"/>
    </row>
    <row r="695" spans="1:14" ht="16.5" thickTop="1" thickBot="1" x14ac:dyDescent="0.3">
      <c r="A695" s="968" t="str">
        <f>'1.2 Budgeted Enrollment YR1'!A695</f>
        <v>Washoe</v>
      </c>
      <c r="B695" s="971">
        <f>'1.2 Budgeted Enrollment YR1'!B695</f>
        <v>16</v>
      </c>
      <c r="C695" s="971">
        <f>'1.2 Budgeted Enrollment YR1'!C695</f>
        <v>16</v>
      </c>
      <c r="D695" s="971" t="str">
        <f>'1.2 Budgeted Enrollment YR1'!D695</f>
        <v>Reno/Sparks</v>
      </c>
      <c r="E695" s="968" t="str">
        <f>'1.2 Budgeted Enrollment YR1'!E695</f>
        <v>LENA JUNIPER ELEMENTARY</v>
      </c>
      <c r="F695" s="1061"/>
      <c r="G695" s="1108">
        <f>'1.2 Budgeted Enrollment YR1'!G695+('1.2 Budgeted Enrollment YR1'!G695*$G$7)</f>
        <v>375.86921911817325</v>
      </c>
      <c r="H695" s="1108"/>
      <c r="I695" s="1114">
        <v>0</v>
      </c>
      <c r="J695" s="1115">
        <v>0</v>
      </c>
      <c r="K695" s="1114">
        <v>0</v>
      </c>
      <c r="L695" s="1108">
        <f>'1.2 Budgeted Enrollment YR1'!L695</f>
        <v>0</v>
      </c>
      <c r="M695" s="1104"/>
      <c r="N695" s="875"/>
    </row>
    <row r="696" spans="1:14" ht="16.5" thickTop="1" thickBot="1" x14ac:dyDescent="0.3">
      <c r="A696" s="968" t="str">
        <f>'1.2 Budgeted Enrollment YR1'!A696</f>
        <v>Washoe</v>
      </c>
      <c r="B696" s="971">
        <f>'1.2 Budgeted Enrollment YR1'!B696</f>
        <v>16</v>
      </c>
      <c r="C696" s="971">
        <f>'1.2 Budgeted Enrollment YR1'!C696</f>
        <v>16</v>
      </c>
      <c r="D696" s="971" t="str">
        <f>'1.2 Budgeted Enrollment YR1'!D696</f>
        <v>Reno/Sparks</v>
      </c>
      <c r="E696" s="968" t="str">
        <f>'1.2 Budgeted Enrollment YR1'!E696</f>
        <v>LIBBY BOOTH ELEMENTARY</v>
      </c>
      <c r="F696" s="1061"/>
      <c r="G696" s="1108">
        <f>'1.2 Budgeted Enrollment YR1'!G696+('1.2 Budgeted Enrollment YR1'!G696*$G$7)</f>
        <v>341.6282788008653</v>
      </c>
      <c r="H696" s="1108"/>
      <c r="I696" s="1114">
        <v>0</v>
      </c>
      <c r="J696" s="1115">
        <v>0</v>
      </c>
      <c r="K696" s="1114">
        <v>0</v>
      </c>
      <c r="L696" s="1108">
        <f>'1.2 Budgeted Enrollment YR1'!L696</f>
        <v>0</v>
      </c>
      <c r="M696" s="1104"/>
      <c r="N696" s="875"/>
    </row>
    <row r="697" spans="1:14" ht="16.5" thickTop="1" thickBot="1" x14ac:dyDescent="0.3">
      <c r="A697" s="968" t="str">
        <f>'1.2 Budgeted Enrollment YR1'!A697</f>
        <v>Washoe</v>
      </c>
      <c r="B697" s="971">
        <f>'1.2 Budgeted Enrollment YR1'!B697</f>
        <v>16</v>
      </c>
      <c r="C697" s="971">
        <f>'1.2 Budgeted Enrollment YR1'!C697</f>
        <v>16</v>
      </c>
      <c r="D697" s="971" t="str">
        <f>'1.2 Budgeted Enrollment YR1'!D697</f>
        <v>Reno/Sparks</v>
      </c>
      <c r="E697" s="968" t="str">
        <f>'1.2 Budgeted Enrollment YR1'!E697</f>
        <v>LINCOLN PARK ELEMENTARY</v>
      </c>
      <c r="F697" s="1061"/>
      <c r="G697" s="1108">
        <f>'1.2 Budgeted Enrollment YR1'!G697+('1.2 Budgeted Enrollment YR1'!G697*$G$7)</f>
        <v>410.50837120464831</v>
      </c>
      <c r="H697" s="1108"/>
      <c r="I697" s="1114">
        <v>0</v>
      </c>
      <c r="J697" s="1115">
        <v>0</v>
      </c>
      <c r="K697" s="1114">
        <v>0</v>
      </c>
      <c r="L697" s="1108">
        <f>'1.2 Budgeted Enrollment YR1'!L697</f>
        <v>0</v>
      </c>
      <c r="M697" s="1104"/>
      <c r="N697" s="875"/>
    </row>
    <row r="698" spans="1:14" ht="16.5" thickTop="1" thickBot="1" x14ac:dyDescent="0.3">
      <c r="A698" s="968" t="str">
        <f>'1.2 Budgeted Enrollment YR1'!A698</f>
        <v>Washoe</v>
      </c>
      <c r="B698" s="971">
        <f>'1.2 Budgeted Enrollment YR1'!B698</f>
        <v>16</v>
      </c>
      <c r="C698" s="971">
        <f>'1.2 Budgeted Enrollment YR1'!C698</f>
        <v>16</v>
      </c>
      <c r="D698" s="971" t="str">
        <f>'1.2 Budgeted Enrollment YR1'!D698</f>
        <v>Reno/Sparks</v>
      </c>
      <c r="E698" s="968" t="str">
        <f>'1.2 Budgeted Enrollment YR1'!E698</f>
        <v>LLOYD DIEDRICHSEN ELEMENTARY</v>
      </c>
      <c r="F698" s="1061"/>
      <c r="G698" s="1108">
        <f>'1.2 Budgeted Enrollment YR1'!G698+('1.2 Budgeted Enrollment YR1'!G698*$G$7)</f>
        <v>332.97669597945963</v>
      </c>
      <c r="H698" s="1108"/>
      <c r="I698" s="1114">
        <v>0</v>
      </c>
      <c r="J698" s="1115">
        <v>0</v>
      </c>
      <c r="K698" s="1114">
        <v>0</v>
      </c>
      <c r="L698" s="1108">
        <f>'1.2 Budgeted Enrollment YR1'!L698</f>
        <v>0</v>
      </c>
      <c r="M698" s="1104"/>
      <c r="N698" s="875"/>
    </row>
    <row r="699" spans="1:14" ht="16.5" thickTop="1" thickBot="1" x14ac:dyDescent="0.3">
      <c r="A699" s="968" t="str">
        <f>'1.2 Budgeted Enrollment YR1'!A699</f>
        <v>Washoe</v>
      </c>
      <c r="B699" s="971">
        <f>'1.2 Budgeted Enrollment YR1'!B699</f>
        <v>16</v>
      </c>
      <c r="C699" s="971">
        <f>'1.2 Budgeted Enrollment YR1'!C699</f>
        <v>16</v>
      </c>
      <c r="D699" s="971" t="str">
        <f>'1.2 Budgeted Enrollment YR1'!D699</f>
        <v>Reno/Sparks</v>
      </c>
      <c r="E699" s="968" t="str">
        <f>'1.2 Budgeted Enrollment YR1'!E699</f>
        <v>LOIS ALLEN ELEMENTARY</v>
      </c>
      <c r="F699" s="1061"/>
      <c r="G699" s="1108">
        <f>'1.2 Budgeted Enrollment YR1'!G699+('1.2 Budgeted Enrollment YR1'!G699*$G$7)</f>
        <v>442.77598293584475</v>
      </c>
      <c r="H699" s="1108"/>
      <c r="I699" s="1114">
        <v>0</v>
      </c>
      <c r="J699" s="1115">
        <v>0</v>
      </c>
      <c r="K699" s="1114">
        <v>0</v>
      </c>
      <c r="L699" s="1108">
        <f>'1.2 Budgeted Enrollment YR1'!L699</f>
        <v>0</v>
      </c>
      <c r="M699" s="1104"/>
      <c r="N699" s="875"/>
    </row>
    <row r="700" spans="1:14" ht="16.5" thickTop="1" thickBot="1" x14ac:dyDescent="0.3">
      <c r="A700" s="968" t="str">
        <f>'1.2 Budgeted Enrollment YR1'!A700</f>
        <v>Washoe</v>
      </c>
      <c r="B700" s="971">
        <f>'1.2 Budgeted Enrollment YR1'!B700</f>
        <v>16</v>
      </c>
      <c r="C700" s="971">
        <f>'1.2 Budgeted Enrollment YR1'!C700</f>
        <v>16</v>
      </c>
      <c r="D700" s="971" t="str">
        <f>'1.2 Budgeted Enrollment YR1'!D700</f>
        <v>Reno/Sparks</v>
      </c>
      <c r="E700" s="968" t="str">
        <f>'1.2 Budgeted Enrollment YR1'!E700</f>
        <v>LOU MENDIVE MIDDLE SCHOOL</v>
      </c>
      <c r="F700" s="1061"/>
      <c r="G700" s="1108">
        <f>'1.2 Budgeted Enrollment YR1'!G700+('1.2 Budgeted Enrollment YR1'!G700*$G$7)</f>
        <v>878.73676256540762</v>
      </c>
      <c r="H700" s="1108"/>
      <c r="I700" s="1114">
        <v>0</v>
      </c>
      <c r="J700" s="1115">
        <v>0</v>
      </c>
      <c r="K700" s="1114">
        <v>0</v>
      </c>
      <c r="L700" s="1108">
        <f>'1.2 Budgeted Enrollment YR1'!L700</f>
        <v>0</v>
      </c>
      <c r="M700" s="1104"/>
      <c r="N700" s="875"/>
    </row>
    <row r="701" spans="1:14" ht="16.5" thickTop="1" thickBot="1" x14ac:dyDescent="0.3">
      <c r="A701" s="968" t="str">
        <f>'1.2 Budgeted Enrollment YR1'!A701</f>
        <v>Washoe</v>
      </c>
      <c r="B701" s="971">
        <f>'1.2 Budgeted Enrollment YR1'!B701</f>
        <v>16</v>
      </c>
      <c r="C701" s="971">
        <f>'1.2 Budgeted Enrollment YR1'!C701</f>
        <v>16</v>
      </c>
      <c r="D701" s="971" t="str">
        <f>'1.2 Budgeted Enrollment YR1'!D701</f>
        <v>Reno/Sparks</v>
      </c>
      <c r="E701" s="968" t="str">
        <f>'1.2 Budgeted Enrollment YR1'!E701</f>
        <v>MAMIE TOWLES ELEMENTARY</v>
      </c>
      <c r="F701" s="1061"/>
      <c r="G701" s="1108">
        <f>'1.2 Budgeted Enrollment YR1'!G701+('1.2 Budgeted Enrollment YR1'!G701*$G$7)</f>
        <v>296.38002003298976</v>
      </c>
      <c r="H701" s="1108"/>
      <c r="I701" s="1114">
        <v>0</v>
      </c>
      <c r="J701" s="1115">
        <v>0</v>
      </c>
      <c r="K701" s="1114">
        <v>0</v>
      </c>
      <c r="L701" s="1108">
        <f>'1.2 Budgeted Enrollment YR1'!L701</f>
        <v>0</v>
      </c>
      <c r="M701" s="1104"/>
      <c r="N701" s="875"/>
    </row>
    <row r="702" spans="1:14" ht="16.5" thickTop="1" thickBot="1" x14ac:dyDescent="0.3">
      <c r="A702" s="968" t="str">
        <f>'1.2 Budgeted Enrollment YR1'!A702</f>
        <v>Washoe</v>
      </c>
      <c r="B702" s="971">
        <f>'1.2 Budgeted Enrollment YR1'!B702</f>
        <v>16</v>
      </c>
      <c r="C702" s="971">
        <f>'1.2 Budgeted Enrollment YR1'!C702</f>
        <v>16</v>
      </c>
      <c r="D702" s="971" t="str">
        <f>'1.2 Budgeted Enrollment YR1'!D702</f>
        <v>Reno/Sparks</v>
      </c>
      <c r="E702" s="968" t="str">
        <f>'1.2 Budgeted Enrollment YR1'!E702</f>
        <v>MARCE HERZ MIDDLE SCHOOL</v>
      </c>
      <c r="F702" s="1061"/>
      <c r="G702" s="1108">
        <f>'1.2 Budgeted Enrollment YR1'!G702+('1.2 Budgeted Enrollment YR1'!G702*$G$7)</f>
        <v>834.77619484076297</v>
      </c>
      <c r="H702" s="1108"/>
      <c r="I702" s="1114">
        <v>0</v>
      </c>
      <c r="J702" s="1115">
        <v>0</v>
      </c>
      <c r="K702" s="1114">
        <v>0</v>
      </c>
      <c r="L702" s="1108">
        <f>'1.2 Budgeted Enrollment YR1'!L702</f>
        <v>0</v>
      </c>
      <c r="M702" s="1104"/>
      <c r="N702" s="875"/>
    </row>
    <row r="703" spans="1:14" ht="16.5" thickTop="1" thickBot="1" x14ac:dyDescent="0.3">
      <c r="A703" s="968" t="str">
        <f>'1.2 Budgeted Enrollment YR1'!A703</f>
        <v>Washoe</v>
      </c>
      <c r="B703" s="971">
        <f>'1.2 Budgeted Enrollment YR1'!B703</f>
        <v>16</v>
      </c>
      <c r="C703" s="971">
        <f>'1.2 Budgeted Enrollment YR1'!C703</f>
        <v>16</v>
      </c>
      <c r="D703" s="971" t="str">
        <f>'1.2 Budgeted Enrollment YR1'!D703</f>
        <v>Reno/Sparks</v>
      </c>
      <c r="E703" s="968" t="str">
        <f>'1.2 Budgeted Enrollment YR1'!E703</f>
        <v>MARVIN MOSS ELEMENTARY</v>
      </c>
      <c r="F703" s="1061"/>
      <c r="G703" s="1108">
        <f>'1.2 Budgeted Enrollment YR1'!G703+('1.2 Budgeted Enrollment YR1'!G703*$G$7)</f>
        <v>318.72060641905802</v>
      </c>
      <c r="H703" s="1108"/>
      <c r="I703" s="1114">
        <v>0</v>
      </c>
      <c r="J703" s="1115">
        <v>0</v>
      </c>
      <c r="K703" s="1114">
        <v>0</v>
      </c>
      <c r="L703" s="1108">
        <f>'1.2 Budgeted Enrollment YR1'!L703</f>
        <v>0</v>
      </c>
      <c r="M703" s="1104"/>
      <c r="N703" s="875"/>
    </row>
    <row r="704" spans="1:14" ht="16.5" thickTop="1" thickBot="1" x14ac:dyDescent="0.3">
      <c r="A704" s="968" t="str">
        <f>'1.2 Budgeted Enrollment YR1'!A704</f>
        <v>Washoe</v>
      </c>
      <c r="B704" s="971">
        <f>'1.2 Budgeted Enrollment YR1'!B704</f>
        <v>16</v>
      </c>
      <c r="C704" s="971">
        <f>'1.2 Budgeted Enrollment YR1'!C704</f>
        <v>16</v>
      </c>
      <c r="D704" s="971" t="str">
        <f>'1.2 Budgeted Enrollment YR1'!D704</f>
        <v>Reno/Sparks</v>
      </c>
      <c r="E704" s="968" t="str">
        <f>'1.2 Budgeted Enrollment YR1'!E704</f>
        <v>MARVIN PICOLLO ELEMENTARY</v>
      </c>
      <c r="F704" s="1061"/>
      <c r="G704" s="1108">
        <f>'1.2 Budgeted Enrollment YR1'!G704+('1.2 Budgeted Enrollment YR1'!G704*$G$7)</f>
        <v>81.822057433053786</v>
      </c>
      <c r="H704" s="1108"/>
      <c r="I704" s="1114">
        <v>0</v>
      </c>
      <c r="J704" s="1115">
        <v>0</v>
      </c>
      <c r="K704" s="1114">
        <v>0</v>
      </c>
      <c r="L704" s="1108">
        <f>'1.2 Budgeted Enrollment YR1'!L704</f>
        <v>0</v>
      </c>
      <c r="M704" s="1104"/>
      <c r="N704" s="875"/>
    </row>
    <row r="705" spans="1:22" ht="16.5" thickTop="1" thickBot="1" x14ac:dyDescent="0.3">
      <c r="A705" s="968" t="str">
        <f>'1.2 Budgeted Enrollment YR1'!A705</f>
        <v>Washoe</v>
      </c>
      <c r="B705" s="971">
        <f>'1.2 Budgeted Enrollment YR1'!B705</f>
        <v>16</v>
      </c>
      <c r="C705" s="971">
        <f>'1.2 Budgeted Enrollment YR1'!C705</f>
        <v>16</v>
      </c>
      <c r="D705" s="971" t="str">
        <f>'1.2 Budgeted Enrollment YR1'!D705</f>
        <v>Bordertown</v>
      </c>
      <c r="E705" s="968" t="str">
        <f>'1.2 Budgeted Enrollment YR1'!E705</f>
        <v>MICHAEL INSKEEP ELEMENTARY SCHOOL</v>
      </c>
      <c r="F705" s="1061"/>
      <c r="G705" s="1108">
        <f>'1.2 Budgeted Enrollment YR1'!G705+('1.2 Budgeted Enrollment YR1'!G705*$G$7)</f>
        <v>474.84931422321807</v>
      </c>
      <c r="H705" s="1108"/>
      <c r="I705" s="1114">
        <v>0</v>
      </c>
      <c r="J705" s="1115">
        <v>0</v>
      </c>
      <c r="K705" s="1114">
        <v>0</v>
      </c>
      <c r="L705" s="1108">
        <f>'1.2 Budgeted Enrollment YR1'!L705</f>
        <v>0</v>
      </c>
      <c r="M705" s="1104"/>
      <c r="N705" s="875"/>
    </row>
    <row r="706" spans="1:22" ht="16.5" thickTop="1" thickBot="1" x14ac:dyDescent="0.3">
      <c r="A706" s="968" t="str">
        <f>'1.2 Budgeted Enrollment YR1'!A706</f>
        <v>Washoe</v>
      </c>
      <c r="B706" s="971">
        <f>'1.2 Budgeted Enrollment YR1'!B706</f>
        <v>16</v>
      </c>
      <c r="C706" s="971">
        <f>'1.2 Budgeted Enrollment YR1'!C706</f>
        <v>16</v>
      </c>
      <c r="D706" s="971" t="str">
        <f>'1.2 Budgeted Enrollment YR1'!D706</f>
        <v>Reno/Sparks</v>
      </c>
      <c r="E706" s="968" t="str">
        <f>'1.2 Budgeted Enrollment YR1'!E706</f>
        <v>MIGUEL SEPULVEDA ELEMENTARY SCHOOL</v>
      </c>
      <c r="F706" s="1061"/>
      <c r="G706" s="1108">
        <f>'1.2 Budgeted Enrollment YR1'!G706+('1.2 Budgeted Enrollment YR1'!G706*$G$7)</f>
        <v>526.96817581463336</v>
      </c>
      <c r="H706" s="1108"/>
      <c r="I706" s="1114">
        <v>0</v>
      </c>
      <c r="J706" s="1115">
        <v>0</v>
      </c>
      <c r="K706" s="1114">
        <v>0</v>
      </c>
      <c r="L706" s="1108">
        <f>'1.2 Budgeted Enrollment YR1'!L706</f>
        <v>0</v>
      </c>
      <c r="M706" s="1104"/>
      <c r="N706" s="875"/>
    </row>
    <row r="707" spans="1:22" ht="16.5" thickTop="1" thickBot="1" x14ac:dyDescent="0.3">
      <c r="A707" s="968" t="str">
        <f>'1.2 Budgeted Enrollment YR1'!A707</f>
        <v>Washoe</v>
      </c>
      <c r="B707" s="971">
        <f>'1.2 Budgeted Enrollment YR1'!B707</f>
        <v>16</v>
      </c>
      <c r="C707" s="971">
        <f>'1.2 Budgeted Enrollment YR1'!C707</f>
        <v>16</v>
      </c>
      <c r="D707" s="971" t="str">
        <f>'1.2 Budgeted Enrollment YR1'!D707</f>
        <v>Reno/Sparks</v>
      </c>
      <c r="E707" s="968" t="str">
        <f>'1.2 Budgeted Enrollment YR1'!E707</f>
        <v>MOUNT ROSE K-8 ACADEMY OF LANGUAGES</v>
      </c>
      <c r="F707" s="1061"/>
      <c r="G707" s="1108">
        <f>'1.2 Budgeted Enrollment YR1'!G707+('1.2 Budgeted Enrollment YR1'!G707*$G$7)</f>
        <v>406.19642431440309</v>
      </c>
      <c r="H707" s="1108"/>
      <c r="I707" s="1114">
        <v>0</v>
      </c>
      <c r="J707" s="1115">
        <v>0</v>
      </c>
      <c r="K707" s="1114">
        <v>0</v>
      </c>
      <c r="L707" s="1108">
        <f>'1.2 Budgeted Enrollment YR1'!L707</f>
        <v>0</v>
      </c>
      <c r="M707" s="1104"/>
      <c r="N707" s="875"/>
      <c r="U707" s="863"/>
      <c r="V707" s="863"/>
    </row>
    <row r="708" spans="1:22" ht="16.5" thickTop="1" thickBot="1" x14ac:dyDescent="0.3">
      <c r="A708" s="968" t="str">
        <f>'1.2 Budgeted Enrollment YR1'!A708</f>
        <v>Washoe</v>
      </c>
      <c r="B708" s="971">
        <f>'1.2 Budgeted Enrollment YR1'!B708</f>
        <v>16</v>
      </c>
      <c r="C708" s="971">
        <f>'1.2 Budgeted Enrollment YR1'!C708</f>
        <v>16</v>
      </c>
      <c r="D708" s="971" t="str">
        <f>'1.2 Budgeted Enrollment YR1'!D708</f>
        <v>Bordertown</v>
      </c>
      <c r="E708" s="968" t="str">
        <f>'1.2 Budgeted Enrollment YR1'!E708</f>
        <v>NANCY GOMES ELEMENTARY</v>
      </c>
      <c r="F708" s="1061"/>
      <c r="G708" s="1108">
        <f>'1.2 Budgeted Enrollment YR1'!G708+('1.2 Budgeted Enrollment YR1'!G708*$G$7)</f>
        <v>256.89063854612635</v>
      </c>
      <c r="H708" s="1108"/>
      <c r="I708" s="1114">
        <v>0</v>
      </c>
      <c r="J708" s="1115">
        <v>0</v>
      </c>
      <c r="K708" s="1114">
        <v>0</v>
      </c>
      <c r="L708" s="1108">
        <f>'1.2 Budgeted Enrollment YR1'!L708</f>
        <v>0</v>
      </c>
      <c r="M708" s="1104"/>
      <c r="N708" s="875"/>
    </row>
    <row r="709" spans="1:22" ht="16.5" thickTop="1" thickBot="1" x14ac:dyDescent="0.3">
      <c r="A709" s="968" t="str">
        <f>'1.2 Budgeted Enrollment YR1'!A709</f>
        <v>Washoe</v>
      </c>
      <c r="B709" s="971">
        <f>'1.2 Budgeted Enrollment YR1'!B709</f>
        <v>16</v>
      </c>
      <c r="C709" s="971">
        <f>'1.2 Budgeted Enrollment YR1'!C709</f>
        <v>16</v>
      </c>
      <c r="D709" s="971" t="str">
        <f>'1.2 Budgeted Enrollment YR1'!D709</f>
        <v>Wadsworth</v>
      </c>
      <c r="E709" s="968" t="str">
        <f>'1.2 Budgeted Enrollment YR1'!E709</f>
        <v>NATCHEZ ELEMENTARY</v>
      </c>
      <c r="F709" s="1061"/>
      <c r="G709" s="1108">
        <f>'1.2 Budgeted Enrollment YR1'!G709+('1.2 Budgeted Enrollment YR1'!G709*$G$7)</f>
        <v>112.48999243432719</v>
      </c>
      <c r="H709" s="1108"/>
      <c r="I709" s="1114">
        <v>0</v>
      </c>
      <c r="J709" s="1115">
        <v>0</v>
      </c>
      <c r="K709" s="1114">
        <v>0</v>
      </c>
      <c r="L709" s="1108">
        <f>'1.2 Budgeted Enrollment YR1'!L709</f>
        <v>0</v>
      </c>
      <c r="M709" s="1104"/>
      <c r="N709" s="875"/>
    </row>
    <row r="710" spans="1:22" ht="16.5" thickTop="1" thickBot="1" x14ac:dyDescent="0.3">
      <c r="A710" s="968" t="str">
        <f>'1.2 Budgeted Enrollment YR1'!A710</f>
        <v>Washoe</v>
      </c>
      <c r="B710" s="971">
        <f>'1.2 Budgeted Enrollment YR1'!B710</f>
        <v>16</v>
      </c>
      <c r="C710" s="971">
        <f>'1.2 Budgeted Enrollment YR1'!C710</f>
        <v>16</v>
      </c>
      <c r="D710" s="971" t="str">
        <f>'1.2 Budgeted Enrollment YR1'!D710</f>
        <v>Reno/Sparks</v>
      </c>
      <c r="E710" s="968" t="str">
        <f>'1.2 Budgeted Enrollment YR1'!E710</f>
        <v>NICK POULAKIDAS ELEMENTARY SCHOOL</v>
      </c>
      <c r="F710" s="1061"/>
      <c r="G710" s="1108">
        <f>'1.2 Budgeted Enrollment YR1'!G710+('1.2 Budgeted Enrollment YR1'!G710*$G$7)</f>
        <v>511.31049712729407</v>
      </c>
      <c r="H710" s="1108"/>
      <c r="I710" s="1114">
        <v>0</v>
      </c>
      <c r="J710" s="1115">
        <v>0</v>
      </c>
      <c r="K710" s="1114">
        <v>0</v>
      </c>
      <c r="L710" s="1108">
        <f>'1.2 Budgeted Enrollment YR1'!L710</f>
        <v>0</v>
      </c>
      <c r="M710" s="1104"/>
      <c r="N710" s="875"/>
    </row>
    <row r="711" spans="1:22" ht="16.5" thickTop="1" thickBot="1" x14ac:dyDescent="0.3">
      <c r="A711" s="1116" t="str">
        <f>'1.2 Budgeted Enrollment YR1'!A711</f>
        <v>Washoe</v>
      </c>
      <c r="B711" s="1117">
        <f>'1.2 Budgeted Enrollment YR1'!B711</f>
        <v>16</v>
      </c>
      <c r="C711" s="1117">
        <f>'1.2 Budgeted Enrollment YR1'!C711</f>
        <v>16</v>
      </c>
      <c r="D711" s="1117" t="str">
        <f>'1.2 Budgeted Enrollment YR1'!D711</f>
        <v>Reno/Sparks</v>
      </c>
      <c r="E711" s="1116" t="str">
        <f>'1.2 Budgeted Enrollment YR1'!E711</f>
        <v>NORTH STAR ONLINE SCHOOL</v>
      </c>
      <c r="F711" s="1118"/>
      <c r="G711" s="1119">
        <f>'1.2 Budgeted Enrollment YR1'!G711+('1.2 Budgeted Enrollment YR1'!G711*$G$7)</f>
        <v>574.84482766713779</v>
      </c>
      <c r="H711" s="1119"/>
      <c r="I711" s="1120">
        <v>0</v>
      </c>
      <c r="J711" s="1120">
        <v>0</v>
      </c>
      <c r="K711" s="1120">
        <v>0</v>
      </c>
      <c r="L711" s="1119">
        <f>G711</f>
        <v>574.84482766713779</v>
      </c>
      <c r="M711" s="1104"/>
      <c r="N711" s="875"/>
    </row>
    <row r="712" spans="1:22" ht="16.5" thickTop="1" thickBot="1" x14ac:dyDescent="0.3">
      <c r="A712" s="968" t="str">
        <f>'1.2 Budgeted Enrollment YR1'!A712</f>
        <v>Washoe</v>
      </c>
      <c r="B712" s="971">
        <f>'1.2 Budgeted Enrollment YR1'!B712</f>
        <v>16</v>
      </c>
      <c r="C712" s="971">
        <f>'1.2 Budgeted Enrollment YR1'!C712</f>
        <v>16</v>
      </c>
      <c r="D712" s="971" t="str">
        <f>'1.2 Budgeted Enrollment YR1'!D712</f>
        <v>Stead</v>
      </c>
      <c r="E712" s="968" t="str">
        <f>'1.2 Budgeted Enrollment YR1'!E712</f>
        <v>NORTH VALLEYS HIGH SCHOOL</v>
      </c>
      <c r="F712" s="1061"/>
      <c r="G712" s="1108">
        <f>'1.2 Budgeted Enrollment YR1'!G712+('1.2 Budgeted Enrollment YR1'!G712*$G$7)</f>
        <v>2224.7273128863872</v>
      </c>
      <c r="H712" s="1108"/>
      <c r="I712" s="1114">
        <v>0</v>
      </c>
      <c r="J712" s="1115">
        <v>0</v>
      </c>
      <c r="K712" s="1114">
        <v>0</v>
      </c>
      <c r="L712" s="1108">
        <f>'1.2 Budgeted Enrollment YR1'!L712</f>
        <v>0</v>
      </c>
      <c r="M712" s="1104"/>
      <c r="N712" s="875"/>
    </row>
    <row r="713" spans="1:22" ht="16.5" thickTop="1" thickBot="1" x14ac:dyDescent="0.3">
      <c r="A713" s="968" t="str">
        <f>'1.2 Budgeted Enrollment YR1'!A713</f>
        <v>Washoe</v>
      </c>
      <c r="B713" s="971">
        <f>'1.2 Budgeted Enrollment YR1'!B713</f>
        <v>16</v>
      </c>
      <c r="C713" s="971">
        <f>'1.2 Budgeted Enrollment YR1'!C713</f>
        <v>16</v>
      </c>
      <c r="D713" s="971" t="str">
        <f>'1.2 Budgeted Enrollment YR1'!D713</f>
        <v>Reno/Sparks</v>
      </c>
      <c r="E713" s="968" t="str">
        <f>'1.2 Budgeted Enrollment YR1'!E713</f>
        <v>Out of State</v>
      </c>
      <c r="F713" s="1061"/>
      <c r="G713" s="1108">
        <f>'1.2 Budgeted Enrollment YR1'!G713+('1.2 Budgeted Enrollment YR1'!G713*$G$7)</f>
        <v>127.04684672890362</v>
      </c>
      <c r="H713" s="1108"/>
      <c r="I713" s="1114">
        <v>0</v>
      </c>
      <c r="J713" s="1115">
        <v>0</v>
      </c>
      <c r="K713" s="1114">
        <v>0</v>
      </c>
      <c r="L713" s="1108">
        <f>'1.2 Budgeted Enrollment YR1'!L713</f>
        <v>0</v>
      </c>
      <c r="M713" s="1104"/>
      <c r="N713" s="875"/>
    </row>
    <row r="714" spans="1:22" ht="16.5" thickTop="1" thickBot="1" x14ac:dyDescent="0.3">
      <c r="A714" s="968" t="str">
        <f>'1.2 Budgeted Enrollment YR1'!A714</f>
        <v>Washoe</v>
      </c>
      <c r="B714" s="971">
        <f>'1.2 Budgeted Enrollment YR1'!B714</f>
        <v>16</v>
      </c>
      <c r="C714" s="971">
        <f>'1.2 Budgeted Enrollment YR1'!C714</f>
        <v>16</v>
      </c>
      <c r="D714" s="971" t="str">
        <f>'1.2 Budgeted Enrollment YR1'!D714</f>
        <v>Reno/Sparks</v>
      </c>
      <c r="E714" s="968" t="str">
        <f>'1.2 Budgeted Enrollment YR1'!E714</f>
        <v>PEAVINE ELEMENTARY</v>
      </c>
      <c r="F714" s="1061"/>
      <c r="G714" s="1108">
        <f>'1.2 Budgeted Enrollment YR1'!G714+('1.2 Budgeted Enrollment YR1'!G714*$G$7)</f>
        <v>343.46242883394262</v>
      </c>
      <c r="H714" s="1108"/>
      <c r="I714" s="1114">
        <v>0</v>
      </c>
      <c r="J714" s="1115">
        <v>0</v>
      </c>
      <c r="K714" s="1114">
        <v>0</v>
      </c>
      <c r="L714" s="1108">
        <f>'1.2 Budgeted Enrollment YR1'!L714</f>
        <v>0</v>
      </c>
      <c r="M714" s="1104"/>
      <c r="N714" s="875"/>
    </row>
    <row r="715" spans="1:22" ht="16.5" thickTop="1" thickBot="1" x14ac:dyDescent="0.3">
      <c r="A715" s="968" t="str">
        <f>'1.2 Budgeted Enrollment YR1'!A715</f>
        <v>Washoe</v>
      </c>
      <c r="B715" s="971">
        <f>'1.2 Budgeted Enrollment YR1'!B715</f>
        <v>16</v>
      </c>
      <c r="C715" s="971">
        <f>'1.2 Budgeted Enrollment YR1'!C715</f>
        <v>16</v>
      </c>
      <c r="D715" s="971" t="str">
        <f>'1.2 Budgeted Enrollment YR1'!D715</f>
        <v>Pleasant Valley</v>
      </c>
      <c r="E715" s="968" t="str">
        <f>'1.2 Budgeted Enrollment YR1'!E715</f>
        <v>PLEASANT VALLEY ELEMENTARY</v>
      </c>
      <c r="F715" s="1061"/>
      <c r="G715" s="1108">
        <f>'1.2 Budgeted Enrollment YR1'!G715+('1.2 Budgeted Enrollment YR1'!G715*$G$7)</f>
        <v>314.56616803964442</v>
      </c>
      <c r="H715" s="1108"/>
      <c r="I715" s="1114">
        <v>0</v>
      </c>
      <c r="J715" s="1115">
        <v>0</v>
      </c>
      <c r="K715" s="1114">
        <v>0</v>
      </c>
      <c r="L715" s="1108">
        <f>'1.2 Budgeted Enrollment YR1'!L715</f>
        <v>0</v>
      </c>
      <c r="M715" s="1104"/>
      <c r="N715" s="875"/>
    </row>
    <row r="716" spans="1:22" ht="16.5" thickTop="1" thickBot="1" x14ac:dyDescent="0.3">
      <c r="A716" s="968" t="str">
        <f>'1.2 Budgeted Enrollment YR1'!A716</f>
        <v>Washoe</v>
      </c>
      <c r="B716" s="971">
        <f>'1.2 Budgeted Enrollment YR1'!B716</f>
        <v>16</v>
      </c>
      <c r="C716" s="971">
        <f>'1.2 Budgeted Enrollment YR1'!C716</f>
        <v>16</v>
      </c>
      <c r="D716" s="971" t="str">
        <f>'1.2 Budgeted Enrollment YR1'!D716</f>
        <v>Reno/Sparks</v>
      </c>
      <c r="E716" s="968" t="str">
        <f>'1.2 Budgeted Enrollment YR1'!E716</f>
        <v>PROCTER R. HUG HIGH SCHOOL</v>
      </c>
      <c r="F716" s="1061"/>
      <c r="G716" s="1108">
        <f>'1.2 Budgeted Enrollment YR1'!G716+('1.2 Budgeted Enrollment YR1'!G716*$G$7)</f>
        <v>2002.5510967830692</v>
      </c>
      <c r="H716" s="1108"/>
      <c r="I716" s="1114">
        <v>0</v>
      </c>
      <c r="J716" s="1115">
        <v>0</v>
      </c>
      <c r="K716" s="1114">
        <v>0</v>
      </c>
      <c r="L716" s="1108">
        <f>'1.2 Budgeted Enrollment YR1'!L716</f>
        <v>0</v>
      </c>
      <c r="M716" s="1104"/>
      <c r="N716" s="875"/>
    </row>
    <row r="717" spans="1:22" ht="16.5" thickTop="1" thickBot="1" x14ac:dyDescent="0.3">
      <c r="A717" s="968" t="str">
        <f>'1.2 Budgeted Enrollment YR1'!A717</f>
        <v>Washoe</v>
      </c>
      <c r="B717" s="971">
        <f>'1.2 Budgeted Enrollment YR1'!B717</f>
        <v>16</v>
      </c>
      <c r="C717" s="971">
        <f>'1.2 Budgeted Enrollment YR1'!C717</f>
        <v>16</v>
      </c>
      <c r="D717" s="971" t="str">
        <f>'1.2 Budgeted Enrollment YR1'!D717</f>
        <v>Reno/Sparks</v>
      </c>
      <c r="E717" s="968" t="str">
        <f>'1.2 Budgeted Enrollment YR1'!E717</f>
        <v>RENO HIGH SCHOOL</v>
      </c>
      <c r="F717" s="1061"/>
      <c r="G717" s="1108">
        <f>'1.2 Budgeted Enrollment YR1'!G717+('1.2 Budgeted Enrollment YR1'!G717*$G$7)</f>
        <v>1713.458397525483</v>
      </c>
      <c r="H717" s="1108"/>
      <c r="I717" s="1114">
        <v>0</v>
      </c>
      <c r="J717" s="1115">
        <v>0</v>
      </c>
      <c r="K717" s="1114">
        <v>0</v>
      </c>
      <c r="L717" s="1108">
        <f>'1.2 Budgeted Enrollment YR1'!L717</f>
        <v>0</v>
      </c>
      <c r="M717" s="1104"/>
      <c r="N717" s="875"/>
    </row>
    <row r="718" spans="1:22" ht="16.5" thickTop="1" thickBot="1" x14ac:dyDescent="0.3">
      <c r="A718" s="968" t="str">
        <f>'1.2 Budgeted Enrollment YR1'!A718</f>
        <v>Washoe</v>
      </c>
      <c r="B718" s="971">
        <f>'1.2 Budgeted Enrollment YR1'!B718</f>
        <v>16</v>
      </c>
      <c r="C718" s="971">
        <f>'1.2 Budgeted Enrollment YR1'!C718</f>
        <v>16</v>
      </c>
      <c r="D718" s="971" t="str">
        <f>'1.2 Budgeted Enrollment YR1'!D718</f>
        <v>Reno/Sparks</v>
      </c>
      <c r="E718" s="968" t="str">
        <f>'1.2 Budgeted Enrollment YR1'!E718</f>
        <v>RITA CANNAN ELEMENTARY</v>
      </c>
      <c r="F718" s="1061"/>
      <c r="G718" s="1108">
        <f>'1.2 Budgeted Enrollment YR1'!G718+('1.2 Budgeted Enrollment YR1'!G718*$G$7)</f>
        <v>379.96348242385875</v>
      </c>
      <c r="H718" s="1108"/>
      <c r="I718" s="1114">
        <v>0</v>
      </c>
      <c r="J718" s="1115">
        <v>0</v>
      </c>
      <c r="K718" s="1114">
        <v>0</v>
      </c>
      <c r="L718" s="1108">
        <f>'1.2 Budgeted Enrollment YR1'!L718</f>
        <v>0</v>
      </c>
      <c r="M718" s="1104"/>
      <c r="N718" s="875"/>
    </row>
    <row r="719" spans="1:22" ht="16.5" thickTop="1" thickBot="1" x14ac:dyDescent="0.3">
      <c r="A719" s="968" t="str">
        <f>'1.2 Budgeted Enrollment YR1'!A719</f>
        <v>Washoe</v>
      </c>
      <c r="B719" s="971">
        <f>'1.2 Budgeted Enrollment YR1'!B719</f>
        <v>16</v>
      </c>
      <c r="C719" s="971">
        <f>'1.2 Budgeted Enrollment YR1'!C719</f>
        <v>16</v>
      </c>
      <c r="D719" s="971" t="str">
        <f>'1.2 Budgeted Enrollment YR1'!D719</f>
        <v>Reno/Sparks</v>
      </c>
      <c r="E719" s="968" t="str">
        <f>'1.2 Budgeted Enrollment YR1'!E719</f>
        <v>ROBERT MCQUEEN HIGH SCHOOL</v>
      </c>
      <c r="F719" s="1061"/>
      <c r="G719" s="1108">
        <f>'1.2 Budgeted Enrollment YR1'!G719+('1.2 Budgeted Enrollment YR1'!G719*$G$7)</f>
        <v>1668.5429618038484</v>
      </c>
      <c r="H719" s="1108"/>
      <c r="I719" s="1114">
        <v>0</v>
      </c>
      <c r="J719" s="1115">
        <v>0</v>
      </c>
      <c r="K719" s="1114">
        <v>0</v>
      </c>
      <c r="L719" s="1108">
        <f>'1.2 Budgeted Enrollment YR1'!L719</f>
        <v>0</v>
      </c>
      <c r="M719" s="1104"/>
      <c r="N719" s="875"/>
    </row>
    <row r="720" spans="1:22" ht="16.5" thickTop="1" thickBot="1" x14ac:dyDescent="0.3">
      <c r="A720" s="968" t="str">
        <f>'1.2 Budgeted Enrollment YR1'!A720</f>
        <v>Washoe</v>
      </c>
      <c r="B720" s="971">
        <f>'1.2 Budgeted Enrollment YR1'!B720</f>
        <v>16</v>
      </c>
      <c r="C720" s="971">
        <f>'1.2 Budgeted Enrollment YR1'!C720</f>
        <v>16</v>
      </c>
      <c r="D720" s="971" t="str">
        <f>'1.2 Budgeted Enrollment YR1'!D720</f>
        <v>Reno/Sparks</v>
      </c>
      <c r="E720" s="968" t="str">
        <f>'1.2 Budgeted Enrollment YR1'!E720</f>
        <v>ROBERT MITCHELL ELEMENTARY</v>
      </c>
      <c r="F720" s="1061"/>
      <c r="G720" s="1108">
        <f>'1.2 Budgeted Enrollment YR1'!G720+('1.2 Budgeted Enrollment YR1'!G720*$G$7)</f>
        <v>297.75462452470458</v>
      </c>
      <c r="H720" s="1108"/>
      <c r="I720" s="1114">
        <v>0</v>
      </c>
      <c r="J720" s="1115">
        <v>0</v>
      </c>
      <c r="K720" s="1114">
        <v>0</v>
      </c>
      <c r="L720" s="1108">
        <f>'1.2 Budgeted Enrollment YR1'!L720</f>
        <v>0</v>
      </c>
      <c r="M720" s="1104"/>
      <c r="N720" s="875"/>
    </row>
    <row r="721" spans="1:14" ht="16.5" thickTop="1" thickBot="1" x14ac:dyDescent="0.3">
      <c r="A721" s="968" t="str">
        <f>'1.2 Budgeted Enrollment YR1'!A721</f>
        <v>Washoe</v>
      </c>
      <c r="B721" s="971">
        <f>'1.2 Budgeted Enrollment YR1'!B721</f>
        <v>16</v>
      </c>
      <c r="C721" s="971">
        <f>'1.2 Budgeted Enrollment YR1'!C721</f>
        <v>16</v>
      </c>
      <c r="D721" s="971" t="str">
        <f>'1.2 Budgeted Enrollment YR1'!D721</f>
        <v>Reno/Sparks</v>
      </c>
      <c r="E721" s="968" t="str">
        <f>'1.2 Budgeted Enrollment YR1'!E721</f>
        <v>ROGER CORBETT ELEMENTARY</v>
      </c>
      <c r="F721" s="1061"/>
      <c r="G721" s="1108">
        <f>'1.2 Budgeted Enrollment YR1'!G721+('1.2 Budgeted Enrollment YR1'!G721*$G$7)</f>
        <v>323.11237597755974</v>
      </c>
      <c r="H721" s="1108"/>
      <c r="I721" s="1114">
        <v>0</v>
      </c>
      <c r="J721" s="1115">
        <v>0</v>
      </c>
      <c r="K721" s="1114">
        <v>0</v>
      </c>
      <c r="L721" s="1108">
        <f>'1.2 Budgeted Enrollment YR1'!L721</f>
        <v>0</v>
      </c>
      <c r="M721" s="1104"/>
      <c r="N721" s="875"/>
    </row>
    <row r="722" spans="1:14" ht="16.5" thickTop="1" thickBot="1" x14ac:dyDescent="0.3">
      <c r="A722" s="968" t="str">
        <f>'1.2 Budgeted Enrollment YR1'!A722</f>
        <v>Washoe</v>
      </c>
      <c r="B722" s="971">
        <f>'1.2 Budgeted Enrollment YR1'!B722</f>
        <v>16</v>
      </c>
      <c r="C722" s="971">
        <f>'1.2 Budgeted Enrollment YR1'!C722</f>
        <v>16</v>
      </c>
      <c r="D722" s="971" t="str">
        <f>'1.2 Budgeted Enrollment YR1'!D722</f>
        <v>Reno/Sparks</v>
      </c>
      <c r="E722" s="968" t="str">
        <f>'1.2 Budgeted Enrollment YR1'!E722</f>
        <v>ROLLAN MELTON ELEMENTARY</v>
      </c>
      <c r="F722" s="1061"/>
      <c r="G722" s="1108">
        <f>'1.2 Budgeted Enrollment YR1'!G722+('1.2 Budgeted Enrollment YR1'!G722*$G$7)</f>
        <v>498.34941490685549</v>
      </c>
      <c r="H722" s="1108"/>
      <c r="I722" s="1114">
        <v>0</v>
      </c>
      <c r="J722" s="1115">
        <v>0</v>
      </c>
      <c r="K722" s="1114">
        <v>0</v>
      </c>
      <c r="L722" s="1108">
        <f>'1.2 Budgeted Enrollment YR1'!L722</f>
        <v>0</v>
      </c>
      <c r="M722" s="1104"/>
      <c r="N722" s="875"/>
    </row>
    <row r="723" spans="1:14" ht="16.5" thickTop="1" thickBot="1" x14ac:dyDescent="0.3">
      <c r="A723" s="968" t="str">
        <f>'1.2 Budgeted Enrollment YR1'!A723</f>
        <v>Washoe</v>
      </c>
      <c r="B723" s="971">
        <f>'1.2 Budgeted Enrollment YR1'!B723</f>
        <v>16</v>
      </c>
      <c r="C723" s="971">
        <f>'1.2 Budgeted Enrollment YR1'!C723</f>
        <v>16</v>
      </c>
      <c r="D723" s="971" t="str">
        <f>'1.2 Budgeted Enrollment YR1'!D723</f>
        <v>Reno/Sparks</v>
      </c>
      <c r="E723" s="968" t="str">
        <f>'1.2 Budgeted Enrollment YR1'!E723</f>
        <v>ROY GOMM ELEMENTARY</v>
      </c>
      <c r="F723" s="1061"/>
      <c r="G723" s="1108">
        <f>'1.2 Budgeted Enrollment YR1'!G723+('1.2 Budgeted Enrollment YR1'!G723*$G$7)</f>
        <v>400.76169939972107</v>
      </c>
      <c r="H723" s="1108"/>
      <c r="I723" s="1114">
        <v>0</v>
      </c>
      <c r="J723" s="1115">
        <v>0</v>
      </c>
      <c r="K723" s="1114">
        <v>0</v>
      </c>
      <c r="L723" s="1108">
        <f>'1.2 Budgeted Enrollment YR1'!L723</f>
        <v>0</v>
      </c>
      <c r="M723" s="1104"/>
      <c r="N723" s="875"/>
    </row>
    <row r="724" spans="1:14" ht="16.5" thickTop="1" thickBot="1" x14ac:dyDescent="0.3">
      <c r="A724" s="968" t="str">
        <f>'1.2 Budgeted Enrollment YR1'!A724</f>
        <v>Washoe</v>
      </c>
      <c r="B724" s="971">
        <f>'1.2 Budgeted Enrollment YR1'!B724</f>
        <v>16</v>
      </c>
      <c r="C724" s="971">
        <f>'1.2 Budgeted Enrollment YR1'!C724</f>
        <v>16</v>
      </c>
      <c r="D724" s="971" t="str">
        <f>'1.2 Budgeted Enrollment YR1'!D724</f>
        <v>Reno/Sparks</v>
      </c>
      <c r="E724" s="968" t="str">
        <f>'1.2 Budgeted Enrollment YR1'!E724</f>
        <v>SARAH WINNEMUCCA ELEMENTARY</v>
      </c>
      <c r="F724" s="1061"/>
      <c r="G724" s="1108">
        <f>'1.2 Budgeted Enrollment YR1'!G724+('1.2 Budgeted Enrollment YR1'!G724*$G$7)</f>
        <v>488.13020887672536</v>
      </c>
      <c r="H724" s="1108"/>
      <c r="I724" s="1114">
        <v>0</v>
      </c>
      <c r="J724" s="1115">
        <v>0</v>
      </c>
      <c r="K724" s="1114">
        <v>0</v>
      </c>
      <c r="L724" s="1108">
        <f>'1.2 Budgeted Enrollment YR1'!L724</f>
        <v>0</v>
      </c>
      <c r="M724" s="1104"/>
      <c r="N724" s="875"/>
    </row>
    <row r="725" spans="1:14" ht="16.5" thickTop="1" thickBot="1" x14ac:dyDescent="0.3">
      <c r="A725" s="968" t="str">
        <f>'1.2 Budgeted Enrollment YR1'!A725</f>
        <v>Washoe</v>
      </c>
      <c r="B725" s="971">
        <f>'1.2 Budgeted Enrollment YR1'!B725</f>
        <v>16</v>
      </c>
      <c r="C725" s="971">
        <f>'1.2 Budgeted Enrollment YR1'!C725</f>
        <v>16</v>
      </c>
      <c r="D725" s="971" t="str">
        <f>'1.2 Budgeted Enrollment YR1'!D725</f>
        <v>Stead</v>
      </c>
      <c r="E725" s="968" t="str">
        <f>'1.2 Budgeted Enrollment YR1'!E725</f>
        <v>SILVER LAKE ELEMENTARY</v>
      </c>
      <c r="F725" s="1061"/>
      <c r="G725" s="1108">
        <f>'1.2 Budgeted Enrollment YR1'!G725+('1.2 Budgeted Enrollment YR1'!G725*$G$7)</f>
        <v>423.22801997927735</v>
      </c>
      <c r="H725" s="1108"/>
      <c r="I725" s="1114">
        <v>0</v>
      </c>
      <c r="J725" s="1115">
        <v>0</v>
      </c>
      <c r="K725" s="1114">
        <v>0</v>
      </c>
      <c r="L725" s="1108">
        <f>'1.2 Budgeted Enrollment YR1'!L725</f>
        <v>0</v>
      </c>
      <c r="M725" s="1104"/>
      <c r="N725" s="875"/>
    </row>
    <row r="726" spans="1:14" ht="16.5" thickTop="1" thickBot="1" x14ac:dyDescent="0.3">
      <c r="A726" s="968" t="str">
        <f>'1.2 Budgeted Enrollment YR1'!A726</f>
        <v>Washoe</v>
      </c>
      <c r="B726" s="971">
        <f>'1.2 Budgeted Enrollment YR1'!B726</f>
        <v>16</v>
      </c>
      <c r="C726" s="971">
        <f>'1.2 Budgeted Enrollment YR1'!C726</f>
        <v>16</v>
      </c>
      <c r="D726" s="971" t="str">
        <f>'1.2 Budgeted Enrollment YR1'!D726</f>
        <v>Reno/Sparks</v>
      </c>
      <c r="E726" s="968" t="str">
        <f>'1.2 Budgeted Enrollment YR1'!E726</f>
        <v>SKY RANCH MIDDLE SCHOOL</v>
      </c>
      <c r="F726" s="1061"/>
      <c r="G726" s="1108">
        <f>'1.2 Budgeted Enrollment YR1'!G726+('1.2 Budgeted Enrollment YR1'!G726*$G$7)</f>
        <v>1325.8644827685694</v>
      </c>
      <c r="H726" s="1108"/>
      <c r="I726" s="1114">
        <v>0</v>
      </c>
      <c r="J726" s="1115">
        <v>0</v>
      </c>
      <c r="K726" s="1114">
        <v>0</v>
      </c>
      <c r="L726" s="1108">
        <f>'1.2 Budgeted Enrollment YR1'!L726</f>
        <v>0</v>
      </c>
      <c r="M726" s="1104"/>
      <c r="N726" s="875"/>
    </row>
    <row r="727" spans="1:14" ht="16.5" thickTop="1" thickBot="1" x14ac:dyDescent="0.3">
      <c r="A727" s="968" t="str">
        <f>'1.2 Budgeted Enrollment YR1'!A727</f>
        <v>Washoe</v>
      </c>
      <c r="B727" s="971">
        <f>'1.2 Budgeted Enrollment YR1'!B727</f>
        <v>16</v>
      </c>
      <c r="C727" s="971">
        <f>'1.2 Budgeted Enrollment YR1'!C727</f>
        <v>16</v>
      </c>
      <c r="D727" s="971" t="str">
        <f>'1.2 Budgeted Enrollment YR1'!D727</f>
        <v>Reno/Sparks</v>
      </c>
      <c r="E727" s="968" t="str">
        <f>'1.2 Budgeted Enrollment YR1'!E727</f>
        <v>SMITHRIDGE S.T.E.M. ACADEMY</v>
      </c>
      <c r="F727" s="1061"/>
      <c r="G727" s="1108">
        <f>'1.2 Budgeted Enrollment YR1'!G727+('1.2 Budgeted Enrollment YR1'!G727*$G$7)</f>
        <v>483.47443654018224</v>
      </c>
      <c r="H727" s="1108"/>
      <c r="I727" s="1114">
        <v>0</v>
      </c>
      <c r="J727" s="1115">
        <v>0</v>
      </c>
      <c r="K727" s="1114">
        <v>0</v>
      </c>
      <c r="L727" s="1108">
        <f>'1.2 Budgeted Enrollment YR1'!L727</f>
        <v>0</v>
      </c>
      <c r="M727" s="1104"/>
      <c r="N727" s="875"/>
    </row>
    <row r="728" spans="1:14" ht="16.5" thickTop="1" thickBot="1" x14ac:dyDescent="0.3">
      <c r="A728" s="968" t="str">
        <f>'1.2 Budgeted Enrollment YR1'!A728</f>
        <v>Washoe</v>
      </c>
      <c r="B728" s="971">
        <f>'1.2 Budgeted Enrollment YR1'!B728</f>
        <v>16</v>
      </c>
      <c r="C728" s="971">
        <f>'1.2 Budgeted Enrollment YR1'!C728</f>
        <v>16</v>
      </c>
      <c r="D728" s="971" t="str">
        <f>'1.2 Budgeted Enrollment YR1'!D728</f>
        <v>Reno/Sparks</v>
      </c>
      <c r="E728" s="968" t="str">
        <f>'1.2 Budgeted Enrollment YR1'!E728</f>
        <v>SPANISH SPRINGS ELEMENTARY</v>
      </c>
      <c r="F728" s="1061"/>
      <c r="G728" s="1108">
        <f>'1.2 Budgeted Enrollment YR1'!G728+('1.2 Budgeted Enrollment YR1'!G728*$G$7)</f>
        <v>439.86733230185604</v>
      </c>
      <c r="H728" s="1108"/>
      <c r="I728" s="1114">
        <v>0</v>
      </c>
      <c r="J728" s="1115">
        <v>0</v>
      </c>
      <c r="K728" s="1114">
        <v>0</v>
      </c>
      <c r="L728" s="1108">
        <f>'1.2 Budgeted Enrollment YR1'!L728</f>
        <v>0</v>
      </c>
      <c r="M728" s="1104"/>
      <c r="N728" s="875"/>
    </row>
    <row r="729" spans="1:14" ht="16.5" thickTop="1" thickBot="1" x14ac:dyDescent="0.3">
      <c r="A729" s="968" t="str">
        <f>'1.2 Budgeted Enrollment YR1'!A729</f>
        <v>Washoe</v>
      </c>
      <c r="B729" s="971">
        <f>'1.2 Budgeted Enrollment YR1'!B729</f>
        <v>16</v>
      </c>
      <c r="C729" s="971">
        <f>'1.2 Budgeted Enrollment YR1'!C729</f>
        <v>16</v>
      </c>
      <c r="D729" s="971" t="str">
        <f>'1.2 Budgeted Enrollment YR1'!D729</f>
        <v>Reno/Sparks</v>
      </c>
      <c r="E729" s="968" t="str">
        <f>'1.2 Budgeted Enrollment YR1'!E729</f>
        <v>SPANISH SPRINGS HIGH SCHOOL</v>
      </c>
      <c r="F729" s="1061"/>
      <c r="G729" s="1108">
        <f>'1.2 Budgeted Enrollment YR1'!G729+('1.2 Budgeted Enrollment YR1'!G729*$G$7)</f>
        <v>2002.4847605549683</v>
      </c>
      <c r="H729" s="1108"/>
      <c r="I729" s="1114">
        <v>0</v>
      </c>
      <c r="J729" s="1115">
        <v>0</v>
      </c>
      <c r="K729" s="1114">
        <v>0</v>
      </c>
      <c r="L729" s="1108">
        <f>'1.2 Budgeted Enrollment YR1'!L729</f>
        <v>0</v>
      </c>
      <c r="M729" s="1104"/>
      <c r="N729" s="875"/>
    </row>
    <row r="730" spans="1:14" ht="16.5" thickTop="1" thickBot="1" x14ac:dyDescent="0.3">
      <c r="A730" s="968" t="str">
        <f>'1.2 Budgeted Enrollment YR1'!A730</f>
        <v>Washoe</v>
      </c>
      <c r="B730" s="971">
        <f>'1.2 Budgeted Enrollment YR1'!B730</f>
        <v>16</v>
      </c>
      <c r="C730" s="971">
        <f>'1.2 Budgeted Enrollment YR1'!C730</f>
        <v>16</v>
      </c>
      <c r="D730" s="971" t="str">
        <f>'1.2 Budgeted Enrollment YR1'!D730</f>
        <v>Reno/Sparks</v>
      </c>
      <c r="E730" s="968" t="str">
        <f>'1.2 Budgeted Enrollment YR1'!E730</f>
        <v>SPARKS HIGH SCHOOL</v>
      </c>
      <c r="F730" s="1061"/>
      <c r="G730" s="1108">
        <f>'1.2 Budgeted Enrollment YR1'!G730+('1.2 Budgeted Enrollment YR1'!G730*$G$7)</f>
        <v>1221.5262363199138</v>
      </c>
      <c r="H730" s="1108"/>
      <c r="I730" s="1114">
        <v>0</v>
      </c>
      <c r="J730" s="1115">
        <v>0</v>
      </c>
      <c r="K730" s="1114">
        <v>0</v>
      </c>
      <c r="L730" s="1108">
        <f>'1.2 Budgeted Enrollment YR1'!L730</f>
        <v>0</v>
      </c>
      <c r="M730" s="1104"/>
      <c r="N730" s="875"/>
    </row>
    <row r="731" spans="1:14" ht="16.5" thickTop="1" thickBot="1" x14ac:dyDescent="0.3">
      <c r="A731" s="968" t="str">
        <f>'1.2 Budgeted Enrollment YR1'!A731</f>
        <v>Washoe</v>
      </c>
      <c r="B731" s="971">
        <f>'1.2 Budgeted Enrollment YR1'!B731</f>
        <v>16</v>
      </c>
      <c r="C731" s="971">
        <f>'1.2 Budgeted Enrollment YR1'!C731</f>
        <v>16</v>
      </c>
      <c r="D731" s="971" t="str">
        <f>'1.2 Budgeted Enrollment YR1'!D731</f>
        <v>Reno/Sparks</v>
      </c>
      <c r="E731" s="968" t="str">
        <f>'1.2 Budgeted Enrollment YR1'!E731</f>
        <v>SPARKS MIDDLE SCHOOL</v>
      </c>
      <c r="F731" s="1061"/>
      <c r="G731" s="1108">
        <f>'1.2 Budgeted Enrollment YR1'!G731+('1.2 Budgeted Enrollment YR1'!G731*$G$7)</f>
        <v>628.58401072551749</v>
      </c>
      <c r="H731" s="1108"/>
      <c r="I731" s="1114">
        <v>0</v>
      </c>
      <c r="J731" s="1115">
        <v>0</v>
      </c>
      <c r="K731" s="1114">
        <v>0</v>
      </c>
      <c r="L731" s="1108">
        <f>'1.2 Budgeted Enrollment YR1'!L731</f>
        <v>0</v>
      </c>
      <c r="M731" s="1104"/>
      <c r="N731" s="875"/>
    </row>
    <row r="732" spans="1:14" ht="16.5" thickTop="1" thickBot="1" x14ac:dyDescent="0.3">
      <c r="A732" s="968" t="str">
        <f>'1.2 Budgeted Enrollment YR1'!A732</f>
        <v>Washoe</v>
      </c>
      <c r="B732" s="971">
        <f>'1.2 Budgeted Enrollment YR1'!B732</f>
        <v>16</v>
      </c>
      <c r="C732" s="971">
        <f>'1.2 Budgeted Enrollment YR1'!C732</f>
        <v>16</v>
      </c>
      <c r="D732" s="971" t="str">
        <f>'1.2 Budgeted Enrollment YR1'!D732</f>
        <v>Stead</v>
      </c>
      <c r="E732" s="968" t="str">
        <f>'1.2 Budgeted Enrollment YR1'!E732</f>
        <v>STEAD ELEMENTARY</v>
      </c>
      <c r="F732" s="1061"/>
      <c r="G732" s="1108">
        <f>'1.2 Budgeted Enrollment YR1'!G732+('1.2 Budgeted Enrollment YR1'!G732*$G$7)</f>
        <v>654.37456331935209</v>
      </c>
      <c r="H732" s="1108"/>
      <c r="I732" s="1114">
        <v>0</v>
      </c>
      <c r="J732" s="1115">
        <v>0</v>
      </c>
      <c r="K732" s="1114">
        <v>0</v>
      </c>
      <c r="L732" s="1108">
        <f>'1.2 Budgeted Enrollment YR1'!L732</f>
        <v>0</v>
      </c>
      <c r="M732" s="1104"/>
      <c r="N732" s="875"/>
    </row>
    <row r="733" spans="1:14" ht="16.5" thickTop="1" thickBot="1" x14ac:dyDescent="0.3">
      <c r="A733" s="968" t="str">
        <f>'1.2 Budgeted Enrollment YR1'!A733</f>
        <v>Washoe</v>
      </c>
      <c r="B733" s="971">
        <f>'1.2 Budgeted Enrollment YR1'!B733</f>
        <v>16</v>
      </c>
      <c r="C733" s="971">
        <f>'1.2 Budgeted Enrollment YR1'!C733</f>
        <v>16</v>
      </c>
      <c r="D733" s="971" t="str">
        <f>'1.2 Budgeted Enrollment YR1'!D733</f>
        <v>Reno/Sparks</v>
      </c>
      <c r="E733" s="968" t="str">
        <f>'1.2 Budgeted Enrollment YR1'!E733</f>
        <v>SUN VALLEY ELEMENTARY</v>
      </c>
      <c r="F733" s="1061"/>
      <c r="G733" s="1108">
        <f>'1.2 Budgeted Enrollment YR1'!G733+('1.2 Budgeted Enrollment YR1'!G733*$G$7)</f>
        <v>484.35739727103635</v>
      </c>
      <c r="H733" s="1108"/>
      <c r="I733" s="1114">
        <v>0</v>
      </c>
      <c r="J733" s="1115">
        <v>0</v>
      </c>
      <c r="K733" s="1114">
        <v>0</v>
      </c>
      <c r="L733" s="1108">
        <f>'1.2 Budgeted Enrollment YR1'!L733</f>
        <v>0</v>
      </c>
      <c r="M733" s="1104"/>
      <c r="N733" s="875"/>
    </row>
    <row r="734" spans="1:14" ht="16.5" thickTop="1" thickBot="1" x14ac:dyDescent="0.3">
      <c r="A734" s="968" t="str">
        <f>'1.2 Budgeted Enrollment YR1'!A734</f>
        <v>Washoe</v>
      </c>
      <c r="B734" s="971">
        <f>'1.2 Budgeted Enrollment YR1'!B734</f>
        <v>16</v>
      </c>
      <c r="C734" s="971">
        <f>'1.2 Budgeted Enrollment YR1'!C734</f>
        <v>16</v>
      </c>
      <c r="D734" s="971" t="str">
        <f>'1.2 Budgeted Enrollment YR1'!D734</f>
        <v>Reno/Sparks</v>
      </c>
      <c r="E734" s="968" t="str">
        <f>'1.2 Budgeted Enrollment YR1'!E734</f>
        <v>TED HUNSBERGER ELEMENTARY</v>
      </c>
      <c r="F734" s="1061"/>
      <c r="G734" s="1108">
        <f>'1.2 Budgeted Enrollment YR1'!G734+('1.2 Budgeted Enrollment YR1'!G734*$G$7)</f>
        <v>595.88550442104099</v>
      </c>
      <c r="H734" s="1108"/>
      <c r="I734" s="1114">
        <v>0</v>
      </c>
      <c r="J734" s="1115">
        <v>0</v>
      </c>
      <c r="K734" s="1114">
        <v>0</v>
      </c>
      <c r="L734" s="1108">
        <f>'1.2 Budgeted Enrollment YR1'!L734</f>
        <v>0</v>
      </c>
      <c r="M734" s="1104"/>
      <c r="N734" s="875"/>
    </row>
    <row r="735" spans="1:14" ht="16.5" thickTop="1" thickBot="1" x14ac:dyDescent="0.3">
      <c r="A735" s="968" t="str">
        <f>'1.2 Budgeted Enrollment YR1'!A735</f>
        <v>Washoe</v>
      </c>
      <c r="B735" s="971">
        <f>'1.2 Budgeted Enrollment YR1'!B735</f>
        <v>16</v>
      </c>
      <c r="C735" s="971">
        <f>'1.2 Budgeted Enrollment YR1'!C735</f>
        <v>16</v>
      </c>
      <c r="D735" s="971" t="str">
        <f>'1.2 Budgeted Enrollment YR1'!D735</f>
        <v>Reno/Sparks</v>
      </c>
      <c r="E735" s="968" t="str">
        <f>'1.2 Budgeted Enrollment YR1'!E735</f>
        <v>TMCC MAGNET SCHOOL</v>
      </c>
      <c r="F735" s="1061"/>
      <c r="G735" s="1108">
        <f>'1.2 Budgeted Enrollment YR1'!G735+('1.2 Budgeted Enrollment YR1'!G735*$G$7)</f>
        <v>232.53442377011783</v>
      </c>
      <c r="H735" s="1108"/>
      <c r="I735" s="1114">
        <v>0</v>
      </c>
      <c r="J735" s="1115">
        <v>0</v>
      </c>
      <c r="K735" s="1114">
        <v>0</v>
      </c>
      <c r="L735" s="1108">
        <f>'1.2 Budgeted Enrollment YR1'!L735</f>
        <v>0</v>
      </c>
      <c r="M735" s="1104"/>
      <c r="N735" s="875"/>
    </row>
    <row r="736" spans="1:14" ht="16.5" thickTop="1" thickBot="1" x14ac:dyDescent="0.3">
      <c r="A736" s="968" t="str">
        <f>'1.2 Budgeted Enrollment YR1'!A736</f>
        <v>Washoe</v>
      </c>
      <c r="B736" s="971">
        <f>'1.2 Budgeted Enrollment YR1'!B736</f>
        <v>16</v>
      </c>
      <c r="C736" s="971">
        <f>'1.2 Budgeted Enrollment YR1'!C736</f>
        <v>16</v>
      </c>
      <c r="D736" s="971" t="str">
        <f>'1.2 Budgeted Enrollment YR1'!D736</f>
        <v>Reno/Sparks</v>
      </c>
      <c r="E736" s="968" t="str">
        <f>'1.2 Budgeted Enrollment YR1'!E736</f>
        <v>TURNING POINT</v>
      </c>
      <c r="F736" s="1061"/>
      <c r="G736" s="1108">
        <f>'1.2 Budgeted Enrollment YR1'!G736+('1.2 Budgeted Enrollment YR1'!G736*$G$7)</f>
        <v>15.79903881374503</v>
      </c>
      <c r="H736" s="1108"/>
      <c r="I736" s="1114">
        <v>0</v>
      </c>
      <c r="J736" s="1115">
        <v>0</v>
      </c>
      <c r="K736" s="1114">
        <v>0</v>
      </c>
      <c r="L736" s="1108">
        <f>'1.2 Budgeted Enrollment YR1'!L736</f>
        <v>0</v>
      </c>
      <c r="M736" s="1104"/>
      <c r="N736" s="875"/>
    </row>
    <row r="737" spans="1:14" ht="16.5" thickTop="1" thickBot="1" x14ac:dyDescent="0.3">
      <c r="A737" s="968" t="str">
        <f>'1.2 Budgeted Enrollment YR1'!A737</f>
        <v>Washoe</v>
      </c>
      <c r="B737" s="971">
        <f>'1.2 Budgeted Enrollment YR1'!B737</f>
        <v>16</v>
      </c>
      <c r="C737" s="971">
        <f>'1.2 Budgeted Enrollment YR1'!C737</f>
        <v>16</v>
      </c>
      <c r="D737" s="971" t="str">
        <f>'1.2 Budgeted Enrollment YR1'!D737</f>
        <v>Reno/Sparks</v>
      </c>
      <c r="E737" s="968" t="str">
        <f>'1.2 Budgeted Enrollment YR1'!E737</f>
        <v>VAN GORDER ELEMENTARY</v>
      </c>
      <c r="F737" s="1061"/>
      <c r="G737" s="1108">
        <f>'1.2 Budgeted Enrollment YR1'!G737+('1.2 Budgeted Enrollment YR1'!G737*$G$7)</f>
        <v>543.92815127029792</v>
      </c>
      <c r="H737" s="1108"/>
      <c r="I737" s="1114">
        <v>0</v>
      </c>
      <c r="J737" s="1115">
        <v>0</v>
      </c>
      <c r="K737" s="1114">
        <v>0</v>
      </c>
      <c r="L737" s="1108">
        <f>'1.2 Budgeted Enrollment YR1'!L737</f>
        <v>0</v>
      </c>
      <c r="M737" s="1104"/>
      <c r="N737" s="875"/>
    </row>
    <row r="738" spans="1:14" ht="16.5" thickTop="1" thickBot="1" x14ac:dyDescent="0.3">
      <c r="A738" s="968" t="str">
        <f>'1.2 Budgeted Enrollment YR1'!A738</f>
        <v>Washoe</v>
      </c>
      <c r="B738" s="971">
        <f>'1.2 Budgeted Enrollment YR1'!B738</f>
        <v>16</v>
      </c>
      <c r="C738" s="971">
        <f>'1.2 Budgeted Enrollment YR1'!C738</f>
        <v>16</v>
      </c>
      <c r="D738" s="971" t="str">
        <f>'1.2 Budgeted Enrollment YR1'!D738</f>
        <v>Verdi</v>
      </c>
      <c r="E738" s="968" t="str">
        <f>'1.2 Budgeted Enrollment YR1'!E738</f>
        <v>VERDI ELEMENTARY</v>
      </c>
      <c r="F738" s="1061"/>
      <c r="G738" s="1108">
        <f>'1.2 Budgeted Enrollment YR1'!G738+('1.2 Budgeted Enrollment YR1'!G738*$G$7)</f>
        <v>222.49154626003153</v>
      </c>
      <c r="H738" s="1108"/>
      <c r="I738" s="1114">
        <v>0</v>
      </c>
      <c r="J738" s="1115">
        <v>0</v>
      </c>
      <c r="K738" s="1114">
        <v>0</v>
      </c>
      <c r="L738" s="1108">
        <f>'1.2 Budgeted Enrollment YR1'!L738</f>
        <v>0</v>
      </c>
      <c r="M738" s="1104"/>
      <c r="N738" s="875"/>
    </row>
    <row r="739" spans="1:14" ht="16.5" thickTop="1" thickBot="1" x14ac:dyDescent="0.3">
      <c r="A739" s="968" t="str">
        <f>'1.2 Budgeted Enrollment YR1'!A739</f>
        <v>Washoe</v>
      </c>
      <c r="B739" s="971">
        <f>'1.2 Budgeted Enrollment YR1'!B739</f>
        <v>16</v>
      </c>
      <c r="C739" s="971">
        <f>'1.2 Budgeted Enrollment YR1'!C739</f>
        <v>16</v>
      </c>
      <c r="D739" s="971" t="str">
        <f>'1.2 Budgeted Enrollment YR1'!D739</f>
        <v>Reno/Sparks</v>
      </c>
      <c r="E739" s="968" t="str">
        <f>'1.2 Budgeted Enrollment YR1'!E739</f>
        <v>VETERANS MEMORIAL S.T.E.M. ACADEMY</v>
      </c>
      <c r="F739" s="1061"/>
      <c r="G739" s="1108">
        <f>'1.2 Budgeted Enrollment YR1'!G739+('1.2 Budgeted Enrollment YR1'!G739*$G$7)</f>
        <v>265.57790206932424</v>
      </c>
      <c r="H739" s="1108"/>
      <c r="I739" s="1114">
        <v>0</v>
      </c>
      <c r="J739" s="1115">
        <v>0</v>
      </c>
      <c r="K739" s="1114">
        <v>0</v>
      </c>
      <c r="L739" s="1108">
        <f>'1.2 Budgeted Enrollment YR1'!L739</f>
        <v>0</v>
      </c>
      <c r="M739" s="1104"/>
      <c r="N739" s="875"/>
    </row>
    <row r="740" spans="1:14" ht="16.5" thickTop="1" thickBot="1" x14ac:dyDescent="0.3">
      <c r="A740" s="968" t="str">
        <f>'1.2 Budgeted Enrollment YR1'!A740</f>
        <v>Washoe</v>
      </c>
      <c r="B740" s="971">
        <f>'1.2 Budgeted Enrollment YR1'!B740</f>
        <v>16</v>
      </c>
      <c r="C740" s="971">
        <f>'1.2 Budgeted Enrollment YR1'!C740</f>
        <v>16</v>
      </c>
      <c r="D740" s="971" t="str">
        <f>'1.2 Budgeted Enrollment YR1'!D740</f>
        <v>Reno/Sparks</v>
      </c>
      <c r="E740" s="968" t="str">
        <f>'1.2 Budgeted Enrollment YR1'!E740</f>
        <v>VIRGINIA PALMER ELEMENTARY</v>
      </c>
      <c r="F740" s="1061"/>
      <c r="G740" s="1108">
        <f>'1.2 Budgeted Enrollment YR1'!G740+('1.2 Budgeted Enrollment YR1'!G740*$G$7)</f>
        <v>396.87786650277695</v>
      </c>
      <c r="H740" s="1108"/>
      <c r="I740" s="1114">
        <v>0</v>
      </c>
      <c r="J740" s="1115">
        <v>0</v>
      </c>
      <c r="K740" s="1114">
        <v>0</v>
      </c>
      <c r="L740" s="1108">
        <f>'1.2 Budgeted Enrollment YR1'!L740</f>
        <v>0</v>
      </c>
      <c r="M740" s="1104"/>
      <c r="N740" s="875"/>
    </row>
    <row r="741" spans="1:14" ht="16.5" thickTop="1" thickBot="1" x14ac:dyDescent="0.3">
      <c r="A741" s="968" t="str">
        <f>'1.2 Budgeted Enrollment YR1'!A741</f>
        <v>Washoe</v>
      </c>
      <c r="B741" s="971">
        <f>'1.2 Budgeted Enrollment YR1'!B741</f>
        <v>16</v>
      </c>
      <c r="C741" s="971">
        <f>'1.2 Budgeted Enrollment YR1'!C741</f>
        <v>16</v>
      </c>
      <c r="D741" s="971" t="str">
        <f>'1.2 Budgeted Enrollment YR1'!D741</f>
        <v>Reno/Sparks</v>
      </c>
      <c r="E741" s="968" t="str">
        <f>'1.2 Budgeted Enrollment YR1'!E741</f>
        <v>WASHOE INSPIRE ACADEMY</v>
      </c>
      <c r="F741" s="1061"/>
      <c r="G741" s="1108">
        <f>'1.2 Budgeted Enrollment YR1'!G741+('1.2 Budgeted Enrollment YR1'!G741*$G$7)</f>
        <v>126.31847533947776</v>
      </c>
      <c r="H741" s="1108"/>
      <c r="I741" s="1114">
        <v>0</v>
      </c>
      <c r="J741" s="1115">
        <v>0</v>
      </c>
      <c r="K741" s="1114">
        <v>0</v>
      </c>
      <c r="L741" s="1108">
        <f>'1.2 Budgeted Enrollment YR1'!L741</f>
        <v>0</v>
      </c>
      <c r="M741" s="1104"/>
      <c r="N741" s="875"/>
    </row>
    <row r="742" spans="1:14" ht="16.5" thickTop="1" thickBot="1" x14ac:dyDescent="0.3">
      <c r="A742" s="968" t="str">
        <f>'1.2 Budgeted Enrollment YR1'!A742</f>
        <v>Washoe</v>
      </c>
      <c r="B742" s="971">
        <f>'1.2 Budgeted Enrollment YR1'!B742</f>
        <v>16</v>
      </c>
      <c r="C742" s="971">
        <f>'1.2 Budgeted Enrollment YR1'!C742</f>
        <v>16</v>
      </c>
      <c r="D742" s="971" t="str">
        <f>'1.2 Budgeted Enrollment YR1'!D742</f>
        <v>Reno/Sparks</v>
      </c>
      <c r="E742" s="968" t="str">
        <f>'1.2 Budgeted Enrollment YR1'!E742</f>
        <v>WILLIAM OBRIEN S.T.E.M. ACADEMY</v>
      </c>
      <c r="F742" s="1061"/>
      <c r="G742" s="1108">
        <f>'1.2 Budgeted Enrollment YR1'!G742+('1.2 Budgeted Enrollment YR1'!G742*$G$7)</f>
        <v>1036.1240345189519</v>
      </c>
      <c r="H742" s="1108"/>
      <c r="I742" s="1114">
        <v>0</v>
      </c>
      <c r="J742" s="1115">
        <v>0</v>
      </c>
      <c r="K742" s="1114">
        <v>0</v>
      </c>
      <c r="L742" s="1108">
        <f>'1.2 Budgeted Enrollment YR1'!L742</f>
        <v>0</v>
      </c>
      <c r="M742" s="1104"/>
      <c r="N742" s="875"/>
    </row>
    <row r="743" spans="1:14" ht="16.5" thickTop="1" thickBot="1" x14ac:dyDescent="0.3">
      <c r="A743" s="968" t="str">
        <f>'1.2 Budgeted Enrollment YR1'!A743</f>
        <v>Washoe</v>
      </c>
      <c r="B743" s="971">
        <f>'1.2 Budgeted Enrollment YR1'!B743</f>
        <v>16</v>
      </c>
      <c r="C743" s="971">
        <f>'1.2 Budgeted Enrollment YR1'!C743</f>
        <v>16</v>
      </c>
      <c r="D743" s="971" t="str">
        <f>'1.2 Budgeted Enrollment YR1'!D743</f>
        <v>Reno/Sparks</v>
      </c>
      <c r="E743" s="968" t="str">
        <f>'1.2 Budgeted Enrollment YR1'!E743</f>
        <v>YVONNE SHAW MIDDLE SCHOOL</v>
      </c>
      <c r="F743" s="1061"/>
      <c r="G743" s="1108">
        <f>'1.2 Budgeted Enrollment YR1'!G743+('1.2 Budgeted Enrollment YR1'!G743*$G$7)</f>
        <v>727.08031168382718</v>
      </c>
      <c r="H743" s="1108"/>
      <c r="I743" s="1114">
        <v>0</v>
      </c>
      <c r="J743" s="1115">
        <v>0</v>
      </c>
      <c r="K743" s="1114">
        <v>0</v>
      </c>
      <c r="L743" s="1108">
        <f>'1.2 Budgeted Enrollment YR1'!L743</f>
        <v>0</v>
      </c>
      <c r="M743" s="1104"/>
      <c r="N743" s="875"/>
    </row>
    <row r="744" spans="1:14" ht="16.5" thickTop="1" thickBot="1" x14ac:dyDescent="0.3">
      <c r="A744" s="968" t="str">
        <f>'1.2 Budgeted Enrollment YR1'!A744</f>
        <v>White Pine</v>
      </c>
      <c r="B744" s="971">
        <f>'1.2 Budgeted Enrollment YR1'!B744</f>
        <v>17</v>
      </c>
      <c r="C744" s="971">
        <f>'1.2 Budgeted Enrollment YR1'!C744</f>
        <v>17</v>
      </c>
      <c r="D744" s="971" t="str">
        <f>'1.2 Budgeted Enrollment YR1'!D744</f>
        <v>Baker</v>
      </c>
      <c r="E744" s="968" t="str">
        <f>'1.2 Budgeted Enrollment YR1'!E744</f>
        <v>Baker Elementary</v>
      </c>
      <c r="F744" s="1061"/>
      <c r="G744" s="1108">
        <f>'1.2 Budgeted Enrollment YR1'!G744+('1.2 Budgeted Enrollment YR1'!G744*$G$7)</f>
        <v>2.1943232547095333</v>
      </c>
      <c r="H744" s="1108"/>
      <c r="I744" s="1114">
        <v>0</v>
      </c>
      <c r="J744" s="1115">
        <v>0</v>
      </c>
      <c r="K744" s="1114">
        <v>0</v>
      </c>
      <c r="L744" s="1108">
        <f>'1.2 Budgeted Enrollment YR1'!L744</f>
        <v>0</v>
      </c>
      <c r="M744" s="1104"/>
      <c r="N744" s="875"/>
    </row>
    <row r="745" spans="1:14" ht="16.5" thickTop="1" thickBot="1" x14ac:dyDescent="0.3">
      <c r="A745" s="968" t="str">
        <f>'1.2 Budgeted Enrollment YR1'!A745</f>
        <v>White Pine</v>
      </c>
      <c r="B745" s="971">
        <f>'1.2 Budgeted Enrollment YR1'!B745</f>
        <v>17</v>
      </c>
      <c r="C745" s="971">
        <f>'1.2 Budgeted Enrollment YR1'!C745</f>
        <v>17</v>
      </c>
      <c r="D745" s="971" t="str">
        <f>'1.2 Budgeted Enrollment YR1'!D745</f>
        <v>Ely</v>
      </c>
      <c r="E745" s="968" t="str">
        <f>'1.2 Budgeted Enrollment YR1'!E745</f>
        <v>David E Norman Elementary</v>
      </c>
      <c r="F745" s="1061"/>
      <c r="G745" s="1108">
        <f>'1.2 Budgeted Enrollment YR1'!G745+('1.2 Budgeted Enrollment YR1'!G745*$G$7)</f>
        <v>337.54651731352902</v>
      </c>
      <c r="H745" s="1108"/>
      <c r="I745" s="1114">
        <v>0</v>
      </c>
      <c r="J745" s="1115">
        <v>0</v>
      </c>
      <c r="K745" s="1114">
        <v>0</v>
      </c>
      <c r="L745" s="1108">
        <f>'1.2 Budgeted Enrollment YR1'!L745</f>
        <v>0</v>
      </c>
      <c r="M745" s="1104"/>
      <c r="N745" s="875"/>
    </row>
    <row r="746" spans="1:14" ht="16.5" thickTop="1" thickBot="1" x14ac:dyDescent="0.3">
      <c r="A746" s="968" t="str">
        <f>'1.2 Budgeted Enrollment YR1'!A746</f>
        <v>White Pine</v>
      </c>
      <c r="B746" s="971">
        <f>'1.2 Budgeted Enrollment YR1'!B746</f>
        <v>17</v>
      </c>
      <c r="C746" s="971">
        <f>'1.2 Budgeted Enrollment YR1'!C746</f>
        <v>17</v>
      </c>
      <c r="D746" s="971" t="str">
        <f>'1.2 Budgeted Enrollment YR1'!D746</f>
        <v>McGill</v>
      </c>
      <c r="E746" s="968" t="str">
        <f>'1.2 Budgeted Enrollment YR1'!E746</f>
        <v>Early Childhood</v>
      </c>
      <c r="F746" s="1061"/>
      <c r="G746" s="1108">
        <f>'1.2 Budgeted Enrollment YR1'!G746+('1.2 Budgeted Enrollment YR1'!G746*$G$7)</f>
        <v>10.799130011210666</v>
      </c>
      <c r="H746" s="1108"/>
      <c r="I746" s="1114">
        <v>0</v>
      </c>
      <c r="J746" s="1115">
        <v>0</v>
      </c>
      <c r="K746" s="1114">
        <v>0</v>
      </c>
      <c r="L746" s="1108">
        <f>'1.2 Budgeted Enrollment YR1'!L746</f>
        <v>0</v>
      </c>
      <c r="M746" s="1104"/>
      <c r="N746" s="875"/>
    </row>
    <row r="747" spans="1:14" ht="16.5" thickTop="1" thickBot="1" x14ac:dyDescent="0.3">
      <c r="A747" s="968" t="str">
        <f>'1.2 Budgeted Enrollment YR1'!A747</f>
        <v>White Pine</v>
      </c>
      <c r="B747" s="971">
        <f>'1.2 Budgeted Enrollment YR1'!B747</f>
        <v>17</v>
      </c>
      <c r="C747" s="971">
        <f>'1.2 Budgeted Enrollment YR1'!C747</f>
        <v>17</v>
      </c>
      <c r="D747" s="971" t="str">
        <f>'1.2 Budgeted Enrollment YR1'!D747</f>
        <v>Lund</v>
      </c>
      <c r="E747" s="968" t="str">
        <f>'1.2 Budgeted Enrollment YR1'!E747</f>
        <v>Lund Elementary</v>
      </c>
      <c r="F747" s="1061"/>
      <c r="G747" s="1108">
        <f>'1.2 Budgeted Enrollment YR1'!G747+('1.2 Budgeted Enrollment YR1'!G747*$G$7)</f>
        <v>53.725883496834072</v>
      </c>
      <c r="H747" s="1108"/>
      <c r="I747" s="1114">
        <v>0</v>
      </c>
      <c r="J747" s="1115">
        <v>0</v>
      </c>
      <c r="K747" s="1114">
        <v>0</v>
      </c>
      <c r="L747" s="1108">
        <f>'1.2 Budgeted Enrollment YR1'!L747</f>
        <v>0</v>
      </c>
      <c r="M747" s="1104"/>
      <c r="N747" s="875"/>
    </row>
    <row r="748" spans="1:14" ht="16.5" thickTop="1" thickBot="1" x14ac:dyDescent="0.3">
      <c r="A748" s="968" t="str">
        <f>'1.2 Budgeted Enrollment YR1'!A748</f>
        <v>White Pine</v>
      </c>
      <c r="B748" s="971">
        <f>'1.2 Budgeted Enrollment YR1'!B748</f>
        <v>17</v>
      </c>
      <c r="C748" s="971">
        <f>'1.2 Budgeted Enrollment YR1'!C748</f>
        <v>17</v>
      </c>
      <c r="D748" s="971" t="str">
        <f>'1.2 Budgeted Enrollment YR1'!D748</f>
        <v>Lund</v>
      </c>
      <c r="E748" s="968" t="str">
        <f>'1.2 Budgeted Enrollment YR1'!E748</f>
        <v>Lund High School</v>
      </c>
      <c r="F748" s="1061"/>
      <c r="G748" s="1108">
        <f>'1.2 Budgeted Enrollment YR1'!G748+('1.2 Budgeted Enrollment YR1'!G748*$G$7)</f>
        <v>59.366335340782157</v>
      </c>
      <c r="H748" s="1108"/>
      <c r="I748" s="1114">
        <v>0</v>
      </c>
      <c r="J748" s="1115">
        <v>0</v>
      </c>
      <c r="K748" s="1114">
        <v>0</v>
      </c>
      <c r="L748" s="1108">
        <f>'1.2 Budgeted Enrollment YR1'!L748</f>
        <v>0</v>
      </c>
      <c r="M748" s="1104"/>
      <c r="N748" s="875"/>
    </row>
    <row r="749" spans="1:14" ht="16.5" thickTop="1" thickBot="1" x14ac:dyDescent="0.3">
      <c r="A749" s="968" t="str">
        <f>'1.2 Budgeted Enrollment YR1'!A749</f>
        <v>White Pine</v>
      </c>
      <c r="B749" s="971">
        <f>'1.2 Budgeted Enrollment YR1'!B749</f>
        <v>17</v>
      </c>
      <c r="C749" s="971">
        <f>'1.2 Budgeted Enrollment YR1'!C749</f>
        <v>17</v>
      </c>
      <c r="D749" s="971" t="str">
        <f>'1.2 Budgeted Enrollment YR1'!D749</f>
        <v>McGill</v>
      </c>
      <c r="E749" s="968" t="str">
        <f>'1.2 Budgeted Enrollment YR1'!E749</f>
        <v>McGill Elementary</v>
      </c>
      <c r="F749" s="1061"/>
      <c r="G749" s="1108">
        <f>'1.2 Budgeted Enrollment YR1'!G749+('1.2 Budgeted Enrollment YR1'!G749*$G$7)</f>
        <v>116.05419140189933</v>
      </c>
      <c r="H749" s="1108"/>
      <c r="I749" s="1114">
        <v>0</v>
      </c>
      <c r="J749" s="1115">
        <v>0</v>
      </c>
      <c r="K749" s="1114">
        <v>0</v>
      </c>
      <c r="L749" s="1108">
        <f>'1.2 Budgeted Enrollment YR1'!L749</f>
        <v>0</v>
      </c>
      <c r="M749" s="1104"/>
      <c r="N749" s="875"/>
    </row>
    <row r="750" spans="1:14" ht="16.5" thickTop="1" thickBot="1" x14ac:dyDescent="0.3">
      <c r="A750" s="968" t="str">
        <f>'1.2 Budgeted Enrollment YR1'!A750</f>
        <v>White Pine</v>
      </c>
      <c r="B750" s="971">
        <f>'1.2 Budgeted Enrollment YR1'!B750</f>
        <v>17</v>
      </c>
      <c r="C750" s="971">
        <f>'1.2 Budgeted Enrollment YR1'!C750</f>
        <v>17</v>
      </c>
      <c r="D750" s="971" t="str">
        <f>'1.2 Budgeted Enrollment YR1'!D750</f>
        <v>Ely</v>
      </c>
      <c r="E750" s="968" t="str">
        <f>'1.2 Budgeted Enrollment YR1'!E750</f>
        <v>Out of State</v>
      </c>
      <c r="F750" s="1061"/>
      <c r="G750" s="1108">
        <f>'1.2 Budgeted Enrollment YR1'!G750+('1.2 Budgeted Enrollment YR1'!G750*$G$7)</f>
        <v>26.967545276557875</v>
      </c>
      <c r="H750" s="1108"/>
      <c r="I750" s="1114"/>
      <c r="J750" s="1115"/>
      <c r="K750" s="1114"/>
      <c r="L750" s="1108"/>
      <c r="M750" s="1104"/>
      <c r="N750" s="875"/>
    </row>
    <row r="751" spans="1:14" ht="16.5" thickTop="1" thickBot="1" x14ac:dyDescent="0.3">
      <c r="A751" s="968" t="str">
        <f>'1.2 Budgeted Enrollment YR1'!A751</f>
        <v>White Pine</v>
      </c>
      <c r="B751" s="971">
        <f>'1.2 Budgeted Enrollment YR1'!B751</f>
        <v>17</v>
      </c>
      <c r="C751" s="971">
        <f>'1.2 Budgeted Enrollment YR1'!C751</f>
        <v>17</v>
      </c>
      <c r="D751" s="971" t="str">
        <f>'1.2 Budgeted Enrollment YR1'!D751</f>
        <v>Ely</v>
      </c>
      <c r="E751" s="968" t="str">
        <f>'1.2 Budgeted Enrollment YR1'!E751</f>
        <v>Steptoe Valley High School</v>
      </c>
      <c r="F751" s="1061"/>
      <c r="G751" s="1108">
        <f>'1.2 Budgeted Enrollment YR1'!G751+('1.2 Budgeted Enrollment YR1'!G751*$G$7)</f>
        <v>360.83570404954264</v>
      </c>
      <c r="H751" s="1108"/>
      <c r="I751" s="1114"/>
      <c r="J751" s="1115"/>
      <c r="K751" s="1114"/>
      <c r="L751" s="1108"/>
      <c r="M751" s="1104"/>
      <c r="N751" s="875"/>
    </row>
    <row r="752" spans="1:14" ht="16.5" thickTop="1" thickBot="1" x14ac:dyDescent="0.3">
      <c r="A752" s="968" t="str">
        <f>'1.2 Budgeted Enrollment YR1'!A752</f>
        <v>White Pine</v>
      </c>
      <c r="B752" s="971">
        <f>'1.2 Budgeted Enrollment YR1'!B752</f>
        <v>17</v>
      </c>
      <c r="C752" s="971">
        <f>'1.2 Budgeted Enrollment YR1'!C752</f>
        <v>17</v>
      </c>
      <c r="D752" s="971" t="str">
        <f>'1.2 Budgeted Enrollment YR1'!D752</f>
        <v>Ely</v>
      </c>
      <c r="E752" s="968" t="str">
        <f>'1.2 Budgeted Enrollment YR1'!E752</f>
        <v>White Pine High School</v>
      </c>
      <c r="F752" s="1061"/>
      <c r="G752" s="1108">
        <f>'1.2 Budgeted Enrollment YR1'!G752+('1.2 Budgeted Enrollment YR1'!G752*$G$7)</f>
        <v>242.56414644256526</v>
      </c>
      <c r="H752" s="1108"/>
      <c r="I752" s="1114"/>
      <c r="J752" s="1115"/>
      <c r="K752" s="1114"/>
      <c r="L752" s="1108"/>
      <c r="M752" s="1104"/>
      <c r="N752" s="875"/>
    </row>
    <row r="753" spans="1:29" ht="16.5" thickTop="1" thickBot="1" x14ac:dyDescent="0.3">
      <c r="A753" s="1324" t="str">
        <f>'1.2 Budgeted Enrollment YR1'!A753</f>
        <v>White Pine</v>
      </c>
      <c r="B753" s="1325">
        <f>'1.2 Budgeted Enrollment YR1'!B753</f>
        <v>17</v>
      </c>
      <c r="C753" s="1325">
        <f>'1.2 Budgeted Enrollment YR1'!C753</f>
        <v>17</v>
      </c>
      <c r="D753" s="1325" t="str">
        <f>'1.2 Budgeted Enrollment YR1'!D753</f>
        <v>Ely</v>
      </c>
      <c r="E753" s="1324" t="str">
        <f>'1.2 Budgeted Enrollment YR1'!E753</f>
        <v>White Pine Middle School</v>
      </c>
      <c r="F753" s="1067"/>
      <c r="G753" s="1326">
        <f>'1.2 Budgeted Enrollment YR1'!G753+('1.2 Budgeted Enrollment YR1'!G753*$G$7)</f>
        <v>20.970205372331733</v>
      </c>
      <c r="H753" s="1326"/>
      <c r="I753" s="1327"/>
      <c r="J753" s="1328"/>
      <c r="K753" s="1327"/>
      <c r="L753" s="1326"/>
      <c r="M753" s="1104"/>
      <c r="N753" s="875"/>
    </row>
    <row r="754" spans="1:29" ht="16.5" thickTop="1" thickBot="1" x14ac:dyDescent="0.3">
      <c r="A754" s="863"/>
      <c r="B754" s="1026"/>
      <c r="C754" s="1026"/>
      <c r="D754" s="1026"/>
      <c r="E754" s="863" t="s">
        <v>1140</v>
      </c>
      <c r="F754" s="863"/>
      <c r="G754" s="1322">
        <f>SUM(G119:G753)</f>
        <v>391282.46487056476</v>
      </c>
      <c r="H754" s="1322"/>
      <c r="I754" s="1323">
        <f>SUM(I119:I749)</f>
        <v>0</v>
      </c>
      <c r="J754" s="1322">
        <f>SUM(J119:J749)</f>
        <v>0</v>
      </c>
      <c r="K754" s="1323">
        <f>SUM(K119:K749)</f>
        <v>0</v>
      </c>
      <c r="L754" s="1322">
        <f>SUM(L119:L749)</f>
        <v>5099.6467794391629</v>
      </c>
      <c r="M754" s="1104"/>
      <c r="X754" s="863"/>
    </row>
    <row r="755" spans="1:29" ht="15.75" thickTop="1" x14ac:dyDescent="0.25">
      <c r="G755" s="1121">
        <f>G754-SUM(G9:G25)</f>
        <v>0</v>
      </c>
      <c r="H755" s="1121"/>
      <c r="M755" s="1122"/>
      <c r="T755" s="863"/>
      <c r="W755" s="863"/>
      <c r="Y755" s="863"/>
      <c r="Z755" s="863"/>
      <c r="AA755" s="863"/>
      <c r="AB755" s="863"/>
      <c r="AC755" s="863"/>
    </row>
    <row r="756" spans="1:29" s="863" customFormat="1" x14ac:dyDescent="0.25">
      <c r="A756" s="864"/>
      <c r="B756" s="971"/>
      <c r="C756" s="971"/>
      <c r="D756" s="971"/>
      <c r="E756" s="864"/>
      <c r="F756" s="864"/>
      <c r="G756" s="1079"/>
      <c r="H756" s="864"/>
      <c r="I756" s="864"/>
      <c r="J756" s="869"/>
      <c r="K756" s="864"/>
      <c r="L756" s="869"/>
      <c r="M756" s="864"/>
      <c r="N756" s="864"/>
      <c r="O756" s="864"/>
      <c r="P756" s="864"/>
      <c r="Q756" s="864"/>
      <c r="R756" s="864"/>
      <c r="S756" s="864"/>
      <c r="T756" s="864"/>
      <c r="U756" s="864"/>
      <c r="V756" s="864"/>
      <c r="W756" s="864"/>
    </row>
    <row r="757" spans="1:29" x14ac:dyDescent="0.25">
      <c r="A757" s="863"/>
    </row>
    <row r="758" spans="1:29" x14ac:dyDescent="0.25">
      <c r="A758" s="863"/>
    </row>
  </sheetData>
  <mergeCells count="1">
    <mergeCell ref="N7:P7"/>
  </mergeCells>
  <phoneticPr fontId="74" type="noConversion"/>
  <pageMargins left="0.7" right="0.7" top="0.75" bottom="0.75" header="0.3" footer="0.3"/>
  <pageSetup scale="43" orientation="portrait" r:id="rId1"/>
  <rowBreaks count="13" manualBreakCount="13">
    <brk id="30" max="16383" man="1"/>
    <brk id="98" max="16383" man="1"/>
    <brk id="160" max="16383" man="1"/>
    <brk id="216" max="16383" man="1"/>
    <brk id="271" max="16383" man="1"/>
    <brk id="325" max="16383" man="1"/>
    <brk id="382" max="16383" man="1"/>
    <brk id="438" max="16383" man="1"/>
    <brk id="490" max="16383" man="1"/>
    <brk id="543" max="16383" man="1"/>
    <brk id="592" max="16383" man="1"/>
    <brk id="649" max="16383" man="1"/>
    <brk id="703" max="16383" man="1"/>
  </rowBreaks>
  <colBreaks count="1" manualBreakCount="1">
    <brk id="18" max="70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AFA62-3223-4ACF-818E-F9AB486A6A71}">
  <sheetPr>
    <tabColor theme="5" tint="-0.249977111117893"/>
    <pageSetUpPr autoPageBreaks="0" fitToPage="1"/>
  </sheetPr>
  <dimension ref="A1:U49"/>
  <sheetViews>
    <sheetView workbookViewId="0">
      <selection activeCell="C10" sqref="C10"/>
    </sheetView>
  </sheetViews>
  <sheetFormatPr defaultColWidth="8.7109375" defaultRowHeight="15" x14ac:dyDescent="0.25"/>
  <cols>
    <col min="1" max="1" width="27.7109375" style="971" customWidth="1"/>
    <col min="2" max="2" width="89.7109375" style="864" customWidth="1"/>
    <col min="3" max="3" width="18" style="944" bestFit="1" customWidth="1"/>
    <col min="4" max="4" width="9.7109375" style="864" bestFit="1" customWidth="1"/>
    <col min="5" max="5" width="26" style="864" customWidth="1"/>
    <col min="6" max="7" width="18" style="864" bestFit="1" customWidth="1"/>
    <col min="8" max="8" width="16.7109375" style="864" customWidth="1"/>
    <col min="9" max="9" width="17" style="864" bestFit="1" customWidth="1"/>
    <col min="10" max="10" width="11.42578125" style="864" hidden="1" customWidth="1"/>
    <col min="11" max="11" width="12" style="864" hidden="1" customWidth="1"/>
    <col min="12" max="12" width="8" style="864" hidden="1" customWidth="1"/>
    <col min="13" max="13" width="17.140625" style="864" bestFit="1" customWidth="1"/>
    <col min="14" max="14" width="8.7109375" style="864"/>
    <col min="15" max="16" width="17" style="864" hidden="1" customWidth="1"/>
    <col min="17" max="17" width="15.5703125" style="864" hidden="1" customWidth="1"/>
    <col min="18" max="18" width="0" style="864" hidden="1" customWidth="1"/>
    <col min="19" max="19" width="56.140625" style="864" hidden="1" customWidth="1"/>
    <col min="20" max="20" width="17" style="864" hidden="1" customWidth="1"/>
    <col min="21" max="21" width="18.140625" style="864" hidden="1" customWidth="1"/>
    <col min="22" max="16384" width="8.7109375" style="864"/>
  </cols>
  <sheetData>
    <row r="1" spans="1:21" s="863" customFormat="1" x14ac:dyDescent="0.25">
      <c r="A1" s="964" t="s">
        <v>15</v>
      </c>
      <c r="B1" s="965"/>
      <c r="E1" s="966"/>
      <c r="F1" s="2037" t="s">
        <v>1141</v>
      </c>
      <c r="G1" s="2037" t="s">
        <v>1142</v>
      </c>
      <c r="H1" s="2037" t="s">
        <v>1748</v>
      </c>
    </row>
    <row r="2" spans="1:21" x14ac:dyDescent="0.25">
      <c r="A2" s="968" t="str">
        <f>CONCATENATE("Pupil Center Funding Plan | FY",'5.1 Assumption Control YR2'!D5)</f>
        <v>Pupil Center Funding Plan | FY2027</v>
      </c>
      <c r="B2" s="944"/>
      <c r="C2" s="969"/>
      <c r="E2" s="970" t="s">
        <v>1143</v>
      </c>
      <c r="F2" s="1471">
        <f>'1.3 Budgeted Revenues YR1'!F2</f>
        <v>0</v>
      </c>
      <c r="G2" s="1470"/>
      <c r="H2" s="1470"/>
    </row>
    <row r="3" spans="1:21" x14ac:dyDescent="0.25">
      <c r="A3" s="864" t="s">
        <v>1749</v>
      </c>
      <c r="B3" s="944"/>
      <c r="C3" s="971"/>
      <c r="D3" s="972" t="s">
        <v>240</v>
      </c>
      <c r="E3" s="966"/>
      <c r="F3" s="1474" t="s">
        <v>1145</v>
      </c>
      <c r="G3" s="2038" t="s">
        <v>1146</v>
      </c>
      <c r="H3" s="1450" t="str">
        <f>IF(H2=H4,"Balanced","")</f>
        <v/>
      </c>
    </row>
    <row r="4" spans="1:21" x14ac:dyDescent="0.25">
      <c r="D4" s="972" t="s">
        <v>241</v>
      </c>
      <c r="E4" s="1028" t="s">
        <v>1147</v>
      </c>
      <c r="F4" s="1982">
        <f>'1.3 Budgeted Revenues YR1'!F4</f>
        <v>1487995964</v>
      </c>
      <c r="G4" s="1982">
        <f>'1.3 Budgeted Revenues YR1'!G4</f>
        <v>1487995964</v>
      </c>
      <c r="H4" s="1226">
        <f>SUM(F4:G4)</f>
        <v>2975991928</v>
      </c>
    </row>
    <row r="5" spans="1:21" x14ac:dyDescent="0.25">
      <c r="A5" s="973">
        <v>2501</v>
      </c>
      <c r="B5" s="936" t="s">
        <v>1148</v>
      </c>
      <c r="C5" s="1472">
        <f>G4+G5+G6</f>
        <v>1977886373</v>
      </c>
      <c r="D5" s="972"/>
      <c r="E5" s="1961"/>
      <c r="F5" s="1983">
        <f>'1.3 Budgeted Revenues YR1'!F5</f>
        <v>244919189</v>
      </c>
      <c r="G5" s="1983">
        <f>'1.3 Budgeted Revenues YR1'!G5+F5</f>
        <v>489890409</v>
      </c>
      <c r="H5" s="1029"/>
    </row>
    <row r="6" spans="1:21" x14ac:dyDescent="0.25">
      <c r="A6" s="973"/>
      <c r="B6" s="2337" t="s">
        <v>1750</v>
      </c>
      <c r="C6" s="2336">
        <f>G4</f>
        <v>1487995964</v>
      </c>
      <c r="D6" s="972"/>
      <c r="E6" s="1962"/>
      <c r="F6" s="1984">
        <f>'1.3 Budgeted Revenues YR1'!F6</f>
        <v>0</v>
      </c>
      <c r="G6" s="1984">
        <f>'1.3 Budgeted Revenues YR1'!G6</f>
        <v>0</v>
      </c>
      <c r="H6" s="1167"/>
    </row>
    <row r="7" spans="1:21" ht="15.75" thickBot="1" x14ac:dyDescent="0.3">
      <c r="D7" s="972"/>
      <c r="E7" s="1963"/>
      <c r="F7" s="1177"/>
      <c r="G7" s="1177"/>
      <c r="H7" s="974"/>
    </row>
    <row r="8" spans="1:21" ht="16.5" thickTop="1" thickBot="1" x14ac:dyDescent="0.3">
      <c r="A8" s="975" t="s">
        <v>1150</v>
      </c>
      <c r="B8" s="976" t="s">
        <v>1151</v>
      </c>
      <c r="C8" s="977" t="s">
        <v>1152</v>
      </c>
      <c r="D8" s="1031" t="s">
        <v>1153</v>
      </c>
      <c r="E8" s="1473"/>
      <c r="F8" s="1985"/>
      <c r="G8" s="1985"/>
      <c r="H8" s="1032"/>
      <c r="O8" s="933"/>
    </row>
    <row r="9" spans="1:21" ht="15.75" thickTop="1" x14ac:dyDescent="0.25">
      <c r="A9" s="978">
        <f>'1.3 Budgeted Revenues YR1'!A9</f>
        <v>2501</v>
      </c>
      <c r="B9" s="979" t="str">
        <f>'1.3 Budgeted Revenues YR1'!B9</f>
        <v>GENERAL FUND APPROPRIATION</v>
      </c>
      <c r="C9" s="2210">
        <f>1472854286+5-9000000-143941393+56891418</f>
        <v>1376804316</v>
      </c>
      <c r="D9" s="2330">
        <f>C9/$C$43</f>
        <v>0.23898353859815302</v>
      </c>
      <c r="E9" s="1227"/>
      <c r="F9" s="1227"/>
      <c r="G9" s="1227"/>
      <c r="H9" s="1475"/>
      <c r="M9" s="933"/>
    </row>
    <row r="10" spans="1:21" ht="15.75" thickBot="1" x14ac:dyDescent="0.3">
      <c r="A10" s="978">
        <v>4782</v>
      </c>
      <c r="B10" s="979" t="s">
        <v>2326</v>
      </c>
      <c r="C10" s="2210">
        <v>0</v>
      </c>
      <c r="D10" s="2331">
        <f>C10/$C$43</f>
        <v>0</v>
      </c>
      <c r="E10" s="933"/>
      <c r="F10" s="1227"/>
      <c r="G10" s="1227"/>
      <c r="H10" s="1475"/>
      <c r="M10" s="933"/>
    </row>
    <row r="11" spans="1:21" x14ac:dyDescent="0.25">
      <c r="A11" s="980">
        <f>'1.3 Budgeted Revenues YR1'!A11</f>
        <v>2511</v>
      </c>
      <c r="B11" s="981" t="s">
        <v>1751</v>
      </c>
      <c r="C11" s="982">
        <f>-'1.3 Budgeted Revenues YR1'!C35</f>
        <v>31930000</v>
      </c>
      <c r="D11" s="2332">
        <f t="shared" ref="D11:D34" si="0">C11/$C$43</f>
        <v>5.5423594324634775E-3</v>
      </c>
      <c r="F11" s="2379" t="s">
        <v>1159</v>
      </c>
      <c r="G11" s="2380"/>
      <c r="H11" s="2381"/>
      <c r="I11" s="1092"/>
      <c r="M11" s="1092"/>
    </row>
    <row r="12" spans="1:21" ht="15.75" thickBot="1" x14ac:dyDescent="0.3">
      <c r="A12" s="985">
        <f>'1.3 Budgeted Revenues YR1'!A12</f>
        <v>2511</v>
      </c>
      <c r="B12" s="986" t="str">
        <f>'1.3 Budgeted Revenues YR1'!B12</f>
        <v>BAL FWD FROM PREVIOUS YEAR (Excess Revenue From Education Stabilization Account Above 15%)</v>
      </c>
      <c r="C12" s="987">
        <v>0</v>
      </c>
      <c r="D12" s="2333">
        <f t="shared" si="0"/>
        <v>0</v>
      </c>
      <c r="F12" s="868" t="str">
        <f>'6.9 PCFP Funding Comparison YR2'!A8</f>
        <v>Carson City</v>
      </c>
      <c r="G12" s="983">
        <f t="shared" ref="G12:G28" si="1">H12*$G$29</f>
        <v>0</v>
      </c>
      <c r="H12" s="984">
        <f>'1.3 Budgeted Revenues YR1'!H13</f>
        <v>0</v>
      </c>
      <c r="I12" s="1212"/>
      <c r="M12" s="1092"/>
    </row>
    <row r="13" spans="1:21" x14ac:dyDescent="0.25">
      <c r="A13" s="978">
        <f>'1.3 Budgeted Revenues YR1'!A13</f>
        <v>3064</v>
      </c>
      <c r="B13" s="979" t="str">
        <f>'1.3 Budgeted Revenues YR1'!B13</f>
        <v>NET PROCEEDS OF MINERALS TAX (NPM) - STATE</v>
      </c>
      <c r="C13" s="2209">
        <v>100094000</v>
      </c>
      <c r="D13" s="1986">
        <f>C13/$C$43</f>
        <v>1.7374159882023153E-2</v>
      </c>
      <c r="F13" s="868" t="str">
        <f>'6.9 PCFP Funding Comparison YR2'!A9</f>
        <v>Churchill</v>
      </c>
      <c r="G13" s="983">
        <f t="shared" si="1"/>
        <v>354742.3</v>
      </c>
      <c r="H13" s="984">
        <f>'1.3 Budgeted Revenues YR1'!H14</f>
        <v>1.111E-2</v>
      </c>
      <c r="I13" s="1212"/>
      <c r="M13" s="1092"/>
    </row>
    <row r="14" spans="1:21" s="922" customFormat="1" x14ac:dyDescent="0.25">
      <c r="A14" s="988">
        <f>'1.3 Budgeted Revenues YR1'!A14</f>
        <v>3074</v>
      </c>
      <c r="B14" s="989" t="str">
        <f>'1.3 Budgeted Revenues YR1'!B14</f>
        <v>GOLD AND SILVER EXCISE TAX</v>
      </c>
      <c r="C14" s="2210">
        <v>107447000</v>
      </c>
      <c r="D14" s="1987">
        <f t="shared" si="0"/>
        <v>1.8650482115249084E-2</v>
      </c>
      <c r="E14" s="864"/>
      <c r="F14" s="868" t="str">
        <f>'6.9 PCFP Funding Comparison YR2'!A10</f>
        <v>Clark</v>
      </c>
      <c r="G14" s="983">
        <f t="shared" si="1"/>
        <v>87168.9</v>
      </c>
      <c r="H14" s="984">
        <f>'1.3 Budgeted Revenues YR1'!H15</f>
        <v>2.7299999999999998E-3</v>
      </c>
      <c r="I14" s="1975"/>
      <c r="M14" s="1092"/>
      <c r="O14" s="990"/>
      <c r="P14" s="991"/>
      <c r="Q14" s="992"/>
      <c r="T14" s="993"/>
      <c r="U14" s="993"/>
    </row>
    <row r="15" spans="1:21" x14ac:dyDescent="0.25">
      <c r="A15" s="978">
        <f>'1.3 Budgeted Revenues YR1'!A15</f>
        <v>3324</v>
      </c>
      <c r="B15" s="979" t="str">
        <f>'1.3 Budgeted Revenues YR1'!B15</f>
        <v>BASIC GOVT SERVICE TAX</v>
      </c>
      <c r="C15" s="2209">
        <v>145088000</v>
      </c>
      <c r="D15" s="1986">
        <f t="shared" si="0"/>
        <v>2.5184147990518664E-2</v>
      </c>
      <c r="E15" s="922"/>
      <c r="F15" s="868" t="str">
        <f>'6.9 PCFP Funding Comparison YR2'!A11</f>
        <v>Douglas</v>
      </c>
      <c r="G15" s="983">
        <f t="shared" si="1"/>
        <v>0</v>
      </c>
      <c r="H15" s="984">
        <f>'1.3 Budgeted Revenues YR1'!H16</f>
        <v>0</v>
      </c>
      <c r="I15" s="1212"/>
      <c r="M15" s="1092"/>
      <c r="O15" s="994">
        <f>C9</f>
        <v>1376804316</v>
      </c>
      <c r="P15" s="922"/>
      <c r="Q15" s="995"/>
      <c r="S15" s="864" t="str">
        <f>B9</f>
        <v>GENERAL FUND APPROPRIATION</v>
      </c>
      <c r="T15" s="996">
        <f>'1.3 Budgeted Revenues YR1'!C9</f>
        <v>1396505764</v>
      </c>
      <c r="U15" s="949">
        <f>C9-T15</f>
        <v>-19701448</v>
      </c>
    </row>
    <row r="16" spans="1:21" x14ac:dyDescent="0.25">
      <c r="A16" s="988">
        <f>'1.3 Budgeted Revenues YR1'!A16</f>
        <v>3325</v>
      </c>
      <c r="B16" s="989" t="str">
        <f>'1.3 Budgeted Revenues YR1'!B16</f>
        <v>CANNABIS RETAIL EXCISE TAX</v>
      </c>
      <c r="C16" s="2210">
        <v>72819000</v>
      </c>
      <c r="D16" s="1987">
        <f t="shared" si="0"/>
        <v>1.2639808064909426E-2</v>
      </c>
      <c r="F16" s="868" t="str">
        <f>'6.9 PCFP Funding Comparison YR2'!A12</f>
        <v>Elko</v>
      </c>
      <c r="G16" s="983">
        <f t="shared" si="1"/>
        <v>941296.4</v>
      </c>
      <c r="H16" s="984">
        <f>'1.3 Budgeted Revenues YR1'!H17</f>
        <v>2.9479999999999999E-2</v>
      </c>
      <c r="I16" s="1212"/>
      <c r="J16" s="964"/>
      <c r="K16" s="997"/>
      <c r="M16" s="1092"/>
      <c r="O16" s="994">
        <f t="shared" ref="O16:O24" si="2">C11</f>
        <v>31930000</v>
      </c>
      <c r="P16" s="998">
        <v>71067000</v>
      </c>
      <c r="Q16" s="999">
        <f>O16-P16</f>
        <v>-39137000</v>
      </c>
      <c r="S16" s="864" t="str">
        <f t="shared" ref="S16:S26" si="3">B11</f>
        <v xml:space="preserve">	BAL FWD FROM PREVIOUS YEAR (PROCEEDS OF MINERALS (NPM and Other Revenue late Transfers received in prior year for expenditure in current year)</v>
      </c>
      <c r="T16" s="996">
        <f>'1.3 Budgeted Revenues YR1'!C11</f>
        <v>26052000</v>
      </c>
      <c r="U16" s="949">
        <f t="shared" ref="U16:U26" si="4">C11-T16</f>
        <v>5878000</v>
      </c>
    </row>
    <row r="17" spans="1:21" x14ac:dyDescent="0.25">
      <c r="A17" s="978">
        <f>'1.3 Budgeted Revenues YR1'!A17</f>
        <v>3328</v>
      </c>
      <c r="B17" s="979" t="str">
        <f>'1.3 Budgeted Revenues YR1'!B17</f>
        <v>LOCAL SCHOOL SUPPORT TAX</v>
      </c>
      <c r="C17" s="2209">
        <v>2353409000</v>
      </c>
      <c r="D17" s="1986">
        <f t="shared" si="0"/>
        <v>0.40850105134965359</v>
      </c>
      <c r="F17" s="868" t="str">
        <f>'6.9 PCFP Funding Comparison YR2'!A13</f>
        <v>Esmeralda</v>
      </c>
      <c r="G17" s="983">
        <f t="shared" si="1"/>
        <v>1478678.2999999998</v>
      </c>
      <c r="H17" s="984">
        <f>'1.3 Budgeted Revenues YR1'!H18</f>
        <v>4.6309999999999997E-2</v>
      </c>
      <c r="I17" s="1212"/>
      <c r="J17" s="1000"/>
      <c r="K17" s="1001"/>
      <c r="L17" s="1002"/>
      <c r="M17" s="1092"/>
      <c r="O17" s="994">
        <f t="shared" si="2"/>
        <v>0</v>
      </c>
      <c r="P17" s="1003">
        <v>80996000</v>
      </c>
      <c r="Q17" s="999">
        <f>O17-P17</f>
        <v>-80996000</v>
      </c>
      <c r="S17" s="864" t="str">
        <f t="shared" si="3"/>
        <v>BAL FWD FROM PREVIOUS YEAR (Excess Revenue From Education Stabilization Account Above 15%)</v>
      </c>
      <c r="T17" s="996">
        <f>'1.3 Budgeted Revenues YR1'!C12</f>
        <v>0</v>
      </c>
      <c r="U17" s="949">
        <f t="shared" si="4"/>
        <v>0</v>
      </c>
    </row>
    <row r="18" spans="1:21" x14ac:dyDescent="0.25">
      <c r="A18" s="988">
        <f>'1.3 Budgeted Revenues YR1'!A18</f>
        <v>3329</v>
      </c>
      <c r="B18" s="989" t="str">
        <f>'1.3 Budgeted Revenues YR1'!B18</f>
        <v>ANNUAL SLOT TAX</v>
      </c>
      <c r="C18" s="2210">
        <v>25022000</v>
      </c>
      <c r="D18" s="1987">
        <f t="shared" si="0"/>
        <v>4.3432796028531513E-3</v>
      </c>
      <c r="E18" s="933"/>
      <c r="F18" s="868" t="str">
        <f>'6.9 PCFP Funding Comparison YR2'!A14</f>
        <v>Eureka</v>
      </c>
      <c r="G18" s="983">
        <f t="shared" si="1"/>
        <v>9246289.4000000004</v>
      </c>
      <c r="H18" s="984">
        <f>'1.3 Budgeted Revenues YR1'!H19</f>
        <v>0.28958</v>
      </c>
      <c r="I18" s="1212"/>
      <c r="J18" s="1000"/>
      <c r="K18" s="1001"/>
      <c r="L18" s="1002"/>
      <c r="M18" s="1092"/>
      <c r="O18" s="994">
        <f t="shared" si="2"/>
        <v>100094000</v>
      </c>
      <c r="P18" s="1003">
        <v>117875700</v>
      </c>
      <c r="Q18" s="999">
        <f>O18-P18</f>
        <v>-17781700</v>
      </c>
      <c r="S18" s="864" t="str">
        <f t="shared" si="3"/>
        <v>NET PROCEEDS OF MINERALS TAX (NPM) - STATE</v>
      </c>
      <c r="T18" s="996">
        <f>'1.3 Budgeted Revenues YR1'!C13</f>
        <v>97972000</v>
      </c>
      <c r="U18" s="949">
        <f t="shared" si="4"/>
        <v>2122000</v>
      </c>
    </row>
    <row r="19" spans="1:21" x14ac:dyDescent="0.25">
      <c r="A19" s="978">
        <f>'1.3 Budgeted Revenues YR1'!A19</f>
        <v>3335</v>
      </c>
      <c r="B19" s="979" t="str">
        <f>'1.3 Budgeted Revenues YR1'!B19</f>
        <v>ROOM TAX REVENUE (AB 579 TRANSIENT LODGING TAX)</v>
      </c>
      <c r="C19" s="2209">
        <v>243101000</v>
      </c>
      <c r="D19" s="1986">
        <f t="shared" si="0"/>
        <v>4.2197091149116933E-2</v>
      </c>
      <c r="F19" s="868" t="str">
        <f>'6.9 PCFP Funding Comparison YR2'!A15</f>
        <v>Humboldt</v>
      </c>
      <c r="G19" s="983">
        <f t="shared" si="1"/>
        <v>7280678.5999999996</v>
      </c>
      <c r="H19" s="984">
        <f>'1.3 Budgeted Revenues YR1'!H20</f>
        <v>0.22802</v>
      </c>
      <c r="I19" s="1212"/>
      <c r="J19" s="1000"/>
      <c r="K19" s="1001"/>
      <c r="L19" s="1002"/>
      <c r="M19" s="1092"/>
      <c r="O19" s="994">
        <f t="shared" si="2"/>
        <v>107447000</v>
      </c>
      <c r="P19" s="1003">
        <v>84974539</v>
      </c>
      <c r="Q19" s="999">
        <f t="shared" ref="Q19:Q41" si="5">O19-P19</f>
        <v>22472461</v>
      </c>
      <c r="S19" s="864" t="str">
        <f t="shared" si="3"/>
        <v>GOLD AND SILVER EXCISE TAX</v>
      </c>
      <c r="T19" s="996">
        <f>'1.3 Budgeted Revenues YR1'!C14</f>
        <v>105187000</v>
      </c>
      <c r="U19" s="949">
        <f t="shared" si="4"/>
        <v>2260000</v>
      </c>
    </row>
    <row r="20" spans="1:21" x14ac:dyDescent="0.25">
      <c r="A20" s="988">
        <f>'1.3 Budgeted Revenues YR1'!A20</f>
        <v>3340</v>
      </c>
      <c r="B20" s="989" t="str">
        <f>'1.3 Budgeted Revenues YR1'!B20</f>
        <v>PROPERTY TAX</v>
      </c>
      <c r="C20" s="2210">
        <v>1263866000</v>
      </c>
      <c r="D20" s="1987">
        <f t="shared" si="0"/>
        <v>0.21937988244503243</v>
      </c>
      <c r="F20" s="868" t="str">
        <f>'6.9 PCFP Funding Comparison YR2'!A16</f>
        <v>Lander</v>
      </c>
      <c r="G20" s="983">
        <f t="shared" si="1"/>
        <v>10108399.399999999</v>
      </c>
      <c r="H20" s="984">
        <f>'1.3 Budgeted Revenues YR1'!H21</f>
        <v>0.31657999999999997</v>
      </c>
      <c r="I20" s="1212"/>
      <c r="J20" s="1000"/>
      <c r="K20" s="1001"/>
      <c r="L20" s="1002"/>
      <c r="M20" s="1092"/>
      <c r="O20" s="994">
        <f t="shared" si="2"/>
        <v>145088000</v>
      </c>
      <c r="P20" s="1003">
        <v>1760551268</v>
      </c>
      <c r="Q20" s="999">
        <f t="shared" si="5"/>
        <v>-1615463268</v>
      </c>
      <c r="S20" s="864" t="str">
        <f t="shared" si="3"/>
        <v>BASIC GOVT SERVICE TAX</v>
      </c>
      <c r="T20" s="996">
        <f>'1.3 Budgeted Revenues YR1'!C15</f>
        <v>140862000</v>
      </c>
      <c r="U20" s="949">
        <f t="shared" si="4"/>
        <v>4226000</v>
      </c>
    </row>
    <row r="21" spans="1:21" x14ac:dyDescent="0.25">
      <c r="A21" s="988">
        <f>'1.3 Budgeted Revenues YR1'!A21</f>
        <v>3536</v>
      </c>
      <c r="B21" s="989" t="str">
        <f>'1.3 Budgeted Revenues YR1'!B21</f>
        <v>FEDERAL MINERAL LEASING ACT REVENUE</v>
      </c>
      <c r="C21" s="2210">
        <v>7000000</v>
      </c>
      <c r="D21" s="1987">
        <f t="shared" si="0"/>
        <v>1.2150490456387204E-3</v>
      </c>
      <c r="F21" s="868" t="str">
        <f>'6.9 PCFP Funding Comparison YR2'!A17</f>
        <v>Lincoln</v>
      </c>
      <c r="G21" s="983">
        <f t="shared" si="1"/>
        <v>0</v>
      </c>
      <c r="H21" s="984">
        <f>'1.3 Budgeted Revenues YR1'!H22</f>
        <v>0</v>
      </c>
      <c r="I21" s="1212"/>
      <c r="J21" s="1000"/>
      <c r="K21" s="1001"/>
      <c r="L21" s="1002"/>
      <c r="M21" s="1092"/>
      <c r="O21" s="994">
        <f t="shared" si="2"/>
        <v>72819000</v>
      </c>
      <c r="P21" s="1003">
        <v>26130390</v>
      </c>
      <c r="Q21" s="999">
        <f t="shared" si="5"/>
        <v>46688610</v>
      </c>
      <c r="S21" s="864" t="str">
        <f t="shared" si="3"/>
        <v>CANNABIS RETAIL EXCISE TAX</v>
      </c>
      <c r="T21" s="996">
        <f>'1.3 Budgeted Revenues YR1'!C16</f>
        <v>73955000</v>
      </c>
      <c r="U21" s="949">
        <f t="shared" si="4"/>
        <v>-1136000</v>
      </c>
    </row>
    <row r="22" spans="1:21" ht="15.75" thickBot="1" x14ac:dyDescent="0.3">
      <c r="A22" s="978">
        <f>'1.3 Budgeted Revenues YR1'!A22</f>
        <v>3867</v>
      </c>
      <c r="B22" s="979" t="str">
        <f>'1.3 Budgeted Revenues YR1'!B22</f>
        <v>FRANCHISE FEES</v>
      </c>
      <c r="C22" s="2209">
        <v>3000000</v>
      </c>
      <c r="D22" s="1986">
        <f t="shared" si="0"/>
        <v>5.2073530527373731E-4</v>
      </c>
      <c r="F22" s="868" t="str">
        <f>'6.9 PCFP Funding Comparison YR2'!A18</f>
        <v>Lyon</v>
      </c>
      <c r="G22" s="983">
        <f t="shared" si="1"/>
        <v>3512.3</v>
      </c>
      <c r="H22" s="984">
        <f>'1.3 Budgeted Revenues YR1'!H23</f>
        <v>1.1E-4</v>
      </c>
      <c r="I22" s="1212"/>
      <c r="J22" s="1000"/>
      <c r="K22" s="1001"/>
      <c r="L22" s="1002"/>
      <c r="M22" s="1092"/>
      <c r="O22" s="994">
        <f t="shared" si="2"/>
        <v>2353409000</v>
      </c>
      <c r="P22" s="1003">
        <v>157202011</v>
      </c>
      <c r="Q22" s="999">
        <f t="shared" si="5"/>
        <v>2196206989</v>
      </c>
      <c r="S22" s="864" t="str">
        <f t="shared" si="3"/>
        <v>LOCAL SCHOOL SUPPORT TAX</v>
      </c>
      <c r="T22" s="996">
        <f>'1.3 Budgeted Revenues YR1'!C17</f>
        <v>2277369000</v>
      </c>
      <c r="U22" s="949">
        <f t="shared" si="4"/>
        <v>76040000</v>
      </c>
    </row>
    <row r="23" spans="1:21" ht="15.75" thickBot="1" x14ac:dyDescent="0.3">
      <c r="A23" s="1004">
        <f>'1.3 Budgeted Revenues YR1'!A23</f>
        <v>3868</v>
      </c>
      <c r="B23" s="1005" t="str">
        <f>'1.3 Budgeted Revenues YR1'!B23</f>
        <v>NET PROCEEDS MNRLS - DISTRICTS (NPM) - (Received in current year for expenditure in future year)</v>
      </c>
      <c r="C23" s="2211">
        <v>32627000</v>
      </c>
      <c r="D23" s="1988">
        <f t="shared" si="0"/>
        <v>5.6633436017220753E-3</v>
      </c>
      <c r="F23" s="868" t="str">
        <f>'6.9 PCFP Funding Comparison YR2'!A19</f>
        <v>Mineral</v>
      </c>
      <c r="G23" s="983">
        <f t="shared" si="1"/>
        <v>518543.2</v>
      </c>
      <c r="H23" s="984">
        <f>'1.3 Budgeted Revenues YR1'!H24</f>
        <v>1.6240000000000001E-2</v>
      </c>
      <c r="I23" s="1212"/>
      <c r="J23" s="1000"/>
      <c r="K23" s="1001"/>
      <c r="L23" s="1002"/>
      <c r="M23" s="1092"/>
      <c r="O23" s="994">
        <f t="shared" si="2"/>
        <v>25022000</v>
      </c>
      <c r="P23" s="1003">
        <v>799139980</v>
      </c>
      <c r="Q23" s="999">
        <f t="shared" si="5"/>
        <v>-774117980</v>
      </c>
      <c r="S23" s="864" t="str">
        <f t="shared" si="3"/>
        <v>ANNUAL SLOT TAX</v>
      </c>
      <c r="T23" s="996">
        <f>'1.3 Budgeted Revenues YR1'!C18</f>
        <v>25011000</v>
      </c>
      <c r="U23" s="949">
        <f t="shared" si="4"/>
        <v>11000</v>
      </c>
    </row>
    <row r="24" spans="1:21" x14ac:dyDescent="0.25">
      <c r="A24" s="978">
        <f>'1.3 Budgeted Revenues YR1'!A24</f>
        <v>4152</v>
      </c>
      <c r="B24" s="979" t="str">
        <f>'1.3 Budgeted Revenues YR1'!B24</f>
        <v>FORFEITURES OF PROPERTY</v>
      </c>
      <c r="C24" s="2209">
        <v>300000</v>
      </c>
      <c r="D24" s="1986">
        <f t="shared" si="0"/>
        <v>5.2073530527373729E-5</v>
      </c>
      <c r="F24" s="868" t="str">
        <f>'6.9 PCFP Funding Comparison YR2'!A20</f>
        <v>Nye</v>
      </c>
      <c r="G24" s="983">
        <f t="shared" si="1"/>
        <v>664782.60000000009</v>
      </c>
      <c r="H24" s="984">
        <f>'1.3 Budgeted Revenues YR1'!H25</f>
        <v>2.0820000000000002E-2</v>
      </c>
      <c r="I24" s="1212"/>
      <c r="J24" s="1000"/>
      <c r="K24" s="1001"/>
      <c r="L24" s="1002"/>
      <c r="M24" s="1092"/>
      <c r="O24" s="994">
        <f t="shared" si="2"/>
        <v>243101000</v>
      </c>
      <c r="P24" s="1003">
        <v>5863421</v>
      </c>
      <c r="Q24" s="999">
        <f t="shared" si="5"/>
        <v>237237579</v>
      </c>
      <c r="S24" s="864" t="str">
        <f t="shared" si="3"/>
        <v>ROOM TAX REVENUE (AB 579 TRANSIENT LODGING TAX)</v>
      </c>
      <c r="T24" s="996">
        <f>'1.3 Budgeted Revenues YR1'!C19</f>
        <v>236249000</v>
      </c>
      <c r="U24" s="949">
        <f t="shared" si="4"/>
        <v>6852000</v>
      </c>
    </row>
    <row r="25" spans="1:21" x14ac:dyDescent="0.25">
      <c r="A25" s="988">
        <f>'1.3 Budgeted Revenues YR1'!A25</f>
        <v>4157</v>
      </c>
      <c r="B25" s="989" t="str">
        <f>'1.3 Budgeted Revenues YR1'!B25</f>
        <v>ADMINISTRATIVE FINES</v>
      </c>
      <c r="C25" s="2210">
        <v>70000</v>
      </c>
      <c r="D25" s="1987">
        <f t="shared" si="0"/>
        <v>1.2150490456387204E-5</v>
      </c>
      <c r="F25" s="868" t="str">
        <f>'6.9 PCFP Funding Comparison YR2'!A21</f>
        <v>Pershing</v>
      </c>
      <c r="G25" s="983">
        <f t="shared" si="1"/>
        <v>121972.6</v>
      </c>
      <c r="H25" s="984">
        <f>'1.3 Budgeted Revenues YR1'!H26</f>
        <v>3.82E-3</v>
      </c>
      <c r="I25" s="1212"/>
      <c r="J25" s="1006"/>
      <c r="K25" s="961"/>
      <c r="L25" s="1002"/>
      <c r="M25" s="1092"/>
      <c r="O25" s="994">
        <f>C21</f>
        <v>7000000</v>
      </c>
      <c r="P25" s="1003">
        <v>3360742</v>
      </c>
      <c r="Q25" s="999">
        <f t="shared" si="5"/>
        <v>3639258</v>
      </c>
      <c r="S25" s="864" t="str">
        <f t="shared" si="3"/>
        <v>PROPERTY TAX</v>
      </c>
      <c r="T25" s="996">
        <f>'1.3 Budgeted Revenues YR1'!C20</f>
        <v>1187234000</v>
      </c>
      <c r="U25" s="949">
        <f t="shared" si="4"/>
        <v>76632000</v>
      </c>
    </row>
    <row r="26" spans="1:21" s="869" customFormat="1" x14ac:dyDescent="0.25">
      <c r="A26" s="978">
        <f>'1.3 Budgeted Revenues YR1'!A26</f>
        <v>4203</v>
      </c>
      <c r="B26" s="979" t="str">
        <f>'1.3 Budgeted Revenues YR1'!B26</f>
        <v>PCFP YR END TRUE UP REFUND</v>
      </c>
      <c r="C26" s="2210">
        <v>0</v>
      </c>
      <c r="D26" s="1986">
        <f t="shared" si="0"/>
        <v>0</v>
      </c>
      <c r="E26" s="864"/>
      <c r="F26" s="868" t="str">
        <f>'6.9 PCFP Funding Comparison YR2'!A22</f>
        <v>Storey</v>
      </c>
      <c r="G26" s="983">
        <f t="shared" si="1"/>
        <v>0</v>
      </c>
      <c r="H26" s="984">
        <f>'1.3 Budgeted Revenues YR1'!H27</f>
        <v>0</v>
      </c>
      <c r="I26" s="1212"/>
      <c r="J26" s="1000"/>
      <c r="K26" s="1001"/>
      <c r="L26" s="1002"/>
      <c r="M26" s="1092"/>
      <c r="O26" s="994">
        <f>C22</f>
        <v>3000000</v>
      </c>
      <c r="P26" s="1007">
        <v>24372709</v>
      </c>
      <c r="Q26" s="999">
        <f t="shared" si="5"/>
        <v>-21372709</v>
      </c>
      <c r="S26" s="864" t="str">
        <f t="shared" si="3"/>
        <v>FEDERAL MINERAL LEASING ACT REVENUE</v>
      </c>
      <c r="T26" s="996">
        <f>'1.3 Budgeted Revenues YR1'!C21</f>
        <v>7000000</v>
      </c>
      <c r="U26" s="949">
        <f t="shared" si="4"/>
        <v>0</v>
      </c>
    </row>
    <row r="27" spans="1:21" x14ac:dyDescent="0.25">
      <c r="A27" s="988">
        <f>'1.3 Budgeted Revenues YR1'!A27</f>
        <v>4251</v>
      </c>
      <c r="B27" s="989" t="str">
        <f>'1.3 Budgeted Revenues YR1'!B27</f>
        <v>GIFTS AND DONATIONS</v>
      </c>
      <c r="C27" s="2210">
        <v>1000</v>
      </c>
      <c r="D27" s="1987">
        <f t="shared" si="0"/>
        <v>1.7357843509124576E-7</v>
      </c>
      <c r="F27" s="868" t="str">
        <f>'6.9 PCFP Funding Comparison YR2'!A23</f>
        <v>Washoe</v>
      </c>
      <c r="G27" s="983">
        <f t="shared" si="1"/>
        <v>81102.200000000012</v>
      </c>
      <c r="H27" s="984">
        <f>'1.3 Budgeted Revenues YR1'!H28</f>
        <v>2.5400000000000002E-3</v>
      </c>
      <c r="I27" s="1976"/>
      <c r="J27" s="1000"/>
      <c r="K27" s="1001"/>
      <c r="L27" s="1002"/>
      <c r="M27" s="1092"/>
      <c r="O27" s="994">
        <f>C12</f>
        <v>0</v>
      </c>
      <c r="P27" s="1003">
        <v>80996000</v>
      </c>
      <c r="Q27" s="999">
        <f t="shared" si="5"/>
        <v>-80996000</v>
      </c>
      <c r="S27" s="864" t="e">
        <f>#REF!</f>
        <v>#REF!</v>
      </c>
      <c r="T27" s="996" t="e">
        <f>'1.3 Budgeted Revenues YR1'!#REF!</f>
        <v>#REF!</v>
      </c>
      <c r="U27" s="949" t="e">
        <f>#REF!-T27</f>
        <v>#REF!</v>
      </c>
    </row>
    <row r="28" spans="1:21" x14ac:dyDescent="0.25">
      <c r="A28" s="978">
        <f>'1.3 Budgeted Revenues YR1'!A28</f>
        <v>4326</v>
      </c>
      <c r="B28" s="979" t="str">
        <f>'1.3 Budgeted Revenues YR1'!B28</f>
        <v>TREASURER'S INTEREST DISTRIB</v>
      </c>
      <c r="C28" s="2209">
        <v>7789000</v>
      </c>
      <c r="D28" s="1986">
        <f t="shared" si="0"/>
        <v>1.3520024309257132E-3</v>
      </c>
      <c r="F28" s="870" t="str">
        <f>'6.9 PCFP Funding Comparison YR2'!A24</f>
        <v>White Pine</v>
      </c>
      <c r="G28" s="1008">
        <f t="shared" si="1"/>
        <v>1042833.8</v>
      </c>
      <c r="H28" s="1009">
        <f>'1.3 Budgeted Revenues YR1'!H29</f>
        <v>3.2660000000000002E-2</v>
      </c>
      <c r="I28" s="1212"/>
      <c r="J28" s="1000"/>
      <c r="K28" s="1001"/>
      <c r="L28" s="1002"/>
      <c r="M28" s="1092"/>
      <c r="O28" s="994">
        <f>C11</f>
        <v>31930000</v>
      </c>
      <c r="P28" s="1012">
        <v>71067000</v>
      </c>
      <c r="Q28" s="999">
        <f t="shared" si="5"/>
        <v>-39137000</v>
      </c>
      <c r="S28" s="864" t="str">
        <f>B22</f>
        <v>FRANCHISE FEES</v>
      </c>
      <c r="T28" s="996">
        <f>'1.3 Budgeted Revenues YR1'!C22</f>
        <v>3000000</v>
      </c>
      <c r="U28" s="949">
        <f>C22-T28</f>
        <v>0</v>
      </c>
    </row>
    <row r="29" spans="1:21" x14ac:dyDescent="0.25">
      <c r="A29" s="988">
        <f>'1.3 Budgeted Revenues YR1'!A29</f>
        <v>4588</v>
      </c>
      <c r="B29" s="989" t="str">
        <f>'1.3 Budgeted Revenues YR1'!B29</f>
        <v>FINE COLLECTIONS (FUEL VIOLATIONS) - DEPARTMENT OF AGRICULTURE - AGRICULTURE FINES</v>
      </c>
      <c r="C29" s="2210">
        <v>5000</v>
      </c>
      <c r="D29" s="1987">
        <f t="shared" si="0"/>
        <v>8.6789217545622886E-7</v>
      </c>
      <c r="F29" s="2338" t="s">
        <v>1180</v>
      </c>
      <c r="G29" s="1011">
        <f>'1.3 Budgeted Revenues YR1'!C23</f>
        <v>31930000</v>
      </c>
      <c r="H29" s="1981">
        <f>SUM(H12:H28)</f>
        <v>1</v>
      </c>
      <c r="I29" s="1212"/>
      <c r="J29" s="1000"/>
      <c r="K29" s="1001"/>
      <c r="L29" s="1002"/>
      <c r="M29" s="1092"/>
      <c r="O29" s="994">
        <f>C23</f>
        <v>32627000</v>
      </c>
      <c r="P29" s="1003">
        <v>112570</v>
      </c>
      <c r="Q29" s="999">
        <f t="shared" si="5"/>
        <v>32514430</v>
      </c>
      <c r="S29" s="864" t="str">
        <f>B23</f>
        <v>NET PROCEEDS MNRLS - DISTRICTS (NPM) - (Received in current year for expenditure in future year)</v>
      </c>
      <c r="T29" s="996">
        <f>'1.3 Budgeted Revenues YR1'!C23</f>
        <v>31930000</v>
      </c>
      <c r="U29" s="949">
        <f>C23-T29</f>
        <v>697000</v>
      </c>
    </row>
    <row r="30" spans="1:21" x14ac:dyDescent="0.25">
      <c r="A30" s="978">
        <f>'1.3 Budgeted Revenues YR1'!A30</f>
        <v>4621</v>
      </c>
      <c r="B30" s="979" t="str">
        <f>'1.3 Budgeted Revenues YR1'!B30</f>
        <v>TRANS FROM UNCLAIMED PROPERTY</v>
      </c>
      <c r="C30" s="2209">
        <v>100000</v>
      </c>
      <c r="D30" s="1986">
        <f t="shared" si="0"/>
        <v>1.7357843509124575E-5</v>
      </c>
      <c r="E30" s="869"/>
      <c r="F30" s="878"/>
      <c r="G30" s="1013"/>
      <c r="H30" s="1014"/>
      <c r="I30" s="1212"/>
      <c r="J30" s="1000"/>
      <c r="K30" s="1001"/>
      <c r="L30" s="1002"/>
      <c r="M30" s="1092"/>
      <c r="O30" s="994">
        <f>C24</f>
        <v>300000</v>
      </c>
      <c r="P30" s="1003">
        <v>41016</v>
      </c>
      <c r="Q30" s="999">
        <f t="shared" si="5"/>
        <v>258984</v>
      </c>
      <c r="S30" s="864" t="str">
        <f>B24</f>
        <v>FORFEITURES OF PROPERTY</v>
      </c>
      <c r="T30" s="996">
        <f>'1.3 Budgeted Revenues YR1'!C24</f>
        <v>300000</v>
      </c>
      <c r="U30" s="949">
        <f>C24-T30</f>
        <v>0</v>
      </c>
    </row>
    <row r="31" spans="1:21" x14ac:dyDescent="0.25">
      <c r="A31" s="988">
        <f>'1.3 Budgeted Revenues YR1'!A31</f>
        <v>4669</v>
      </c>
      <c r="B31" s="989" t="str">
        <f>'1.3 Budgeted Revenues YR1'!B31</f>
        <v>TRANS FROM OTHER B/A SAME FUND</v>
      </c>
      <c r="C31" s="2210">
        <v>0</v>
      </c>
      <c r="D31" s="1987">
        <f t="shared" si="0"/>
        <v>0</v>
      </c>
      <c r="I31" s="1212"/>
      <c r="J31" s="1006"/>
      <c r="K31" s="961"/>
      <c r="L31" s="1002"/>
      <c r="M31" s="1092"/>
      <c r="O31" s="994">
        <f>C25</f>
        <v>70000</v>
      </c>
      <c r="P31" s="1003">
        <v>9205972</v>
      </c>
      <c r="Q31" s="999">
        <f t="shared" si="5"/>
        <v>-9135972</v>
      </c>
      <c r="S31" s="864" t="str">
        <f>B25</f>
        <v>ADMINISTRATIVE FINES</v>
      </c>
      <c r="T31" s="996">
        <f>'1.3 Budgeted Revenues YR1'!C25</f>
        <v>70000</v>
      </c>
      <c r="U31" s="949">
        <f>C25-T31</f>
        <v>0</v>
      </c>
    </row>
    <row r="32" spans="1:21" x14ac:dyDescent="0.25">
      <c r="A32" s="978">
        <f>'1.3 Budgeted Revenues YR1'!A32</f>
        <v>4770</v>
      </c>
      <c r="B32" s="979" t="str">
        <f>'1.3 Budgeted Revenues YR1'!B32</f>
        <v>TRANS BOATING REVENUE</v>
      </c>
      <c r="C32" s="2209">
        <v>750000</v>
      </c>
      <c r="D32" s="1986">
        <f t="shared" si="0"/>
        <v>1.3018382631843433E-4</v>
      </c>
      <c r="I32" s="1212"/>
      <c r="J32" s="1000"/>
      <c r="K32" s="1001"/>
      <c r="L32" s="1002"/>
      <c r="M32" s="1092"/>
      <c r="O32" s="994">
        <f>C25</f>
        <v>70000</v>
      </c>
      <c r="P32" s="1003">
        <v>117522</v>
      </c>
      <c r="Q32" s="999">
        <f t="shared" ref="Q32:Q33" si="6">O32-P32</f>
        <v>-47522</v>
      </c>
      <c r="S32" s="864" t="str">
        <f>B25</f>
        <v>ADMINISTRATIVE FINES</v>
      </c>
      <c r="T32" s="996">
        <f>'1.3 Budgeted Revenues YR1'!C25</f>
        <v>70000</v>
      </c>
      <c r="U32" s="949">
        <f>C25-T32</f>
        <v>0</v>
      </c>
    </row>
    <row r="33" spans="1:21" x14ac:dyDescent="0.25">
      <c r="A33" s="988">
        <f>'1.3 Budgeted Revenues YR1'!A33</f>
        <v>4771</v>
      </c>
      <c r="B33" s="989" t="str">
        <f>'1.3 Budgeted Revenues YR1'!B33</f>
        <v>TRANSFER FROM CCB</v>
      </c>
      <c r="C33" s="2210">
        <v>14340000</v>
      </c>
      <c r="D33" s="1987">
        <f t="shared" si="0"/>
        <v>2.4891147592084641E-3</v>
      </c>
      <c r="I33" s="1212"/>
      <c r="J33" s="1000"/>
      <c r="K33" s="1001"/>
      <c r="L33" s="1002"/>
      <c r="M33" s="1092"/>
      <c r="O33" s="994">
        <f>C25</f>
        <v>70000</v>
      </c>
      <c r="P33" s="1003">
        <v>117522</v>
      </c>
      <c r="Q33" s="999">
        <f t="shared" si="6"/>
        <v>-47522</v>
      </c>
      <c r="S33" s="864" t="str">
        <f>B25</f>
        <v>ADMINISTRATIVE FINES</v>
      </c>
      <c r="T33" s="996">
        <f>'1.3 Budgeted Revenues YR1'!C25</f>
        <v>70000</v>
      </c>
      <c r="U33" s="949">
        <f>C25-T33</f>
        <v>0</v>
      </c>
    </row>
    <row r="34" spans="1:21" ht="15.75" thickBot="1" x14ac:dyDescent="0.3">
      <c r="A34" s="978">
        <f>'1.3 Budgeted Revenues YR1'!A34</f>
        <v>4869</v>
      </c>
      <c r="B34" s="979" t="str">
        <f>'1.3 Budgeted Revenues YR1'!B34</f>
        <v>TRANS FROM PERMNT SCHOOL FUND</v>
      </c>
      <c r="C34" s="2209">
        <v>8149000</v>
      </c>
      <c r="D34" s="1986">
        <f t="shared" si="0"/>
        <v>1.4144906675585618E-3</v>
      </c>
      <c r="I34" s="1212"/>
      <c r="J34" s="1000"/>
      <c r="K34" s="1001"/>
      <c r="L34" s="1002"/>
      <c r="M34" s="1092"/>
      <c r="O34" s="994">
        <f>C26</f>
        <v>0</v>
      </c>
      <c r="P34" s="1003">
        <v>117522</v>
      </c>
      <c r="Q34" s="999">
        <f t="shared" si="5"/>
        <v>-117522</v>
      </c>
      <c r="S34" s="864" t="str">
        <f>B26</f>
        <v>PCFP YR END TRUE UP REFUND</v>
      </c>
      <c r="T34" s="996">
        <f>'1.3 Budgeted Revenues YR1'!C26</f>
        <v>0</v>
      </c>
      <c r="U34" s="949">
        <f>C26-T34</f>
        <v>0</v>
      </c>
    </row>
    <row r="35" spans="1:21" s="869" customFormat="1" x14ac:dyDescent="0.25">
      <c r="A35" s="1453">
        <f>'1.3 Budgeted Revenues YR1'!A35</f>
        <v>3868</v>
      </c>
      <c r="B35" s="1458" t="str">
        <f>'1.3 Budgeted Revenues YR1'!B35</f>
        <v xml:space="preserve"> (NPM RECEIVED IN CURRENT YEAR FOR EXPENDITURE IN FOLLOWING FISCAL YEAR)</v>
      </c>
      <c r="C35" s="2212">
        <f>-C23</f>
        <v>-32627000</v>
      </c>
      <c r="D35" s="1454"/>
      <c r="E35" s="864"/>
      <c r="J35" s="1000" t="s">
        <v>301</v>
      </c>
      <c r="K35" s="1015">
        <v>1101250</v>
      </c>
      <c r="L35" s="1016">
        <f t="shared" ref="L35" si="7">K35/$K$40</f>
        <v>1</v>
      </c>
      <c r="O35" s="994">
        <f>C27</f>
        <v>1000</v>
      </c>
      <c r="P35" s="1003">
        <v>259984</v>
      </c>
      <c r="Q35" s="999">
        <f t="shared" si="5"/>
        <v>-258984</v>
      </c>
      <c r="S35" s="864" t="str">
        <f>B27</f>
        <v>GIFTS AND DONATIONS</v>
      </c>
      <c r="T35" s="996">
        <f>'1.3 Budgeted Revenues YR1'!C27</f>
        <v>1000</v>
      </c>
      <c r="U35" s="949">
        <f>C27-T35</f>
        <v>0</v>
      </c>
    </row>
    <row r="36" spans="1:21" s="869" customFormat="1" x14ac:dyDescent="0.25">
      <c r="A36" s="1455">
        <f>'1.3 Budgeted Revenues YR1'!A36</f>
        <v>4869</v>
      </c>
      <c r="B36" s="1463" t="str">
        <f>'1.3 Budgeted Revenues YR1'!B36</f>
        <v>Transfer from Permanent School Fund often occur after July 1st</v>
      </c>
      <c r="C36" s="1456">
        <v>0</v>
      </c>
      <c r="D36" s="1457"/>
      <c r="E36" s="864"/>
      <c r="F36" s="864"/>
      <c r="G36" s="864"/>
      <c r="H36" s="864"/>
      <c r="J36" s="1000"/>
      <c r="K36" s="1451"/>
      <c r="L36" s="1452"/>
      <c r="O36" s="994"/>
      <c r="P36" s="1003"/>
      <c r="Q36" s="999"/>
      <c r="S36" s="864"/>
      <c r="T36" s="996"/>
      <c r="U36" s="949"/>
    </row>
    <row r="37" spans="1:21" s="869" customFormat="1" x14ac:dyDescent="0.25">
      <c r="A37" s="1455">
        <f>'1.3 Budgeted Revenues YR1'!A37</f>
        <v>4771</v>
      </c>
      <c r="B37" s="1463" t="str">
        <f>'1.3 Budgeted Revenues YR1'!B37</f>
        <v>Transfer from CCB often occur after July 1st</v>
      </c>
      <c r="C37" s="1456">
        <v>0</v>
      </c>
      <c r="D37" s="1457"/>
      <c r="E37" s="864"/>
      <c r="F37" s="864"/>
      <c r="G37" s="864"/>
      <c r="H37" s="864"/>
      <c r="J37" s="1000"/>
      <c r="K37" s="1451"/>
      <c r="L37" s="1452"/>
      <c r="O37" s="994"/>
      <c r="P37" s="1003"/>
      <c r="Q37" s="999"/>
      <c r="S37" s="864"/>
      <c r="T37" s="996"/>
      <c r="U37" s="949"/>
    </row>
    <row r="38" spans="1:21" s="869" customFormat="1" x14ac:dyDescent="0.25">
      <c r="A38" s="1455">
        <f>'1.3 Budgeted Revenues YR1'!A38</f>
        <v>3328</v>
      </c>
      <c r="B38" s="1463" t="str">
        <f>'1.3 Budgeted Revenues YR1'!B38</f>
        <v>1 months transfer of Local Support Tax often occur after late June/and July transfers)</v>
      </c>
      <c r="C38" s="1456">
        <v>0</v>
      </c>
      <c r="D38" s="1457"/>
      <c r="E38" s="864"/>
      <c r="F38" s="1989"/>
      <c r="G38" s="864"/>
      <c r="H38" s="864"/>
      <c r="J38" s="1000"/>
      <c r="K38" s="1451"/>
      <c r="L38" s="1452"/>
      <c r="O38" s="994"/>
      <c r="P38" s="1003"/>
      <c r="Q38" s="999"/>
      <c r="S38" s="864"/>
      <c r="T38" s="996"/>
      <c r="U38" s="949"/>
    </row>
    <row r="39" spans="1:21" s="869" customFormat="1" ht="15.75" thickBot="1" x14ac:dyDescent="0.3">
      <c r="A39" s="1459">
        <f>'1.3 Budgeted Revenues YR1'!A39</f>
        <v>3340</v>
      </c>
      <c r="B39" s="1460" t="str">
        <f>'1.3 Budgeted Revenues YR1'!B39</f>
        <v>Local Property tax Transfer are 1 month behind estimated balance forward June transfers</v>
      </c>
      <c r="C39" s="1461">
        <v>0</v>
      </c>
      <c r="D39" s="1462"/>
      <c r="E39" s="864"/>
      <c r="F39" s="864"/>
      <c r="G39" s="864"/>
      <c r="H39" s="864"/>
      <c r="J39" s="1000"/>
      <c r="K39" s="1451"/>
      <c r="L39" s="1452"/>
      <c r="O39" s="994"/>
      <c r="P39" s="1003"/>
      <c r="Q39" s="999"/>
      <c r="S39" s="864"/>
      <c r="T39" s="996"/>
      <c r="U39" s="949"/>
    </row>
    <row r="40" spans="1:21" ht="16.5" thickTop="1" thickBot="1" x14ac:dyDescent="0.3">
      <c r="A40" s="1017"/>
      <c r="B40" s="1018" t="s">
        <v>1190</v>
      </c>
      <c r="C40" s="1019">
        <f>ROUND(SUM(C9:C39),0)</f>
        <v>5761084316</v>
      </c>
      <c r="D40" s="1020">
        <f>ROUND(SUM(D9:D34),0)</f>
        <v>1</v>
      </c>
      <c r="K40" s="1021">
        <f>SUM(K17:K35)</f>
        <v>1101250</v>
      </c>
      <c r="L40" s="1022">
        <f>SUM(L17:L35)</f>
        <v>1</v>
      </c>
      <c r="O40" s="994">
        <f>C28</f>
        <v>7789000</v>
      </c>
      <c r="P40" s="1003">
        <v>53360642</v>
      </c>
      <c r="Q40" s="999">
        <f t="shared" si="5"/>
        <v>-45571642</v>
      </c>
      <c r="S40" s="864" t="str">
        <f>B28</f>
        <v>TREASURER'S INTEREST DISTRIB</v>
      </c>
      <c r="T40" s="996">
        <f>'1.3 Budgeted Revenues YR1'!C28</f>
        <v>7872000</v>
      </c>
      <c r="U40" s="949">
        <f>C28-T40</f>
        <v>-83000</v>
      </c>
    </row>
    <row r="41" spans="1:21" ht="15.75" thickTop="1" x14ac:dyDescent="0.25">
      <c r="O41" s="1023">
        <f>C29</f>
        <v>5000</v>
      </c>
      <c r="P41" s="1024">
        <v>11297403</v>
      </c>
      <c r="Q41" s="1025">
        <f t="shared" si="5"/>
        <v>-11292403</v>
      </c>
      <c r="S41" s="864" t="str">
        <f>B29</f>
        <v>FINE COLLECTIONS (FUEL VIOLATIONS) - DEPARTMENT OF AGRICULTURE - AGRICULTURE FINES</v>
      </c>
      <c r="T41" s="996">
        <f>'1.3 Budgeted Revenues YR1'!C30</f>
        <v>100000</v>
      </c>
      <c r="U41" s="949">
        <f>C29-T41</f>
        <v>-95000</v>
      </c>
    </row>
    <row r="42" spans="1:21" x14ac:dyDescent="0.25">
      <c r="C42" s="965"/>
      <c r="E42" s="962"/>
      <c r="O42" s="949"/>
      <c r="P42" s="949">
        <f>SUM(P18:P41)</f>
        <v>3206163913</v>
      </c>
      <c r="Q42" s="949"/>
      <c r="S42" s="864" t="str">
        <f>B33</f>
        <v>TRANSFER FROM CCB</v>
      </c>
      <c r="T42" s="996">
        <f>'1.3 Budgeted Revenues YR1'!C33</f>
        <v>15189000</v>
      </c>
      <c r="U42" s="949">
        <f>C33-T42</f>
        <v>-849000</v>
      </c>
    </row>
    <row r="43" spans="1:21" x14ac:dyDescent="0.25">
      <c r="B43" s="866" t="s">
        <v>156</v>
      </c>
      <c r="C43" s="1902">
        <f>C40</f>
        <v>5761084316</v>
      </c>
      <c r="E43" s="863"/>
      <c r="O43" s="949"/>
      <c r="P43" s="949"/>
      <c r="Q43" s="949"/>
      <c r="T43" s="996"/>
      <c r="U43" s="949"/>
    </row>
    <row r="44" spans="1:21" x14ac:dyDescent="0.25">
      <c r="A44" s="1026" t="s">
        <v>73</v>
      </c>
      <c r="B44" s="866" t="s">
        <v>1752</v>
      </c>
      <c r="C44" s="963">
        <f>C43-SUM(C9:C34)</f>
        <v>-32627000</v>
      </c>
      <c r="J44" s="863"/>
      <c r="K44" s="863"/>
      <c r="L44" s="863"/>
    </row>
    <row r="45" spans="1:21" x14ac:dyDescent="0.25">
      <c r="A45" s="1027"/>
      <c r="B45" s="950"/>
      <c r="C45" s="944">
        <f>SUM(C43:C44)</f>
        <v>5728457316</v>
      </c>
      <c r="E45" s="933"/>
      <c r="H45" s="863"/>
    </row>
    <row r="46" spans="1:21" x14ac:dyDescent="0.25">
      <c r="B46" s="863"/>
    </row>
    <row r="47" spans="1:21" x14ac:dyDescent="0.25">
      <c r="A47" s="866"/>
      <c r="B47" s="863"/>
    </row>
    <row r="48" spans="1:21" x14ac:dyDescent="0.25">
      <c r="A48" s="866"/>
      <c r="B48" s="863"/>
    </row>
    <row r="49" spans="1:1" x14ac:dyDescent="0.25">
      <c r="A49" s="863"/>
    </row>
  </sheetData>
  <mergeCells count="1">
    <mergeCell ref="F11:H11"/>
  </mergeCells>
  <conditionalFormatting sqref="H3">
    <cfRule type="cellIs" dxfId="9" priority="1" operator="equal">
      <formula>"Balanced"</formula>
    </cfRule>
  </conditionalFormatting>
  <dataValidations disablePrompts="1" count="1">
    <dataValidation type="list" allowBlank="1" showInputMessage="1" showErrorMessage="1" sqref="C3" xr:uid="{203EBB45-A859-4DE6-96A8-A5747A3095BE}">
      <formula1>$D$3:$D$4</formula1>
    </dataValidation>
  </dataValidations>
  <pageMargins left="0" right="0" top="0.75" bottom="0.75" header="0.3" footer="0.3"/>
  <pageSetup scale="60" fitToHeight="0" orientation="landscape" r:id="rId1"/>
  <headerFooter>
    <oddHeader>&amp;R&amp;"Arial Narrow,Regular"&amp;10&amp;A
&amp;P</oddHead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E524-1748-408F-AA3E-3EB44259288A}">
  <sheetPr>
    <tabColor theme="6" tint="-0.499984740745262"/>
    <pageSetUpPr autoPageBreaks="0" fitToPage="1"/>
  </sheetPr>
  <dimension ref="A1:P146"/>
  <sheetViews>
    <sheetView workbookViewId="0">
      <selection activeCell="G42" sqref="G42"/>
    </sheetView>
  </sheetViews>
  <sheetFormatPr defaultColWidth="8.7109375" defaultRowHeight="15" x14ac:dyDescent="0.25"/>
  <cols>
    <col min="1" max="1" width="15.140625" style="864" customWidth="1"/>
    <col min="2" max="2" width="27.140625" style="864" customWidth="1"/>
    <col min="3" max="5" width="20.140625" style="864" bestFit="1" customWidth="1"/>
    <col min="6" max="6" width="21.7109375" style="864" bestFit="1" customWidth="1"/>
    <col min="7" max="7" width="17.7109375" style="864" bestFit="1" customWidth="1"/>
    <col min="8" max="8" width="20.140625" style="864" bestFit="1" customWidth="1"/>
    <col min="9" max="9" width="24.140625" style="864" customWidth="1"/>
    <col min="10" max="10" width="16.5703125" style="864" bestFit="1" customWidth="1"/>
    <col min="11" max="11" width="10" style="864" bestFit="1" customWidth="1"/>
    <col min="12" max="12" width="2.7109375" style="864" customWidth="1"/>
    <col min="13" max="15" width="8.7109375" style="864"/>
    <col min="16" max="16" width="9.5703125" style="864" bestFit="1" customWidth="1"/>
    <col min="17" max="16384" width="8.7109375" style="864"/>
  </cols>
  <sheetData>
    <row r="1" spans="1:16" s="863" customFormat="1" x14ac:dyDescent="0.25">
      <c r="A1" s="863" t="s">
        <v>15</v>
      </c>
    </row>
    <row r="2" spans="1:16" x14ac:dyDescent="0.25">
      <c r="A2" s="864" t="str">
        <f>CONCATENATE("Pupil Center Funding Plan | FY",'5.1 Assumption Control YR2'!D5)</f>
        <v>Pupil Center Funding Plan | FY2027</v>
      </c>
    </row>
    <row r="3" spans="1:16" x14ac:dyDescent="0.25">
      <c r="A3" s="864" t="s">
        <v>1753</v>
      </c>
    </row>
    <row r="4" spans="1:16" x14ac:dyDescent="0.25">
      <c r="B4" s="865"/>
      <c r="F4" s="2039" t="s">
        <v>1330</v>
      </c>
      <c r="H4" s="2039" t="s">
        <v>1330</v>
      </c>
      <c r="I4" s="866"/>
    </row>
    <row r="5" spans="1:16" x14ac:dyDescent="0.25">
      <c r="C5" s="866" t="s">
        <v>1331</v>
      </c>
      <c r="D5" s="866" t="s">
        <v>1332</v>
      </c>
      <c r="E5" s="867" t="s">
        <v>1333</v>
      </c>
      <c r="F5" s="909" t="s">
        <v>1334</v>
      </c>
      <c r="H5" s="909" t="s">
        <v>1335</v>
      </c>
      <c r="I5" s="866"/>
      <c r="J5" s="866"/>
    </row>
    <row r="6" spans="1:16" x14ac:dyDescent="0.25">
      <c r="B6" s="866" t="s">
        <v>1336</v>
      </c>
      <c r="C6" s="910">
        <f>'5.3 Budgeted Revenues YR2'!C40</f>
        <v>5761084316</v>
      </c>
      <c r="D6" s="911">
        <f>J33</f>
        <v>194256958</v>
      </c>
      <c r="E6" s="912">
        <f>C6-D6</f>
        <v>5566827358</v>
      </c>
      <c r="F6" s="913" t="s">
        <v>241</v>
      </c>
      <c r="H6" s="913" t="s">
        <v>241</v>
      </c>
      <c r="I6" s="2166"/>
      <c r="J6" s="914" t="s">
        <v>240</v>
      </c>
    </row>
    <row r="7" spans="1:16" x14ac:dyDescent="0.25">
      <c r="D7" s="867"/>
      <c r="E7" s="867"/>
      <c r="F7" s="915">
        <f>((1+'5.1 Assumption Control YR2'!D15)*(1+'5.1 Assumption Control YR2'!D15))-1</f>
        <v>0.11534721000000014</v>
      </c>
      <c r="H7" s="915">
        <f>F7</f>
        <v>0.11534721000000014</v>
      </c>
      <c r="I7" s="2167"/>
      <c r="J7" s="914" t="s">
        <v>241</v>
      </c>
    </row>
    <row r="8" spans="1:16" s="922" customFormat="1" ht="16.5" x14ac:dyDescent="0.3">
      <c r="A8" s="916"/>
      <c r="B8" s="916"/>
      <c r="C8" s="917" t="s">
        <v>1337</v>
      </c>
      <c r="D8" s="918" t="s">
        <v>1223</v>
      </c>
      <c r="E8" s="918"/>
      <c r="F8" s="918"/>
      <c r="G8" s="919" t="s">
        <v>1338</v>
      </c>
      <c r="H8" s="920"/>
      <c r="I8" s="2162" t="s">
        <v>2221</v>
      </c>
      <c r="J8" s="920" t="s">
        <v>1339</v>
      </c>
      <c r="K8" s="921"/>
    </row>
    <row r="9" spans="1:16" ht="16.5" x14ac:dyDescent="0.3">
      <c r="A9" s="923"/>
      <c r="B9" s="869"/>
      <c r="D9" s="924" t="s">
        <v>1340</v>
      </c>
      <c r="E9" s="924" t="s">
        <v>1341</v>
      </c>
      <c r="F9" s="924" t="s">
        <v>1342</v>
      </c>
      <c r="G9" s="925" t="s">
        <v>1340</v>
      </c>
      <c r="H9" s="925" t="s">
        <v>1341</v>
      </c>
      <c r="I9" s="1598"/>
      <c r="J9" s="925" t="s">
        <v>1343</v>
      </c>
      <c r="K9" s="926" t="s">
        <v>1344</v>
      </c>
      <c r="M9" s="927" t="s">
        <v>1345</v>
      </c>
    </row>
    <row r="10" spans="1:16" x14ac:dyDescent="0.25">
      <c r="A10" s="928"/>
      <c r="B10" s="929" t="s">
        <v>1346</v>
      </c>
      <c r="C10" s="1343" t="s">
        <v>195</v>
      </c>
      <c r="D10" s="1339" t="s">
        <v>1347</v>
      </c>
      <c r="E10" s="1341" t="s">
        <v>1348</v>
      </c>
      <c r="F10" s="1339" t="s">
        <v>1754</v>
      </c>
      <c r="G10" s="1338" t="s">
        <v>1349</v>
      </c>
      <c r="H10" s="930" t="s">
        <v>1350</v>
      </c>
      <c r="I10" s="1335" t="s">
        <v>2241</v>
      </c>
      <c r="J10" s="1335" t="s">
        <v>1351</v>
      </c>
      <c r="K10" s="931" t="s">
        <v>1352</v>
      </c>
      <c r="M10" s="927" t="s">
        <v>1353</v>
      </c>
    </row>
    <row r="11" spans="1:16" x14ac:dyDescent="0.25">
      <c r="A11" s="1347" t="s">
        <v>1228</v>
      </c>
      <c r="B11" s="869"/>
      <c r="C11" s="1344"/>
      <c r="D11" s="1340"/>
      <c r="E11" s="1342"/>
      <c r="F11" s="1340"/>
      <c r="G11" s="869"/>
      <c r="H11" s="932"/>
      <c r="I11" s="869"/>
      <c r="J11" s="1336"/>
      <c r="K11" s="2040"/>
      <c r="P11" s="933"/>
    </row>
    <row r="12" spans="1:16" x14ac:dyDescent="0.25">
      <c r="A12" s="1334"/>
      <c r="B12" s="869" t="str">
        <f>'5.2 Budgeted Enrollment YR2'!E9</f>
        <v>Carson City</v>
      </c>
      <c r="C12" s="1345">
        <f>'5.2 Budgeted Enrollment YR2'!G9</f>
        <v>6970.4860982512937</v>
      </c>
      <c r="D12" s="934">
        <f t="shared" ref="D12:D27" si="0">G41</f>
        <v>2868747</v>
      </c>
      <c r="E12" s="956">
        <f>IF($F$6="Yes",(D12*$F$7),0)</f>
        <v>0</v>
      </c>
      <c r="F12" s="957"/>
      <c r="G12" s="937">
        <f t="shared" ref="G12:G27" si="1">G62</f>
        <v>334457</v>
      </c>
      <c r="H12" s="955">
        <f>IF($H$6="Yes",(G12*$H$7),0)</f>
        <v>0</v>
      </c>
      <c r="I12" s="2168">
        <f>'2.1 Auxiliary Services YR1'!I12</f>
        <v>0</v>
      </c>
      <c r="J12" s="956">
        <f>SUM(D12:E12)+F12+SUM(G12:I12)</f>
        <v>3203204</v>
      </c>
      <c r="K12" s="955">
        <f>IF(C12=0,0,J12/C12)</f>
        <v>459.53810894244481</v>
      </c>
    </row>
    <row r="13" spans="1:16" x14ac:dyDescent="0.25">
      <c r="A13" s="1334"/>
      <c r="B13" s="869" t="str">
        <f>'5.2 Budgeted Enrollment YR2'!E10</f>
        <v>Churchill</v>
      </c>
      <c r="C13" s="1345">
        <f>'5.2 Budgeted Enrollment YR2'!G10</f>
        <v>3074.1458778318033</v>
      </c>
      <c r="D13" s="934">
        <f t="shared" si="0"/>
        <v>1665797</v>
      </c>
      <c r="E13" s="956">
        <f t="shared" ref="E13:E27" si="2">IF($F$6="Yes",(D13*$F$7),0)</f>
        <v>0</v>
      </c>
      <c r="F13" s="957"/>
      <c r="G13" s="937">
        <f t="shared" si="1"/>
        <v>0</v>
      </c>
      <c r="H13" s="955">
        <f>IF($H$6="Yes",(G13*$H$7),0)</f>
        <v>0</v>
      </c>
      <c r="I13" s="2168">
        <f>'2.1 Auxiliary Services YR1'!I13</f>
        <v>0</v>
      </c>
      <c r="J13" s="956">
        <f t="shared" ref="J13:J28" si="3">SUM(D13:E13)+F13+SUM(G13:I13)</f>
        <v>1665797</v>
      </c>
      <c r="K13" s="955">
        <f t="shared" ref="K13:K28" si="4">IF(C13=0,0,J13/C13)</f>
        <v>541.87311409401548</v>
      </c>
    </row>
    <row r="14" spans="1:16" x14ac:dyDescent="0.25">
      <c r="A14" s="1334"/>
      <c r="B14" s="869" t="str">
        <f>'5.2 Budgeted Enrollment YR2'!E11</f>
        <v>Clark</v>
      </c>
      <c r="C14" s="1345">
        <f>'5.2 Budgeted Enrollment YR2'!G11</f>
        <v>285878.81775061262</v>
      </c>
      <c r="D14" s="934">
        <f t="shared" si="0"/>
        <v>135130854</v>
      </c>
      <c r="E14" s="956">
        <f t="shared" si="2"/>
        <v>0</v>
      </c>
      <c r="F14" s="957"/>
      <c r="G14" s="937">
        <f t="shared" si="1"/>
        <v>0</v>
      </c>
      <c r="H14" s="955">
        <f t="shared" ref="H14:H27" si="5">IF($H$6="Yes",(G14*$H$7),0)</f>
        <v>0</v>
      </c>
      <c r="I14" s="2168">
        <f>'2.1 Auxiliary Services YR1'!I14</f>
        <v>0</v>
      </c>
      <c r="J14" s="956">
        <f t="shared" si="3"/>
        <v>135130854</v>
      </c>
      <c r="K14" s="955">
        <f t="shared" si="4"/>
        <v>472.68578715713687</v>
      </c>
    </row>
    <row r="15" spans="1:16" x14ac:dyDescent="0.25">
      <c r="A15" s="1334"/>
      <c r="B15" s="869" t="str">
        <f>'5.2 Budgeted Enrollment YR2'!E12</f>
        <v>Douglas</v>
      </c>
      <c r="C15" s="1345">
        <f>'5.2 Budgeted Enrollment YR2'!G12</f>
        <v>4790.5859463145525</v>
      </c>
      <c r="D15" s="934">
        <f t="shared" si="0"/>
        <v>3977265</v>
      </c>
      <c r="E15" s="956">
        <f t="shared" si="2"/>
        <v>0</v>
      </c>
      <c r="F15" s="957"/>
      <c r="G15" s="937">
        <f t="shared" si="1"/>
        <v>0</v>
      </c>
      <c r="H15" s="955">
        <f t="shared" si="5"/>
        <v>0</v>
      </c>
      <c r="I15" s="2168">
        <f>'2.1 Auxiliary Services YR1'!I15</f>
        <v>0</v>
      </c>
      <c r="J15" s="956">
        <f t="shared" si="3"/>
        <v>3977265</v>
      </c>
      <c r="K15" s="955">
        <f t="shared" si="4"/>
        <v>830.22516338732032</v>
      </c>
    </row>
    <row r="16" spans="1:16" x14ac:dyDescent="0.25">
      <c r="A16" s="1334"/>
      <c r="B16" s="869" t="str">
        <f>'5.2 Budgeted Enrollment YR2'!E13</f>
        <v>Elko</v>
      </c>
      <c r="C16" s="1345">
        <f>'5.2 Budgeted Enrollment YR2'!G13</f>
        <v>9234.4483500865917</v>
      </c>
      <c r="D16" s="934">
        <f t="shared" si="0"/>
        <v>5601775</v>
      </c>
      <c r="E16" s="956">
        <f t="shared" si="2"/>
        <v>0</v>
      </c>
      <c r="F16" s="957"/>
      <c r="G16" s="937">
        <f t="shared" si="1"/>
        <v>350372</v>
      </c>
      <c r="H16" s="955">
        <f t="shared" si="5"/>
        <v>0</v>
      </c>
      <c r="I16" s="2168">
        <f>'2.1 Auxiliary Services YR1'!I16</f>
        <v>0</v>
      </c>
      <c r="J16" s="956">
        <f t="shared" si="3"/>
        <v>5952147</v>
      </c>
      <c r="K16" s="955">
        <f t="shared" si="4"/>
        <v>644.5590222987372</v>
      </c>
    </row>
    <row r="17" spans="1:11" x14ac:dyDescent="0.25">
      <c r="A17" s="1334"/>
      <c r="B17" s="869" t="str">
        <f>'5.2 Budgeted Enrollment YR2'!E14</f>
        <v>Esmeralda</v>
      </c>
      <c r="C17" s="1345">
        <f>'5.2 Budgeted Enrollment YR2'!G14</f>
        <v>80.635895560117746</v>
      </c>
      <c r="D17" s="934">
        <f t="shared" si="0"/>
        <v>386036</v>
      </c>
      <c r="E17" s="956">
        <f t="shared" si="2"/>
        <v>0</v>
      </c>
      <c r="F17" s="957"/>
      <c r="G17" s="937">
        <f t="shared" si="1"/>
        <v>77170</v>
      </c>
      <c r="H17" s="955">
        <f t="shared" si="5"/>
        <v>0</v>
      </c>
      <c r="I17" s="2168">
        <f>'2.1 Auxiliary Services YR1'!I17</f>
        <v>0</v>
      </c>
      <c r="J17" s="956">
        <f t="shared" si="3"/>
        <v>463206</v>
      </c>
      <c r="K17" s="955">
        <f t="shared" si="4"/>
        <v>5744.4144048063399</v>
      </c>
    </row>
    <row r="18" spans="1:11" x14ac:dyDescent="0.25">
      <c r="A18" s="1334"/>
      <c r="B18" s="869" t="str">
        <f>'5.2 Budgeted Enrollment YR2'!E15</f>
        <v>Eureka</v>
      </c>
      <c r="C18" s="1345">
        <f>'5.2 Budgeted Enrollment YR2'!G15</f>
        <v>297.58201989503061</v>
      </c>
      <c r="D18" s="934">
        <f t="shared" si="0"/>
        <v>775691</v>
      </c>
      <c r="E18" s="956">
        <f t="shared" si="2"/>
        <v>0</v>
      </c>
      <c r="F18" s="957"/>
      <c r="G18" s="937">
        <f t="shared" si="1"/>
        <v>347949</v>
      </c>
      <c r="H18" s="955">
        <f t="shared" si="5"/>
        <v>0</v>
      </c>
      <c r="I18" s="2168">
        <f>'2.1 Auxiliary Services YR1'!I18</f>
        <v>0</v>
      </c>
      <c r="J18" s="956">
        <f t="shared" si="3"/>
        <v>1123640</v>
      </c>
      <c r="K18" s="955">
        <f t="shared" si="4"/>
        <v>3775.9001716446242</v>
      </c>
    </row>
    <row r="19" spans="1:11" x14ac:dyDescent="0.25">
      <c r="A19" s="1334"/>
      <c r="B19" s="869" t="str">
        <f>'5.2 Budgeted Enrollment YR2'!E16</f>
        <v>Humboldt</v>
      </c>
      <c r="C19" s="1345">
        <f>'5.2 Budgeted Enrollment YR2'!G16</f>
        <v>3135.8857800940204</v>
      </c>
      <c r="D19" s="934">
        <f t="shared" si="0"/>
        <v>2016344</v>
      </c>
      <c r="E19" s="956">
        <f t="shared" si="2"/>
        <v>0</v>
      </c>
      <c r="F19" s="957"/>
      <c r="G19" s="937">
        <f t="shared" si="1"/>
        <v>4765</v>
      </c>
      <c r="H19" s="955">
        <f t="shared" si="5"/>
        <v>0</v>
      </c>
      <c r="I19" s="2168">
        <f>'2.1 Auxiliary Services YR1'!I19</f>
        <v>0</v>
      </c>
      <c r="J19" s="956">
        <f t="shared" si="3"/>
        <v>2021109</v>
      </c>
      <c r="K19" s="955">
        <f t="shared" si="4"/>
        <v>644.50976270551632</v>
      </c>
    </row>
    <row r="20" spans="1:11" x14ac:dyDescent="0.25">
      <c r="A20" s="1334"/>
      <c r="B20" s="869" t="str">
        <f>'5.2 Budgeted Enrollment YR2'!E17</f>
        <v>Lander</v>
      </c>
      <c r="C20" s="1345">
        <f>'5.2 Budgeted Enrollment YR2'!G17</f>
        <v>970.28169719049401</v>
      </c>
      <c r="D20" s="934">
        <f t="shared" si="0"/>
        <v>400471</v>
      </c>
      <c r="E20" s="956">
        <f t="shared" si="2"/>
        <v>0</v>
      </c>
      <c r="F20" s="957"/>
      <c r="G20" s="937">
        <f t="shared" si="1"/>
        <v>15558</v>
      </c>
      <c r="H20" s="955">
        <f t="shared" si="5"/>
        <v>0</v>
      </c>
      <c r="I20" s="2168">
        <f>'2.1 Auxiliary Services YR1'!I20</f>
        <v>0</v>
      </c>
      <c r="J20" s="956">
        <f t="shared" si="3"/>
        <v>416029</v>
      </c>
      <c r="K20" s="955">
        <f t="shared" si="4"/>
        <v>428.77135702408452</v>
      </c>
    </row>
    <row r="21" spans="1:11" x14ac:dyDescent="0.25">
      <c r="A21" s="1334"/>
      <c r="B21" s="869" t="str">
        <f>'5.2 Budgeted Enrollment YR2'!E18</f>
        <v>Lincoln</v>
      </c>
      <c r="C21" s="1345">
        <f>'5.2 Budgeted Enrollment YR2'!G18</f>
        <v>870.02699048734246</v>
      </c>
      <c r="D21" s="934">
        <f t="shared" si="0"/>
        <v>635350</v>
      </c>
      <c r="E21" s="956">
        <f t="shared" si="2"/>
        <v>0</v>
      </c>
      <c r="F21" s="957"/>
      <c r="G21" s="937">
        <f t="shared" si="1"/>
        <v>66961</v>
      </c>
      <c r="H21" s="955">
        <f t="shared" si="5"/>
        <v>0</v>
      </c>
      <c r="I21" s="2168">
        <f>'2.1 Auxiliary Services YR1'!I21</f>
        <v>0</v>
      </c>
      <c r="J21" s="956">
        <f t="shared" si="3"/>
        <v>702311</v>
      </c>
      <c r="K21" s="955">
        <f t="shared" si="4"/>
        <v>807.22897988096099</v>
      </c>
    </row>
    <row r="22" spans="1:11" x14ac:dyDescent="0.25">
      <c r="A22" s="1334"/>
      <c r="B22" s="869" t="str">
        <f>'5.2 Budgeted Enrollment YR2'!E19</f>
        <v>Lyon</v>
      </c>
      <c r="C22" s="1345">
        <f>'5.2 Budgeted Enrollment YR2'!G19</f>
        <v>8933.9764767711295</v>
      </c>
      <c r="D22" s="934">
        <f t="shared" si="0"/>
        <v>5367830</v>
      </c>
      <c r="E22" s="956">
        <f t="shared" si="2"/>
        <v>0</v>
      </c>
      <c r="F22" s="957"/>
      <c r="G22" s="937">
        <f t="shared" si="1"/>
        <v>0</v>
      </c>
      <c r="H22" s="955">
        <f t="shared" si="5"/>
        <v>0</v>
      </c>
      <c r="I22" s="2168">
        <f>'2.1 Auxiliary Services YR1'!I22</f>
        <v>0</v>
      </c>
      <c r="J22" s="956">
        <f t="shared" si="3"/>
        <v>5367830</v>
      </c>
      <c r="K22" s="955">
        <f t="shared" si="4"/>
        <v>600.83323634852604</v>
      </c>
    </row>
    <row r="23" spans="1:11" x14ac:dyDescent="0.25">
      <c r="A23" s="1334"/>
      <c r="B23" s="869" t="str">
        <f>'5.2 Budgeted Enrollment YR2'!E20</f>
        <v>Mineral</v>
      </c>
      <c r="C23" s="1345">
        <f>'5.2 Budgeted Enrollment YR2'!G20</f>
        <v>509.60323278309136</v>
      </c>
      <c r="D23" s="934">
        <f t="shared" si="0"/>
        <v>388223</v>
      </c>
      <c r="E23" s="956">
        <f t="shared" si="2"/>
        <v>0</v>
      </c>
      <c r="F23" s="957"/>
      <c r="G23" s="937">
        <f t="shared" si="1"/>
        <v>200104</v>
      </c>
      <c r="H23" s="955">
        <f t="shared" si="5"/>
        <v>0</v>
      </c>
      <c r="I23" s="2168">
        <f>'2.1 Auxiliary Services YR1'!I23</f>
        <v>0</v>
      </c>
      <c r="J23" s="956">
        <f t="shared" si="3"/>
        <v>588327</v>
      </c>
      <c r="K23" s="955">
        <f t="shared" si="4"/>
        <v>1154.4805098409115</v>
      </c>
    </row>
    <row r="24" spans="1:11" x14ac:dyDescent="0.25">
      <c r="A24" s="1334"/>
      <c r="B24" s="869" t="str">
        <f>'5.2 Budgeted Enrollment YR2'!E21</f>
        <v>Nye</v>
      </c>
      <c r="C24" s="1345">
        <f>'5.2 Budgeted Enrollment YR2'!G21</f>
        <v>5457.0457625112185</v>
      </c>
      <c r="D24" s="934">
        <f t="shared" si="0"/>
        <v>4888451</v>
      </c>
      <c r="E24" s="956">
        <f t="shared" si="2"/>
        <v>0</v>
      </c>
      <c r="F24" s="957"/>
      <c r="G24" s="937">
        <f t="shared" si="1"/>
        <v>0</v>
      </c>
      <c r="H24" s="955">
        <f t="shared" si="5"/>
        <v>0</v>
      </c>
      <c r="I24" s="2168">
        <f>'2.1 Auxiliary Services YR1'!I24</f>
        <v>0</v>
      </c>
      <c r="J24" s="956">
        <f t="shared" si="3"/>
        <v>4888451</v>
      </c>
      <c r="K24" s="955">
        <f t="shared" si="4"/>
        <v>895.80538861936111</v>
      </c>
    </row>
    <row r="25" spans="1:11" x14ac:dyDescent="0.25">
      <c r="A25" s="1334"/>
      <c r="B25" s="869" t="str">
        <f>'5.2 Budgeted Enrollment YR2'!E22</f>
        <v>Pershing</v>
      </c>
      <c r="C25" s="1345">
        <f>'5.2 Budgeted Enrollment YR2'!G22</f>
        <v>635.8592256998902</v>
      </c>
      <c r="D25" s="934">
        <f t="shared" si="0"/>
        <v>918038</v>
      </c>
      <c r="E25" s="956">
        <f t="shared" si="2"/>
        <v>0</v>
      </c>
      <c r="F25" s="957"/>
      <c r="G25" s="937">
        <f t="shared" si="1"/>
        <v>26439</v>
      </c>
      <c r="H25" s="955">
        <f t="shared" si="5"/>
        <v>0</v>
      </c>
      <c r="I25" s="2168">
        <f>'2.1 Auxiliary Services YR1'!I25</f>
        <v>0</v>
      </c>
      <c r="J25" s="956">
        <f t="shared" si="3"/>
        <v>944477</v>
      </c>
      <c r="K25" s="955">
        <f t="shared" si="4"/>
        <v>1485.3555029580866</v>
      </c>
    </row>
    <row r="26" spans="1:11" x14ac:dyDescent="0.25">
      <c r="A26" s="1334"/>
      <c r="B26" s="869" t="str">
        <f>'5.2 Budgeted Enrollment YR2'!E23</f>
        <v>Storey</v>
      </c>
      <c r="C26" s="1345">
        <f>'5.2 Budgeted Enrollment YR2'!G23</f>
        <v>395.34078642383383</v>
      </c>
      <c r="D26" s="934">
        <f t="shared" si="0"/>
        <v>798030</v>
      </c>
      <c r="E26" s="956">
        <f t="shared" si="2"/>
        <v>0</v>
      </c>
      <c r="F26" s="957"/>
      <c r="G26" s="937">
        <f t="shared" si="1"/>
        <v>41097</v>
      </c>
      <c r="H26" s="955">
        <f t="shared" si="5"/>
        <v>0</v>
      </c>
      <c r="I26" s="2168">
        <f>'2.1 Auxiliary Services YR1'!I26</f>
        <v>0</v>
      </c>
      <c r="J26" s="956">
        <f t="shared" si="3"/>
        <v>839127</v>
      </c>
      <c r="K26" s="955">
        <f t="shared" si="4"/>
        <v>2122.5409287783309</v>
      </c>
    </row>
    <row r="27" spans="1:11" x14ac:dyDescent="0.25">
      <c r="A27" s="1334"/>
      <c r="B27" s="869" t="str">
        <f>'5.2 Budgeted Enrollment YR2'!E24</f>
        <v>Washoe</v>
      </c>
      <c r="C27" s="1345">
        <f>'5.2 Budgeted Enrollment YR2'!G24</f>
        <v>58816.718998091914</v>
      </c>
      <c r="D27" s="934">
        <f t="shared" si="0"/>
        <v>25630842</v>
      </c>
      <c r="E27" s="956">
        <f t="shared" si="2"/>
        <v>0</v>
      </c>
      <c r="F27" s="957"/>
      <c r="G27" s="937">
        <f t="shared" si="1"/>
        <v>0</v>
      </c>
      <c r="H27" s="955">
        <f t="shared" si="5"/>
        <v>0</v>
      </c>
      <c r="I27" s="2168">
        <f>'2.1 Auxiliary Services YR1'!I27</f>
        <v>0</v>
      </c>
      <c r="J27" s="956">
        <f t="shared" si="3"/>
        <v>25630842</v>
      </c>
      <c r="K27" s="955">
        <f t="shared" si="4"/>
        <v>435.77476670930071</v>
      </c>
    </row>
    <row r="28" spans="1:11" x14ac:dyDescent="0.25">
      <c r="A28" s="1348"/>
      <c r="B28" s="871" t="str">
        <f>'5.2 Budgeted Enrollment YR2'!E25</f>
        <v>White Pine</v>
      </c>
      <c r="C28" s="1346">
        <f>'5.2 Budgeted Enrollment YR2'!G25</f>
        <v>1231.0239819599622</v>
      </c>
      <c r="D28" s="935">
        <f>G57</f>
        <v>1312803</v>
      </c>
      <c r="E28" s="958">
        <f>IF($F$6="Yes",(D28*$F$7),0)</f>
        <v>0</v>
      </c>
      <c r="F28" s="959"/>
      <c r="G28" s="1285">
        <f>G78</f>
        <v>29539</v>
      </c>
      <c r="H28" s="960">
        <f>IF($H$6="Yes",(G28*$H$7),0)</f>
        <v>0</v>
      </c>
      <c r="I28" s="2205">
        <f>'2.1 Auxiliary Services YR1'!I28</f>
        <v>0</v>
      </c>
      <c r="J28" s="956">
        <f t="shared" si="3"/>
        <v>1342342</v>
      </c>
      <c r="K28" s="960">
        <f t="shared" si="4"/>
        <v>1090.4271725582503</v>
      </c>
    </row>
    <row r="29" spans="1:11" x14ac:dyDescent="0.25">
      <c r="A29" s="1334"/>
      <c r="B29" s="869" t="str">
        <f>'5.2 Budgeted Enrollment YR2'!E26</f>
        <v>Charter Schools</v>
      </c>
      <c r="C29" s="1345">
        <v>0</v>
      </c>
      <c r="D29" s="934">
        <v>0</v>
      </c>
      <c r="E29" s="956">
        <v>0</v>
      </c>
      <c r="F29" s="957"/>
      <c r="G29" s="937">
        <v>0</v>
      </c>
      <c r="H29" s="955">
        <v>0</v>
      </c>
      <c r="I29" s="2168">
        <v>0</v>
      </c>
      <c r="J29" s="2171">
        <f>SUM(D29:E29)+F29+SUM(G29:I29)</f>
        <v>0</v>
      </c>
      <c r="K29" s="955">
        <v>0</v>
      </c>
    </row>
    <row r="30" spans="1:11" x14ac:dyDescent="0.25">
      <c r="A30" s="1334"/>
      <c r="B30" s="869" t="str">
        <f>'5.2 Budgeted Enrollment YR2'!E27</f>
        <v>University Schools</v>
      </c>
      <c r="C30" s="1345">
        <v>0</v>
      </c>
      <c r="D30" s="934">
        <v>0</v>
      </c>
      <c r="E30" s="956">
        <v>0</v>
      </c>
      <c r="F30" s="957"/>
      <c r="G30" s="937">
        <v>0</v>
      </c>
      <c r="H30" s="955">
        <v>0</v>
      </c>
      <c r="I30" s="2168"/>
      <c r="J30" s="956">
        <v>0</v>
      </c>
      <c r="K30" s="955">
        <v>0</v>
      </c>
    </row>
    <row r="31" spans="1:11" x14ac:dyDescent="0.25">
      <c r="A31" s="1334"/>
      <c r="B31" s="869" t="str">
        <f>'5.2 Budgeted Enrollment YR2'!E28</f>
        <v>City of Henderson</v>
      </c>
      <c r="C31" s="1345">
        <v>0</v>
      </c>
      <c r="D31" s="934">
        <v>0</v>
      </c>
      <c r="E31" s="956">
        <v>0</v>
      </c>
      <c r="F31" s="957"/>
      <c r="G31" s="937">
        <v>0</v>
      </c>
      <c r="H31" s="955">
        <v>0</v>
      </c>
      <c r="I31" s="2168"/>
      <c r="J31" s="956">
        <v>0</v>
      </c>
      <c r="K31" s="955">
        <v>0</v>
      </c>
    </row>
    <row r="32" spans="1:11" x14ac:dyDescent="0.25">
      <c r="A32" s="1348"/>
      <c r="B32" s="871" t="str">
        <f>'5.2 Budgeted Enrollment YR2'!E29</f>
        <v>City of North Las Vegas</v>
      </c>
      <c r="C32" s="1346">
        <v>0</v>
      </c>
      <c r="D32" s="935">
        <v>0</v>
      </c>
      <c r="E32" s="958">
        <v>0</v>
      </c>
      <c r="F32" s="959"/>
      <c r="G32" s="1285">
        <v>0</v>
      </c>
      <c r="H32" s="960">
        <v>0</v>
      </c>
      <c r="I32" s="2169"/>
      <c r="J32" s="958">
        <v>0</v>
      </c>
      <c r="K32" s="960">
        <v>0</v>
      </c>
    </row>
    <row r="33" spans="1:11" s="863" customFormat="1" x14ac:dyDescent="0.25">
      <c r="A33" s="1354"/>
      <c r="B33" s="1355" t="s">
        <v>1354</v>
      </c>
      <c r="C33" s="1356">
        <f>SUM(C12:C32)</f>
        <v>391282.46487056493</v>
      </c>
      <c r="D33" s="1357">
        <f>SUM(D12:D32)</f>
        <v>192762547</v>
      </c>
      <c r="E33" s="1358"/>
      <c r="F33" s="1359"/>
      <c r="G33" s="1360">
        <f>SUM(G12:G32)</f>
        <v>1494411</v>
      </c>
      <c r="H33" s="1359"/>
      <c r="I33" s="2170">
        <f>SUM(I12:I32)</f>
        <v>0</v>
      </c>
      <c r="J33" s="1337">
        <f>SUM(J12:J32)</f>
        <v>194256958</v>
      </c>
      <c r="K33" s="1286">
        <f>J33/C33</f>
        <v>496.46221193239421</v>
      </c>
    </row>
    <row r="34" spans="1:11" x14ac:dyDescent="0.25">
      <c r="A34" s="869"/>
      <c r="B34" s="869"/>
      <c r="C34" s="869"/>
      <c r="D34" s="869"/>
      <c r="E34" s="869"/>
      <c r="F34" s="869"/>
      <c r="G34" s="937"/>
      <c r="H34" s="937"/>
      <c r="I34" s="937"/>
      <c r="J34" s="869"/>
      <c r="K34" s="938"/>
    </row>
    <row r="35" spans="1:11" x14ac:dyDescent="0.25">
      <c r="B35" s="939" t="str">
        <f>'2.1 Auxiliary Services YR1'!B35</f>
        <v>Data Source: FY 2019; FY 2020, FY 2021 and FY 2022 - 387 reports</v>
      </c>
      <c r="C35" s="863"/>
      <c r="D35" s="863"/>
      <c r="E35" s="863"/>
      <c r="F35" s="863"/>
    </row>
    <row r="36" spans="1:11" x14ac:dyDescent="0.25">
      <c r="B36" s="939" t="str">
        <f>'2.1 Auxiliary Services YR1'!B36</f>
        <v>Amounts are not adjusted for inflation or enrollment growth</v>
      </c>
    </row>
    <row r="37" spans="1:11" x14ac:dyDescent="0.25">
      <c r="B37" s="927"/>
    </row>
    <row r="38" spans="1:11" x14ac:dyDescent="0.25">
      <c r="B38" s="2382" t="s">
        <v>1357</v>
      </c>
      <c r="C38" s="2383"/>
      <c r="D38" s="2383"/>
      <c r="E38" s="2383"/>
      <c r="F38" s="2383"/>
      <c r="G38" s="2384"/>
      <c r="H38" s="940"/>
      <c r="I38" s="940"/>
    </row>
    <row r="39" spans="1:11" ht="15.75" customHeight="1" x14ac:dyDescent="0.25">
      <c r="B39" s="866" t="s">
        <v>1358</v>
      </c>
      <c r="C39" s="866">
        <f>'2.1 Auxiliary Services YR1'!C40</f>
        <v>2021</v>
      </c>
      <c r="D39" s="866">
        <f>'2.1 Auxiliary Services YR1'!D40</f>
        <v>2022</v>
      </c>
      <c r="E39" s="866">
        <f>'2.1 Auxiliary Services YR1'!E40</f>
        <v>2023</v>
      </c>
      <c r="F39" s="866">
        <f>'2.1 Auxiliary Services YR1'!F40</f>
        <v>2024</v>
      </c>
      <c r="G39" s="866"/>
      <c r="H39" s="866"/>
      <c r="I39" s="866"/>
    </row>
    <row r="40" spans="1:11" s="863" customFormat="1" x14ac:dyDescent="0.25">
      <c r="B40" s="941" t="s">
        <v>1360</v>
      </c>
      <c r="C40" s="941" t="str">
        <f>'2.1 Auxiliary Services YR1'!C41</f>
        <v>2021 NRS 387 Report</v>
      </c>
      <c r="D40" s="941" t="str">
        <f>'2.1 Auxiliary Services YR1'!D41</f>
        <v>2022 NRS 387 Report</v>
      </c>
      <c r="E40" s="941" t="str">
        <f>'2.1 Auxiliary Services YR1'!E41</f>
        <v>2023 NRS 387 Report</v>
      </c>
      <c r="F40" s="941" t="str">
        <f>'2.1 Auxiliary Services YR1'!F41</f>
        <v>2024 NRS 387 Report</v>
      </c>
      <c r="G40" s="941" t="s">
        <v>1367</v>
      </c>
      <c r="H40" s="866"/>
      <c r="I40" s="866"/>
    </row>
    <row r="41" spans="1:11" x14ac:dyDescent="0.25">
      <c r="B41" s="864" t="s">
        <v>1161</v>
      </c>
      <c r="C41" s="942">
        <f>'2.1 Auxiliary Services YR1'!C42</f>
        <v>2176089</v>
      </c>
      <c r="D41" s="942">
        <f>'2.1 Auxiliary Services YR1'!D42</f>
        <v>3223783</v>
      </c>
      <c r="E41" s="942">
        <f>'2.1 Auxiliary Services YR1'!E42</f>
        <v>3492984</v>
      </c>
      <c r="F41" s="942">
        <f>'2.1 Auxiliary Services YR1'!F42</f>
        <v>2582130.96</v>
      </c>
      <c r="G41" s="943">
        <f>ROUND(SUM(C41:F41)/4,0)</f>
        <v>2868747</v>
      </c>
      <c r="H41" s="944"/>
      <c r="I41" s="944"/>
    </row>
    <row r="42" spans="1:11" x14ac:dyDescent="0.25">
      <c r="B42" s="864" t="s">
        <v>271</v>
      </c>
      <c r="C42" s="942">
        <f>'2.1 Auxiliary Services YR1'!C43</f>
        <v>1423240</v>
      </c>
      <c r="D42" s="942">
        <f>'2.1 Auxiliary Services YR1'!D43</f>
        <v>1521517</v>
      </c>
      <c r="E42" s="942">
        <f>'2.1 Auxiliary Services YR1'!E43</f>
        <v>2066573</v>
      </c>
      <c r="F42" s="942">
        <f>'2.1 Auxiliary Services YR1'!F43</f>
        <v>1651859.04</v>
      </c>
      <c r="G42" s="945">
        <f t="shared" ref="G42:G57" si="6">ROUND(SUM(C42:F42)/4,0)</f>
        <v>1665797</v>
      </c>
      <c r="H42" s="944"/>
      <c r="I42" s="944"/>
    </row>
    <row r="43" spans="1:11" x14ac:dyDescent="0.25">
      <c r="B43" s="864" t="s">
        <v>273</v>
      </c>
      <c r="C43" s="942">
        <f>'2.1 Auxiliary Services YR1'!C44</f>
        <v>133062633</v>
      </c>
      <c r="D43" s="942">
        <f>'2.1 Auxiliary Services YR1'!D44</f>
        <v>125692509</v>
      </c>
      <c r="E43" s="942">
        <f>'2.1 Auxiliary Services YR1'!E44</f>
        <v>141093213</v>
      </c>
      <c r="F43" s="942">
        <f>'2.1 Auxiliary Services YR1'!F44</f>
        <v>140675060.88</v>
      </c>
      <c r="G43" s="945">
        <f t="shared" si="6"/>
        <v>135130854</v>
      </c>
      <c r="H43" s="944"/>
      <c r="I43" s="944"/>
    </row>
    <row r="44" spans="1:11" x14ac:dyDescent="0.25">
      <c r="B44" s="864" t="s">
        <v>275</v>
      </c>
      <c r="C44" s="942">
        <f>'2.1 Auxiliary Services YR1'!C45</f>
        <v>3955235</v>
      </c>
      <c r="D44" s="942">
        <f>'2.1 Auxiliary Services YR1'!D45</f>
        <v>4206792</v>
      </c>
      <c r="E44" s="942">
        <f>'2.1 Auxiliary Services YR1'!E45</f>
        <v>3863784</v>
      </c>
      <c r="F44" s="942">
        <f>'2.1 Auxiliary Services YR1'!F45</f>
        <v>3883247.04</v>
      </c>
      <c r="G44" s="945">
        <f t="shared" si="6"/>
        <v>3977265</v>
      </c>
      <c r="H44" s="944"/>
      <c r="I44" s="944"/>
    </row>
    <row r="45" spans="1:11" x14ac:dyDescent="0.25">
      <c r="B45" s="864" t="s">
        <v>277</v>
      </c>
      <c r="C45" s="942">
        <f>'2.1 Auxiliary Services YR1'!C46</f>
        <v>4009666</v>
      </c>
      <c r="D45" s="942">
        <f>'2.1 Auxiliary Services YR1'!D46</f>
        <v>5649560</v>
      </c>
      <c r="E45" s="942">
        <f>'2.1 Auxiliary Services YR1'!E46</f>
        <v>8048042</v>
      </c>
      <c r="F45" s="942">
        <f>'2.1 Auxiliary Services YR1'!F46</f>
        <v>4699832.04</v>
      </c>
      <c r="G45" s="945">
        <f t="shared" si="6"/>
        <v>5601775</v>
      </c>
      <c r="H45" s="944"/>
      <c r="I45" s="944"/>
    </row>
    <row r="46" spans="1:11" x14ac:dyDescent="0.25">
      <c r="B46" s="864" t="s">
        <v>279</v>
      </c>
      <c r="C46" s="942">
        <f>'2.1 Auxiliary Services YR1'!C47</f>
        <v>462906</v>
      </c>
      <c r="D46" s="942">
        <f>'2.1 Auxiliary Services YR1'!D47</f>
        <v>334748</v>
      </c>
      <c r="E46" s="942">
        <f>'2.1 Auxiliary Services YR1'!E47</f>
        <v>418493</v>
      </c>
      <c r="F46" s="942">
        <f>'2.1 Auxiliary Services YR1'!F47</f>
        <v>327998.03999999998</v>
      </c>
      <c r="G46" s="945">
        <f t="shared" si="6"/>
        <v>386036</v>
      </c>
      <c r="H46" s="944"/>
      <c r="I46" s="944"/>
    </row>
    <row r="47" spans="1:11" x14ac:dyDescent="0.25">
      <c r="B47" s="864" t="s">
        <v>281</v>
      </c>
      <c r="C47" s="942">
        <f>'2.1 Auxiliary Services YR1'!C48</f>
        <v>1026559</v>
      </c>
      <c r="D47" s="942">
        <f>'2.1 Auxiliary Services YR1'!D48</f>
        <v>995885</v>
      </c>
      <c r="E47" s="942">
        <f>'2.1 Auxiliary Services YR1'!E48</f>
        <v>431629</v>
      </c>
      <c r="F47" s="942">
        <f>'2.1 Auxiliary Services YR1'!F48</f>
        <v>648691.30000000005</v>
      </c>
      <c r="G47" s="945">
        <f t="shared" si="6"/>
        <v>775691</v>
      </c>
      <c r="H47" s="944"/>
      <c r="I47" s="944"/>
    </row>
    <row r="48" spans="1:11" x14ac:dyDescent="0.25">
      <c r="B48" s="864" t="s">
        <v>283</v>
      </c>
      <c r="C48" s="942">
        <f>'2.1 Auxiliary Services YR1'!C49</f>
        <v>1542017</v>
      </c>
      <c r="D48" s="942">
        <f>'2.1 Auxiliary Services YR1'!D49</f>
        <v>2287007</v>
      </c>
      <c r="E48" s="942">
        <f>'2.1 Auxiliary Services YR1'!E49</f>
        <v>2221776</v>
      </c>
      <c r="F48" s="942">
        <f>'2.1 Auxiliary Services YR1'!F49</f>
        <v>2014575</v>
      </c>
      <c r="G48" s="945">
        <f t="shared" si="6"/>
        <v>2016344</v>
      </c>
      <c r="H48" s="944"/>
      <c r="I48" s="944"/>
    </row>
    <row r="49" spans="1:10" x14ac:dyDescent="0.25">
      <c r="B49" s="864" t="s">
        <v>285</v>
      </c>
      <c r="C49" s="942">
        <f>'2.1 Auxiliary Services YR1'!C50</f>
        <v>250328</v>
      </c>
      <c r="D49" s="942">
        <f>'2.1 Auxiliary Services YR1'!D50</f>
        <v>430551</v>
      </c>
      <c r="E49" s="942">
        <f>'2.1 Auxiliary Services YR1'!E50</f>
        <v>507749</v>
      </c>
      <c r="F49" s="942">
        <f>'2.1 Auxiliary Services YR1'!F50</f>
        <v>413256.96000000002</v>
      </c>
      <c r="G49" s="945">
        <f t="shared" si="6"/>
        <v>400471</v>
      </c>
      <c r="H49" s="944"/>
      <c r="I49" s="944"/>
    </row>
    <row r="50" spans="1:10" x14ac:dyDescent="0.25">
      <c r="B50" s="864" t="s">
        <v>287</v>
      </c>
      <c r="C50" s="942">
        <f>'2.1 Auxiliary Services YR1'!C51</f>
        <v>352938</v>
      </c>
      <c r="D50" s="942">
        <f>'2.1 Auxiliary Services YR1'!D51</f>
        <v>767800</v>
      </c>
      <c r="E50" s="942">
        <f>'2.1 Auxiliary Services YR1'!E51</f>
        <v>767664</v>
      </c>
      <c r="F50" s="942">
        <f>'2.1 Auxiliary Services YR1'!F51</f>
        <v>652999</v>
      </c>
      <c r="G50" s="945">
        <f t="shared" si="6"/>
        <v>635350</v>
      </c>
      <c r="H50" s="944"/>
      <c r="I50" s="944"/>
    </row>
    <row r="51" spans="1:10" x14ac:dyDescent="0.25">
      <c r="B51" s="864" t="s">
        <v>289</v>
      </c>
      <c r="C51" s="942">
        <f>'2.1 Auxiliary Services YR1'!C52</f>
        <v>5048652</v>
      </c>
      <c r="D51" s="942">
        <f>'2.1 Auxiliary Services YR1'!D52</f>
        <v>5770236</v>
      </c>
      <c r="E51" s="942">
        <f>'2.1 Auxiliary Services YR1'!E52</f>
        <v>5644993</v>
      </c>
      <c r="F51" s="942">
        <f>'2.1 Auxiliary Services YR1'!F52</f>
        <v>5007438.96</v>
      </c>
      <c r="G51" s="945">
        <f t="shared" si="6"/>
        <v>5367830</v>
      </c>
      <c r="H51" s="944"/>
      <c r="I51" s="944"/>
    </row>
    <row r="52" spans="1:10" x14ac:dyDescent="0.25">
      <c r="B52" s="864" t="s">
        <v>291</v>
      </c>
      <c r="C52" s="942">
        <f>'2.1 Auxiliary Services YR1'!C53</f>
        <v>343102</v>
      </c>
      <c r="D52" s="942">
        <f>'2.1 Auxiliary Services YR1'!D53</f>
        <v>353442</v>
      </c>
      <c r="E52" s="942">
        <f>'2.1 Auxiliary Services YR1'!E53</f>
        <v>540830</v>
      </c>
      <c r="F52" s="942">
        <f>'2.1 Auxiliary Services YR1'!F53</f>
        <v>315516.96000000002</v>
      </c>
      <c r="G52" s="945">
        <f t="shared" si="6"/>
        <v>388223</v>
      </c>
      <c r="H52" s="944"/>
      <c r="I52" s="944"/>
    </row>
    <row r="53" spans="1:10" x14ac:dyDescent="0.25">
      <c r="B53" s="864" t="s">
        <v>293</v>
      </c>
      <c r="C53" s="942">
        <f>'2.1 Auxiliary Services YR1'!C54</f>
        <v>3910726</v>
      </c>
      <c r="D53" s="942">
        <f>'2.1 Auxiliary Services YR1'!D54</f>
        <v>5223632</v>
      </c>
      <c r="E53" s="942">
        <f>'2.1 Auxiliary Services YR1'!E54</f>
        <v>6158310</v>
      </c>
      <c r="F53" s="942">
        <f>'2.1 Auxiliary Services YR1'!F54</f>
        <v>4261136.04</v>
      </c>
      <c r="G53" s="945">
        <f t="shared" si="6"/>
        <v>4888451</v>
      </c>
      <c r="H53" s="944"/>
      <c r="I53" s="944"/>
    </row>
    <row r="54" spans="1:10" x14ac:dyDescent="0.25">
      <c r="B54" s="864" t="s">
        <v>295</v>
      </c>
      <c r="C54" s="942">
        <f>'2.1 Auxiliary Services YR1'!C55</f>
        <v>722657</v>
      </c>
      <c r="D54" s="942">
        <f>'2.1 Auxiliary Services YR1'!D55</f>
        <v>868115</v>
      </c>
      <c r="E54" s="942">
        <f>'2.1 Auxiliary Services YR1'!E55</f>
        <v>969465</v>
      </c>
      <c r="F54" s="942">
        <f>'2.1 Auxiliary Services YR1'!F55</f>
        <v>1111914.47</v>
      </c>
      <c r="G54" s="945">
        <f t="shared" si="6"/>
        <v>918038</v>
      </c>
      <c r="H54" s="944"/>
      <c r="I54" s="944"/>
    </row>
    <row r="55" spans="1:10" x14ac:dyDescent="0.25">
      <c r="B55" s="864" t="s">
        <v>297</v>
      </c>
      <c r="C55" s="942">
        <f>'2.1 Auxiliary Services YR1'!C56</f>
        <v>316473</v>
      </c>
      <c r="D55" s="942">
        <f>'2.1 Auxiliary Services YR1'!D56</f>
        <v>733800</v>
      </c>
      <c r="E55" s="942">
        <f>'2.1 Auxiliary Services YR1'!E56</f>
        <v>507749</v>
      </c>
      <c r="F55" s="942">
        <f>'2.1 Auxiliary Services YR1'!F56</f>
        <v>1634099.4</v>
      </c>
      <c r="G55" s="945">
        <f t="shared" si="6"/>
        <v>798030</v>
      </c>
      <c r="H55" s="944"/>
      <c r="I55" s="944"/>
    </row>
    <row r="56" spans="1:10" x14ac:dyDescent="0.25">
      <c r="B56" s="864" t="s">
        <v>299</v>
      </c>
      <c r="C56" s="942">
        <f>'2.1 Auxiliary Services YR1'!C57</f>
        <v>22182600</v>
      </c>
      <c r="D56" s="942">
        <f>'2.1 Auxiliary Services YR1'!D57</f>
        <v>24709174</v>
      </c>
      <c r="E56" s="942">
        <f>'2.1 Auxiliary Services YR1'!E57</f>
        <v>31930689</v>
      </c>
      <c r="F56" s="942">
        <f>'2.1 Auxiliary Services YR1'!F57</f>
        <v>23700906.960000001</v>
      </c>
      <c r="G56" s="945">
        <f t="shared" si="6"/>
        <v>25630842</v>
      </c>
      <c r="H56" s="944"/>
      <c r="I56" s="944"/>
    </row>
    <row r="57" spans="1:10" x14ac:dyDescent="0.25">
      <c r="B57" s="874" t="s">
        <v>301</v>
      </c>
      <c r="C57" s="946">
        <f>'2.1 Auxiliary Services YR1'!C58</f>
        <v>1590086</v>
      </c>
      <c r="D57" s="946">
        <f>'2.1 Auxiliary Services YR1'!D58</f>
        <v>1174956</v>
      </c>
      <c r="E57" s="946">
        <f>'2.1 Auxiliary Services YR1'!E58</f>
        <v>1269470</v>
      </c>
      <c r="F57" s="946">
        <f>'2.1 Auxiliary Services YR1'!F58</f>
        <v>1216700.04</v>
      </c>
      <c r="G57" s="947">
        <f t="shared" si="6"/>
        <v>1312803</v>
      </c>
      <c r="H57" s="948"/>
      <c r="I57" s="948"/>
    </row>
    <row r="58" spans="1:10" s="863" customFormat="1" x14ac:dyDescent="0.25">
      <c r="A58" s="863" t="s">
        <v>1746</v>
      </c>
      <c r="B58" s="866" t="s">
        <v>1755</v>
      </c>
      <c r="C58" s="1236">
        <f>SUM(C41:C57)</f>
        <v>182375907</v>
      </c>
      <c r="D58" s="1236">
        <f>SUM(D41:D57)</f>
        <v>183943507</v>
      </c>
      <c r="E58" s="1236">
        <f>SUM(E41:E57)</f>
        <v>209933413</v>
      </c>
      <c r="F58" s="1236">
        <f>SUM(F41:F57)</f>
        <v>194797363.09</v>
      </c>
      <c r="G58" s="1236">
        <f>SUM(G41:G57)</f>
        <v>192762547</v>
      </c>
      <c r="H58" s="1228"/>
      <c r="I58" s="1228"/>
      <c r="J58" s="1228"/>
    </row>
    <row r="59" spans="1:10" x14ac:dyDescent="0.25">
      <c r="C59" s="949"/>
      <c r="D59" s="949"/>
      <c r="E59" s="949"/>
      <c r="F59" s="949"/>
      <c r="G59" s="949">
        <f>SUM(D12:D28)-G58</f>
        <v>0</v>
      </c>
      <c r="H59" s="949"/>
      <c r="I59" s="949"/>
      <c r="J59" s="949"/>
    </row>
    <row r="60" spans="1:10" x14ac:dyDescent="0.25">
      <c r="B60" s="866" t="s">
        <v>1366</v>
      </c>
      <c r="C60" s="866">
        <f>'2.1 Auxiliary Services YR1'!C61</f>
        <v>2021</v>
      </c>
      <c r="D60" s="866">
        <f>'2.1 Auxiliary Services YR1'!D61</f>
        <v>2022</v>
      </c>
      <c r="E60" s="866">
        <f>'2.1 Auxiliary Services YR1'!E61</f>
        <v>2023</v>
      </c>
      <c r="F60" s="866">
        <f>'2.1 Auxiliary Services YR1'!F61</f>
        <v>2024</v>
      </c>
      <c r="G60" s="950"/>
      <c r="H60" s="866"/>
      <c r="I60" s="866"/>
    </row>
    <row r="61" spans="1:10" x14ac:dyDescent="0.25">
      <c r="B61" s="941" t="s">
        <v>1368</v>
      </c>
      <c r="C61" s="941" t="str">
        <f>'2.1 Auxiliary Services YR1'!C62</f>
        <v>2021 NRS 387 Report</v>
      </c>
      <c r="D61" s="941" t="str">
        <f>'2.1 Auxiliary Services YR1'!D62</f>
        <v>2022 NRS 387 Report</v>
      </c>
      <c r="E61" s="941" t="str">
        <f>'2.1 Auxiliary Services YR1'!E62</f>
        <v>2023 NRS 387 Report</v>
      </c>
      <c r="F61" s="941" t="str">
        <f>'2.1 Auxiliary Services YR1'!F62</f>
        <v>2024 NRS 387 Report</v>
      </c>
      <c r="G61" s="941" t="s">
        <v>1367</v>
      </c>
      <c r="H61" s="866"/>
      <c r="I61" s="866"/>
    </row>
    <row r="62" spans="1:10" x14ac:dyDescent="0.25">
      <c r="B62" s="864" t="s">
        <v>1161</v>
      </c>
      <c r="C62" s="951">
        <f>'2.1 Auxiliary Services YR1'!C63</f>
        <v>921727</v>
      </c>
      <c r="D62" s="951">
        <f>'2.1 Auxiliary Services YR1'!D63</f>
        <v>0</v>
      </c>
      <c r="E62" s="951">
        <f>'2.1 Auxiliary Services YR1'!E63</f>
        <v>0</v>
      </c>
      <c r="F62" s="951">
        <f>'2.1 Auxiliary Services YR1'!F63</f>
        <v>416102.04</v>
      </c>
      <c r="G62" s="952">
        <f>ROUND(SUM(C62:F62)/4,0)</f>
        <v>334457</v>
      </c>
      <c r="H62" s="944"/>
      <c r="I62" s="944"/>
    </row>
    <row r="63" spans="1:10" x14ac:dyDescent="0.25">
      <c r="B63" s="864" t="s">
        <v>271</v>
      </c>
      <c r="C63" s="953">
        <f>'2.1 Auxiliary Services YR1'!C64</f>
        <v>0</v>
      </c>
      <c r="D63" s="953">
        <f>'2.1 Auxiliary Services YR1'!D64</f>
        <v>0</v>
      </c>
      <c r="E63" s="953">
        <f>'2.1 Auxiliary Services YR1'!E64</f>
        <v>0</v>
      </c>
      <c r="F63" s="953" t="str">
        <f>'2.1 Auxiliary Services YR1'!F64</f>
        <v xml:space="preserve"> $-   </v>
      </c>
      <c r="G63" s="952">
        <f t="shared" ref="G63:G78" si="7">ROUND(SUM(C63:F63)/4,0)</f>
        <v>0</v>
      </c>
      <c r="H63" s="944"/>
      <c r="I63" s="944"/>
    </row>
    <row r="64" spans="1:10" x14ac:dyDescent="0.25">
      <c r="B64" s="864" t="s">
        <v>273</v>
      </c>
      <c r="C64" s="953">
        <f>'2.1 Auxiliary Services YR1'!C65</f>
        <v>0</v>
      </c>
      <c r="D64" s="953">
        <f>'2.1 Auxiliary Services YR1'!D65</f>
        <v>0</v>
      </c>
      <c r="E64" s="953">
        <f>'2.1 Auxiliary Services YR1'!E65</f>
        <v>0</v>
      </c>
      <c r="F64" s="953">
        <f>'2.1 Auxiliary Services YR1'!F65</f>
        <v>0</v>
      </c>
      <c r="G64" s="952">
        <f t="shared" si="7"/>
        <v>0</v>
      </c>
      <c r="H64" s="944"/>
      <c r="I64" s="944"/>
    </row>
    <row r="65" spans="2:10" x14ac:dyDescent="0.25">
      <c r="B65" s="864" t="s">
        <v>275</v>
      </c>
      <c r="C65" s="953">
        <f>'2.1 Auxiliary Services YR1'!C66</f>
        <v>0</v>
      </c>
      <c r="D65" s="953">
        <f>'2.1 Auxiliary Services YR1'!D66</f>
        <v>0</v>
      </c>
      <c r="E65" s="953">
        <f>'2.1 Auxiliary Services YR1'!E66</f>
        <v>0</v>
      </c>
      <c r="F65" s="953">
        <f>'2.1 Auxiliary Services YR1'!F66</f>
        <v>0</v>
      </c>
      <c r="G65" s="952">
        <f t="shared" si="7"/>
        <v>0</v>
      </c>
      <c r="H65" s="944"/>
      <c r="I65" s="944"/>
    </row>
    <row r="66" spans="2:10" x14ac:dyDescent="0.25">
      <c r="B66" s="864" t="s">
        <v>277</v>
      </c>
      <c r="C66" s="953">
        <f>'2.1 Auxiliary Services YR1'!C67</f>
        <v>543565</v>
      </c>
      <c r="D66" s="953">
        <f>'2.1 Auxiliary Services YR1'!D67</f>
        <v>344693</v>
      </c>
      <c r="E66" s="953">
        <f>'2.1 Auxiliary Services YR1'!E67</f>
        <v>201247</v>
      </c>
      <c r="F66" s="953">
        <f>'2.1 Auxiliary Services YR1'!F67</f>
        <v>311983.2</v>
      </c>
      <c r="G66" s="952">
        <f t="shared" si="7"/>
        <v>350372</v>
      </c>
      <c r="H66" s="944"/>
      <c r="I66" s="944"/>
    </row>
    <row r="67" spans="2:10" x14ac:dyDescent="0.25">
      <c r="B67" s="864" t="s">
        <v>279</v>
      </c>
      <c r="C67" s="953">
        <f>'2.1 Auxiliary Services YR1'!C68</f>
        <v>83405</v>
      </c>
      <c r="D67" s="953">
        <f>'2.1 Auxiliary Services YR1'!D68</f>
        <v>60000</v>
      </c>
      <c r="E67" s="953">
        <f>'2.1 Auxiliary Services YR1'!E68</f>
        <v>56000</v>
      </c>
      <c r="F67" s="953">
        <f>'2.1 Auxiliary Services YR1'!F68</f>
        <v>109275</v>
      </c>
      <c r="G67" s="952">
        <f t="shared" si="7"/>
        <v>77170</v>
      </c>
      <c r="H67" s="944"/>
      <c r="I67" s="944"/>
    </row>
    <row r="68" spans="2:10" x14ac:dyDescent="0.25">
      <c r="B68" s="864" t="s">
        <v>281</v>
      </c>
      <c r="C68" s="953">
        <f>'2.1 Auxiliary Services YR1'!C69</f>
        <v>320562</v>
      </c>
      <c r="D68" s="953">
        <f>'2.1 Auxiliary Services YR1'!D69</f>
        <v>334261</v>
      </c>
      <c r="E68" s="953">
        <f>'2.1 Auxiliary Services YR1'!E69</f>
        <v>334757</v>
      </c>
      <c r="F68" s="953">
        <f>'2.1 Auxiliary Services YR1'!F69</f>
        <v>402216.06</v>
      </c>
      <c r="G68" s="952">
        <f t="shared" si="7"/>
        <v>347949</v>
      </c>
      <c r="H68" s="944"/>
      <c r="I68" s="944"/>
    </row>
    <row r="69" spans="2:10" x14ac:dyDescent="0.25">
      <c r="B69" s="864" t="s">
        <v>283</v>
      </c>
      <c r="C69" s="953">
        <f>'2.1 Auxiliary Services YR1'!C70</f>
        <v>0</v>
      </c>
      <c r="D69" s="953">
        <f>'2.1 Auxiliary Services YR1'!D70</f>
        <v>0</v>
      </c>
      <c r="E69" s="953">
        <f>'2.1 Auxiliary Services YR1'!E70</f>
        <v>0</v>
      </c>
      <c r="F69" s="953">
        <f>'2.1 Auxiliary Services YR1'!F70</f>
        <v>19058.04</v>
      </c>
      <c r="G69" s="952">
        <f t="shared" si="7"/>
        <v>4765</v>
      </c>
      <c r="H69" s="944"/>
      <c r="I69" s="944"/>
    </row>
    <row r="70" spans="2:10" x14ac:dyDescent="0.25">
      <c r="B70" s="864" t="s">
        <v>285</v>
      </c>
      <c r="C70" s="953">
        <f>'2.1 Auxiliary Services YR1'!C71</f>
        <v>0</v>
      </c>
      <c r="D70" s="953">
        <f>'2.1 Auxiliary Services YR1'!D71</f>
        <v>0</v>
      </c>
      <c r="E70" s="953">
        <f>'2.1 Auxiliary Services YR1'!E71</f>
        <v>37273</v>
      </c>
      <c r="F70" s="953">
        <f>'2.1 Auxiliary Services YR1'!F71</f>
        <v>24957.96</v>
      </c>
      <c r="G70" s="952">
        <f t="shared" si="7"/>
        <v>15558</v>
      </c>
      <c r="H70" s="944"/>
      <c r="I70" s="944"/>
    </row>
    <row r="71" spans="2:10" x14ac:dyDescent="0.25">
      <c r="B71" s="864" t="s">
        <v>287</v>
      </c>
      <c r="C71" s="953">
        <f>'2.1 Auxiliary Services YR1'!C72</f>
        <v>30000</v>
      </c>
      <c r="D71" s="953">
        <f>'2.1 Auxiliary Services YR1'!D72</f>
        <v>71278</v>
      </c>
      <c r="E71" s="953">
        <f>'2.1 Auxiliary Services YR1'!E72</f>
        <v>69576</v>
      </c>
      <c r="F71" s="953">
        <f>'2.1 Auxiliary Services YR1'!F72</f>
        <v>96990.04</v>
      </c>
      <c r="G71" s="952">
        <f t="shared" si="7"/>
        <v>66961</v>
      </c>
      <c r="H71" s="944"/>
      <c r="I71" s="944"/>
    </row>
    <row r="72" spans="2:10" x14ac:dyDescent="0.25">
      <c r="B72" s="864" t="s">
        <v>289</v>
      </c>
      <c r="C72" s="953">
        <f>'2.1 Auxiliary Services YR1'!C73</f>
        <v>0</v>
      </c>
      <c r="D72" s="953">
        <f>'2.1 Auxiliary Services YR1'!D73</f>
        <v>0</v>
      </c>
      <c r="E72" s="953">
        <f>'2.1 Auxiliary Services YR1'!E73</f>
        <v>0</v>
      </c>
      <c r="F72" s="953">
        <f>'2.1 Auxiliary Services YR1'!F73</f>
        <v>0</v>
      </c>
      <c r="G72" s="952">
        <f t="shared" si="7"/>
        <v>0</v>
      </c>
      <c r="H72" s="944"/>
      <c r="I72" s="944"/>
    </row>
    <row r="73" spans="2:10" x14ac:dyDescent="0.25">
      <c r="B73" s="864" t="s">
        <v>291</v>
      </c>
      <c r="C73" s="953">
        <f>'2.1 Auxiliary Services YR1'!C74</f>
        <v>179605</v>
      </c>
      <c r="D73" s="953">
        <f>'2.1 Auxiliary Services YR1'!D74</f>
        <v>280495</v>
      </c>
      <c r="E73" s="953">
        <f>'2.1 Auxiliary Services YR1'!E74</f>
        <v>181558</v>
      </c>
      <c r="F73" s="953">
        <f>'2.1 Auxiliary Services YR1'!F74</f>
        <v>158757.96</v>
      </c>
      <c r="G73" s="952">
        <f t="shared" si="7"/>
        <v>200104</v>
      </c>
      <c r="H73" s="944"/>
      <c r="I73" s="944"/>
    </row>
    <row r="74" spans="2:10" x14ac:dyDescent="0.25">
      <c r="B74" s="864" t="s">
        <v>293</v>
      </c>
      <c r="C74" s="953">
        <f>'2.1 Auxiliary Services YR1'!C75</f>
        <v>0</v>
      </c>
      <c r="D74" s="953">
        <f>'2.1 Auxiliary Services YR1'!D75</f>
        <v>0</v>
      </c>
      <c r="E74" s="953">
        <f>'2.1 Auxiliary Services YR1'!E75</f>
        <v>0</v>
      </c>
      <c r="F74" s="953">
        <f>'2.1 Auxiliary Services YR1'!F75</f>
        <v>0</v>
      </c>
      <c r="G74" s="952">
        <f t="shared" si="7"/>
        <v>0</v>
      </c>
      <c r="H74" s="944"/>
      <c r="I74" s="944"/>
    </row>
    <row r="75" spans="2:10" x14ac:dyDescent="0.25">
      <c r="B75" s="864" t="s">
        <v>295</v>
      </c>
      <c r="C75" s="953">
        <f>'2.1 Auxiliary Services YR1'!C76</f>
        <v>20000</v>
      </c>
      <c r="D75" s="953">
        <f>'2.1 Auxiliary Services YR1'!D76</f>
        <v>0</v>
      </c>
      <c r="E75" s="953">
        <f>'2.1 Auxiliary Services YR1'!E76</f>
        <v>60530</v>
      </c>
      <c r="F75" s="953">
        <f>'2.1 Auxiliary Services YR1'!F76</f>
        <v>25225</v>
      </c>
      <c r="G75" s="952">
        <f t="shared" si="7"/>
        <v>26439</v>
      </c>
      <c r="H75" s="944"/>
      <c r="I75" s="944"/>
    </row>
    <row r="76" spans="2:10" x14ac:dyDescent="0.25">
      <c r="B76" s="864" t="s">
        <v>297</v>
      </c>
      <c r="C76" s="953">
        <f>'2.1 Auxiliary Services YR1'!C77</f>
        <v>26812</v>
      </c>
      <c r="D76" s="953">
        <f>'2.1 Auxiliary Services YR1'!D77</f>
        <v>17632</v>
      </c>
      <c r="E76" s="953">
        <f>'2.1 Auxiliary Services YR1'!E77</f>
        <v>37273</v>
      </c>
      <c r="F76" s="953">
        <f>'2.1 Auxiliary Services YR1'!F77</f>
        <v>82671.240000000005</v>
      </c>
      <c r="G76" s="952">
        <f t="shared" si="7"/>
        <v>41097</v>
      </c>
      <c r="H76" s="944"/>
      <c r="I76" s="944"/>
    </row>
    <row r="77" spans="2:10" x14ac:dyDescent="0.25">
      <c r="B77" s="864" t="s">
        <v>299</v>
      </c>
      <c r="C77" s="953">
        <f>'2.1 Auxiliary Services YR1'!C78</f>
        <v>0</v>
      </c>
      <c r="D77" s="953">
        <f>'2.1 Auxiliary Services YR1'!D78</f>
        <v>0</v>
      </c>
      <c r="E77" s="953">
        <f>'2.1 Auxiliary Services YR1'!E78</f>
        <v>0</v>
      </c>
      <c r="F77" s="953">
        <f>'2.1 Auxiliary Services YR1'!F78</f>
        <v>0</v>
      </c>
      <c r="G77" s="952">
        <f t="shared" si="7"/>
        <v>0</v>
      </c>
      <c r="H77" s="944"/>
      <c r="I77" s="944"/>
    </row>
    <row r="78" spans="2:10" x14ac:dyDescent="0.25">
      <c r="B78" s="874" t="s">
        <v>301</v>
      </c>
      <c r="C78" s="954">
        <f>'2.1 Auxiliary Services YR1'!C79</f>
        <v>25318</v>
      </c>
      <c r="D78" s="954">
        <f>'2.1 Auxiliary Services YR1'!D79</f>
        <v>3794</v>
      </c>
      <c r="E78" s="954">
        <f>'2.1 Auxiliary Services YR1'!E79</f>
        <v>89042</v>
      </c>
      <c r="F78" s="954" t="str">
        <f>'2.1 Auxiliary Services YR1'!F79</f>
        <v xml:space="preserve"> $-   </v>
      </c>
      <c r="G78" s="947">
        <f t="shared" si="7"/>
        <v>29539</v>
      </c>
      <c r="H78" s="948"/>
      <c r="I78" s="948"/>
    </row>
    <row r="79" spans="2:10" s="863" customFormat="1" x14ac:dyDescent="0.25">
      <c r="B79" s="866" t="s">
        <v>1756</v>
      </c>
      <c r="C79" s="1236">
        <f>SUM(C62:C78)</f>
        <v>2150994</v>
      </c>
      <c r="D79" s="1236">
        <f>SUM(D62:D78)</f>
        <v>1112153</v>
      </c>
      <c r="E79" s="1236">
        <f>SUM(E62:E78)</f>
        <v>1067256</v>
      </c>
      <c r="F79" s="1236">
        <f>SUM(F62:F78)</f>
        <v>1647236.54</v>
      </c>
      <c r="G79" s="1236">
        <f>SUM(G62:G78)</f>
        <v>1494411</v>
      </c>
      <c r="H79" s="1228"/>
      <c r="I79" s="1228"/>
      <c r="J79" s="1228"/>
    </row>
    <row r="80" spans="2:10" x14ac:dyDescent="0.25">
      <c r="G80" s="875">
        <f>G79-G33</f>
        <v>0</v>
      </c>
      <c r="H80" s="875"/>
      <c r="I80" s="875"/>
      <c r="J80" s="949"/>
    </row>
    <row r="82" spans="1:9" ht="16.5" x14ac:dyDescent="0.3">
      <c r="A82" s="9"/>
      <c r="B82" s="76"/>
      <c r="C82" s="4" t="str">
        <f t="shared" ref="C82:F82" si="8">C61</f>
        <v>2021 NRS 387 Report</v>
      </c>
      <c r="D82" s="4" t="str">
        <f t="shared" si="8"/>
        <v>2022 NRS 387 Report</v>
      </c>
      <c r="E82" s="4" t="str">
        <f t="shared" si="8"/>
        <v>2023 NRS 387 Report</v>
      </c>
      <c r="F82" s="4" t="str">
        <f t="shared" si="8"/>
        <v>2024 NRS 387 Report</v>
      </c>
      <c r="G82" s="17" t="s">
        <v>1367</v>
      </c>
    </row>
    <row r="83" spans="1:9" ht="33" x14ac:dyDescent="0.3">
      <c r="A83" s="9"/>
      <c r="B83" s="76" t="s">
        <v>320</v>
      </c>
      <c r="C83" s="2074"/>
      <c r="D83" s="2074"/>
      <c r="E83" s="2074"/>
      <c r="F83" s="1638"/>
      <c r="G83" s="368">
        <f>F83</f>
        <v>0</v>
      </c>
      <c r="I83" s="2175"/>
    </row>
    <row r="84" spans="1:9" ht="16.5" x14ac:dyDescent="0.3">
      <c r="A84" s="9"/>
      <c r="B84" s="76" t="s">
        <v>324</v>
      </c>
      <c r="C84" s="2074"/>
      <c r="D84" s="2074"/>
      <c r="E84" s="2074"/>
      <c r="F84" s="1638"/>
      <c r="G84" s="368">
        <f t="shared" ref="G84:G144" si="9">F84</f>
        <v>0</v>
      </c>
      <c r="I84" s="2175"/>
    </row>
    <row r="85" spans="1:9" ht="49.5" x14ac:dyDescent="0.3">
      <c r="A85" s="9"/>
      <c r="B85" s="76" t="s">
        <v>327</v>
      </c>
      <c r="C85" s="2074"/>
      <c r="D85" s="2074"/>
      <c r="E85" s="2074"/>
      <c r="F85" s="1638"/>
      <c r="G85" s="368">
        <f t="shared" si="9"/>
        <v>0</v>
      </c>
      <c r="I85" s="76" t="s">
        <v>2242</v>
      </c>
    </row>
    <row r="86" spans="1:9" ht="33" x14ac:dyDescent="0.3">
      <c r="A86" s="9"/>
      <c r="B86" s="76" t="s">
        <v>330</v>
      </c>
      <c r="C86" s="2074"/>
      <c r="D86" s="2074"/>
      <c r="E86" s="2074"/>
      <c r="F86" s="1638"/>
      <c r="G86" s="368">
        <f t="shared" si="9"/>
        <v>0</v>
      </c>
      <c r="I86" s="2175">
        <v>1114469.81</v>
      </c>
    </row>
    <row r="87" spans="1:9" ht="16.5" x14ac:dyDescent="0.3">
      <c r="A87" s="9"/>
      <c r="B87" s="76" t="s">
        <v>334</v>
      </c>
      <c r="C87" s="2074"/>
      <c r="D87" s="2074"/>
      <c r="E87" s="2074"/>
      <c r="F87" s="1638"/>
      <c r="G87" s="368">
        <f t="shared" si="9"/>
        <v>0</v>
      </c>
      <c r="I87" s="2175"/>
    </row>
    <row r="88" spans="1:9" ht="16.5" x14ac:dyDescent="0.3">
      <c r="A88" s="9"/>
      <c r="B88" s="76" t="s">
        <v>337</v>
      </c>
      <c r="C88" s="2074"/>
      <c r="D88" s="2074"/>
      <c r="E88" s="2074"/>
      <c r="F88" s="1638"/>
      <c r="G88" s="368">
        <f t="shared" si="9"/>
        <v>0</v>
      </c>
      <c r="I88" s="2175">
        <v>1000</v>
      </c>
    </row>
    <row r="89" spans="1:9" ht="16.5" x14ac:dyDescent="0.3">
      <c r="A89" s="9"/>
      <c r="B89" s="76" t="s">
        <v>340</v>
      </c>
      <c r="C89" s="2074"/>
      <c r="D89" s="2074"/>
      <c r="E89" s="2074"/>
      <c r="F89" s="1638"/>
      <c r="G89" s="368">
        <f t="shared" si="9"/>
        <v>0</v>
      </c>
      <c r="I89" s="2175"/>
    </row>
    <row r="90" spans="1:9" ht="16.5" x14ac:dyDescent="0.3">
      <c r="A90" s="9"/>
      <c r="B90" s="76" t="s">
        <v>343</v>
      </c>
      <c r="C90" s="2074"/>
      <c r="D90" s="2074"/>
      <c r="E90" s="2074"/>
      <c r="F90" s="1638"/>
      <c r="G90" s="368">
        <f t="shared" si="9"/>
        <v>0</v>
      </c>
      <c r="I90" s="2175">
        <v>125746</v>
      </c>
    </row>
    <row r="91" spans="1:9" ht="16.5" x14ac:dyDescent="0.3">
      <c r="A91" s="9"/>
      <c r="B91" s="76" t="s">
        <v>345</v>
      </c>
      <c r="C91" s="2074"/>
      <c r="D91" s="2074"/>
      <c r="E91" s="2074"/>
      <c r="F91" s="1638"/>
      <c r="G91" s="368">
        <f t="shared" si="9"/>
        <v>0</v>
      </c>
      <c r="I91" s="2175"/>
    </row>
    <row r="92" spans="1:9" ht="33" x14ac:dyDescent="0.3">
      <c r="A92" s="9"/>
      <c r="B92" s="76" t="s">
        <v>348</v>
      </c>
      <c r="C92" s="2074"/>
      <c r="D92" s="2074"/>
      <c r="E92" s="2074"/>
      <c r="F92" s="1638"/>
      <c r="G92" s="368">
        <f t="shared" si="9"/>
        <v>0</v>
      </c>
      <c r="I92" s="2175"/>
    </row>
    <row r="93" spans="1:9" ht="33" x14ac:dyDescent="0.3">
      <c r="A93" s="9"/>
      <c r="B93" s="76" t="s">
        <v>351</v>
      </c>
      <c r="C93" s="2074"/>
      <c r="D93" s="2074"/>
      <c r="E93" s="2074"/>
      <c r="F93" s="1638"/>
      <c r="G93" s="368">
        <f t="shared" si="9"/>
        <v>0</v>
      </c>
      <c r="I93" s="2175"/>
    </row>
    <row r="94" spans="1:9" ht="16.5" x14ac:dyDescent="0.3">
      <c r="A94" s="9"/>
      <c r="B94" s="76" t="s">
        <v>354</v>
      </c>
      <c r="C94" s="2074"/>
      <c r="D94" s="2074"/>
      <c r="E94" s="2074"/>
      <c r="F94" s="1638"/>
      <c r="G94" s="368">
        <f t="shared" si="9"/>
        <v>0</v>
      </c>
      <c r="I94" s="2175"/>
    </row>
    <row r="95" spans="1:9" ht="16.5" x14ac:dyDescent="0.3">
      <c r="A95" s="9"/>
      <c r="B95" s="76" t="s">
        <v>357</v>
      </c>
      <c r="C95" s="2074"/>
      <c r="D95" s="2074"/>
      <c r="E95" s="2074"/>
      <c r="F95" s="1638"/>
      <c r="G95" s="368">
        <f t="shared" si="9"/>
        <v>0</v>
      </c>
      <c r="I95" s="2175"/>
    </row>
    <row r="96" spans="1:9" ht="16.5" x14ac:dyDescent="0.3">
      <c r="A96" s="9"/>
      <c r="B96" s="76" t="s">
        <v>360</v>
      </c>
      <c r="C96" s="2074"/>
      <c r="D96" s="2074"/>
      <c r="E96" s="2074"/>
      <c r="F96" s="1638"/>
      <c r="G96" s="368">
        <f t="shared" si="9"/>
        <v>0</v>
      </c>
      <c r="I96" s="2175"/>
    </row>
    <row r="97" spans="1:9" ht="16.5" x14ac:dyDescent="0.3">
      <c r="A97" s="9"/>
      <c r="B97" s="76" t="s">
        <v>363</v>
      </c>
      <c r="C97" s="2074"/>
      <c r="D97" s="2074"/>
      <c r="E97" s="2074"/>
      <c r="F97" s="1638"/>
      <c r="G97" s="368">
        <f t="shared" si="9"/>
        <v>0</v>
      </c>
      <c r="I97" s="2175">
        <v>209687.42</v>
      </c>
    </row>
    <row r="98" spans="1:9" ht="33" x14ac:dyDescent="0.3">
      <c r="A98" s="9"/>
      <c r="B98" s="76" t="s">
        <v>368</v>
      </c>
      <c r="C98" s="2074"/>
      <c r="D98" s="2074"/>
      <c r="E98" s="2074"/>
      <c r="F98" s="1638"/>
      <c r="G98" s="368">
        <f t="shared" si="9"/>
        <v>0</v>
      </c>
      <c r="I98" s="2175"/>
    </row>
    <row r="99" spans="1:9" ht="16.5" x14ac:dyDescent="0.3">
      <c r="A99" s="9"/>
      <c r="B99" s="76" t="s">
        <v>372</v>
      </c>
      <c r="C99" s="2074"/>
      <c r="D99" s="2074"/>
      <c r="E99" s="2074"/>
      <c r="F99" s="1638"/>
      <c r="G99" s="368">
        <f t="shared" si="9"/>
        <v>0</v>
      </c>
      <c r="I99" s="2175"/>
    </row>
    <row r="100" spans="1:9" ht="33" x14ac:dyDescent="0.3">
      <c r="A100" s="9"/>
      <c r="B100" s="76" t="s">
        <v>375</v>
      </c>
      <c r="C100" s="2074"/>
      <c r="D100" s="2074"/>
      <c r="E100" s="2074"/>
      <c r="F100" s="1638"/>
      <c r="G100" s="368">
        <f t="shared" si="9"/>
        <v>0</v>
      </c>
      <c r="I100" s="2175"/>
    </row>
    <row r="101" spans="1:9" ht="33" x14ac:dyDescent="0.3">
      <c r="A101" s="9"/>
      <c r="B101" s="76" t="s">
        <v>378</v>
      </c>
      <c r="C101" s="2074"/>
      <c r="D101" s="2074"/>
      <c r="E101" s="2074"/>
      <c r="F101" s="1638"/>
      <c r="G101" s="368">
        <f t="shared" si="9"/>
        <v>0</v>
      </c>
      <c r="I101" s="2175"/>
    </row>
    <row r="102" spans="1:9" ht="33" x14ac:dyDescent="0.3">
      <c r="A102" s="9"/>
      <c r="B102" s="76" t="s">
        <v>381</v>
      </c>
      <c r="C102" s="2074"/>
      <c r="D102" s="2074"/>
      <c r="E102" s="2074"/>
      <c r="F102" s="1638"/>
      <c r="G102" s="368">
        <f t="shared" si="9"/>
        <v>0</v>
      </c>
      <c r="I102" s="2175">
        <v>148629</v>
      </c>
    </row>
    <row r="103" spans="1:9" ht="16.5" x14ac:dyDescent="0.3">
      <c r="A103" s="9"/>
      <c r="B103" s="76" t="s">
        <v>384</v>
      </c>
      <c r="C103" s="2074"/>
      <c r="D103" s="2074"/>
      <c r="E103" s="2074"/>
      <c r="F103" s="1638"/>
      <c r="G103" s="368">
        <f t="shared" si="9"/>
        <v>0</v>
      </c>
      <c r="I103" s="2175"/>
    </row>
    <row r="104" spans="1:9" ht="16.5" x14ac:dyDescent="0.3">
      <c r="A104" s="9"/>
      <c r="B104" s="76" t="s">
        <v>387</v>
      </c>
      <c r="C104" s="2074"/>
      <c r="D104" s="2074"/>
      <c r="E104" s="2074"/>
      <c r="F104" s="1638"/>
      <c r="G104" s="368">
        <f t="shared" si="9"/>
        <v>0</v>
      </c>
      <c r="I104" s="2175"/>
    </row>
    <row r="105" spans="1:9" ht="16.5" x14ac:dyDescent="0.3">
      <c r="A105" s="9"/>
      <c r="B105" s="76" t="s">
        <v>390</v>
      </c>
      <c r="C105" s="2074"/>
      <c r="D105" s="2074"/>
      <c r="E105" s="2074"/>
      <c r="F105" s="1638"/>
      <c r="G105" s="368">
        <f t="shared" si="9"/>
        <v>0</v>
      </c>
      <c r="I105" s="2175">
        <v>8000</v>
      </c>
    </row>
    <row r="106" spans="1:9" ht="16.5" x14ac:dyDescent="0.3">
      <c r="A106" s="9"/>
      <c r="B106" s="76" t="s">
        <v>394</v>
      </c>
      <c r="C106" s="2074"/>
      <c r="D106" s="2074"/>
      <c r="E106" s="2074"/>
      <c r="F106" s="1638"/>
      <c r="G106" s="368">
        <f t="shared" si="9"/>
        <v>0</v>
      </c>
      <c r="I106" s="2175"/>
    </row>
    <row r="107" spans="1:9" ht="33" x14ac:dyDescent="0.3">
      <c r="A107" s="9"/>
      <c r="B107" s="76" t="s">
        <v>397</v>
      </c>
      <c r="C107" s="2074"/>
      <c r="D107" s="2074"/>
      <c r="E107" s="2074"/>
      <c r="F107" s="1638"/>
      <c r="G107" s="368">
        <f t="shared" si="9"/>
        <v>0</v>
      </c>
      <c r="I107" s="2175">
        <v>400130</v>
      </c>
    </row>
    <row r="108" spans="1:9" ht="16.5" x14ac:dyDescent="0.3">
      <c r="A108" s="9"/>
      <c r="B108" s="76" t="s">
        <v>401</v>
      </c>
      <c r="C108" s="2074"/>
      <c r="D108" s="2074"/>
      <c r="E108" s="2074"/>
      <c r="F108" s="1638"/>
      <c r="G108" s="368">
        <f t="shared" si="9"/>
        <v>0</v>
      </c>
      <c r="I108" s="2175"/>
    </row>
    <row r="109" spans="1:9" ht="16.5" x14ac:dyDescent="0.3">
      <c r="A109" s="9"/>
      <c r="B109" s="76" t="s">
        <v>405</v>
      </c>
      <c r="C109" s="2074"/>
      <c r="D109" s="2074"/>
      <c r="E109" s="2074"/>
      <c r="F109" s="1638"/>
      <c r="G109" s="368">
        <f t="shared" si="9"/>
        <v>0</v>
      </c>
      <c r="I109" s="2175"/>
    </row>
    <row r="110" spans="1:9" ht="16.5" x14ac:dyDescent="0.3">
      <c r="A110" s="9"/>
      <c r="B110" s="76" t="s">
        <v>409</v>
      </c>
      <c r="C110" s="2074"/>
      <c r="D110" s="2074"/>
      <c r="E110" s="2074"/>
      <c r="F110" s="1638"/>
      <c r="G110" s="368">
        <f t="shared" si="9"/>
        <v>0</v>
      </c>
      <c r="I110" s="2175"/>
    </row>
    <row r="111" spans="1:9" ht="16.5" x14ac:dyDescent="0.3">
      <c r="A111" s="9"/>
      <c r="B111" s="76" t="s">
        <v>413</v>
      </c>
      <c r="C111" s="2074"/>
      <c r="D111" s="2074"/>
      <c r="E111" s="2074"/>
      <c r="F111" s="1638"/>
      <c r="G111" s="368">
        <f t="shared" si="9"/>
        <v>0</v>
      </c>
      <c r="I111" s="2175">
        <v>82999.87</v>
      </c>
    </row>
    <row r="112" spans="1:9" ht="16.5" x14ac:dyDescent="0.3">
      <c r="A112" s="9"/>
      <c r="B112" s="76" t="s">
        <v>416</v>
      </c>
      <c r="C112" s="2074"/>
      <c r="D112" s="2074"/>
      <c r="E112" s="2074"/>
      <c r="F112" s="1638"/>
      <c r="G112" s="368">
        <f t="shared" si="9"/>
        <v>0</v>
      </c>
      <c r="I112" s="2175"/>
    </row>
    <row r="113" spans="1:9" ht="16.5" x14ac:dyDescent="0.3">
      <c r="A113" s="9"/>
      <c r="B113" s="76" t="s">
        <v>419</v>
      </c>
      <c r="C113" s="2074"/>
      <c r="D113" s="2074"/>
      <c r="E113" s="2074"/>
      <c r="F113" s="1638"/>
      <c r="G113" s="368">
        <f t="shared" si="9"/>
        <v>0</v>
      </c>
      <c r="I113" s="2175"/>
    </row>
    <row r="114" spans="1:9" ht="16.5" x14ac:dyDescent="0.3">
      <c r="A114" s="9"/>
      <c r="B114" s="76" t="s">
        <v>422</v>
      </c>
      <c r="C114" s="2074"/>
      <c r="D114" s="2074"/>
      <c r="E114" s="2074"/>
      <c r="F114" s="1638"/>
      <c r="G114" s="368">
        <f t="shared" si="9"/>
        <v>0</v>
      </c>
      <c r="I114" s="2175"/>
    </row>
    <row r="115" spans="1:9" ht="16.5" x14ac:dyDescent="0.3">
      <c r="A115" s="9"/>
      <c r="B115" s="76" t="s">
        <v>426</v>
      </c>
      <c r="C115" s="2074"/>
      <c r="D115" s="2074"/>
      <c r="E115" s="2074"/>
      <c r="F115" s="1638"/>
      <c r="G115" s="368">
        <f t="shared" si="9"/>
        <v>0</v>
      </c>
      <c r="I115" s="2175"/>
    </row>
    <row r="116" spans="1:9" ht="16.5" x14ac:dyDescent="0.3">
      <c r="A116" s="9"/>
      <c r="B116" s="76" t="s">
        <v>430</v>
      </c>
      <c r="C116" s="2074"/>
      <c r="D116" s="2074"/>
      <c r="E116" s="2074"/>
      <c r="F116" s="1638"/>
      <c r="G116" s="368">
        <f t="shared" si="9"/>
        <v>0</v>
      </c>
      <c r="I116" s="2175">
        <v>149428.99</v>
      </c>
    </row>
    <row r="117" spans="1:9" ht="33" x14ac:dyDescent="0.3">
      <c r="A117" s="9"/>
      <c r="B117" s="76" t="s">
        <v>433</v>
      </c>
      <c r="C117" s="2074"/>
      <c r="D117" s="2074"/>
      <c r="E117" s="2074"/>
      <c r="F117" s="1638"/>
      <c r="G117" s="368">
        <f t="shared" si="9"/>
        <v>0</v>
      </c>
      <c r="I117" s="2175">
        <v>63504</v>
      </c>
    </row>
    <row r="118" spans="1:9" ht="16.5" x14ac:dyDescent="0.3">
      <c r="A118" s="9"/>
      <c r="B118" s="76" t="s">
        <v>436</v>
      </c>
      <c r="C118" s="2074"/>
      <c r="D118" s="2074"/>
      <c r="E118" s="2074"/>
      <c r="F118" s="1638"/>
      <c r="G118" s="368">
        <f t="shared" si="9"/>
        <v>0</v>
      </c>
      <c r="I118" s="2175">
        <v>1963605.41</v>
      </c>
    </row>
    <row r="119" spans="1:9" ht="33" x14ac:dyDescent="0.3">
      <c r="A119" s="9"/>
      <c r="B119" s="76" t="s">
        <v>439</v>
      </c>
      <c r="C119" s="2074"/>
      <c r="D119" s="2074"/>
      <c r="E119" s="2074"/>
      <c r="F119" s="1638"/>
      <c r="G119" s="368">
        <f t="shared" si="9"/>
        <v>0</v>
      </c>
      <c r="I119" s="2175"/>
    </row>
    <row r="120" spans="1:9" ht="16.5" x14ac:dyDescent="0.3">
      <c r="A120" s="9"/>
      <c r="B120" s="76" t="s">
        <v>442</v>
      </c>
      <c r="C120" s="2074"/>
      <c r="D120" s="2074"/>
      <c r="E120" s="2074"/>
      <c r="F120" s="1638"/>
      <c r="G120" s="368">
        <f t="shared" si="9"/>
        <v>0</v>
      </c>
      <c r="I120" s="2175"/>
    </row>
    <row r="121" spans="1:9" ht="16.5" x14ac:dyDescent="0.3">
      <c r="A121" s="9"/>
      <c r="B121" s="76" t="s">
        <v>445</v>
      </c>
      <c r="C121" s="2074"/>
      <c r="D121" s="2074"/>
      <c r="E121" s="2074"/>
      <c r="F121" s="1638"/>
      <c r="G121" s="368">
        <f t="shared" si="9"/>
        <v>0</v>
      </c>
      <c r="I121" s="2175">
        <v>102668.98</v>
      </c>
    </row>
    <row r="122" spans="1:9" ht="16.5" x14ac:dyDescent="0.3">
      <c r="A122" s="9"/>
      <c r="B122" s="76" t="s">
        <v>448</v>
      </c>
      <c r="C122" s="2074"/>
      <c r="D122" s="2074"/>
      <c r="E122" s="2074"/>
      <c r="F122" s="1638"/>
      <c r="G122" s="368">
        <f t="shared" si="9"/>
        <v>0</v>
      </c>
      <c r="I122" s="2175">
        <v>52645</v>
      </c>
    </row>
    <row r="123" spans="1:9" ht="16.5" x14ac:dyDescent="0.3">
      <c r="A123" s="9"/>
      <c r="B123" s="76" t="s">
        <v>450</v>
      </c>
      <c r="C123" s="2074"/>
      <c r="D123" s="2074"/>
      <c r="E123" s="2074"/>
      <c r="F123" s="1638"/>
      <c r="G123" s="368">
        <f t="shared" si="9"/>
        <v>0</v>
      </c>
      <c r="I123" s="2175"/>
    </row>
    <row r="124" spans="1:9" ht="33" x14ac:dyDescent="0.3">
      <c r="A124" s="9"/>
      <c r="B124" s="76" t="s">
        <v>453</v>
      </c>
      <c r="C124" s="2074"/>
      <c r="D124" s="2074"/>
      <c r="E124" s="2074"/>
      <c r="F124" s="1638"/>
      <c r="G124" s="368">
        <f t="shared" si="9"/>
        <v>0</v>
      </c>
      <c r="I124" s="2175"/>
    </row>
    <row r="125" spans="1:9" ht="16.5" x14ac:dyDescent="0.3">
      <c r="A125" s="9"/>
      <c r="B125" s="76" t="s">
        <v>456</v>
      </c>
      <c r="C125" s="2074"/>
      <c r="D125" s="2074"/>
      <c r="E125" s="2074"/>
      <c r="F125" s="1638"/>
      <c r="G125" s="368">
        <f t="shared" si="9"/>
        <v>0</v>
      </c>
      <c r="I125" s="2175"/>
    </row>
    <row r="126" spans="1:9" ht="16.5" x14ac:dyDescent="0.3">
      <c r="A126" s="9"/>
      <c r="B126" s="76" t="s">
        <v>459</v>
      </c>
      <c r="C126" s="2074"/>
      <c r="D126" s="2074"/>
      <c r="E126" s="2074"/>
      <c r="F126" s="1638"/>
      <c r="G126" s="368">
        <f t="shared" si="9"/>
        <v>0</v>
      </c>
      <c r="I126" s="2175"/>
    </row>
    <row r="127" spans="1:9" ht="16.5" x14ac:dyDescent="0.3">
      <c r="A127" s="9"/>
      <c r="B127" s="76" t="s">
        <v>463</v>
      </c>
      <c r="C127" s="2074"/>
      <c r="D127" s="2074"/>
      <c r="E127" s="2074"/>
      <c r="F127" s="1638"/>
      <c r="G127" s="368">
        <f t="shared" si="9"/>
        <v>0</v>
      </c>
      <c r="I127" s="2175"/>
    </row>
    <row r="128" spans="1:9" ht="33" x14ac:dyDescent="0.3">
      <c r="A128" s="9"/>
      <c r="B128" s="76" t="s">
        <v>465</v>
      </c>
      <c r="C128" s="2074"/>
      <c r="D128" s="2074"/>
      <c r="E128" s="2074"/>
      <c r="F128" s="1638"/>
      <c r="G128" s="368">
        <f t="shared" si="9"/>
        <v>0</v>
      </c>
      <c r="I128" s="2175">
        <v>354462.25</v>
      </c>
    </row>
    <row r="129" spans="1:9" ht="16.5" x14ac:dyDescent="0.3">
      <c r="A129" s="9"/>
      <c r="B129" s="76" t="s">
        <v>468</v>
      </c>
      <c r="C129" s="2074"/>
      <c r="D129" s="2074"/>
      <c r="E129" s="2074"/>
      <c r="F129" s="1638"/>
      <c r="G129" s="368">
        <f t="shared" si="9"/>
        <v>0</v>
      </c>
      <c r="I129" s="2175"/>
    </row>
    <row r="130" spans="1:9" ht="33" x14ac:dyDescent="0.3">
      <c r="A130" s="9"/>
      <c r="B130" s="76" t="s">
        <v>471</v>
      </c>
      <c r="C130" s="2074"/>
      <c r="D130" s="2074"/>
      <c r="E130" s="2074"/>
      <c r="F130" s="1638"/>
      <c r="G130" s="368">
        <f t="shared" si="9"/>
        <v>0</v>
      </c>
      <c r="I130" s="2175"/>
    </row>
    <row r="131" spans="1:9" ht="16.5" x14ac:dyDescent="0.3">
      <c r="A131" s="9"/>
      <c r="B131" s="76" t="s">
        <v>472</v>
      </c>
      <c r="C131" s="2074"/>
      <c r="D131" s="2074"/>
      <c r="E131" s="2074"/>
      <c r="F131" s="1638"/>
      <c r="G131" s="368">
        <f t="shared" si="9"/>
        <v>0</v>
      </c>
      <c r="I131" s="2175">
        <v>160481.76</v>
      </c>
    </row>
    <row r="132" spans="1:9" ht="16.5" x14ac:dyDescent="0.3">
      <c r="A132" s="9"/>
      <c r="B132" s="76" t="s">
        <v>474</v>
      </c>
      <c r="C132" s="2074"/>
      <c r="D132" s="2074"/>
      <c r="E132" s="2074"/>
      <c r="F132" s="1638"/>
      <c r="G132" s="368">
        <f t="shared" si="9"/>
        <v>0</v>
      </c>
      <c r="I132" s="2175"/>
    </row>
    <row r="133" spans="1:9" ht="16.5" x14ac:dyDescent="0.3">
      <c r="A133" s="9"/>
      <c r="B133" s="76" t="s">
        <v>476</v>
      </c>
      <c r="C133" s="2074"/>
      <c r="D133" s="2074"/>
      <c r="E133" s="2074"/>
      <c r="F133" s="1638"/>
      <c r="G133" s="368">
        <f t="shared" si="9"/>
        <v>0</v>
      </c>
      <c r="I133" s="2175"/>
    </row>
    <row r="134" spans="1:9" ht="16.5" x14ac:dyDescent="0.3">
      <c r="A134" s="9"/>
      <c r="B134" s="76" t="s">
        <v>478</v>
      </c>
      <c r="C134" s="2074"/>
      <c r="D134" s="2074"/>
      <c r="E134" s="2074"/>
      <c r="F134" s="1638"/>
      <c r="G134" s="368">
        <f t="shared" si="9"/>
        <v>0</v>
      </c>
      <c r="I134" s="2175">
        <v>43550</v>
      </c>
    </row>
    <row r="135" spans="1:9" ht="16.5" x14ac:dyDescent="0.3">
      <c r="A135" s="9"/>
      <c r="B135" s="76" t="s">
        <v>480</v>
      </c>
      <c r="C135" s="2074"/>
      <c r="D135" s="2074"/>
      <c r="E135" s="2074"/>
      <c r="F135" s="1638"/>
      <c r="G135" s="368">
        <f t="shared" si="9"/>
        <v>0</v>
      </c>
      <c r="I135" s="2175"/>
    </row>
    <row r="136" spans="1:9" ht="16.5" x14ac:dyDescent="0.3">
      <c r="A136" s="9"/>
      <c r="B136" s="76" t="s">
        <v>482</v>
      </c>
      <c r="C136" s="2074"/>
      <c r="D136" s="2074"/>
      <c r="E136" s="2074"/>
      <c r="F136" s="1638"/>
      <c r="G136" s="368">
        <f t="shared" si="9"/>
        <v>0</v>
      </c>
      <c r="I136" s="2175"/>
    </row>
    <row r="137" spans="1:9" ht="16.5" x14ac:dyDescent="0.3">
      <c r="A137" s="9"/>
      <c r="B137" s="76" t="s">
        <v>484</v>
      </c>
      <c r="C137" s="2074"/>
      <c r="D137" s="2074"/>
      <c r="E137" s="2074"/>
      <c r="F137" s="1638"/>
      <c r="G137" s="368">
        <f t="shared" si="9"/>
        <v>0</v>
      </c>
      <c r="I137" s="2175"/>
    </row>
    <row r="138" spans="1:9" ht="16.5" x14ac:dyDescent="0.3">
      <c r="A138" s="9"/>
      <c r="B138" s="76" t="s">
        <v>486</v>
      </c>
      <c r="C138" s="2074"/>
      <c r="D138" s="2074"/>
      <c r="E138" s="2074"/>
      <c r="F138" s="1638"/>
      <c r="G138" s="368">
        <f t="shared" si="9"/>
        <v>0</v>
      </c>
      <c r="I138" s="2175"/>
    </row>
    <row r="139" spans="1:9" ht="33" x14ac:dyDescent="0.3">
      <c r="A139" s="9"/>
      <c r="B139" s="76" t="s">
        <v>488</v>
      </c>
      <c r="C139" s="2074"/>
      <c r="D139" s="2074"/>
      <c r="E139" s="2074"/>
      <c r="F139" s="1638"/>
      <c r="G139" s="368">
        <f t="shared" si="9"/>
        <v>0</v>
      </c>
      <c r="I139" s="2175">
        <v>39923</v>
      </c>
    </row>
    <row r="140" spans="1:9" ht="33" x14ac:dyDescent="0.3">
      <c r="A140" s="9"/>
      <c r="B140" s="76" t="s">
        <v>490</v>
      </c>
      <c r="C140" s="2074"/>
      <c r="D140" s="2074"/>
      <c r="E140" s="2074"/>
      <c r="F140" s="1638"/>
      <c r="G140" s="368">
        <f t="shared" si="9"/>
        <v>0</v>
      </c>
      <c r="I140" s="2175"/>
    </row>
    <row r="141" spans="1:9" ht="16.5" x14ac:dyDescent="0.3">
      <c r="A141" s="9"/>
      <c r="B141" s="76" t="s">
        <v>492</v>
      </c>
      <c r="C141" s="2074"/>
      <c r="D141" s="2074"/>
      <c r="E141" s="2074"/>
      <c r="F141" s="1638"/>
      <c r="G141" s="368">
        <f t="shared" si="9"/>
        <v>0</v>
      </c>
      <c r="I141" s="2175"/>
    </row>
    <row r="142" spans="1:9" ht="16.5" x14ac:dyDescent="0.3">
      <c r="A142" s="9"/>
      <c r="B142" s="76" t="s">
        <v>494</v>
      </c>
      <c r="C142" s="2074"/>
      <c r="D142" s="2074"/>
      <c r="E142" s="2074"/>
      <c r="F142" s="1638"/>
      <c r="G142" s="368">
        <f t="shared" si="9"/>
        <v>0</v>
      </c>
      <c r="I142" s="2175"/>
    </row>
    <row r="143" spans="1:9" ht="16.5" x14ac:dyDescent="0.3">
      <c r="A143" s="9"/>
      <c r="B143" s="76" t="s">
        <v>496</v>
      </c>
      <c r="C143" s="2074"/>
      <c r="D143" s="2074"/>
      <c r="E143" s="2074"/>
      <c r="F143" s="1638"/>
      <c r="G143" s="368">
        <f t="shared" si="9"/>
        <v>0</v>
      </c>
      <c r="I143" s="2175"/>
    </row>
    <row r="144" spans="1:9" ht="33" x14ac:dyDescent="0.3">
      <c r="A144" s="9"/>
      <c r="B144" s="76" t="s">
        <v>498</v>
      </c>
      <c r="C144" s="2082"/>
      <c r="D144" s="2082"/>
      <c r="E144" s="2082"/>
      <c r="F144" s="1639"/>
      <c r="G144" s="391">
        <f t="shared" si="9"/>
        <v>0</v>
      </c>
      <c r="I144" s="2176">
        <v>59400</v>
      </c>
    </row>
    <row r="145" spans="1:7" ht="16.5" x14ac:dyDescent="0.3">
      <c r="A145" s="9"/>
      <c r="B145" s="76"/>
      <c r="C145" s="9">
        <f>SUM(C83:C144)</f>
        <v>0</v>
      </c>
      <c r="D145" s="9">
        <f>SUM(D83:D144)</f>
        <v>0</v>
      </c>
      <c r="E145" s="9">
        <f>SUM(E83:E144)</f>
        <v>0</v>
      </c>
      <c r="F145" s="10">
        <f>SUM(F83:F144)</f>
        <v>0</v>
      </c>
      <c r="G145" s="10">
        <f>SUM(G83:G144)</f>
        <v>0</v>
      </c>
    </row>
    <row r="146" spans="1:7" ht="16.5" x14ac:dyDescent="0.3">
      <c r="A146" s="9"/>
      <c r="B146" s="76"/>
      <c r="C146" s="9"/>
      <c r="D146" s="9"/>
      <c r="E146" s="9"/>
      <c r="F146" s="9"/>
      <c r="G146" s="9"/>
    </row>
  </sheetData>
  <mergeCells count="1">
    <mergeCell ref="B38:G38"/>
  </mergeCells>
  <dataValidations count="1">
    <dataValidation type="list" allowBlank="1" showInputMessage="1" showErrorMessage="1" sqref="F6 H6:I6" xr:uid="{40EB088A-8646-41EE-A70E-2CF8BCC90C67}">
      <formula1>$J$6:$J$7</formula1>
    </dataValidation>
  </dataValidations>
  <pageMargins left="0.7" right="0.7" top="0.75" bottom="0.75" header="0.3" footer="0.3"/>
  <pageSetup paperSize="3" scale="93" fitToHeight="0" orientation="landscape" r:id="rId1"/>
  <headerFooter>
    <oddHeader>&amp;R&amp;"Arial Narrow,Regular"&amp;10&amp;A
&amp;P</oddHeader>
  </headerFooter>
  <rowBreaks count="1" manualBreakCount="1">
    <brk id="33"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BBAB-FDC3-418A-9B33-1D7ECC0BA8CB}">
  <sheetPr>
    <tabColor theme="6" tint="-0.499984740745262"/>
    <pageSetUpPr autoPageBreaks="0" fitToPage="1"/>
  </sheetPr>
  <dimension ref="A1:P111"/>
  <sheetViews>
    <sheetView workbookViewId="0">
      <selection activeCell="B22" sqref="B22"/>
    </sheetView>
  </sheetViews>
  <sheetFormatPr defaultColWidth="8.7109375" defaultRowHeight="16.5" x14ac:dyDescent="0.3"/>
  <cols>
    <col min="1" max="1" width="6.7109375" style="9" customWidth="1"/>
    <col min="2" max="2" width="46.5703125" style="9" customWidth="1"/>
    <col min="3" max="3" width="20.5703125" style="9" bestFit="1" customWidth="1"/>
    <col min="4" max="4" width="19" style="9" bestFit="1" customWidth="1"/>
    <col min="5" max="5" width="17.7109375" style="9" bestFit="1" customWidth="1"/>
    <col min="6" max="6" width="16.42578125" style="9" bestFit="1" customWidth="1"/>
    <col min="7" max="7" width="17" style="9" bestFit="1" customWidth="1"/>
    <col min="8" max="9" width="17" style="9" customWidth="1"/>
    <col min="10" max="10" width="17" style="9" bestFit="1" customWidth="1"/>
    <col min="11" max="11" width="16.42578125" style="9" bestFit="1" customWidth="1"/>
    <col min="12" max="12" width="44.140625" style="9" bestFit="1" customWidth="1"/>
    <col min="13" max="13" width="10.5703125" style="9" bestFit="1" customWidth="1"/>
    <col min="14" max="14" width="5.5703125" style="9" customWidth="1"/>
    <col min="15" max="15" width="10.140625" style="9" customWidth="1"/>
    <col min="16" max="16" width="9" style="9" customWidth="1"/>
    <col min="17" max="16384" width="8.7109375" style="9"/>
  </cols>
  <sheetData>
    <row r="1" spans="1:16" s="4" customFormat="1" x14ac:dyDescent="0.3">
      <c r="A1" s="880" t="s">
        <v>15</v>
      </c>
      <c r="B1" s="880"/>
      <c r="C1" s="880"/>
      <c r="D1" s="880"/>
      <c r="E1" s="880"/>
      <c r="F1" s="880"/>
      <c r="G1" s="880"/>
      <c r="H1" s="880"/>
      <c r="I1" s="880"/>
      <c r="J1" s="880"/>
      <c r="K1" s="880"/>
      <c r="L1" s="880"/>
    </row>
    <row r="2" spans="1:16" x14ac:dyDescent="0.3">
      <c r="A2" s="881" t="str">
        <f>CONCATENATE("Pupil Center Funding Plan | FY",'5.1 Assumption Control YR2'!D5)</f>
        <v>Pupil Center Funding Plan | FY2027</v>
      </c>
      <c r="B2" s="881"/>
      <c r="C2" s="881"/>
      <c r="D2" s="881"/>
      <c r="E2" s="881"/>
      <c r="F2" s="881"/>
      <c r="G2" s="881"/>
      <c r="H2" s="881"/>
      <c r="I2" s="881"/>
      <c r="J2" s="881"/>
      <c r="K2" s="881"/>
      <c r="L2" s="881"/>
    </row>
    <row r="3" spans="1:16" x14ac:dyDescent="0.3">
      <c r="A3" s="881" t="s">
        <v>1757</v>
      </c>
      <c r="B3" s="881"/>
      <c r="C3" s="881"/>
      <c r="D3" s="881"/>
      <c r="E3" s="881"/>
      <c r="F3" s="881"/>
      <c r="G3" s="881"/>
      <c r="H3" s="881"/>
      <c r="I3" s="881"/>
      <c r="J3" s="881"/>
      <c r="K3" s="881"/>
      <c r="L3" s="881"/>
    </row>
    <row r="4" spans="1:16" x14ac:dyDescent="0.3">
      <c r="A4" s="881"/>
      <c r="B4" s="882"/>
      <c r="C4" s="881"/>
      <c r="D4" s="881"/>
      <c r="E4" s="881"/>
      <c r="F4" s="881"/>
      <c r="G4" s="881"/>
      <c r="H4" s="881"/>
      <c r="I4" s="881"/>
      <c r="J4" s="881"/>
      <c r="K4" s="881"/>
      <c r="L4" s="881"/>
    </row>
    <row r="5" spans="1:16" ht="17.25" thickBot="1" x14ac:dyDescent="0.35">
      <c r="A5" s="881"/>
      <c r="B5" s="881"/>
      <c r="C5" s="883" t="s">
        <v>1331</v>
      </c>
      <c r="D5" s="883" t="s">
        <v>1332</v>
      </c>
      <c r="E5" s="884" t="s">
        <v>1333</v>
      </c>
      <c r="F5" s="881"/>
      <c r="G5" s="881"/>
      <c r="H5" s="881"/>
      <c r="I5" s="881"/>
      <c r="J5" s="881"/>
      <c r="K5" s="881"/>
      <c r="L5" s="881"/>
    </row>
    <row r="6" spans="1:16" ht="18" thickTop="1" thickBot="1" x14ac:dyDescent="0.35">
      <c r="A6" s="881"/>
      <c r="B6" s="883" t="s">
        <v>1336</v>
      </c>
      <c r="C6" s="905">
        <f>'6.1 Auxiliary Services YR2'!E6</f>
        <v>5566827358</v>
      </c>
      <c r="D6" s="906">
        <f>L30</f>
        <v>599568343</v>
      </c>
      <c r="E6" s="907">
        <f>C6-D6</f>
        <v>4967259015</v>
      </c>
      <c r="F6" s="881"/>
      <c r="G6" s="881"/>
      <c r="H6" s="881"/>
      <c r="I6" s="881"/>
      <c r="J6" s="881"/>
      <c r="K6" s="881"/>
      <c r="L6" s="881"/>
    </row>
    <row r="7" spans="1:16" ht="17.25" thickTop="1" x14ac:dyDescent="0.3">
      <c r="A7" s="881"/>
      <c r="B7" s="881"/>
      <c r="C7" s="881"/>
      <c r="D7" s="884"/>
      <c r="E7" s="884"/>
      <c r="F7" s="881"/>
      <c r="G7" s="881"/>
      <c r="H7" s="881"/>
      <c r="I7" s="881"/>
      <c r="J7" s="881"/>
      <c r="K7" s="881"/>
      <c r="L7" s="881"/>
    </row>
    <row r="8" spans="1:16" ht="66" x14ac:dyDescent="0.3">
      <c r="A8" s="300" t="s">
        <v>1228</v>
      </c>
      <c r="B8" s="207"/>
      <c r="C8" s="2302" t="s">
        <v>2309</v>
      </c>
      <c r="D8" s="2302" t="s">
        <v>2310</v>
      </c>
      <c r="E8" s="2302" t="s">
        <v>2311</v>
      </c>
      <c r="F8" s="2304" t="s">
        <v>2312</v>
      </c>
      <c r="G8" s="2302" t="s">
        <v>2313</v>
      </c>
      <c r="H8" s="2302" t="s">
        <v>2314</v>
      </c>
      <c r="I8" s="2302" t="s">
        <v>2315</v>
      </c>
      <c r="J8" s="2304" t="s">
        <v>2316</v>
      </c>
      <c r="K8" s="2005" t="s">
        <v>2317</v>
      </c>
      <c r="L8" s="2303" t="s">
        <v>2318</v>
      </c>
      <c r="N8" s="22"/>
      <c r="O8" s="206" t="s">
        <v>1385</v>
      </c>
    </row>
    <row r="9" spans="1:16" x14ac:dyDescent="0.3">
      <c r="A9" s="455"/>
      <c r="B9" s="1566" t="str">
        <f>'5.2 Budgeted Enrollment YR2'!E9</f>
        <v>Carson City</v>
      </c>
      <c r="C9" s="1567">
        <f>'2.2 Spec Ed Local YR1'!C9</f>
        <v>13448324</v>
      </c>
      <c r="D9" s="1567">
        <f>'2.2 Spec Ed Local YR1'!D9</f>
        <v>0</v>
      </c>
      <c r="E9" s="1567">
        <f>'2.2 Spec Ed Local YR1'!E9</f>
        <v>0</v>
      </c>
      <c r="F9" s="2305">
        <f>'2.2 Spec Ed Local YR1'!F9</f>
        <v>13448324</v>
      </c>
      <c r="G9" s="1567">
        <f>'2.2 Spec Ed Local YR1'!G9</f>
        <v>5221700.87</v>
      </c>
      <c r="H9" s="1567">
        <f>'2.2 Spec Ed Local YR1'!H9</f>
        <v>1485504</v>
      </c>
      <c r="I9" s="1567">
        <f>'2.2 Spec Ed Local YR1'!I9</f>
        <v>0</v>
      </c>
      <c r="J9" s="2305">
        <f>'2.2 Spec Ed Local YR1'!J9</f>
        <v>6707204.8700000001</v>
      </c>
      <c r="K9" s="1568">
        <f>'2.2 Spec Ed Local YR1'!K9</f>
        <v>6741119.1299999999</v>
      </c>
      <c r="L9" s="2006">
        <f>'2.2 Spec Ed Local YR1'!L9</f>
        <v>6741119</v>
      </c>
      <c r="N9" s="22"/>
      <c r="O9" s="311">
        <v>1165</v>
      </c>
      <c r="P9" s="368">
        <f>IF(L9=0,0,L9/O9)</f>
        <v>5786.3682403433477</v>
      </c>
    </row>
    <row r="10" spans="1:16" x14ac:dyDescent="0.3">
      <c r="A10" s="106"/>
      <c r="B10" s="36" t="str">
        <f>'5.2 Budgeted Enrollment YR2'!E10</f>
        <v>Churchill</v>
      </c>
      <c r="C10" s="1569">
        <f>'2.2 Spec Ed Local YR1'!C10</f>
        <v>6149106.0041200006</v>
      </c>
      <c r="D10" s="1569">
        <f>'2.2 Spec Ed Local YR1'!D10</f>
        <v>0</v>
      </c>
      <c r="E10" s="1569">
        <f>'2.2 Spec Ed Local YR1'!E10</f>
        <v>0</v>
      </c>
      <c r="F10" s="2306">
        <f>'2.2 Spec Ed Local YR1'!F10</f>
        <v>6149106.0041200006</v>
      </c>
      <c r="G10" s="1569">
        <f>'2.2 Spec Ed Local YR1'!G10</f>
        <v>3781651.6599999997</v>
      </c>
      <c r="H10" s="1569">
        <f>'2.2 Spec Ed Local YR1'!H10</f>
        <v>0</v>
      </c>
      <c r="I10" s="1569">
        <f>'2.2 Spec Ed Local YR1'!I10</f>
        <v>151769.35999999999</v>
      </c>
      <c r="J10" s="2306">
        <f>'2.2 Spec Ed Local YR1'!J10</f>
        <v>3933421.0199999996</v>
      </c>
      <c r="K10" s="1570">
        <f>'2.2 Spec Ed Local YR1'!K10</f>
        <v>2215684.9841200011</v>
      </c>
      <c r="L10" s="1571">
        <f>'2.2 Spec Ed Local YR1'!L10</f>
        <v>2215685</v>
      </c>
      <c r="N10" s="22"/>
      <c r="O10" s="311">
        <v>553</v>
      </c>
      <c r="P10" s="368">
        <f t="shared" ref="P10:P29" si="0">IF(L10=0,0,L10/O10)</f>
        <v>4006.6636528028935</v>
      </c>
    </row>
    <row r="11" spans="1:16" x14ac:dyDescent="0.3">
      <c r="A11" s="106"/>
      <c r="B11" s="36" t="str">
        <f>'5.2 Budgeted Enrollment YR2'!E11</f>
        <v>Clark</v>
      </c>
      <c r="C11" s="1569">
        <f>'2.2 Spec Ed Local YR1'!C11</f>
        <v>602461303.3599999</v>
      </c>
      <c r="D11" s="1569">
        <f>'2.2 Spec Ed Local YR1'!D11</f>
        <v>187104.95</v>
      </c>
      <c r="E11" s="1569">
        <f>'2.2 Spec Ed Local YR1'!E11</f>
        <v>-1648.15</v>
      </c>
      <c r="F11" s="2306">
        <f>'2.2 Spec Ed Local YR1'!F11</f>
        <v>602646760.15999997</v>
      </c>
      <c r="G11" s="1569">
        <f>'2.2 Spec Ed Local YR1'!G11</f>
        <v>149620959.21999997</v>
      </c>
      <c r="H11" s="1569">
        <f>'2.2 Spec Ed Local YR1'!H11</f>
        <v>0</v>
      </c>
      <c r="I11" s="1569">
        <f>'2.2 Spec Ed Local YR1'!I11</f>
        <v>0</v>
      </c>
      <c r="J11" s="2306">
        <f>'2.2 Spec Ed Local YR1'!J11</f>
        <v>149620959.21999997</v>
      </c>
      <c r="K11" s="1570">
        <f>'2.2 Spec Ed Local YR1'!K11</f>
        <v>453025800.94</v>
      </c>
      <c r="L11" s="1571">
        <f>'2.2 Spec Ed Local YR1'!L11</f>
        <v>453025801</v>
      </c>
      <c r="M11" s="20"/>
      <c r="N11" s="22"/>
      <c r="O11" s="311">
        <v>41867</v>
      </c>
      <c r="P11" s="368">
        <f t="shared" si="0"/>
        <v>10820.593808966489</v>
      </c>
    </row>
    <row r="12" spans="1:16" x14ac:dyDescent="0.3">
      <c r="A12" s="106"/>
      <c r="B12" s="36" t="str">
        <f>'5.2 Budgeted Enrollment YR2'!E12</f>
        <v>Douglas</v>
      </c>
      <c r="C12" s="1569">
        <f>'2.2 Spec Ed Local YR1'!C12</f>
        <v>10221248.200000001</v>
      </c>
      <c r="D12" s="1569">
        <f>'2.2 Spec Ed Local YR1'!D12</f>
        <v>1109.08</v>
      </c>
      <c r="E12" s="1569">
        <f>'2.2 Spec Ed Local YR1'!E12</f>
        <v>0</v>
      </c>
      <c r="F12" s="2306">
        <f>'2.2 Spec Ed Local YR1'!F12</f>
        <v>10222357.280000001</v>
      </c>
      <c r="G12" s="1569">
        <f>'2.2 Spec Ed Local YR1'!G12</f>
        <v>4241171.6500000004</v>
      </c>
      <c r="H12" s="1569">
        <f>'2.2 Spec Ed Local YR1'!H12</f>
        <v>552786.01</v>
      </c>
      <c r="I12" s="1569">
        <f>'2.2 Spec Ed Local YR1'!I12</f>
        <v>0</v>
      </c>
      <c r="J12" s="2306">
        <f>'2.2 Spec Ed Local YR1'!J12</f>
        <v>4793957.66</v>
      </c>
      <c r="K12" s="1570">
        <f>'2.2 Spec Ed Local YR1'!K12</f>
        <v>5428399.620000001</v>
      </c>
      <c r="L12" s="1571">
        <f>'2.2 Spec Ed Local YR1'!L12</f>
        <v>5428400</v>
      </c>
      <c r="N12" s="22"/>
      <c r="O12" s="311">
        <v>803</v>
      </c>
      <c r="P12" s="368">
        <f t="shared" si="0"/>
        <v>6760.1494396014941</v>
      </c>
    </row>
    <row r="13" spans="1:16" x14ac:dyDescent="0.3">
      <c r="A13" s="106"/>
      <c r="B13" s="36" t="str">
        <f>'5.2 Budgeted Enrollment YR2'!E13</f>
        <v>Elko</v>
      </c>
      <c r="C13" s="1569">
        <f>'2.2 Spec Ed Local YR1'!C13</f>
        <v>12087261.810000001</v>
      </c>
      <c r="D13" s="1569">
        <f>'2.2 Spec Ed Local YR1'!D13</f>
        <v>12923.3</v>
      </c>
      <c r="E13" s="1569">
        <f>'2.2 Spec Ed Local YR1'!E13</f>
        <v>0</v>
      </c>
      <c r="F13" s="2306">
        <f>'2.2 Spec Ed Local YR1'!F13</f>
        <v>12100185.110000001</v>
      </c>
      <c r="G13" s="1569">
        <f>'2.2 Spec Ed Local YR1'!G13</f>
        <v>5241481.0999999996</v>
      </c>
      <c r="H13" s="1569">
        <f>'2.2 Spec Ed Local YR1'!H13</f>
        <v>0</v>
      </c>
      <c r="I13" s="1569">
        <f>'2.2 Spec Ed Local YR1'!I13</f>
        <v>42926</v>
      </c>
      <c r="J13" s="2306">
        <f>'2.2 Spec Ed Local YR1'!J13</f>
        <v>5284407.0999999996</v>
      </c>
      <c r="K13" s="1570">
        <f>'2.2 Spec Ed Local YR1'!K13</f>
        <v>6815778.0100000016</v>
      </c>
      <c r="L13" s="1571">
        <f>'2.2 Spec Ed Local YR1'!L13</f>
        <v>6815778</v>
      </c>
      <c r="N13" s="22"/>
      <c r="O13" s="311">
        <v>1316</v>
      </c>
      <c r="P13" s="368">
        <f t="shared" si="0"/>
        <v>5179.1626139817627</v>
      </c>
    </row>
    <row r="14" spans="1:16" x14ac:dyDescent="0.3">
      <c r="A14" s="106"/>
      <c r="B14" s="36" t="str">
        <f>'5.2 Budgeted Enrollment YR2'!E14</f>
        <v>Esmeralda</v>
      </c>
      <c r="C14" s="1569">
        <f>'2.2 Spec Ed Local YR1'!C14</f>
        <v>103348.59</v>
      </c>
      <c r="D14" s="1569">
        <f>'2.2 Spec Ed Local YR1'!D14</f>
        <v>0</v>
      </c>
      <c r="E14" s="1569">
        <f>'2.2 Spec Ed Local YR1'!E14</f>
        <v>0</v>
      </c>
      <c r="F14" s="2306">
        <f>'2.2 Spec Ed Local YR1'!F14</f>
        <v>103348.59</v>
      </c>
      <c r="G14" s="1569">
        <f>'2.2 Spec Ed Local YR1'!G14</f>
        <v>60983</v>
      </c>
      <c r="H14" s="1569">
        <f>'2.2 Spec Ed Local YR1'!H14</f>
        <v>3796.98</v>
      </c>
      <c r="I14" s="1569">
        <f>'2.2 Spec Ed Local YR1'!I14</f>
        <v>0</v>
      </c>
      <c r="J14" s="2306">
        <f>'2.2 Spec Ed Local YR1'!J14</f>
        <v>64779.98</v>
      </c>
      <c r="K14" s="1570">
        <f>'2.2 Spec Ed Local YR1'!K14</f>
        <v>38568.609999999993</v>
      </c>
      <c r="L14" s="1571">
        <f>'2.2 Spec Ed Local YR1'!L14</f>
        <v>38569</v>
      </c>
      <c r="N14" s="22"/>
      <c r="O14" s="311">
        <v>8</v>
      </c>
      <c r="P14" s="368">
        <f t="shared" si="0"/>
        <v>4821.125</v>
      </c>
    </row>
    <row r="15" spans="1:16" x14ac:dyDescent="0.3">
      <c r="A15" s="106"/>
      <c r="B15" s="36" t="str">
        <f>'5.2 Budgeted Enrollment YR2'!E15</f>
        <v>Eureka</v>
      </c>
      <c r="C15" s="1569">
        <f>'2.2 Spec Ed Local YR1'!C15</f>
        <v>874863.5</v>
      </c>
      <c r="D15" s="1569">
        <f>'2.2 Spec Ed Local YR1'!D15</f>
        <v>0</v>
      </c>
      <c r="E15" s="1569">
        <f>'2.2 Spec Ed Local YR1'!E15</f>
        <v>0</v>
      </c>
      <c r="F15" s="2306">
        <f>'2.2 Spec Ed Local YR1'!F15</f>
        <v>874863.5</v>
      </c>
      <c r="G15" s="1569">
        <f>'2.2 Spec Ed Local YR1'!G15</f>
        <v>291207.96000000002</v>
      </c>
      <c r="H15" s="1569">
        <f>'2.2 Spec Ed Local YR1'!H15</f>
        <v>1453195</v>
      </c>
      <c r="I15" s="1569">
        <f>'2.2 Spec Ed Local YR1'!I15</f>
        <v>0</v>
      </c>
      <c r="J15" s="2306">
        <f>'2.2 Spec Ed Local YR1'!J15</f>
        <v>1744402.96</v>
      </c>
      <c r="K15" s="1570">
        <f>'2.2 Spec Ed Local YR1'!K15</f>
        <v>-869539.46</v>
      </c>
      <c r="L15" s="1571">
        <f>'2.2 Spec Ed Local YR1'!L15</f>
        <v>0</v>
      </c>
      <c r="N15" s="22"/>
      <c r="O15" s="311">
        <v>45</v>
      </c>
      <c r="P15" s="368">
        <f t="shared" si="0"/>
        <v>0</v>
      </c>
    </row>
    <row r="16" spans="1:16" x14ac:dyDescent="0.3">
      <c r="A16" s="106"/>
      <c r="B16" s="36" t="str">
        <f>'5.2 Budgeted Enrollment YR2'!E16</f>
        <v>Humboldt</v>
      </c>
      <c r="C16" s="1569">
        <f>'2.2 Spec Ed Local YR1'!C16</f>
        <v>5611028.0300000003</v>
      </c>
      <c r="D16" s="1569">
        <f>'2.2 Spec Ed Local YR1'!D16</f>
        <v>399.45</v>
      </c>
      <c r="E16" s="1569">
        <f>'2.2 Spec Ed Local YR1'!E16</f>
        <v>0</v>
      </c>
      <c r="F16" s="2306">
        <f>'2.2 Spec Ed Local YR1'!F16</f>
        <v>5611427.4800000004</v>
      </c>
      <c r="G16" s="1569">
        <f>'2.2 Spec Ed Local YR1'!G16</f>
        <v>2411279.35</v>
      </c>
      <c r="H16" s="1569">
        <f>'2.2 Spec Ed Local YR1'!H16</f>
        <v>0</v>
      </c>
      <c r="I16" s="1569">
        <f>'2.2 Spec Ed Local YR1'!I16</f>
        <v>52264.83</v>
      </c>
      <c r="J16" s="2306">
        <f>'2.2 Spec Ed Local YR1'!J16</f>
        <v>2463544.1800000002</v>
      </c>
      <c r="K16" s="1570">
        <f>'2.2 Spec Ed Local YR1'!K16</f>
        <v>3147883.3000000003</v>
      </c>
      <c r="L16" s="1571">
        <f>'2.2 Spec Ed Local YR1'!L16</f>
        <v>3147883</v>
      </c>
      <c r="N16" s="22"/>
      <c r="O16" s="311">
        <v>510</v>
      </c>
      <c r="P16" s="368">
        <f t="shared" si="0"/>
        <v>6172.3196078431374</v>
      </c>
    </row>
    <row r="17" spans="1:16" x14ac:dyDescent="0.3">
      <c r="A17" s="106"/>
      <c r="B17" s="36" t="str">
        <f>'5.2 Budgeted Enrollment YR2'!E17</f>
        <v>Lander</v>
      </c>
      <c r="C17" s="1569">
        <f>'2.2 Spec Ed Local YR1'!C17</f>
        <v>1576252.4000000001</v>
      </c>
      <c r="D17" s="1569">
        <f>'2.2 Spec Ed Local YR1'!D17</f>
        <v>0</v>
      </c>
      <c r="E17" s="1569">
        <f>'2.2 Spec Ed Local YR1'!E17</f>
        <v>0</v>
      </c>
      <c r="F17" s="2306">
        <f>'2.2 Spec Ed Local YR1'!F17</f>
        <v>1576252.4000000001</v>
      </c>
      <c r="G17" s="1569">
        <f>'2.2 Spec Ed Local YR1'!G17</f>
        <v>748184.7</v>
      </c>
      <c r="H17" s="1569">
        <f>'2.2 Spec Ed Local YR1'!H17</f>
        <v>0</v>
      </c>
      <c r="I17" s="1569">
        <f>'2.2 Spec Ed Local YR1'!I17</f>
        <v>0</v>
      </c>
      <c r="J17" s="2306">
        <f>'2.2 Spec Ed Local YR1'!J17</f>
        <v>748184.7</v>
      </c>
      <c r="K17" s="1570">
        <f>'2.2 Spec Ed Local YR1'!K17</f>
        <v>828067.70000000019</v>
      </c>
      <c r="L17" s="1571">
        <f>'2.2 Spec Ed Local YR1'!L17</f>
        <v>828068</v>
      </c>
      <c r="N17" s="22"/>
      <c r="O17" s="311">
        <v>128</v>
      </c>
      <c r="P17" s="368">
        <f t="shared" si="0"/>
        <v>6469.28125</v>
      </c>
    </row>
    <row r="18" spans="1:16" x14ac:dyDescent="0.3">
      <c r="A18" s="106"/>
      <c r="B18" s="36" t="str">
        <f>'5.2 Budgeted Enrollment YR2'!E18</f>
        <v>Lincoln</v>
      </c>
      <c r="C18" s="1569">
        <f>'2.2 Spec Ed Local YR1'!C18</f>
        <v>1793163.91</v>
      </c>
      <c r="D18" s="1569">
        <f>'2.2 Spec Ed Local YR1'!D18</f>
        <v>0</v>
      </c>
      <c r="E18" s="1569">
        <f>'2.2 Spec Ed Local YR1'!E18</f>
        <v>0</v>
      </c>
      <c r="F18" s="2306">
        <f>'2.2 Spec Ed Local YR1'!F18</f>
        <v>1793163.91</v>
      </c>
      <c r="G18" s="1569">
        <f>'2.2 Spec Ed Local YR1'!G18</f>
        <v>1287799.8700000001</v>
      </c>
      <c r="H18" s="1569">
        <f>'2.2 Spec Ed Local YR1'!H18</f>
        <v>783687</v>
      </c>
      <c r="I18" s="1569">
        <f>'2.2 Spec Ed Local YR1'!I18</f>
        <v>0</v>
      </c>
      <c r="J18" s="2306">
        <f>'2.2 Spec Ed Local YR1'!J18</f>
        <v>2071486.87</v>
      </c>
      <c r="K18" s="1570">
        <f>'2.2 Spec Ed Local YR1'!K18</f>
        <v>-278322.9600000002</v>
      </c>
      <c r="L18" s="1571">
        <f>'2.2 Spec Ed Local YR1'!L18</f>
        <v>0</v>
      </c>
      <c r="N18" s="22"/>
      <c r="O18" s="311">
        <v>154</v>
      </c>
      <c r="P18" s="368">
        <f t="shared" si="0"/>
        <v>0</v>
      </c>
    </row>
    <row r="19" spans="1:16" x14ac:dyDescent="0.3">
      <c r="A19" s="106"/>
      <c r="B19" s="36" t="str">
        <f>'5.2 Budgeted Enrollment YR2'!E19</f>
        <v>Lyon</v>
      </c>
      <c r="C19" s="1569">
        <f>'2.2 Spec Ed Local YR1'!C19</f>
        <v>17624709.744600002</v>
      </c>
      <c r="D19" s="1569">
        <f>'2.2 Spec Ed Local YR1'!D19</f>
        <v>0</v>
      </c>
      <c r="E19" s="1569">
        <f>'2.2 Spec Ed Local YR1'!E19</f>
        <v>0</v>
      </c>
      <c r="F19" s="2306">
        <f>'2.2 Spec Ed Local YR1'!F19</f>
        <v>17624709.744600002</v>
      </c>
      <c r="G19" s="1569">
        <f>'2.2 Spec Ed Local YR1'!G19</f>
        <v>4895480.3099999996</v>
      </c>
      <c r="H19" s="1569">
        <f>'2.2 Spec Ed Local YR1'!H19</f>
        <v>770199</v>
      </c>
      <c r="I19" s="1569">
        <f>'2.2 Spec Ed Local YR1'!I19</f>
        <v>0</v>
      </c>
      <c r="J19" s="2306">
        <f>'2.2 Spec Ed Local YR1'!J19</f>
        <v>5665679.3099999996</v>
      </c>
      <c r="K19" s="1570">
        <f>'2.2 Spec Ed Local YR1'!K19</f>
        <v>11959030.434600003</v>
      </c>
      <c r="L19" s="1571">
        <f>'2.2 Spec Ed Local YR1'!L19</f>
        <v>11959030</v>
      </c>
      <c r="N19" s="22"/>
      <c r="O19" s="311">
        <v>1232</v>
      </c>
      <c r="P19" s="368">
        <f t="shared" si="0"/>
        <v>9707.0048701298692</v>
      </c>
    </row>
    <row r="20" spans="1:16" x14ac:dyDescent="0.3">
      <c r="A20" s="106"/>
      <c r="B20" s="36" t="str">
        <f>'5.2 Budgeted Enrollment YR2'!E20</f>
        <v>Mineral</v>
      </c>
      <c r="C20" s="1569">
        <f>'2.2 Spec Ed Local YR1'!C20</f>
        <v>944437.44000000006</v>
      </c>
      <c r="D20" s="1569">
        <f>'2.2 Spec Ed Local YR1'!D20</f>
        <v>0</v>
      </c>
      <c r="E20" s="1569">
        <f>'2.2 Spec Ed Local YR1'!E20</f>
        <v>0</v>
      </c>
      <c r="F20" s="2306">
        <f>'2.2 Spec Ed Local YR1'!F20</f>
        <v>944437.44000000006</v>
      </c>
      <c r="G20" s="1569">
        <f>'2.2 Spec Ed Local YR1'!G20</f>
        <v>584633.5</v>
      </c>
      <c r="H20" s="1569">
        <f>'2.2 Spec Ed Local YR1'!H20</f>
        <v>249230</v>
      </c>
      <c r="I20" s="1569">
        <f>'2.2 Spec Ed Local YR1'!I20</f>
        <v>0</v>
      </c>
      <c r="J20" s="2306">
        <f>'2.2 Spec Ed Local YR1'!J20</f>
        <v>833863.5</v>
      </c>
      <c r="K20" s="1570">
        <f>'2.2 Spec Ed Local YR1'!K20</f>
        <v>110573.94000000006</v>
      </c>
      <c r="L20" s="1571">
        <f>'2.2 Spec Ed Local YR1'!L20</f>
        <v>110574</v>
      </c>
      <c r="N20" s="22"/>
      <c r="O20" s="311">
        <v>86</v>
      </c>
      <c r="P20" s="368">
        <f t="shared" si="0"/>
        <v>1285.7441860465117</v>
      </c>
    </row>
    <row r="21" spans="1:16" x14ac:dyDescent="0.3">
      <c r="A21" s="106"/>
      <c r="B21" s="36" t="str">
        <f>'5.2 Budgeted Enrollment YR2'!E21</f>
        <v>Nye</v>
      </c>
      <c r="C21" s="1569">
        <f>'2.2 Spec Ed Local YR1'!C21</f>
        <v>16886555.690000001</v>
      </c>
      <c r="D21" s="1569">
        <f>'2.2 Spec Ed Local YR1'!D21</f>
        <v>5457.77</v>
      </c>
      <c r="E21" s="1569">
        <f>'2.2 Spec Ed Local YR1'!E21</f>
        <v>0</v>
      </c>
      <c r="F21" s="2306">
        <f>'2.2 Spec Ed Local YR1'!F21</f>
        <v>16892013.460000001</v>
      </c>
      <c r="G21" s="1569">
        <f>'2.2 Spec Ed Local YR1'!G21</f>
        <v>3839959.5600000005</v>
      </c>
      <c r="H21" s="1569">
        <f>'2.2 Spec Ed Local YR1'!H21</f>
        <v>0</v>
      </c>
      <c r="I21" s="1569">
        <f>'2.2 Spec Ed Local YR1'!I21</f>
        <v>64772.95</v>
      </c>
      <c r="J21" s="2306">
        <f>'2.2 Spec Ed Local YR1'!J21</f>
        <v>3904732.5100000007</v>
      </c>
      <c r="K21" s="1570">
        <f>'2.2 Spec Ed Local YR1'!K21</f>
        <v>12987280.949999999</v>
      </c>
      <c r="L21" s="1571">
        <f>'2.2 Spec Ed Local YR1'!L21</f>
        <v>12987281</v>
      </c>
      <c r="N21" s="22"/>
      <c r="O21" s="311">
        <v>793</v>
      </c>
      <c r="P21" s="368">
        <f t="shared" si="0"/>
        <v>16377.403530895333</v>
      </c>
    </row>
    <row r="22" spans="1:16" x14ac:dyDescent="0.3">
      <c r="A22" s="106"/>
      <c r="B22" s="36" t="str">
        <f>'5.2 Budgeted Enrollment YR2'!E22</f>
        <v>Pershing</v>
      </c>
      <c r="C22" s="1569">
        <f>'2.2 Spec Ed Local YR1'!C22</f>
        <v>1393282.49</v>
      </c>
      <c r="D22" s="1569">
        <f>'2.2 Spec Ed Local YR1'!D22</f>
        <v>0</v>
      </c>
      <c r="E22" s="1569">
        <f>'2.2 Spec Ed Local YR1'!E22</f>
        <v>0</v>
      </c>
      <c r="F22" s="2306">
        <f>'2.2 Spec Ed Local YR1'!F22</f>
        <v>1393282.49</v>
      </c>
      <c r="G22" s="1569">
        <f>'2.2 Spec Ed Local YR1'!G22</f>
        <v>1063713.24</v>
      </c>
      <c r="H22" s="1569">
        <f>'2.2 Spec Ed Local YR1'!H22</f>
        <v>361227</v>
      </c>
      <c r="I22" s="1569">
        <f>'2.2 Spec Ed Local YR1'!I22</f>
        <v>0</v>
      </c>
      <c r="J22" s="2306">
        <f>'2.2 Spec Ed Local YR1'!J22</f>
        <v>1424940.24</v>
      </c>
      <c r="K22" s="1570">
        <f>'2.2 Spec Ed Local YR1'!K22</f>
        <v>-31657.75</v>
      </c>
      <c r="L22" s="1571">
        <f>'2.2 Spec Ed Local YR1'!L22</f>
        <v>0</v>
      </c>
      <c r="N22" s="22"/>
      <c r="O22" s="311">
        <v>125</v>
      </c>
      <c r="P22" s="368">
        <f t="shared" si="0"/>
        <v>0</v>
      </c>
    </row>
    <row r="23" spans="1:16" x14ac:dyDescent="0.3">
      <c r="A23" s="106"/>
      <c r="B23" s="36" t="str">
        <f>'5.2 Budgeted Enrollment YR2'!E23</f>
        <v>Storey</v>
      </c>
      <c r="C23" s="1569">
        <f>'2.2 Spec Ed Local YR1'!C23</f>
        <v>548826.94999999995</v>
      </c>
      <c r="D23" s="1569">
        <f>'2.2 Spec Ed Local YR1'!D23</f>
        <v>0</v>
      </c>
      <c r="E23" s="1569">
        <f>'2.2 Spec Ed Local YR1'!E23</f>
        <v>85185.05</v>
      </c>
      <c r="F23" s="2306">
        <f>'2.2 Spec Ed Local YR1'!F23</f>
        <v>634012</v>
      </c>
      <c r="G23" s="1569">
        <f>'2.2 Spec Ed Local YR1'!G23</f>
        <v>491547</v>
      </c>
      <c r="H23" s="1569">
        <f>'2.2 Spec Ed Local YR1'!H23</f>
        <v>142465</v>
      </c>
      <c r="I23" s="1569">
        <f>'2.2 Spec Ed Local YR1'!I23</f>
        <v>0</v>
      </c>
      <c r="J23" s="2306">
        <f>'2.2 Spec Ed Local YR1'!J23</f>
        <v>634012</v>
      </c>
      <c r="K23" s="1570">
        <f>'2.2 Spec Ed Local YR1'!K23</f>
        <v>0</v>
      </c>
      <c r="L23" s="1571">
        <f>'2.2 Spec Ed Local YR1'!L23</f>
        <v>0</v>
      </c>
      <c r="N23" s="22"/>
      <c r="O23" s="311">
        <v>53</v>
      </c>
      <c r="P23" s="368">
        <f t="shared" si="0"/>
        <v>0</v>
      </c>
    </row>
    <row r="24" spans="1:16" x14ac:dyDescent="0.3">
      <c r="A24" s="106"/>
      <c r="B24" s="36" t="str">
        <f>'5.2 Budgeted Enrollment YR2'!E24</f>
        <v>Washoe</v>
      </c>
      <c r="C24" s="1569">
        <f>'2.2 Spec Ed Local YR1'!C24</f>
        <v>107167741.38999999</v>
      </c>
      <c r="D24" s="1569">
        <f>'2.2 Spec Ed Local YR1'!D24</f>
        <v>1197.25</v>
      </c>
      <c r="E24" s="1569">
        <f>'2.2 Spec Ed Local YR1'!E24</f>
        <v>97841.13</v>
      </c>
      <c r="F24" s="2306">
        <f>'2.2 Spec Ed Local YR1'!F24</f>
        <v>107266779.76999998</v>
      </c>
      <c r="G24" s="1569">
        <f>'2.2 Spec Ed Local YR1'!G24</f>
        <v>36786904.829999998</v>
      </c>
      <c r="H24" s="1569">
        <f>'2.2 Spec Ed Local YR1'!H24</f>
        <v>0</v>
      </c>
      <c r="I24" s="1569">
        <f>'2.2 Spec Ed Local YR1'!I24</f>
        <v>0</v>
      </c>
      <c r="J24" s="2306">
        <f>'2.2 Spec Ed Local YR1'!J24</f>
        <v>36786904.829999998</v>
      </c>
      <c r="K24" s="1570">
        <f>'2.2 Spec Ed Local YR1'!K24</f>
        <v>70479874.939999983</v>
      </c>
      <c r="L24" s="1571">
        <f>'2.2 Spec Ed Local YR1'!L24</f>
        <v>70479875</v>
      </c>
      <c r="M24" s="20"/>
      <c r="N24" s="22"/>
      <c r="O24" s="311">
        <v>9345</v>
      </c>
      <c r="P24" s="368">
        <f t="shared" si="0"/>
        <v>7541.9876939539863</v>
      </c>
    </row>
    <row r="25" spans="1:16" x14ac:dyDescent="0.3">
      <c r="A25" s="142"/>
      <c r="B25" s="459" t="str">
        <f>'5.2 Budgeted Enrollment YR2'!E25</f>
        <v>White Pine</v>
      </c>
      <c r="C25" s="1572">
        <f>'2.2 Spec Ed Local YR1'!C25</f>
        <v>2576968.4899999998</v>
      </c>
      <c r="D25" s="1572">
        <f>'2.2 Spec Ed Local YR1'!D25</f>
        <v>99.99</v>
      </c>
      <c r="E25" s="1572">
        <f>'2.2 Spec Ed Local YR1'!E25</f>
        <v>0</v>
      </c>
      <c r="F25" s="2307">
        <f>'2.2 Spec Ed Local YR1'!F25</f>
        <v>2577068.48</v>
      </c>
      <c r="G25" s="1572">
        <f>'2.2 Spec Ed Local YR1'!G25</f>
        <v>1447112.98</v>
      </c>
      <c r="H25" s="1572">
        <f>'2.2 Spec Ed Local YR1'!H25</f>
        <v>0</v>
      </c>
      <c r="I25" s="1572">
        <f>'2.2 Spec Ed Local YR1'!I25</f>
        <v>0</v>
      </c>
      <c r="J25" s="2307">
        <f>'2.2 Spec Ed Local YR1'!J25</f>
        <v>1447112.98</v>
      </c>
      <c r="K25" s="1573">
        <f>'2.2 Spec Ed Local YR1'!K25</f>
        <v>1129955.5</v>
      </c>
      <c r="L25" s="1574">
        <f>'2.2 Spec Ed Local YR1'!L25</f>
        <v>1129956</v>
      </c>
      <c r="N25" s="22"/>
      <c r="O25" s="312">
        <v>202</v>
      </c>
      <c r="P25" s="391">
        <f t="shared" si="0"/>
        <v>5593.8415841584156</v>
      </c>
    </row>
    <row r="26" spans="1:16" x14ac:dyDescent="0.3">
      <c r="A26" s="106"/>
      <c r="B26" s="36" t="str">
        <f>'5.2 Budgeted Enrollment YR2'!E26</f>
        <v>Charter Schools</v>
      </c>
      <c r="C26" s="213">
        <f>'2.2 Spec Ed Local YR1'!C26</f>
        <v>52012004.147004887</v>
      </c>
      <c r="D26" s="213">
        <f>'2.2 Spec Ed Local YR1'!D26</f>
        <v>23520.3</v>
      </c>
      <c r="E26" s="213">
        <f>'2.2 Spec Ed Local YR1'!E26</f>
        <v>0</v>
      </c>
      <c r="F26" s="213">
        <f>'2.2 Spec Ed Local YR1'!F26</f>
        <v>52035524.447004884</v>
      </c>
      <c r="G26" s="213">
        <f>'2.2 Spec Ed Local YR1'!G26</f>
        <v>27429401.609999999</v>
      </c>
      <c r="H26" s="213">
        <f>'2.2 Spec Ed Local YR1'!H26</f>
        <v>0</v>
      </c>
      <c r="I26" s="213">
        <f>'2.2 Spec Ed Local YR1'!I26</f>
        <v>0</v>
      </c>
      <c r="J26" s="213">
        <f>'2.2 Spec Ed Local YR1'!J26</f>
        <v>27429401.609999999</v>
      </c>
      <c r="K26" s="1575">
        <f>'2.2 Spec Ed Local YR1'!K26</f>
        <v>24606122.837004878</v>
      </c>
      <c r="L26" s="1571">
        <f>'2.2 Spec Ed Local YR1'!L26</f>
        <v>24608056</v>
      </c>
      <c r="N26" s="22"/>
      <c r="O26" s="460">
        <v>4653</v>
      </c>
      <c r="P26" s="368">
        <f t="shared" si="0"/>
        <v>5288.6430260047282</v>
      </c>
    </row>
    <row r="27" spans="1:16" x14ac:dyDescent="0.3">
      <c r="A27" s="106"/>
      <c r="B27" s="36" t="str">
        <f>'5.2 Budgeted Enrollment YR2'!E27</f>
        <v>University Schools</v>
      </c>
      <c r="C27" s="213">
        <f>'2.2 Spec Ed Local YR1'!C27</f>
        <v>72842.899999999994</v>
      </c>
      <c r="D27" s="213">
        <f>'2.2 Spec Ed Local YR1'!D27</f>
        <v>0</v>
      </c>
      <c r="E27" s="213">
        <f>'2.2 Spec Ed Local YR1'!E27</f>
        <v>0</v>
      </c>
      <c r="F27" s="213">
        <f>'2.2 Spec Ed Local YR1'!F27</f>
        <v>72842.899999999994</v>
      </c>
      <c r="G27" s="213">
        <f>'2.2 Spec Ed Local YR1'!G27</f>
        <v>20575</v>
      </c>
      <c r="H27" s="213">
        <f>'2.2 Spec Ed Local YR1'!H27</f>
        <v>0</v>
      </c>
      <c r="I27" s="213">
        <f>'2.2 Spec Ed Local YR1'!I27</f>
        <v>0</v>
      </c>
      <c r="J27" s="213">
        <f>'2.2 Spec Ed Local YR1'!J27</f>
        <v>20575</v>
      </c>
      <c r="K27" s="1575">
        <f>'2.2 Spec Ed Local YR1'!K27</f>
        <v>52267.899999999994</v>
      </c>
      <c r="L27" s="1571">
        <f>'2.2 Spec Ed Local YR1'!L27</f>
        <v>52268</v>
      </c>
      <c r="N27" s="22"/>
      <c r="O27" s="460">
        <v>0</v>
      </c>
      <c r="P27" s="368" t="e">
        <f t="shared" si="0"/>
        <v>#DIV/0!</v>
      </c>
    </row>
    <row r="28" spans="1:16" x14ac:dyDescent="0.3">
      <c r="A28" s="106"/>
      <c r="B28" s="36" t="str">
        <f>'5.2 Budgeted Enrollment YR2'!E28</f>
        <v>City of Henderson</v>
      </c>
      <c r="C28" s="213">
        <f>'2.2 Spec Ed Local YR1'!C28</f>
        <v>0</v>
      </c>
      <c r="D28" s="213">
        <f>'2.2 Spec Ed Local YR1'!D28</f>
        <v>0</v>
      </c>
      <c r="E28" s="213">
        <f>'2.2 Spec Ed Local YR1'!E28</f>
        <v>0</v>
      </c>
      <c r="F28" s="213">
        <f>'2.2 Spec Ed Local YR1'!F28</f>
        <v>0</v>
      </c>
      <c r="G28" s="213">
        <f>'2.2 Spec Ed Local YR1'!G28</f>
        <v>0</v>
      </c>
      <c r="H28" s="213">
        <f>'2.2 Spec Ed Local YR1'!H28</f>
        <v>0</v>
      </c>
      <c r="I28" s="213">
        <f>'2.2 Spec Ed Local YR1'!I28</f>
        <v>0</v>
      </c>
      <c r="J28" s="213">
        <f>'2.2 Spec Ed Local YR1'!J28</f>
        <v>0</v>
      </c>
      <c r="K28" s="1575">
        <f>'2.2 Spec Ed Local YR1'!K28</f>
        <v>0</v>
      </c>
      <c r="L28" s="1571">
        <f>'2.2 Spec Ed Local YR1'!L28</f>
        <v>0</v>
      </c>
      <c r="N28" s="22"/>
      <c r="O28" s="460">
        <v>0</v>
      </c>
      <c r="P28" s="368">
        <f t="shared" si="0"/>
        <v>0</v>
      </c>
    </row>
    <row r="29" spans="1:16" x14ac:dyDescent="0.3">
      <c r="A29" s="142"/>
      <c r="B29" s="459" t="str">
        <f>'5.2 Budgeted Enrollment YR2'!E29</f>
        <v>City of North Las Vegas</v>
      </c>
      <c r="C29" s="1576">
        <f>'2.2 Spec Ed Local YR1'!C29</f>
        <v>0</v>
      </c>
      <c r="D29" s="1576">
        <f>'2.2 Spec Ed Local YR1'!D29</f>
        <v>0</v>
      </c>
      <c r="E29" s="1576">
        <f>'2.2 Spec Ed Local YR1'!E29</f>
        <v>0</v>
      </c>
      <c r="F29" s="1576">
        <f>'2.2 Spec Ed Local YR1'!F29</f>
        <v>0</v>
      </c>
      <c r="G29" s="1576">
        <f>'2.2 Spec Ed Local YR1'!G29</f>
        <v>0</v>
      </c>
      <c r="H29" s="1576">
        <f>'2.2 Spec Ed Local YR1'!H29</f>
        <v>0</v>
      </c>
      <c r="I29" s="1576">
        <f>'2.2 Spec Ed Local YR1'!I29</f>
        <v>0</v>
      </c>
      <c r="J29" s="1576">
        <f>'2.2 Spec Ed Local YR1'!J29</f>
        <v>0</v>
      </c>
      <c r="K29" s="1577">
        <f>'2.2 Spec Ed Local YR1'!K29</f>
        <v>0</v>
      </c>
      <c r="L29" s="1574">
        <f>'2.2 Spec Ed Local YR1'!L29</f>
        <v>0</v>
      </c>
      <c r="N29" s="22"/>
      <c r="O29" s="312">
        <v>0</v>
      </c>
      <c r="P29" s="391">
        <f t="shared" si="0"/>
        <v>0</v>
      </c>
    </row>
    <row r="30" spans="1:16" x14ac:dyDescent="0.3">
      <c r="A30" s="142"/>
      <c r="B30" s="144"/>
      <c r="C30" s="1245">
        <f t="shared" ref="C30:K30" si="1">SUM(C9:C29)</f>
        <v>853553269.04572487</v>
      </c>
      <c r="D30" s="1245">
        <f t="shared" si="1"/>
        <v>231812.08999999997</v>
      </c>
      <c r="E30" s="1245">
        <f t="shared" si="1"/>
        <v>181378.03000000003</v>
      </c>
      <c r="F30" s="1245">
        <f t="shared" si="1"/>
        <v>853966459.16572499</v>
      </c>
      <c r="G30" s="1245">
        <f t="shared" si="1"/>
        <v>249465747.40999997</v>
      </c>
      <c r="H30" s="1245"/>
      <c r="I30" s="1245"/>
      <c r="J30" s="1245">
        <f t="shared" si="1"/>
        <v>255579570.5399999</v>
      </c>
      <c r="K30" s="1578">
        <f t="shared" si="1"/>
        <v>598386888.62572491</v>
      </c>
      <c r="L30" s="1579">
        <f>SUM(L9:L29)</f>
        <v>599568343</v>
      </c>
      <c r="O30" s="397">
        <f>SUM(O9:O29)</f>
        <v>63038</v>
      </c>
      <c r="P30" s="368">
        <f>L30/O30</f>
        <v>9511.2208985056641</v>
      </c>
    </row>
    <row r="31" spans="1:16" x14ac:dyDescent="0.3">
      <c r="A31" s="881"/>
      <c r="B31" s="881"/>
      <c r="C31" s="1372"/>
      <c r="D31" s="1372"/>
      <c r="E31" s="1372"/>
      <c r="F31" s="1372"/>
      <c r="G31" s="1372"/>
      <c r="H31" s="1372"/>
      <c r="I31" s="1372"/>
      <c r="J31" s="1372"/>
      <c r="K31" s="1372"/>
      <c r="L31" s="1372"/>
      <c r="O31" s="57"/>
      <c r="P31" s="154"/>
    </row>
    <row r="32" spans="1:16" x14ac:dyDescent="0.3">
      <c r="A32" s="881"/>
      <c r="B32" s="881"/>
      <c r="C32" s="1372"/>
      <c r="D32" s="1372"/>
      <c r="E32" s="1372"/>
      <c r="F32" s="1372"/>
      <c r="G32" s="1372"/>
      <c r="H32" s="1372"/>
      <c r="I32" s="1372"/>
      <c r="J32" s="1372"/>
      <c r="K32" s="1372"/>
      <c r="L32" s="1372"/>
      <c r="O32" s="57"/>
      <c r="P32" s="154"/>
    </row>
    <row r="33" spans="1:16" ht="66" x14ac:dyDescent="0.3">
      <c r="A33" s="300" t="s">
        <v>305</v>
      </c>
      <c r="B33" s="207"/>
      <c r="C33" s="2302" t="s">
        <v>2309</v>
      </c>
      <c r="D33" s="2302" t="s">
        <v>2310</v>
      </c>
      <c r="E33" s="2302" t="s">
        <v>2311</v>
      </c>
      <c r="F33" s="2308" t="s">
        <v>2312</v>
      </c>
      <c r="G33" s="2309" t="s">
        <v>2313</v>
      </c>
      <c r="H33" s="2309" t="s">
        <v>2314</v>
      </c>
      <c r="I33" s="2309" t="s">
        <v>2315</v>
      </c>
      <c r="J33" s="2310" t="s">
        <v>2316</v>
      </c>
      <c r="K33" s="2005" t="s">
        <v>2317</v>
      </c>
      <c r="L33" s="2314" t="s">
        <v>2318</v>
      </c>
      <c r="O33" s="57"/>
      <c r="P33" s="154"/>
    </row>
    <row r="34" spans="1:16" x14ac:dyDescent="0.3">
      <c r="A34" s="455"/>
      <c r="B34" s="207" t="str">
        <f>'5.2 Budgeted Enrollment YR2'!E34</f>
        <v>FuturEdge (Formerly 100 Academy Of Excellence)</v>
      </c>
      <c r="C34" s="1567">
        <f>'2.2 Spec Ed Local YR1'!C34</f>
        <v>238920.41</v>
      </c>
      <c r="D34" s="1567">
        <f>'2.2 Spec Ed Local YR1'!D34</f>
        <v>0</v>
      </c>
      <c r="E34" s="1567">
        <f>'2.2 Spec Ed Local YR1'!E34</f>
        <v>0</v>
      </c>
      <c r="F34" s="2306">
        <f>'2.2 Spec Ed Local YR1'!F34</f>
        <v>238920.41</v>
      </c>
      <c r="G34" s="1569">
        <f>'2.2 Spec Ed Local YR1'!G34</f>
        <v>48100</v>
      </c>
      <c r="H34" s="1569">
        <f>'2.2 Spec Ed Local YR1'!H34</f>
        <v>0</v>
      </c>
      <c r="I34" s="1569">
        <f>'2.2 Spec Ed Local YR1'!I34</f>
        <v>0</v>
      </c>
      <c r="J34" s="2306">
        <f>'2.2 Spec Ed Local YR1'!J34</f>
        <v>48100</v>
      </c>
      <c r="K34" s="2007">
        <f>'2.2 Spec Ed Local YR1'!K34</f>
        <v>190820.41</v>
      </c>
      <c r="L34" s="1581">
        <f>'2.2 Spec Ed Local YR1'!L34</f>
        <v>190820</v>
      </c>
    </row>
    <row r="35" spans="1:16" x14ac:dyDescent="0.3">
      <c r="A35" s="106"/>
      <c r="B35" s="9" t="str">
        <f>'5.2 Budgeted Enrollment YR2'!E35</f>
        <v>Academy For Career Education</v>
      </c>
      <c r="C35" s="1569">
        <f>'2.2 Spec Ed Local YR1'!C35</f>
        <v>130023.65999999999</v>
      </c>
      <c r="D35" s="1569">
        <f>'2.2 Spec Ed Local YR1'!D35</f>
        <v>0</v>
      </c>
      <c r="E35" s="1569">
        <f>'2.2 Spec Ed Local YR1'!E35</f>
        <v>0</v>
      </c>
      <c r="F35" s="2306">
        <f>'2.2 Spec Ed Local YR1'!F35</f>
        <v>130023.65999999999</v>
      </c>
      <c r="G35" s="1569">
        <f>'2.2 Spec Ed Local YR1'!G35</f>
        <v>130023.66</v>
      </c>
      <c r="H35" s="1569">
        <f>'2.2 Spec Ed Local YR1'!H35</f>
        <v>0</v>
      </c>
      <c r="I35" s="1569">
        <f>'2.2 Spec Ed Local YR1'!I35</f>
        <v>0</v>
      </c>
      <c r="J35" s="2306">
        <f>'2.2 Spec Ed Local YR1'!J35</f>
        <v>130023.66</v>
      </c>
      <c r="K35" s="1575">
        <f>'2.2 Spec Ed Local YR1'!K35</f>
        <v>0</v>
      </c>
      <c r="L35" s="1581">
        <f>'2.2 Spec Ed Local YR1'!L35</f>
        <v>0</v>
      </c>
    </row>
    <row r="36" spans="1:16" x14ac:dyDescent="0.3">
      <c r="A36" s="106"/>
      <c r="B36" s="9" t="str">
        <f>'5.2 Budgeted Enrollment YR2'!E36</f>
        <v xml:space="preserve">Alpine Academy </v>
      </c>
      <c r="C36" s="1569">
        <f>'2.2 Spec Ed Local YR1'!C36</f>
        <v>120626.09</v>
      </c>
      <c r="D36" s="1569">
        <f>'2.2 Spec Ed Local YR1'!D36</f>
        <v>4747.8100000000004</v>
      </c>
      <c r="E36" s="1569">
        <f>'2.2 Spec Ed Local YR1'!E36</f>
        <v>0</v>
      </c>
      <c r="F36" s="2306">
        <f>'2.2 Spec Ed Local YR1'!F36</f>
        <v>125373.9</v>
      </c>
      <c r="G36" s="1569">
        <f>'2.2 Spec Ed Local YR1'!G36</f>
        <v>94693.32</v>
      </c>
      <c r="H36" s="1569">
        <f>'2.2 Spec Ed Local YR1'!H36</f>
        <v>0</v>
      </c>
      <c r="I36" s="1569">
        <f>'2.2 Spec Ed Local YR1'!I36</f>
        <v>0</v>
      </c>
      <c r="J36" s="2306">
        <f>'2.2 Spec Ed Local YR1'!J36</f>
        <v>94693.32</v>
      </c>
      <c r="K36" s="1575">
        <f>'2.2 Spec Ed Local YR1'!K36</f>
        <v>30680.579999999987</v>
      </c>
      <c r="L36" s="1581">
        <f>'2.2 Spec Ed Local YR1'!L36</f>
        <v>30681</v>
      </c>
    </row>
    <row r="37" spans="1:16" x14ac:dyDescent="0.3">
      <c r="A37" s="106"/>
      <c r="B37" s="9" t="str">
        <f>'5.2 Budgeted Enrollment YR2'!E37</f>
        <v xml:space="preserve">Amplus (Formerly American Preparatory Academy) </v>
      </c>
      <c r="C37" s="1569">
        <f>'2.2 Spec Ed Local YR1'!C37</f>
        <v>992240.51</v>
      </c>
      <c r="D37" s="1569">
        <f>'2.2 Spec Ed Local YR1'!D37</f>
        <v>0</v>
      </c>
      <c r="E37" s="1569">
        <f>'2.2 Spec Ed Local YR1'!E37</f>
        <v>0</v>
      </c>
      <c r="F37" s="2306">
        <f>'2.2 Spec Ed Local YR1'!F37</f>
        <v>992240.51</v>
      </c>
      <c r="G37" s="1569">
        <f>'2.2 Spec Ed Local YR1'!G37</f>
        <v>572277.01</v>
      </c>
      <c r="H37" s="1569">
        <f>'2.2 Spec Ed Local YR1'!H37</f>
        <v>0</v>
      </c>
      <c r="I37" s="1569">
        <f>'2.2 Spec Ed Local YR1'!I37</f>
        <v>0</v>
      </c>
      <c r="J37" s="2306">
        <f>'2.2 Spec Ed Local YR1'!J37</f>
        <v>572277.01</v>
      </c>
      <c r="K37" s="1575">
        <f>'2.2 Spec Ed Local YR1'!K37</f>
        <v>419963.5</v>
      </c>
      <c r="L37" s="1581">
        <f>'2.2 Spec Ed Local YR1'!L37</f>
        <v>419964</v>
      </c>
    </row>
    <row r="38" spans="1:16" x14ac:dyDescent="0.3">
      <c r="A38" s="106"/>
      <c r="B38" s="9" t="str">
        <f>'5.2 Budgeted Enrollment YR2'!E38</f>
        <v>Bailey Charter School</v>
      </c>
      <c r="C38" s="1569">
        <f>'2.2 Spec Ed Local YR1'!C38</f>
        <v>91682.040000000008</v>
      </c>
      <c r="D38" s="1569">
        <f>'2.2 Spec Ed Local YR1'!D38</f>
        <v>0</v>
      </c>
      <c r="E38" s="1569">
        <f>'2.2 Spec Ed Local YR1'!E38</f>
        <v>0</v>
      </c>
      <c r="F38" s="2306">
        <f>'2.2 Spec Ed Local YR1'!F38</f>
        <v>91682.040000000008</v>
      </c>
      <c r="G38" s="1569">
        <f>'2.2 Spec Ed Local YR1'!G38</f>
        <v>57788.29</v>
      </c>
      <c r="H38" s="1569">
        <f>'2.2 Spec Ed Local YR1'!H38</f>
        <v>0</v>
      </c>
      <c r="I38" s="1569">
        <f>'2.2 Spec Ed Local YR1'!I38</f>
        <v>0</v>
      </c>
      <c r="J38" s="2306">
        <f>'2.2 Spec Ed Local YR1'!J38</f>
        <v>57788.29</v>
      </c>
      <c r="K38" s="1575">
        <f>'2.2 Spec Ed Local YR1'!K38</f>
        <v>33893.750000000007</v>
      </c>
      <c r="L38" s="1581">
        <f>'2.2 Spec Ed Local YR1'!L38</f>
        <v>33894</v>
      </c>
    </row>
    <row r="39" spans="1:16" x14ac:dyDescent="0.3">
      <c r="A39" s="106"/>
      <c r="B39" s="9" t="str">
        <f>'5.2 Budgeted Enrollment YR2'!E39</f>
        <v>Battle Born Academy</v>
      </c>
      <c r="C39" s="1569">
        <f>'2.2 Spec Ed Local YR1'!C39</f>
        <v>236151.72</v>
      </c>
      <c r="D39" s="1569">
        <f>'2.2 Spec Ed Local YR1'!D39</f>
        <v>0</v>
      </c>
      <c r="E39" s="1569">
        <f>'2.2 Spec Ed Local YR1'!E39</f>
        <v>0</v>
      </c>
      <c r="F39" s="2306">
        <f>'2.2 Spec Ed Local YR1'!F39</f>
        <v>236151.72</v>
      </c>
      <c r="G39" s="1569">
        <f>'2.2 Spec Ed Local YR1'!G39</f>
        <v>82342.02</v>
      </c>
      <c r="H39" s="1569">
        <f>'2.2 Spec Ed Local YR1'!H39</f>
        <v>0</v>
      </c>
      <c r="I39" s="1569">
        <f>'2.2 Spec Ed Local YR1'!I39</f>
        <v>0</v>
      </c>
      <c r="J39" s="2306">
        <f>'2.2 Spec Ed Local YR1'!J39</f>
        <v>82342.02</v>
      </c>
      <c r="K39" s="1575">
        <f>'2.2 Spec Ed Local YR1'!K39</f>
        <v>153809.70000000001</v>
      </c>
      <c r="L39" s="1581">
        <f>'2.2 Spec Ed Local YR1'!L39</f>
        <v>153810</v>
      </c>
    </row>
    <row r="40" spans="1:16" x14ac:dyDescent="0.3">
      <c r="A40" s="106"/>
      <c r="B40" s="9" t="str">
        <f>'5.2 Budgeted Enrollment YR2'!E40</f>
        <v>Beacon Academy</v>
      </c>
      <c r="C40" s="1569">
        <f>'2.2 Spec Ed Local YR1'!C40</f>
        <v>1278900.71</v>
      </c>
      <c r="D40" s="1569">
        <f>'2.2 Spec Ed Local YR1'!D40</f>
        <v>0</v>
      </c>
      <c r="E40" s="1569">
        <f>'2.2 Spec Ed Local YR1'!E40</f>
        <v>0</v>
      </c>
      <c r="F40" s="2306">
        <f>'2.2 Spec Ed Local YR1'!F40</f>
        <v>1278900.71</v>
      </c>
      <c r="G40" s="1569">
        <f>'2.2 Spec Ed Local YR1'!G40</f>
        <v>477583.67</v>
      </c>
      <c r="H40" s="1569">
        <f>'2.2 Spec Ed Local YR1'!H40</f>
        <v>0</v>
      </c>
      <c r="I40" s="1569">
        <f>'2.2 Spec Ed Local YR1'!I40</f>
        <v>0</v>
      </c>
      <c r="J40" s="2306">
        <f>'2.2 Spec Ed Local YR1'!J40</f>
        <v>477583.67</v>
      </c>
      <c r="K40" s="1575">
        <f>'2.2 Spec Ed Local YR1'!K40</f>
        <v>801317.04</v>
      </c>
      <c r="L40" s="1581">
        <f>'2.2 Spec Ed Local YR1'!L40</f>
        <v>801317</v>
      </c>
    </row>
    <row r="41" spans="1:16" x14ac:dyDescent="0.3">
      <c r="A41" s="106"/>
      <c r="B41" s="9" t="str">
        <f>'5.2 Budgeted Enrollment YR2'!E41</f>
        <v>Cactus Park</v>
      </c>
      <c r="C41" s="1569">
        <f>'2.2 Spec Ed Local YR1'!C41</f>
        <v>68678.25</v>
      </c>
      <c r="D41" s="1569">
        <f>'2.2 Spec Ed Local YR1'!D41</f>
        <v>0</v>
      </c>
      <c r="E41" s="1569">
        <f>'2.2 Spec Ed Local YR1'!E41</f>
        <v>0</v>
      </c>
      <c r="F41" s="2306">
        <f>'2.2 Spec Ed Local YR1'!F41</f>
        <v>68678.25</v>
      </c>
      <c r="G41" s="1569">
        <f>'2.2 Spec Ed Local YR1'!G41</f>
        <v>37053.909999999996</v>
      </c>
      <c r="H41" s="1569">
        <f>'2.2 Spec Ed Local YR1'!H41</f>
        <v>0</v>
      </c>
      <c r="I41" s="1569">
        <f>'2.2 Spec Ed Local YR1'!I41</f>
        <v>0</v>
      </c>
      <c r="J41" s="2306">
        <f>'2.2 Spec Ed Local YR1'!J41</f>
        <v>37053.909999999996</v>
      </c>
      <c r="K41" s="1575">
        <f>'2.2 Spec Ed Local YR1'!K41</f>
        <v>31624.340000000004</v>
      </c>
      <c r="L41" s="1581">
        <f>'2.2 Spec Ed Local YR1'!L41</f>
        <v>31624</v>
      </c>
    </row>
    <row r="42" spans="1:16" x14ac:dyDescent="0.3">
      <c r="A42" s="106"/>
      <c r="B42" s="9" t="str">
        <f>'5.2 Budgeted Enrollment YR2'!E42</f>
        <v>Carson Montessori</v>
      </c>
      <c r="C42" s="1569">
        <f>'2.2 Spec Ed Local YR1'!C42</f>
        <v>199126.28</v>
      </c>
      <c r="D42" s="1569">
        <f>'2.2 Spec Ed Local YR1'!D42</f>
        <v>0</v>
      </c>
      <c r="E42" s="1569">
        <f>'2.2 Spec Ed Local YR1'!E42</f>
        <v>0</v>
      </c>
      <c r="F42" s="2306">
        <f>'2.2 Spec Ed Local YR1'!F42</f>
        <v>199126.28</v>
      </c>
      <c r="G42" s="1569">
        <f>'2.2 Spec Ed Local YR1'!G42</f>
        <v>131807.93</v>
      </c>
      <c r="H42" s="1569">
        <f>'2.2 Spec Ed Local YR1'!H42</f>
        <v>0</v>
      </c>
      <c r="I42" s="1569">
        <f>'2.2 Spec Ed Local YR1'!I42</f>
        <v>0</v>
      </c>
      <c r="J42" s="2306">
        <f>'2.2 Spec Ed Local YR1'!J42</f>
        <v>131807.93</v>
      </c>
      <c r="K42" s="1575">
        <f>'2.2 Spec Ed Local YR1'!K42</f>
        <v>67318.350000000006</v>
      </c>
      <c r="L42" s="1581">
        <f>'2.2 Spec Ed Local YR1'!L42</f>
        <v>67318</v>
      </c>
    </row>
    <row r="43" spans="1:16" x14ac:dyDescent="0.3">
      <c r="A43" s="106"/>
      <c r="B43" s="9" t="str">
        <f>'5.2 Budgeted Enrollment YR2'!E43</f>
        <v>CIVICA Nevada Career &amp; Collegiate Academy</v>
      </c>
      <c r="C43" s="1569">
        <f>'2.2 Spec Ed Local YR1'!C43</f>
        <v>500547.98</v>
      </c>
      <c r="D43" s="1569">
        <f>'2.2 Spec Ed Local YR1'!D43</f>
        <v>0</v>
      </c>
      <c r="E43" s="1569">
        <f>'2.2 Spec Ed Local YR1'!E43</f>
        <v>0</v>
      </c>
      <c r="F43" s="2306">
        <f>'2.2 Spec Ed Local YR1'!F43</f>
        <v>500547.98</v>
      </c>
      <c r="G43" s="1569">
        <f>'2.2 Spec Ed Local YR1'!G43</f>
        <v>242908.94</v>
      </c>
      <c r="H43" s="1569">
        <f>'2.2 Spec Ed Local YR1'!H43</f>
        <v>0</v>
      </c>
      <c r="I43" s="1569">
        <f>'2.2 Spec Ed Local YR1'!I43</f>
        <v>0</v>
      </c>
      <c r="J43" s="2306">
        <f>'2.2 Spec Ed Local YR1'!J43</f>
        <v>242908.94</v>
      </c>
      <c r="K43" s="1575">
        <f>'2.2 Spec Ed Local YR1'!K43</f>
        <v>257639.03999999998</v>
      </c>
      <c r="L43" s="1581">
        <f>'2.2 Spec Ed Local YR1'!L43</f>
        <v>257639</v>
      </c>
    </row>
    <row r="44" spans="1:16" x14ac:dyDescent="0.3">
      <c r="A44" s="106"/>
      <c r="B44" s="9" t="str">
        <f>'5.2 Budgeted Enrollment YR2'!E44</f>
        <v>Coral Academy of Science Las Vegas</v>
      </c>
      <c r="C44" s="1569">
        <f>'2.2 Spec Ed Local YR1'!C44</f>
        <v>2008342.95</v>
      </c>
      <c r="D44" s="1569">
        <f>'2.2 Spec Ed Local YR1'!D44</f>
        <v>0</v>
      </c>
      <c r="E44" s="1569">
        <f>'2.2 Spec Ed Local YR1'!E44</f>
        <v>0</v>
      </c>
      <c r="F44" s="2306">
        <f>'2.2 Spec Ed Local YR1'!F44</f>
        <v>2008342.95</v>
      </c>
      <c r="G44" s="1569">
        <f>'2.2 Spec Ed Local YR1'!G44</f>
        <v>1387462.9500000002</v>
      </c>
      <c r="H44" s="1569">
        <f>'2.2 Spec Ed Local YR1'!H44</f>
        <v>0</v>
      </c>
      <c r="I44" s="1569">
        <f>'2.2 Spec Ed Local YR1'!I44</f>
        <v>0</v>
      </c>
      <c r="J44" s="2306">
        <f>'2.2 Spec Ed Local YR1'!J44</f>
        <v>1387462.9500000002</v>
      </c>
      <c r="K44" s="1575">
        <f>'2.2 Spec Ed Local YR1'!K44</f>
        <v>620879.99999999977</v>
      </c>
      <c r="L44" s="1581">
        <f>'2.2 Spec Ed Local YR1'!L44</f>
        <v>620880</v>
      </c>
    </row>
    <row r="45" spans="1:16" x14ac:dyDescent="0.3">
      <c r="A45" s="106"/>
      <c r="B45" s="9" t="str">
        <f>'5.2 Budgeted Enrollment YR2'!E45</f>
        <v>Coral Academy Washoe</v>
      </c>
      <c r="C45" s="1569">
        <f>'2.2 Spec Ed Local YR1'!C45</f>
        <v>759431.03</v>
      </c>
      <c r="D45" s="1569">
        <f>'2.2 Spec Ed Local YR1'!D45</f>
        <v>0</v>
      </c>
      <c r="E45" s="1569">
        <f>'2.2 Spec Ed Local YR1'!E45</f>
        <v>0</v>
      </c>
      <c r="F45" s="2306">
        <f>'2.2 Spec Ed Local YR1'!F45</f>
        <v>759431.03</v>
      </c>
      <c r="G45" s="1569">
        <f>'2.2 Spec Ed Local YR1'!G45</f>
        <v>416901.26</v>
      </c>
      <c r="H45" s="1569">
        <f>'2.2 Spec Ed Local YR1'!H45</f>
        <v>0</v>
      </c>
      <c r="I45" s="1569">
        <f>'2.2 Spec Ed Local YR1'!I45</f>
        <v>0</v>
      </c>
      <c r="J45" s="2306">
        <f>'2.2 Spec Ed Local YR1'!J45</f>
        <v>416901.26</v>
      </c>
      <c r="K45" s="1575">
        <f>'2.2 Spec Ed Local YR1'!K45</f>
        <v>342529.77</v>
      </c>
      <c r="L45" s="1581">
        <f>'2.2 Spec Ed Local YR1'!L45</f>
        <v>342530</v>
      </c>
    </row>
    <row r="46" spans="1:16" x14ac:dyDescent="0.3">
      <c r="A46" s="106"/>
      <c r="B46" s="9" t="str">
        <f>'5.2 Budgeted Enrollment YR2'!E46</f>
        <v>Delta Academy</v>
      </c>
      <c r="C46" s="1569">
        <f>'2.2 Spec Ed Local YR1'!C46</f>
        <v>978899.29</v>
      </c>
      <c r="D46" s="1569">
        <f>'2.2 Spec Ed Local YR1'!D46</f>
        <v>0</v>
      </c>
      <c r="E46" s="1569">
        <f>'2.2 Spec Ed Local YR1'!E46</f>
        <v>0</v>
      </c>
      <c r="F46" s="2306">
        <f>'2.2 Spec Ed Local YR1'!F46</f>
        <v>978899.29</v>
      </c>
      <c r="G46" s="1569">
        <f>'2.2 Spec Ed Local YR1'!G46</f>
        <v>555000</v>
      </c>
      <c r="H46" s="1569">
        <f>'2.2 Spec Ed Local YR1'!H46</f>
        <v>0</v>
      </c>
      <c r="I46" s="1569">
        <f>'2.2 Spec Ed Local YR1'!I46</f>
        <v>0</v>
      </c>
      <c r="J46" s="2306">
        <f>'2.2 Spec Ed Local YR1'!J46</f>
        <v>555000</v>
      </c>
      <c r="K46" s="1575">
        <f>'2.2 Spec Ed Local YR1'!K46</f>
        <v>423899.29000000004</v>
      </c>
      <c r="L46" s="1581">
        <f>'2.2 Spec Ed Local YR1'!L46</f>
        <v>423899</v>
      </c>
    </row>
    <row r="47" spans="1:16" x14ac:dyDescent="0.3">
      <c r="A47" s="106"/>
      <c r="B47" s="9" t="str">
        <f>'5.2 Budgeted Enrollment YR2'!E47</f>
        <v>Democracy Prep</v>
      </c>
      <c r="C47" s="1569">
        <f>'2.2 Spec Ed Local YR1'!C47</f>
        <v>532821.23</v>
      </c>
      <c r="D47" s="1569">
        <f>'2.2 Spec Ed Local YR1'!D47</f>
        <v>2401.86</v>
      </c>
      <c r="E47" s="1569">
        <f>'2.2 Spec Ed Local YR1'!E47</f>
        <v>0</v>
      </c>
      <c r="F47" s="2306">
        <f>'2.2 Spec Ed Local YR1'!F47</f>
        <v>535223.09</v>
      </c>
      <c r="G47" s="1569">
        <f>'2.2 Spec Ed Local YR1'!G47</f>
        <v>535223.09</v>
      </c>
      <c r="H47" s="1569">
        <f>'2.2 Spec Ed Local YR1'!H47</f>
        <v>0</v>
      </c>
      <c r="I47" s="1569">
        <f>'2.2 Spec Ed Local YR1'!I47</f>
        <v>0</v>
      </c>
      <c r="J47" s="2306">
        <f>'2.2 Spec Ed Local YR1'!J47</f>
        <v>535223.09</v>
      </c>
      <c r="K47" s="1575">
        <f>'2.2 Spec Ed Local YR1'!K47</f>
        <v>0</v>
      </c>
      <c r="L47" s="1581">
        <f>'2.2 Spec Ed Local YR1'!L47</f>
        <v>0</v>
      </c>
    </row>
    <row r="48" spans="1:16" x14ac:dyDescent="0.3">
      <c r="A48" s="106"/>
      <c r="B48" s="9" t="str">
        <f>'5.2 Budgeted Enrollment YR2'!E48</f>
        <v>Discovery Charter</v>
      </c>
      <c r="C48" s="1569">
        <f>'2.2 Spec Ed Local YR1'!C48</f>
        <v>385417.93</v>
      </c>
      <c r="D48" s="1569">
        <f>'2.2 Spec Ed Local YR1'!D48</f>
        <v>0</v>
      </c>
      <c r="E48" s="1569">
        <f>'2.2 Spec Ed Local YR1'!E48</f>
        <v>0</v>
      </c>
      <c r="F48" s="2306">
        <f>'2.2 Spec Ed Local YR1'!F48</f>
        <v>385417.93</v>
      </c>
      <c r="G48" s="1569">
        <f>'2.2 Spec Ed Local YR1'!G48</f>
        <v>255260.25</v>
      </c>
      <c r="H48" s="1569">
        <f>'2.2 Spec Ed Local YR1'!H48</f>
        <v>0</v>
      </c>
      <c r="I48" s="1569">
        <f>'2.2 Spec Ed Local YR1'!I48</f>
        <v>0</v>
      </c>
      <c r="J48" s="2306">
        <f>'2.2 Spec Ed Local YR1'!J48</f>
        <v>255260.25</v>
      </c>
      <c r="K48" s="1575">
        <f>'2.2 Spec Ed Local YR1'!K48</f>
        <v>130157.68</v>
      </c>
      <c r="L48" s="1581">
        <f>'2.2 Spec Ed Local YR1'!L48</f>
        <v>130158</v>
      </c>
    </row>
    <row r="49" spans="1:13" x14ac:dyDescent="0.3">
      <c r="A49" s="106"/>
      <c r="B49" s="9" t="str">
        <f>'5.2 Budgeted Enrollment YR2'!E49</f>
        <v>Do and Be Academy of Excellence</v>
      </c>
      <c r="C49" s="1569">
        <f>'2.2 Spec Ed Local YR1'!C49</f>
        <v>0</v>
      </c>
      <c r="D49" s="1569">
        <f>'2.2 Spec Ed Local YR1'!D49</f>
        <v>0</v>
      </c>
      <c r="E49" s="1569">
        <f>'2.2 Spec Ed Local YR1'!E49</f>
        <v>0</v>
      </c>
      <c r="F49" s="2306">
        <f>'2.2 Spec Ed Local YR1'!F49</f>
        <v>0</v>
      </c>
      <c r="G49" s="1569">
        <f>'2.2 Spec Ed Local YR1'!G49</f>
        <v>0</v>
      </c>
      <c r="H49" s="1569">
        <f>'2.2 Spec Ed Local YR1'!H49</f>
        <v>0</v>
      </c>
      <c r="I49" s="1569">
        <f>'2.2 Spec Ed Local YR1'!I49</f>
        <v>0</v>
      </c>
      <c r="J49" s="2306">
        <f>'2.2 Spec Ed Local YR1'!J49</f>
        <v>0</v>
      </c>
      <c r="K49" s="1575">
        <f>'2.2 Spec Ed Local YR1'!K49</f>
        <v>0</v>
      </c>
      <c r="L49" s="1581">
        <f>'2.2 Spec Ed Local YR1'!L49</f>
        <v>0</v>
      </c>
      <c r="M49" s="9" t="s">
        <v>370</v>
      </c>
    </row>
    <row r="50" spans="1:13" x14ac:dyDescent="0.3">
      <c r="A50" s="106"/>
      <c r="B50" s="9" t="str">
        <f>'5.2 Budgeted Enrollment YR2'!E50</f>
        <v>Doral Academy</v>
      </c>
      <c r="C50" s="1569">
        <f>'2.2 Spec Ed Local YR1'!C50</f>
        <v>5348079.41</v>
      </c>
      <c r="D50" s="1569">
        <f>'2.2 Spec Ed Local YR1'!D50</f>
        <v>0</v>
      </c>
      <c r="E50" s="1569">
        <f>'2.2 Spec Ed Local YR1'!E50</f>
        <v>0</v>
      </c>
      <c r="F50" s="2306">
        <f>'2.2 Spec Ed Local YR1'!F50</f>
        <v>5348079.41</v>
      </c>
      <c r="G50" s="1569">
        <f>'2.2 Spec Ed Local YR1'!G50</f>
        <v>2556719.5599999996</v>
      </c>
      <c r="H50" s="1569">
        <f>'2.2 Spec Ed Local YR1'!H50</f>
        <v>0</v>
      </c>
      <c r="I50" s="1569">
        <f>'2.2 Spec Ed Local YR1'!I50</f>
        <v>0</v>
      </c>
      <c r="J50" s="2306">
        <f>'2.2 Spec Ed Local YR1'!J50</f>
        <v>2556719.5599999996</v>
      </c>
      <c r="K50" s="1575">
        <f>'2.2 Spec Ed Local YR1'!K50</f>
        <v>2791359.8500000006</v>
      </c>
      <c r="L50" s="1581">
        <f>'2.2 Spec Ed Local YR1'!L50</f>
        <v>2791360</v>
      </c>
    </row>
    <row r="51" spans="1:13" x14ac:dyDescent="0.3">
      <c r="A51" s="106"/>
      <c r="B51" s="9" t="str">
        <f>'5.2 Budgeted Enrollment YR2'!E51</f>
        <v>Doral Academy of Northern Nevada</v>
      </c>
      <c r="C51" s="1569">
        <f>'2.2 Spec Ed Local YR1'!C51</f>
        <v>542048.16999999993</v>
      </c>
      <c r="D51" s="1569">
        <f>'2.2 Spec Ed Local YR1'!D51</f>
        <v>0</v>
      </c>
      <c r="E51" s="1569">
        <f>'2.2 Spec Ed Local YR1'!E51</f>
        <v>0</v>
      </c>
      <c r="F51" s="2306">
        <f>'2.2 Spec Ed Local YR1'!F51</f>
        <v>542048.16999999993</v>
      </c>
      <c r="G51" s="1569">
        <f>'2.2 Spec Ed Local YR1'!G51</f>
        <v>456998.17</v>
      </c>
      <c r="H51" s="1569">
        <f>'2.2 Spec Ed Local YR1'!H51</f>
        <v>0</v>
      </c>
      <c r="I51" s="1569">
        <f>'2.2 Spec Ed Local YR1'!I51</f>
        <v>0</v>
      </c>
      <c r="J51" s="2306">
        <f>'2.2 Spec Ed Local YR1'!J51</f>
        <v>456998.17</v>
      </c>
      <c r="K51" s="1575">
        <f>'2.2 Spec Ed Local YR1'!K51</f>
        <v>85049.999999999942</v>
      </c>
      <c r="L51" s="1581">
        <f>'2.2 Spec Ed Local YR1'!L51</f>
        <v>85050</v>
      </c>
    </row>
    <row r="52" spans="1:13" x14ac:dyDescent="0.3">
      <c r="A52" s="106"/>
      <c r="B52" s="9" t="str">
        <f>'5.2 Budgeted Enrollment YR2'!E52</f>
        <v>Eagle Charter School (CLOSED)</v>
      </c>
      <c r="C52" s="1569">
        <f>'2.2 Spec Ed Local YR1'!C52</f>
        <v>0</v>
      </c>
      <c r="D52" s="1569">
        <f>'2.2 Spec Ed Local YR1'!D52</f>
        <v>0</v>
      </c>
      <c r="E52" s="1569">
        <f>'2.2 Spec Ed Local YR1'!E52</f>
        <v>0</v>
      </c>
      <c r="F52" s="2306">
        <f>'2.2 Spec Ed Local YR1'!F52</f>
        <v>0</v>
      </c>
      <c r="G52" s="1569">
        <f>'2.2 Spec Ed Local YR1'!G52</f>
        <v>0</v>
      </c>
      <c r="H52" s="1569">
        <f>'2.2 Spec Ed Local YR1'!H52</f>
        <v>0</v>
      </c>
      <c r="I52" s="1569">
        <f>'2.2 Spec Ed Local YR1'!I52</f>
        <v>0</v>
      </c>
      <c r="J52" s="2306">
        <f>'2.2 Spec Ed Local YR1'!J52</f>
        <v>0</v>
      </c>
      <c r="K52" s="1575">
        <f>'2.2 Spec Ed Local YR1'!K52</f>
        <v>0</v>
      </c>
      <c r="L52" s="1581">
        <f>'2.2 Spec Ed Local YR1'!L52</f>
        <v>0</v>
      </c>
    </row>
    <row r="53" spans="1:13" x14ac:dyDescent="0.3">
      <c r="A53" s="106"/>
      <c r="B53" s="9" t="str">
        <f>'5.2 Budgeted Enrollment YR2'!E53</f>
        <v>Elko Institute for Academic Achievement</v>
      </c>
      <c r="C53" s="1569">
        <f>'2.2 Spec Ed Local YR1'!C53</f>
        <v>284526.46999999997</v>
      </c>
      <c r="D53" s="1569">
        <f>'2.2 Spec Ed Local YR1'!D53</f>
        <v>0</v>
      </c>
      <c r="E53" s="1569">
        <f>'2.2 Spec Ed Local YR1'!E53</f>
        <v>0</v>
      </c>
      <c r="F53" s="2306">
        <f>'2.2 Spec Ed Local YR1'!F53</f>
        <v>284526.46999999997</v>
      </c>
      <c r="G53" s="1569">
        <f>'2.2 Spec Ed Local YR1'!G53</f>
        <v>144098.52000000002</v>
      </c>
      <c r="H53" s="1569">
        <f>'2.2 Spec Ed Local YR1'!H53</f>
        <v>0</v>
      </c>
      <c r="I53" s="1569">
        <f>'2.2 Spec Ed Local YR1'!I53</f>
        <v>0</v>
      </c>
      <c r="J53" s="2306">
        <f>'2.2 Spec Ed Local YR1'!J53</f>
        <v>144098.52000000002</v>
      </c>
      <c r="K53" s="1575">
        <f>'2.2 Spec Ed Local YR1'!K53</f>
        <v>140427.94999999995</v>
      </c>
      <c r="L53" s="1581">
        <f>'2.2 Spec Ed Local YR1'!L53</f>
        <v>140428</v>
      </c>
    </row>
    <row r="54" spans="1:13" x14ac:dyDescent="0.3">
      <c r="A54" s="106"/>
      <c r="B54" s="9" t="str">
        <f>'5.2 Budgeted Enrollment YR2'!E54</f>
        <v>enCompass Academy</v>
      </c>
      <c r="C54" s="1569">
        <f>'2.2 Spec Ed Local YR1'!C54</f>
        <v>84025.53</v>
      </c>
      <c r="D54" s="1569">
        <f>'2.2 Spec Ed Local YR1'!D54</f>
        <v>0</v>
      </c>
      <c r="E54" s="1569">
        <f>'2.2 Spec Ed Local YR1'!E54</f>
        <v>0</v>
      </c>
      <c r="F54" s="2306">
        <f>'2.2 Spec Ed Local YR1'!F54</f>
        <v>84025.53</v>
      </c>
      <c r="G54" s="1569">
        <f>'2.2 Spec Ed Local YR1'!G54</f>
        <v>84025.53</v>
      </c>
      <c r="H54" s="1569">
        <f>'2.2 Spec Ed Local YR1'!H54</f>
        <v>0</v>
      </c>
      <c r="I54" s="1569">
        <f>'2.2 Spec Ed Local YR1'!I54</f>
        <v>0</v>
      </c>
      <c r="J54" s="2306">
        <f>'2.2 Spec Ed Local YR1'!J54</f>
        <v>84025.53</v>
      </c>
      <c r="K54" s="1575">
        <f>'2.2 Spec Ed Local YR1'!K54</f>
        <v>0</v>
      </c>
      <c r="L54" s="1581">
        <f>'2.2 Spec Ed Local YR1'!L54</f>
        <v>0</v>
      </c>
    </row>
    <row r="55" spans="1:13" x14ac:dyDescent="0.3">
      <c r="A55" s="106"/>
      <c r="B55" s="9" t="str">
        <f>'5.2 Budgeted Enrollment YR2'!E55</f>
        <v>Equipo Academy</v>
      </c>
      <c r="C55" s="1569">
        <f>'2.2 Spec Ed Local YR1'!C55</f>
        <v>551644.38800000004</v>
      </c>
      <c r="D55" s="1569">
        <f>'2.2 Spec Ed Local YR1'!D55</f>
        <v>0</v>
      </c>
      <c r="E55" s="1569">
        <f>'2.2 Spec Ed Local YR1'!E55</f>
        <v>0</v>
      </c>
      <c r="F55" s="2306">
        <f>'2.2 Spec Ed Local YR1'!F55</f>
        <v>551644.38800000004</v>
      </c>
      <c r="G55" s="1569">
        <f>'2.2 Spec Ed Local YR1'!G55</f>
        <v>201737.93000000002</v>
      </c>
      <c r="H55" s="1569">
        <f>'2.2 Spec Ed Local YR1'!H55</f>
        <v>0</v>
      </c>
      <c r="I55" s="1569">
        <f>'2.2 Spec Ed Local YR1'!I55</f>
        <v>0</v>
      </c>
      <c r="J55" s="2306">
        <f>'2.2 Spec Ed Local YR1'!J55</f>
        <v>201737.93000000002</v>
      </c>
      <c r="K55" s="1575">
        <f>'2.2 Spec Ed Local YR1'!K55</f>
        <v>349906.45799999998</v>
      </c>
      <c r="L55" s="1581">
        <f>'2.2 Spec Ed Local YR1'!L55</f>
        <v>349906</v>
      </c>
    </row>
    <row r="56" spans="1:13" x14ac:dyDescent="0.3">
      <c r="A56" s="106"/>
      <c r="B56" s="9" t="str">
        <f>'5.2 Budgeted Enrollment YR2'!E56</f>
        <v>Explore Academy</v>
      </c>
      <c r="C56" s="1569">
        <f>'2.2 Spec Ed Local YR1'!C56</f>
        <v>189386.62</v>
      </c>
      <c r="D56" s="1569">
        <f>'2.2 Spec Ed Local YR1'!D56</f>
        <v>0</v>
      </c>
      <c r="E56" s="1569">
        <f>'2.2 Spec Ed Local YR1'!E56</f>
        <v>0</v>
      </c>
      <c r="F56" s="2306">
        <f>'2.2 Spec Ed Local YR1'!F56</f>
        <v>189386.62</v>
      </c>
      <c r="G56" s="1569">
        <f>'2.2 Spec Ed Local YR1'!G56</f>
        <v>189386.62</v>
      </c>
      <c r="H56" s="1569">
        <f>'2.2 Spec Ed Local YR1'!H56</f>
        <v>0</v>
      </c>
      <c r="I56" s="1569">
        <f>'2.2 Spec Ed Local YR1'!I56</f>
        <v>0</v>
      </c>
      <c r="J56" s="2306">
        <f>'2.2 Spec Ed Local YR1'!J56</f>
        <v>189386.62</v>
      </c>
      <c r="K56" s="1575">
        <f>'2.2 Spec Ed Local YR1'!K56</f>
        <v>0</v>
      </c>
      <c r="L56" s="1581">
        <f>'2.2 Spec Ed Local YR1'!L56</f>
        <v>0</v>
      </c>
    </row>
    <row r="57" spans="1:13" x14ac:dyDescent="0.3">
      <c r="A57" s="106"/>
      <c r="B57" s="9" t="str">
        <f>'5.2 Budgeted Enrollment YR2'!E57</f>
        <v>Explore Knowledge Academy</v>
      </c>
      <c r="C57" s="1569">
        <f>'2.2 Spec Ed Local YR1'!C57</f>
        <v>260232.75</v>
      </c>
      <c r="D57" s="1569">
        <f>'2.2 Spec Ed Local YR1'!D57</f>
        <v>0</v>
      </c>
      <c r="E57" s="1569">
        <f>'2.2 Spec Ed Local YR1'!E57</f>
        <v>0</v>
      </c>
      <c r="F57" s="2306">
        <f>'2.2 Spec Ed Local YR1'!F57</f>
        <v>260232.75</v>
      </c>
      <c r="G57" s="1569">
        <f>'2.2 Spec Ed Local YR1'!G57</f>
        <v>233100</v>
      </c>
      <c r="H57" s="1569">
        <f>'2.2 Spec Ed Local YR1'!H57</f>
        <v>0</v>
      </c>
      <c r="I57" s="1569">
        <f>'2.2 Spec Ed Local YR1'!I57</f>
        <v>0</v>
      </c>
      <c r="J57" s="2306">
        <f>'2.2 Spec Ed Local YR1'!J57</f>
        <v>233100</v>
      </c>
      <c r="K57" s="1575">
        <f>'2.2 Spec Ed Local YR1'!K57</f>
        <v>27132.75</v>
      </c>
      <c r="L57" s="1581">
        <f>'2.2 Spec Ed Local YR1'!L57</f>
        <v>27133</v>
      </c>
    </row>
    <row r="58" spans="1:13" x14ac:dyDescent="0.3">
      <c r="A58" s="106"/>
      <c r="B58" s="9" t="str">
        <f>'5.2 Budgeted Enrollment YR2'!E58</f>
        <v>Founders Academy of Las Vegas</v>
      </c>
      <c r="C58" s="1569">
        <f>'2.2 Spec Ed Local YR1'!C58</f>
        <v>431932.67000000004</v>
      </c>
      <c r="D58" s="1569">
        <f>'2.2 Spec Ed Local YR1'!D58</f>
        <v>115.68</v>
      </c>
      <c r="E58" s="1569">
        <f>'2.2 Spec Ed Local YR1'!E58</f>
        <v>0</v>
      </c>
      <c r="F58" s="2306">
        <f>'2.2 Spec Ed Local YR1'!F58</f>
        <v>432048.35000000003</v>
      </c>
      <c r="G58" s="1569">
        <f>'2.2 Spec Ed Local YR1'!G58</f>
        <v>263494.45</v>
      </c>
      <c r="H58" s="1569">
        <f>'2.2 Spec Ed Local YR1'!H58</f>
        <v>0</v>
      </c>
      <c r="I58" s="1569">
        <f>'2.2 Spec Ed Local YR1'!I58</f>
        <v>0</v>
      </c>
      <c r="J58" s="2306">
        <f>'2.2 Spec Ed Local YR1'!J58</f>
        <v>263494.45</v>
      </c>
      <c r="K58" s="1575">
        <f>'2.2 Spec Ed Local YR1'!K58</f>
        <v>168553.90000000002</v>
      </c>
      <c r="L58" s="1581">
        <f>'2.2 Spec Ed Local YR1'!L58</f>
        <v>168554</v>
      </c>
    </row>
    <row r="59" spans="1:13" x14ac:dyDescent="0.3">
      <c r="A59" s="106"/>
      <c r="B59" s="9" t="str">
        <f>'5.2 Budgeted Enrollment YR2'!E59</f>
        <v>Freedom Classical Academy</v>
      </c>
      <c r="C59" s="1569">
        <f>'2.2 Spec Ed Local YR1'!C59</f>
        <v>968791.97339694249</v>
      </c>
      <c r="D59" s="1569">
        <f>'2.2 Spec Ed Local YR1'!D59</f>
        <v>668.8</v>
      </c>
      <c r="E59" s="1569">
        <f>'2.2 Spec Ed Local YR1'!E59</f>
        <v>0</v>
      </c>
      <c r="F59" s="2306">
        <f>'2.2 Spec Ed Local YR1'!F59</f>
        <v>969460.77339694253</v>
      </c>
      <c r="G59" s="1569">
        <f>'2.2 Spec Ed Local YR1'!G59</f>
        <v>424061.38</v>
      </c>
      <c r="H59" s="1569">
        <f>'2.2 Spec Ed Local YR1'!H59</f>
        <v>0</v>
      </c>
      <c r="I59" s="1569">
        <f>'2.2 Spec Ed Local YR1'!I59</f>
        <v>0</v>
      </c>
      <c r="J59" s="2306">
        <f>'2.2 Spec Ed Local YR1'!J59</f>
        <v>424061.38</v>
      </c>
      <c r="K59" s="1575">
        <f>'2.2 Spec Ed Local YR1'!K59</f>
        <v>545399.39339694253</v>
      </c>
      <c r="L59" s="1581">
        <f>'2.2 Spec Ed Local YR1'!L59</f>
        <v>545399</v>
      </c>
    </row>
    <row r="60" spans="1:13" x14ac:dyDescent="0.3">
      <c r="A60" s="106"/>
      <c r="B60" s="9" t="str">
        <f>'5.2 Budgeted Enrollment YR2'!E60</f>
        <v>Futuro Academy Elementary</v>
      </c>
      <c r="C60" s="1569">
        <f>'2.2 Spec Ed Local YR1'!C60</f>
        <v>455975.26</v>
      </c>
      <c r="D60" s="1569">
        <f>'2.2 Spec Ed Local YR1'!D60</f>
        <v>0</v>
      </c>
      <c r="E60" s="1569">
        <f>'2.2 Spec Ed Local YR1'!E60</f>
        <v>0</v>
      </c>
      <c r="F60" s="2306">
        <f>'2.2 Spec Ed Local YR1'!F60</f>
        <v>455975.26</v>
      </c>
      <c r="G60" s="1569">
        <f>'2.2 Spec Ed Local YR1'!G60</f>
        <v>123513.03</v>
      </c>
      <c r="H60" s="1569">
        <f>'2.2 Spec Ed Local YR1'!H60</f>
        <v>0</v>
      </c>
      <c r="I60" s="1569">
        <f>'2.2 Spec Ed Local YR1'!I60</f>
        <v>0</v>
      </c>
      <c r="J60" s="2306">
        <f>'2.2 Spec Ed Local YR1'!J60</f>
        <v>123513.03</v>
      </c>
      <c r="K60" s="1575">
        <f>'2.2 Spec Ed Local YR1'!K60</f>
        <v>332462.23</v>
      </c>
      <c r="L60" s="1581">
        <f>'2.2 Spec Ed Local YR1'!L60</f>
        <v>332462</v>
      </c>
    </row>
    <row r="61" spans="1:13" x14ac:dyDescent="0.3">
      <c r="A61" s="106"/>
      <c r="B61" s="9" t="str">
        <f>'5.2 Budgeted Enrollment YR2'!E61</f>
        <v>High Desert Montessori</v>
      </c>
      <c r="C61" s="1569">
        <f>'2.2 Spec Ed Local YR1'!C61</f>
        <v>218769.96000000002</v>
      </c>
      <c r="D61" s="1569">
        <f>'2.2 Spec Ed Local YR1'!D61</f>
        <v>0</v>
      </c>
      <c r="E61" s="1569">
        <f>'2.2 Spec Ed Local YR1'!E61</f>
        <v>0</v>
      </c>
      <c r="F61" s="2306">
        <f>'2.2 Spec Ed Local YR1'!F61</f>
        <v>218769.96000000002</v>
      </c>
      <c r="G61" s="1569">
        <f>'2.2 Spec Ed Local YR1'!G61</f>
        <v>218769.96</v>
      </c>
      <c r="H61" s="1569">
        <f>'2.2 Spec Ed Local YR1'!H61</f>
        <v>0</v>
      </c>
      <c r="I61" s="1569">
        <f>'2.2 Spec Ed Local YR1'!I61</f>
        <v>0</v>
      </c>
      <c r="J61" s="2306">
        <f>'2.2 Spec Ed Local YR1'!J61</f>
        <v>218769.96</v>
      </c>
      <c r="K61" s="1575">
        <f>'2.2 Spec Ed Local YR1'!K61</f>
        <v>0</v>
      </c>
      <c r="L61" s="1581">
        <f>'2.2 Spec Ed Local YR1'!L61</f>
        <v>0</v>
      </c>
    </row>
    <row r="62" spans="1:13" x14ac:dyDescent="0.3">
      <c r="A62" s="106"/>
      <c r="B62" s="9" t="str">
        <f>'5.2 Budgeted Enrollment YR2'!E62</f>
        <v>Honors Academy of Literature</v>
      </c>
      <c r="C62" s="1569">
        <f>'2.2 Spec Ed Local YR1'!C62</f>
        <v>371051.20999999996</v>
      </c>
      <c r="D62" s="1569">
        <f>'2.2 Spec Ed Local YR1'!D62</f>
        <v>0</v>
      </c>
      <c r="E62" s="1569">
        <f>'2.2 Spec Ed Local YR1'!E62</f>
        <v>0</v>
      </c>
      <c r="F62" s="2306">
        <f>'2.2 Spec Ed Local YR1'!F62</f>
        <v>371051.20999999996</v>
      </c>
      <c r="G62" s="1569">
        <f>'2.2 Spec Ed Local YR1'!G62</f>
        <v>139981.44</v>
      </c>
      <c r="H62" s="1569">
        <f>'2.2 Spec Ed Local YR1'!H62</f>
        <v>0</v>
      </c>
      <c r="I62" s="1569">
        <f>'2.2 Spec Ed Local YR1'!I62</f>
        <v>0</v>
      </c>
      <c r="J62" s="2306">
        <f>'2.2 Spec Ed Local YR1'!J62</f>
        <v>139981.44</v>
      </c>
      <c r="K62" s="1575">
        <f>'2.2 Spec Ed Local YR1'!K62</f>
        <v>231069.76999999996</v>
      </c>
      <c r="L62" s="1581">
        <f>'2.2 Spec Ed Local YR1'!L62</f>
        <v>231070</v>
      </c>
    </row>
    <row r="63" spans="1:13" x14ac:dyDescent="0.3">
      <c r="A63" s="106"/>
      <c r="B63" s="9" t="str">
        <f>'5.2 Budgeted Enrollment YR2'!E63</f>
        <v>Imagine School Mountain View</v>
      </c>
      <c r="C63" s="1569">
        <f>'2.2 Spec Ed Local YR1'!C63</f>
        <v>559459.54</v>
      </c>
      <c r="D63" s="1569">
        <f>'2.2 Spec Ed Local YR1'!D63</f>
        <v>0</v>
      </c>
      <c r="E63" s="1569">
        <f>'2.2 Spec Ed Local YR1'!E63</f>
        <v>0</v>
      </c>
      <c r="F63" s="2306">
        <f>'2.2 Spec Ed Local YR1'!F63</f>
        <v>559459.54</v>
      </c>
      <c r="G63" s="1569">
        <f>'2.2 Spec Ed Local YR1'!G63</f>
        <v>288197.05</v>
      </c>
      <c r="H63" s="1569">
        <f>'2.2 Spec Ed Local YR1'!H63</f>
        <v>0</v>
      </c>
      <c r="I63" s="1569">
        <f>'2.2 Spec Ed Local YR1'!I63</f>
        <v>0</v>
      </c>
      <c r="J63" s="2306">
        <f>'2.2 Spec Ed Local YR1'!J63</f>
        <v>288197.05</v>
      </c>
      <c r="K63" s="1575">
        <f>'2.2 Spec Ed Local YR1'!K63</f>
        <v>271262.49000000005</v>
      </c>
      <c r="L63" s="1581">
        <f>'2.2 Spec Ed Local YR1'!L63</f>
        <v>271262</v>
      </c>
    </row>
    <row r="64" spans="1:13" x14ac:dyDescent="0.3">
      <c r="A64" s="106"/>
      <c r="B64" s="9" t="str">
        <f>'5.2 Budgeted Enrollment YR2'!E64</f>
        <v>Innovations Int'l Charter</v>
      </c>
      <c r="C64" s="1569">
        <f>'2.2 Spec Ed Local YR1'!C64</f>
        <v>498893</v>
      </c>
      <c r="D64" s="1569">
        <f>'2.2 Spec Ed Local YR1'!D64</f>
        <v>0</v>
      </c>
      <c r="E64" s="1569">
        <f>'2.2 Spec Ed Local YR1'!E64</f>
        <v>0</v>
      </c>
      <c r="F64" s="2306">
        <f>'2.2 Spec Ed Local YR1'!F64</f>
        <v>498893</v>
      </c>
      <c r="G64" s="1569">
        <f>'2.2 Spec Ed Local YR1'!G64</f>
        <v>425500</v>
      </c>
      <c r="H64" s="1569">
        <f>'2.2 Spec Ed Local YR1'!H64</f>
        <v>0</v>
      </c>
      <c r="I64" s="1569">
        <f>'2.2 Spec Ed Local YR1'!I64</f>
        <v>0</v>
      </c>
      <c r="J64" s="2306">
        <f>'2.2 Spec Ed Local YR1'!J64</f>
        <v>425500</v>
      </c>
      <c r="K64" s="1575">
        <f>'2.2 Spec Ed Local YR1'!K64</f>
        <v>73393</v>
      </c>
      <c r="L64" s="1581">
        <f>'2.2 Spec Ed Local YR1'!L64</f>
        <v>73393</v>
      </c>
    </row>
    <row r="65" spans="1:12" x14ac:dyDescent="0.3">
      <c r="A65" s="1582"/>
      <c r="B65" s="36" t="str">
        <f>'5.2 Budgeted Enrollment YR2'!E65</f>
        <v>Leadership Academy of Nevada</v>
      </c>
      <c r="C65" s="1569">
        <f>'2.2 Spec Ed Local YR1'!C65</f>
        <v>317838.11000000004</v>
      </c>
      <c r="D65" s="1569">
        <f>'2.2 Spec Ed Local YR1'!D65</f>
        <v>0</v>
      </c>
      <c r="E65" s="1569">
        <f>'2.2 Spec Ed Local YR1'!E65</f>
        <v>0</v>
      </c>
      <c r="F65" s="2306">
        <f>'2.2 Spec Ed Local YR1'!F65</f>
        <v>317838.11000000004</v>
      </c>
      <c r="G65" s="1569">
        <f>'2.2 Spec Ed Local YR1'!G65</f>
        <v>107044.21999999999</v>
      </c>
      <c r="H65" s="1569">
        <f>'2.2 Spec Ed Local YR1'!H65</f>
        <v>0</v>
      </c>
      <c r="I65" s="1569">
        <f>'2.2 Spec Ed Local YR1'!I65</f>
        <v>0</v>
      </c>
      <c r="J65" s="2306">
        <f>'2.2 Spec Ed Local YR1'!J65</f>
        <v>107044.21999999999</v>
      </c>
      <c r="K65" s="1575">
        <f>'2.2 Spec Ed Local YR1'!K65</f>
        <v>210793.89000000007</v>
      </c>
      <c r="L65" s="1948">
        <f>'2.2 Spec Ed Local YR1'!L65</f>
        <v>210794</v>
      </c>
    </row>
    <row r="66" spans="1:12" x14ac:dyDescent="0.3">
      <c r="A66" s="106"/>
      <c r="B66" s="36" t="str">
        <f>'5.2 Budgeted Enrollment YR2'!E66</f>
        <v>Learning Bridge</v>
      </c>
      <c r="C66" s="1569">
        <f>'2.2 Spec Ed Local YR1'!C66</f>
        <v>74107.819999999992</v>
      </c>
      <c r="D66" s="1569">
        <f>'2.2 Spec Ed Local YR1'!D66</f>
        <v>0</v>
      </c>
      <c r="E66" s="1569">
        <f>'2.2 Spec Ed Local YR1'!E66</f>
        <v>0</v>
      </c>
      <c r="F66" s="2306">
        <f>'2.2 Spec Ed Local YR1'!F66</f>
        <v>74107.819999999992</v>
      </c>
      <c r="G66" s="1569">
        <f>'2.2 Spec Ed Local YR1'!G66</f>
        <v>74107.819999999992</v>
      </c>
      <c r="H66" s="1569">
        <f>'2.2 Spec Ed Local YR1'!H66</f>
        <v>0</v>
      </c>
      <c r="I66" s="1569">
        <f>'2.2 Spec Ed Local YR1'!I66</f>
        <v>0</v>
      </c>
      <c r="J66" s="2306">
        <f>'2.2 Spec Ed Local YR1'!J66</f>
        <v>74107.819999999992</v>
      </c>
      <c r="K66" s="1575">
        <f>'2.2 Spec Ed Local YR1'!K66</f>
        <v>0</v>
      </c>
      <c r="L66" s="1948">
        <f>'2.2 Spec Ed Local YR1'!L66</f>
        <v>0</v>
      </c>
    </row>
    <row r="67" spans="1:12" x14ac:dyDescent="0.3">
      <c r="A67" s="106"/>
      <c r="B67" s="9" t="str">
        <f>'5.2 Budgeted Enrollment YR2'!E67</f>
        <v>Legacy Traditional Schools</v>
      </c>
      <c r="C67" s="1569">
        <f>'2.2 Spec Ed Local YR1'!C67</f>
        <v>2830822.6899999995</v>
      </c>
      <c r="D67" s="1569">
        <f>'2.2 Spec Ed Local YR1'!D67</f>
        <v>0</v>
      </c>
      <c r="E67" s="1569">
        <f>'2.2 Spec Ed Local YR1'!E67</f>
        <v>0</v>
      </c>
      <c r="F67" s="2306">
        <f>'2.2 Spec Ed Local YR1'!F67</f>
        <v>2830822.6899999995</v>
      </c>
      <c r="G67" s="1569">
        <f>'2.2 Spec Ed Local YR1'!G67</f>
        <v>901645.07000000007</v>
      </c>
      <c r="H67" s="1569">
        <f>'2.2 Spec Ed Local YR1'!H67</f>
        <v>0</v>
      </c>
      <c r="I67" s="1569">
        <f>'2.2 Spec Ed Local YR1'!I67</f>
        <v>0</v>
      </c>
      <c r="J67" s="2306">
        <f>'2.2 Spec Ed Local YR1'!J67</f>
        <v>901645.07000000007</v>
      </c>
      <c r="K67" s="1575">
        <f>'2.2 Spec Ed Local YR1'!K67</f>
        <v>1929177.6199999994</v>
      </c>
      <c r="L67" s="1581">
        <f>'2.2 Spec Ed Local YR1'!L67</f>
        <v>1929178</v>
      </c>
    </row>
    <row r="68" spans="1:12" x14ac:dyDescent="0.3">
      <c r="A68" s="106"/>
      <c r="B68" s="9" t="str">
        <f>'5.2 Budgeted Enrollment YR2'!E68</f>
        <v xml:space="preserve">Mariposa Language and Learning Academy </v>
      </c>
      <c r="C68" s="1569">
        <f>'2.2 Spec Ed Local YR1'!C68</f>
        <v>60742.32</v>
      </c>
      <c r="D68" s="1569">
        <f>'2.2 Spec Ed Local YR1'!D68</f>
        <v>0</v>
      </c>
      <c r="E68" s="1569">
        <f>'2.2 Spec Ed Local YR1'!E68</f>
        <v>0</v>
      </c>
      <c r="F68" s="2306">
        <f>'2.2 Spec Ed Local YR1'!F68</f>
        <v>60742.32</v>
      </c>
      <c r="G68" s="1569">
        <f>'2.2 Spec Ed Local YR1'!G68</f>
        <v>0</v>
      </c>
      <c r="H68" s="1569">
        <f>'2.2 Spec Ed Local YR1'!H68</f>
        <v>0</v>
      </c>
      <c r="I68" s="1569">
        <f>'2.2 Spec Ed Local YR1'!I68</f>
        <v>0</v>
      </c>
      <c r="J68" s="2306">
        <f>'2.2 Spec Ed Local YR1'!J68</f>
        <v>0</v>
      </c>
      <c r="K68" s="1575">
        <f>'2.2 Spec Ed Local YR1'!K68</f>
        <v>60742.32</v>
      </c>
      <c r="L68" s="1581">
        <f>'2.2 Spec Ed Local YR1'!L68</f>
        <v>60742</v>
      </c>
    </row>
    <row r="69" spans="1:12" x14ac:dyDescent="0.3">
      <c r="A69" s="106"/>
      <c r="B69" s="9" t="str">
        <f>'5.2 Budgeted Enrollment YR2'!E69</f>
        <v>Mater Academy</v>
      </c>
      <c r="C69" s="1569">
        <f>'2.2 Spec Ed Local YR1'!C69</f>
        <v>3479218.66</v>
      </c>
      <c r="D69" s="1569">
        <f>'2.2 Spec Ed Local YR1'!D69</f>
        <v>0</v>
      </c>
      <c r="E69" s="1569">
        <f>'2.2 Spec Ed Local YR1'!E69</f>
        <v>0</v>
      </c>
      <c r="F69" s="2306">
        <f>'2.2 Spec Ed Local YR1'!F69</f>
        <v>3479218.66</v>
      </c>
      <c r="G69" s="1569">
        <f>'2.2 Spec Ed Local YR1'!G69</f>
        <v>1613903.4800000002</v>
      </c>
      <c r="H69" s="1569">
        <f>'2.2 Spec Ed Local YR1'!H69</f>
        <v>0</v>
      </c>
      <c r="I69" s="1569">
        <f>'2.2 Spec Ed Local YR1'!I69</f>
        <v>0</v>
      </c>
      <c r="J69" s="2306">
        <f>'2.2 Spec Ed Local YR1'!J69</f>
        <v>1613903.4800000002</v>
      </c>
      <c r="K69" s="1575">
        <f>'2.2 Spec Ed Local YR1'!K69</f>
        <v>1865315.18</v>
      </c>
      <c r="L69" s="1581">
        <f>'2.2 Spec Ed Local YR1'!L69</f>
        <v>1865315</v>
      </c>
    </row>
    <row r="70" spans="1:12" x14ac:dyDescent="0.3">
      <c r="A70" s="106"/>
      <c r="B70" s="9" t="str">
        <f>'5.2 Budgeted Enrollment YR2'!E70</f>
        <v>Mater Academy of Northern Nevada</v>
      </c>
      <c r="C70" s="1569">
        <f>'2.2 Spec Ed Local YR1'!C70</f>
        <v>366761.65</v>
      </c>
      <c r="D70" s="1569">
        <f>'2.2 Spec Ed Local YR1'!D70</f>
        <v>0</v>
      </c>
      <c r="E70" s="1569">
        <f>'2.2 Spec Ed Local YR1'!E70</f>
        <v>0</v>
      </c>
      <c r="F70" s="2306">
        <f>'2.2 Spec Ed Local YR1'!F70</f>
        <v>366761.65</v>
      </c>
      <c r="G70" s="1569">
        <f>'2.2 Spec Ed Local YR1'!G70</f>
        <v>312899.65000000002</v>
      </c>
      <c r="H70" s="1569">
        <f>'2.2 Spec Ed Local YR1'!H70</f>
        <v>0</v>
      </c>
      <c r="I70" s="1569">
        <f>'2.2 Spec Ed Local YR1'!I70</f>
        <v>0</v>
      </c>
      <c r="J70" s="2306">
        <f>'2.2 Spec Ed Local YR1'!J70</f>
        <v>312899.65000000002</v>
      </c>
      <c r="K70" s="1575">
        <f>'2.2 Spec Ed Local YR1'!K70</f>
        <v>53862</v>
      </c>
      <c r="L70" s="1581">
        <f>'2.2 Spec Ed Local YR1'!L70</f>
        <v>53862</v>
      </c>
    </row>
    <row r="71" spans="1:12" x14ac:dyDescent="0.3">
      <c r="A71" s="106"/>
      <c r="B71" s="9" t="str">
        <f>'5.2 Budgeted Enrollment YR2'!E71</f>
        <v>Nevada Connections Academy</v>
      </c>
      <c r="C71" s="1569">
        <f>'2.2 Spec Ed Local YR1'!C71</f>
        <v>518754.68</v>
      </c>
      <c r="D71" s="1569">
        <f>'2.2 Spec Ed Local YR1'!D71</f>
        <v>0</v>
      </c>
      <c r="E71" s="1569">
        <f>'2.2 Spec Ed Local YR1'!E71</f>
        <v>0</v>
      </c>
      <c r="F71" s="2306">
        <f>'2.2 Spec Ed Local YR1'!F71</f>
        <v>518754.68</v>
      </c>
      <c r="G71" s="1569">
        <f>'2.2 Spec Ed Local YR1'!G71</f>
        <v>518754.68</v>
      </c>
      <c r="H71" s="1569">
        <f>'2.2 Spec Ed Local YR1'!H71</f>
        <v>0</v>
      </c>
      <c r="I71" s="1569">
        <f>'2.2 Spec Ed Local YR1'!I71</f>
        <v>0</v>
      </c>
      <c r="J71" s="2306">
        <f>'2.2 Spec Ed Local YR1'!J71</f>
        <v>518754.68</v>
      </c>
      <c r="K71" s="1575">
        <f>'2.2 Spec Ed Local YR1'!K71</f>
        <v>0</v>
      </c>
      <c r="L71" s="1581">
        <f>'2.2 Spec Ed Local YR1'!L71</f>
        <v>0</v>
      </c>
    </row>
    <row r="72" spans="1:12" x14ac:dyDescent="0.3">
      <c r="A72" s="106"/>
      <c r="B72" s="9" t="str">
        <f>'5.2 Budgeted Enrollment YR2'!E72</f>
        <v>Nevada Prep</v>
      </c>
      <c r="C72" s="1569">
        <f>'2.2 Spec Ed Local YR1'!C72</f>
        <v>337424.34</v>
      </c>
      <c r="D72" s="1569">
        <f>'2.2 Spec Ed Local YR1'!D72</f>
        <v>0</v>
      </c>
      <c r="E72" s="1569">
        <f>'2.2 Spec Ed Local YR1'!E72</f>
        <v>0</v>
      </c>
      <c r="F72" s="2306">
        <f>'2.2 Spec Ed Local YR1'!F72</f>
        <v>337424.34</v>
      </c>
      <c r="G72" s="1569">
        <f>'2.2 Spec Ed Local YR1'!G72</f>
        <v>156449.82</v>
      </c>
      <c r="H72" s="1569">
        <f>'2.2 Spec Ed Local YR1'!H72</f>
        <v>0</v>
      </c>
      <c r="I72" s="1569">
        <f>'2.2 Spec Ed Local YR1'!I72</f>
        <v>0</v>
      </c>
      <c r="J72" s="2306">
        <f>'2.2 Spec Ed Local YR1'!J72</f>
        <v>156449.82</v>
      </c>
      <c r="K72" s="1575">
        <f>'2.2 Spec Ed Local YR1'!K72</f>
        <v>180974.52000000002</v>
      </c>
      <c r="L72" s="1581">
        <f>'2.2 Spec Ed Local YR1'!L72</f>
        <v>180975</v>
      </c>
    </row>
    <row r="73" spans="1:12" x14ac:dyDescent="0.3">
      <c r="A73" s="106"/>
      <c r="B73" s="9" t="str">
        <f>'5.2 Budgeted Enrollment YR2'!E73</f>
        <v xml:space="preserve">Nevada Rise </v>
      </c>
      <c r="C73" s="1569">
        <f>'2.2 Spec Ed Local YR1'!C73</f>
        <v>428746.03</v>
      </c>
      <c r="D73" s="1569">
        <f>'2.2 Spec Ed Local YR1'!D73</f>
        <v>0</v>
      </c>
      <c r="E73" s="1569">
        <f>'2.2 Spec Ed Local YR1'!E73</f>
        <v>0</v>
      </c>
      <c r="F73" s="2306">
        <f>'2.2 Spec Ed Local YR1'!F73</f>
        <v>428746.03</v>
      </c>
      <c r="G73" s="1569">
        <f>'2.2 Spec Ed Local YR1'!G73</f>
        <v>94693.32</v>
      </c>
      <c r="H73" s="1569">
        <f>'2.2 Spec Ed Local YR1'!H73</f>
        <v>0</v>
      </c>
      <c r="I73" s="1569">
        <f>'2.2 Spec Ed Local YR1'!I73</f>
        <v>0</v>
      </c>
      <c r="J73" s="2306">
        <f>'2.2 Spec Ed Local YR1'!J73</f>
        <v>94693.32</v>
      </c>
      <c r="K73" s="1575">
        <f>'2.2 Spec Ed Local YR1'!K73</f>
        <v>334052.71000000002</v>
      </c>
      <c r="L73" s="1581">
        <f>'2.2 Spec Ed Local YR1'!L73</f>
        <v>334053</v>
      </c>
    </row>
    <row r="74" spans="1:12" x14ac:dyDescent="0.3">
      <c r="A74" s="106"/>
      <c r="B74" s="9" t="str">
        <f>'5.2 Budgeted Enrollment YR2'!E74</f>
        <v>Nevada State High School</v>
      </c>
      <c r="C74" s="1569">
        <f>'2.2 Spec Ed Local YR1'!C74</f>
        <v>75601.709999999992</v>
      </c>
      <c r="D74" s="1569">
        <f>'2.2 Spec Ed Local YR1'!D74</f>
        <v>0</v>
      </c>
      <c r="E74" s="1569">
        <f>'2.2 Spec Ed Local YR1'!E74</f>
        <v>0</v>
      </c>
      <c r="F74" s="2306">
        <f>'2.2 Spec Ed Local YR1'!F74</f>
        <v>75601.709999999992</v>
      </c>
      <c r="G74" s="1569">
        <f>'2.2 Spec Ed Local YR1'!G74</f>
        <v>65873.61</v>
      </c>
      <c r="H74" s="1569">
        <f>'2.2 Spec Ed Local YR1'!H74</f>
        <v>0</v>
      </c>
      <c r="I74" s="1569">
        <f>'2.2 Spec Ed Local YR1'!I74</f>
        <v>0</v>
      </c>
      <c r="J74" s="2306">
        <f>'2.2 Spec Ed Local YR1'!J74</f>
        <v>65873.61</v>
      </c>
      <c r="K74" s="1575">
        <f>'2.2 Spec Ed Local YR1'!K74</f>
        <v>9728.0999999999913</v>
      </c>
      <c r="L74" s="1581">
        <f>'2.2 Spec Ed Local YR1'!L74</f>
        <v>9728</v>
      </c>
    </row>
    <row r="75" spans="1:12" x14ac:dyDescent="0.3">
      <c r="A75" s="106"/>
      <c r="B75" s="9" t="str">
        <f>'5.2 Budgeted Enrollment YR2'!E75</f>
        <v>Nevada State High School-Meadowwood</v>
      </c>
      <c r="C75" s="1569">
        <f>'2.2 Spec Ed Local YR1'!C75</f>
        <v>0</v>
      </c>
      <c r="D75" s="1569">
        <f>'2.2 Spec Ed Local YR1'!D75</f>
        <v>0</v>
      </c>
      <c r="E75" s="1569">
        <f>'2.2 Spec Ed Local YR1'!E75</f>
        <v>0</v>
      </c>
      <c r="F75" s="2306">
        <f>'2.2 Spec Ed Local YR1'!F75</f>
        <v>0</v>
      </c>
      <c r="G75" s="1569">
        <f>'2.2 Spec Ed Local YR1'!G75</f>
        <v>0</v>
      </c>
      <c r="H75" s="1569">
        <f>'2.2 Spec Ed Local YR1'!H75</f>
        <v>0</v>
      </c>
      <c r="I75" s="1569">
        <f>'2.2 Spec Ed Local YR1'!I75</f>
        <v>0</v>
      </c>
      <c r="J75" s="2306">
        <f>'2.2 Spec Ed Local YR1'!J75</f>
        <v>0</v>
      </c>
      <c r="K75" s="1575">
        <f>'2.2 Spec Ed Local YR1'!K75</f>
        <v>0</v>
      </c>
      <c r="L75" s="1581">
        <f>'2.2 Spec Ed Local YR1'!L75</f>
        <v>0</v>
      </c>
    </row>
    <row r="76" spans="1:12" x14ac:dyDescent="0.3">
      <c r="A76" s="106"/>
      <c r="B76" s="9" t="str">
        <f>'5.2 Budgeted Enrollment YR2'!E76</f>
        <v>Nevada Virtual Academy</v>
      </c>
      <c r="C76" s="1569">
        <f>'2.2 Spec Ed Local YR1'!C76</f>
        <v>1598823.3926079369</v>
      </c>
      <c r="D76" s="1569">
        <f>'2.2 Spec Ed Local YR1'!D76</f>
        <v>6146.8</v>
      </c>
      <c r="E76" s="1569">
        <f>'2.2 Spec Ed Local YR1'!E76</f>
        <v>0</v>
      </c>
      <c r="F76" s="2306">
        <f>'2.2 Spec Ed Local YR1'!F76</f>
        <v>1604970.1926079369</v>
      </c>
      <c r="G76" s="1569">
        <f>'2.2 Spec Ed Local YR1'!G76</f>
        <v>1091031.69</v>
      </c>
      <c r="H76" s="1569">
        <f>'2.2 Spec Ed Local YR1'!H76</f>
        <v>0</v>
      </c>
      <c r="I76" s="1569">
        <f>'2.2 Spec Ed Local YR1'!I76</f>
        <v>0</v>
      </c>
      <c r="J76" s="2306">
        <f>'2.2 Spec Ed Local YR1'!J76</f>
        <v>1091031.69</v>
      </c>
      <c r="K76" s="1575">
        <f>'2.2 Spec Ed Local YR1'!K76</f>
        <v>513938.50260793697</v>
      </c>
      <c r="L76" s="1581">
        <f>'2.2 Spec Ed Local YR1'!L76</f>
        <v>513939</v>
      </c>
    </row>
    <row r="77" spans="1:12" x14ac:dyDescent="0.3">
      <c r="A77" s="106"/>
      <c r="B77" s="9" t="str">
        <f>'5.2 Budgeted Enrollment YR2'!E77</f>
        <v>Oasis Academy</v>
      </c>
      <c r="C77" s="1569">
        <f>'2.2 Spec Ed Local YR1'!C77</f>
        <v>906489.16</v>
      </c>
      <c r="D77" s="1569">
        <f>'2.2 Spec Ed Local YR1'!D77</f>
        <v>0</v>
      </c>
      <c r="E77" s="1569">
        <f>'2.2 Spec Ed Local YR1'!E77</f>
        <v>0</v>
      </c>
      <c r="F77" s="2306">
        <f>'2.2 Spec Ed Local YR1'!F77</f>
        <v>906489.16</v>
      </c>
      <c r="G77" s="1569">
        <f>'2.2 Spec Ed Local YR1'!G77</f>
        <v>333485.16000000003</v>
      </c>
      <c r="H77" s="1569">
        <f>'2.2 Spec Ed Local YR1'!H77</f>
        <v>0</v>
      </c>
      <c r="I77" s="1569">
        <f>'2.2 Spec Ed Local YR1'!I77</f>
        <v>0</v>
      </c>
      <c r="J77" s="2306">
        <f>'2.2 Spec Ed Local YR1'!J77</f>
        <v>333485.16000000003</v>
      </c>
      <c r="K77" s="1575">
        <f>'2.2 Spec Ed Local YR1'!K77</f>
        <v>573004</v>
      </c>
      <c r="L77" s="1581">
        <f>'2.2 Spec Ed Local YR1'!L77</f>
        <v>573004</v>
      </c>
    </row>
    <row r="78" spans="1:12" x14ac:dyDescent="0.3">
      <c r="A78" s="106"/>
      <c r="B78" s="9" t="str">
        <f>'5.2 Budgeted Enrollment YR2'!E78</f>
        <v>Odyssey Charter Schools</v>
      </c>
      <c r="C78" s="1569">
        <f>'2.2 Spec Ed Local YR1'!C78</f>
        <v>3469530.0600000005</v>
      </c>
      <c r="D78" s="1569">
        <f>'2.2 Spec Ed Local YR1'!D78</f>
        <v>7242.46</v>
      </c>
      <c r="E78" s="1569">
        <f>'2.2 Spec Ed Local YR1'!E78</f>
        <v>0</v>
      </c>
      <c r="F78" s="2306">
        <f>'2.2 Spec Ed Local YR1'!F78</f>
        <v>3476772.5200000005</v>
      </c>
      <c r="G78" s="1569">
        <f>'2.2 Spec Ed Local YR1'!G78</f>
        <v>1080400</v>
      </c>
      <c r="H78" s="1569">
        <f>'2.2 Spec Ed Local YR1'!H78</f>
        <v>0</v>
      </c>
      <c r="I78" s="1569">
        <f>'2.2 Spec Ed Local YR1'!I78</f>
        <v>0</v>
      </c>
      <c r="J78" s="2306">
        <f>'2.2 Spec Ed Local YR1'!J78</f>
        <v>1080400</v>
      </c>
      <c r="K78" s="1575">
        <f>'2.2 Spec Ed Local YR1'!K78</f>
        <v>2396372.5200000005</v>
      </c>
      <c r="L78" s="1581">
        <f>'2.2 Spec Ed Local YR1'!L78</f>
        <v>2396373</v>
      </c>
    </row>
    <row r="79" spans="1:12" x14ac:dyDescent="0.3">
      <c r="A79" s="106"/>
      <c r="B79" s="1528" t="str">
        <f>'5.2 Budgeted Enrollment YR2'!E79</f>
        <v>Pinecrest Academy of Northern Nevada</v>
      </c>
      <c r="C79" s="1569">
        <f>'2.2 Spec Ed Local YR1'!C79</f>
        <v>4571435.3330000006</v>
      </c>
      <c r="D79" s="1569">
        <f>'2.2 Spec Ed Local YR1'!D79</f>
        <v>0</v>
      </c>
      <c r="E79" s="1569">
        <f>'2.2 Spec Ed Local YR1'!E79</f>
        <v>0</v>
      </c>
      <c r="F79" s="2306">
        <f>'2.2 Spec Ed Local YR1'!F79</f>
        <v>4571435.3330000006</v>
      </c>
      <c r="G79" s="1569">
        <f>'2.2 Spec Ed Local YR1'!G79</f>
        <v>3322500.29</v>
      </c>
      <c r="H79" s="1569">
        <f>'2.2 Spec Ed Local YR1'!H79</f>
        <v>0</v>
      </c>
      <c r="I79" s="1569">
        <f>'2.2 Spec Ed Local YR1'!I79</f>
        <v>0</v>
      </c>
      <c r="J79" s="2306">
        <f>'2.2 Spec Ed Local YR1'!J79</f>
        <v>3322500.29</v>
      </c>
      <c r="K79" s="1575">
        <f>'2.2 Spec Ed Local YR1'!K79</f>
        <v>1248935.0430000005</v>
      </c>
      <c r="L79" s="1581">
        <f>'2.2 Spec Ed Local YR1'!L79</f>
        <v>1248935</v>
      </c>
    </row>
    <row r="80" spans="1:12" x14ac:dyDescent="0.3">
      <c r="A80" s="106"/>
      <c r="B80" s="1528" t="str">
        <f>'5.2 Budgeted Enrollment YR2'!E80</f>
        <v>Pinecrest Academy of Nevada</v>
      </c>
      <c r="C80" s="1569">
        <f>'2.2 Spec Ed Local YR1'!C80</f>
        <v>613244.48</v>
      </c>
      <c r="D80" s="1569">
        <f>'2.2 Spec Ed Local YR1'!D80</f>
        <v>0</v>
      </c>
      <c r="E80" s="1569">
        <f>'2.2 Spec Ed Local YR1'!E80</f>
        <v>0</v>
      </c>
      <c r="F80" s="2306">
        <f>'2.2 Spec Ed Local YR1'!F80</f>
        <v>613244.48</v>
      </c>
      <c r="G80" s="1569">
        <f>'2.2 Spec Ed Local YR1'!G80</f>
        <v>469349.48</v>
      </c>
      <c r="H80" s="1569">
        <f>'2.2 Spec Ed Local YR1'!H80</f>
        <v>0</v>
      </c>
      <c r="I80" s="1569">
        <f>'2.2 Spec Ed Local YR1'!I80</f>
        <v>0</v>
      </c>
      <c r="J80" s="2306">
        <f>'2.2 Spec Ed Local YR1'!J80</f>
        <v>469349.48</v>
      </c>
      <c r="K80" s="1575">
        <f>'2.2 Spec Ed Local YR1'!K80</f>
        <v>143895</v>
      </c>
      <c r="L80" s="1581">
        <f>'2.2 Spec Ed Local YR1'!L80</f>
        <v>143895</v>
      </c>
    </row>
    <row r="81" spans="1:13" x14ac:dyDescent="0.3">
      <c r="A81" s="106"/>
      <c r="B81" s="9" t="str">
        <f>'5.2 Budgeted Enrollment YR2'!E81</f>
        <v>Pioneer Technical Arts Academy</v>
      </c>
      <c r="C81" s="1569">
        <f>'2.2 Spec Ed Local YR1'!C81</f>
        <v>0</v>
      </c>
      <c r="D81" s="1569">
        <f>'2.2 Spec Ed Local YR1'!D81</f>
        <v>0</v>
      </c>
      <c r="E81" s="1569">
        <f>'2.2 Spec Ed Local YR1'!E81</f>
        <v>0</v>
      </c>
      <c r="F81" s="2306">
        <f>'2.2 Spec Ed Local YR1'!F81</f>
        <v>0</v>
      </c>
      <c r="G81" s="1569">
        <f>'2.2 Spec Ed Local YR1'!G81</f>
        <v>0</v>
      </c>
      <c r="H81" s="1569">
        <f>'2.2 Spec Ed Local YR1'!H81</f>
        <v>0</v>
      </c>
      <c r="I81" s="1569">
        <f>'2.2 Spec Ed Local YR1'!I81</f>
        <v>0</v>
      </c>
      <c r="J81" s="2306">
        <f>'2.2 Spec Ed Local YR1'!J81</f>
        <v>0</v>
      </c>
      <c r="K81" s="1575">
        <f>'2.2 Spec Ed Local YR1'!K81</f>
        <v>0</v>
      </c>
      <c r="L81" s="1581">
        <f>'2.2 Spec Ed Local YR1'!L81</f>
        <v>0</v>
      </c>
      <c r="M81" s="9" t="s">
        <v>370</v>
      </c>
    </row>
    <row r="82" spans="1:13" x14ac:dyDescent="0.3">
      <c r="A82" s="106"/>
      <c r="B82" s="9" t="str">
        <f>'5.2 Budgeted Enrollment YR2'!E82</f>
        <v>Quest Academy</v>
      </c>
      <c r="C82" s="1569">
        <f>'2.2 Spec Ed Local YR1'!C82</f>
        <v>173833.13</v>
      </c>
      <c r="D82" s="1569">
        <f>'2.2 Spec Ed Local YR1'!D82</f>
        <v>0</v>
      </c>
      <c r="E82" s="1569">
        <f>'2.2 Spec Ed Local YR1'!E82</f>
        <v>0</v>
      </c>
      <c r="F82" s="2306">
        <f>'2.2 Spec Ed Local YR1'!F82</f>
        <v>173833.13</v>
      </c>
      <c r="G82" s="1569">
        <f>'2.2 Spec Ed Local YR1'!G82</f>
        <v>127630.13</v>
      </c>
      <c r="H82" s="1569">
        <f>'2.2 Spec Ed Local YR1'!H82</f>
        <v>0</v>
      </c>
      <c r="I82" s="1569">
        <f>'2.2 Spec Ed Local YR1'!I82</f>
        <v>0</v>
      </c>
      <c r="J82" s="2306">
        <f>'2.2 Spec Ed Local YR1'!J82</f>
        <v>127630.13</v>
      </c>
      <c r="K82" s="1575">
        <f>'2.2 Spec Ed Local YR1'!K82</f>
        <v>46203</v>
      </c>
      <c r="L82" s="1581">
        <f>'2.2 Spec Ed Local YR1'!L82</f>
        <v>46203</v>
      </c>
    </row>
    <row r="83" spans="1:13" x14ac:dyDescent="0.3">
      <c r="A83" s="106"/>
      <c r="B83" s="9" t="str">
        <f>'5.2 Budgeted Enrollment YR2'!E83</f>
        <v>Rainbow Dreams Academy</v>
      </c>
      <c r="C83" s="1569">
        <f>'2.2 Spec Ed Local YR1'!C83</f>
        <v>40634.04</v>
      </c>
      <c r="D83" s="1569">
        <f>'2.2 Spec Ed Local YR1'!D83</f>
        <v>0</v>
      </c>
      <c r="E83" s="1569">
        <f>'2.2 Spec Ed Local YR1'!E83</f>
        <v>0</v>
      </c>
      <c r="F83" s="2306">
        <f>'2.2 Spec Ed Local YR1'!F83</f>
        <v>40634.04</v>
      </c>
      <c r="G83" s="1569">
        <f>'2.2 Spec Ed Local YR1'!G83</f>
        <v>0</v>
      </c>
      <c r="H83" s="1569">
        <f>'2.2 Spec Ed Local YR1'!H83</f>
        <v>0</v>
      </c>
      <c r="I83" s="1569">
        <f>'2.2 Spec Ed Local YR1'!I83</f>
        <v>0</v>
      </c>
      <c r="J83" s="2306">
        <f>'2.2 Spec Ed Local YR1'!J83</f>
        <v>0</v>
      </c>
      <c r="K83" s="1575">
        <f>'2.2 Spec Ed Local YR1'!K83</f>
        <v>40634.04</v>
      </c>
      <c r="L83" s="1581">
        <f>'2.2 Spec Ed Local YR1'!L83</f>
        <v>40634</v>
      </c>
    </row>
    <row r="84" spans="1:13" x14ac:dyDescent="0.3">
      <c r="A84" s="106"/>
      <c r="B84" s="9" t="str">
        <f>'5.2 Budgeted Enrollment YR2'!E84</f>
        <v>Rooted Charter School</v>
      </c>
      <c r="C84" s="1569">
        <f>'2.2 Spec Ed Local YR1'!C84</f>
        <v>0</v>
      </c>
      <c r="D84" s="1569">
        <f>'2.2 Spec Ed Local YR1'!D84</f>
        <v>0</v>
      </c>
      <c r="E84" s="1569">
        <f>'2.2 Spec Ed Local YR1'!E84</f>
        <v>0</v>
      </c>
      <c r="F84" s="2306">
        <f>'2.2 Spec Ed Local YR1'!F84</f>
        <v>0</v>
      </c>
      <c r="G84" s="1569">
        <f>'2.2 Spec Ed Local YR1'!G84</f>
        <v>0</v>
      </c>
      <c r="H84" s="1569">
        <f>'2.2 Spec Ed Local YR1'!H84</f>
        <v>0</v>
      </c>
      <c r="I84" s="1569">
        <f>'2.2 Spec Ed Local YR1'!I84</f>
        <v>0</v>
      </c>
      <c r="J84" s="2306">
        <f>'2.2 Spec Ed Local YR1'!J84</f>
        <v>0</v>
      </c>
      <c r="K84" s="1575">
        <f>'2.2 Spec Ed Local YR1'!K84</f>
        <v>0</v>
      </c>
      <c r="L84" s="1581">
        <f>'2.2 Spec Ed Local YR1'!L84</f>
        <v>0</v>
      </c>
    </row>
    <row r="85" spans="1:13" x14ac:dyDescent="0.3">
      <c r="A85" s="106"/>
      <c r="B85" s="9" t="str">
        <f>'5.2 Budgeted Enrollment YR2'!E85</f>
        <v>Sage Collegiate Academy</v>
      </c>
      <c r="C85" s="1569">
        <f>'2.2 Spec Ed Local YR1'!C85</f>
        <v>171248.12</v>
      </c>
      <c r="D85" s="1569">
        <f>'2.2 Spec Ed Local YR1'!D85</f>
        <v>0</v>
      </c>
      <c r="E85" s="1569">
        <f>'2.2 Spec Ed Local YR1'!E85</f>
        <v>0</v>
      </c>
      <c r="F85" s="2306">
        <f>'2.2 Spec Ed Local YR1'!F85</f>
        <v>171248.12</v>
      </c>
      <c r="G85" s="1569">
        <f>'2.2 Spec Ed Local YR1'!G85</f>
        <v>78224.92</v>
      </c>
      <c r="H85" s="1569">
        <f>'2.2 Spec Ed Local YR1'!H85</f>
        <v>0</v>
      </c>
      <c r="I85" s="1569">
        <f>'2.2 Spec Ed Local YR1'!I85</f>
        <v>0</v>
      </c>
      <c r="J85" s="2306">
        <f>'2.2 Spec Ed Local YR1'!J85</f>
        <v>78224.92</v>
      </c>
      <c r="K85" s="1575">
        <f>'2.2 Spec Ed Local YR1'!K85</f>
        <v>93023.2</v>
      </c>
      <c r="L85" s="1581">
        <f>'2.2 Spec Ed Local YR1'!L85</f>
        <v>93023</v>
      </c>
    </row>
    <row r="86" spans="1:13" x14ac:dyDescent="0.3">
      <c r="A86" s="106"/>
      <c r="B86" s="9" t="str">
        <f>'5.2 Budgeted Enrollment YR2'!E86</f>
        <v>Sierra Nevada Academy Charter</v>
      </c>
      <c r="C86" s="1569">
        <f>'2.2 Spec Ed Local YR1'!C86</f>
        <v>262860.19</v>
      </c>
      <c r="D86" s="1569">
        <f>'2.2 Spec Ed Local YR1'!D86</f>
        <v>2196.89</v>
      </c>
      <c r="E86" s="1569">
        <f>'2.2 Spec Ed Local YR1'!E86</f>
        <v>0</v>
      </c>
      <c r="F86" s="2306">
        <f>'2.2 Spec Ed Local YR1'!F86</f>
        <v>265057.08</v>
      </c>
      <c r="G86" s="1569">
        <f>'2.2 Spec Ed Local YR1'!G86</f>
        <v>0</v>
      </c>
      <c r="H86" s="1569">
        <f>'2.2 Spec Ed Local YR1'!H86</f>
        <v>0</v>
      </c>
      <c r="I86" s="1569">
        <f>'2.2 Spec Ed Local YR1'!I86</f>
        <v>0</v>
      </c>
      <c r="J86" s="2306">
        <f>'2.2 Spec Ed Local YR1'!J86</f>
        <v>0</v>
      </c>
      <c r="K86" s="1575">
        <f>'2.2 Spec Ed Local YR1'!K86</f>
        <v>265057.08</v>
      </c>
      <c r="L86" s="1581">
        <f>'2.2 Spec Ed Local YR1'!L86</f>
        <v>265057</v>
      </c>
    </row>
    <row r="87" spans="1:13" x14ac:dyDescent="0.3">
      <c r="A87" s="106"/>
      <c r="B87" s="9" t="str">
        <f>'5.2 Budgeted Enrollment YR2'!E87</f>
        <v>Signature Preparatory</v>
      </c>
      <c r="C87" s="1569">
        <f>'2.2 Spec Ed Local YR1'!C87</f>
        <v>755319.04</v>
      </c>
      <c r="D87" s="1569">
        <f>'2.2 Spec Ed Local YR1'!D87</f>
        <v>0</v>
      </c>
      <c r="E87" s="1569">
        <f>'2.2 Spec Ed Local YR1'!E87</f>
        <v>0</v>
      </c>
      <c r="F87" s="2306">
        <f>'2.2 Spec Ed Local YR1'!F87</f>
        <v>755319.04</v>
      </c>
      <c r="G87" s="1569">
        <f>'2.2 Spec Ed Local YR1'!G87</f>
        <v>473466.57999999996</v>
      </c>
      <c r="H87" s="1569">
        <f>'2.2 Spec Ed Local YR1'!H87</f>
        <v>0</v>
      </c>
      <c r="I87" s="1569">
        <f>'2.2 Spec Ed Local YR1'!I87</f>
        <v>0</v>
      </c>
      <c r="J87" s="2306">
        <f>'2.2 Spec Ed Local YR1'!J87</f>
        <v>473466.57999999996</v>
      </c>
      <c r="K87" s="1575">
        <f>'2.2 Spec Ed Local YR1'!K87</f>
        <v>281852.46000000008</v>
      </c>
      <c r="L87" s="1581">
        <f>'2.2 Spec Ed Local YR1'!L87</f>
        <v>281852</v>
      </c>
    </row>
    <row r="88" spans="1:13" x14ac:dyDescent="0.3">
      <c r="A88" s="106"/>
      <c r="B88" s="9" t="str">
        <f>'5.2 Budgeted Enrollment YR2'!E88</f>
        <v>Silver Sands Montessori</v>
      </c>
      <c r="C88" s="1569">
        <f>'2.2 Spec Ed Local YR1'!C88</f>
        <v>113346.01999999999</v>
      </c>
      <c r="D88" s="1569">
        <f>'2.2 Spec Ed Local YR1'!D88</f>
        <v>0</v>
      </c>
      <c r="E88" s="1569">
        <f>'2.2 Spec Ed Local YR1'!E88</f>
        <v>0</v>
      </c>
      <c r="F88" s="2306">
        <f>'2.2 Spec Ed Local YR1'!F88</f>
        <v>113346.01999999999</v>
      </c>
      <c r="G88" s="1569">
        <f>'2.2 Spec Ed Local YR1'!G88</f>
        <v>115278.82999999999</v>
      </c>
      <c r="H88" s="1569">
        <f>'2.2 Spec Ed Local YR1'!H88</f>
        <v>0</v>
      </c>
      <c r="I88" s="1569">
        <f>'2.2 Spec Ed Local YR1'!I88</f>
        <v>0</v>
      </c>
      <c r="J88" s="2306">
        <f>'2.2 Spec Ed Local YR1'!J88</f>
        <v>115278.82999999999</v>
      </c>
      <c r="K88" s="1575">
        <f>'2.2 Spec Ed Local YR1'!K88</f>
        <v>-1932.8099999999977</v>
      </c>
      <c r="L88" s="1581">
        <f>'2.2 Spec Ed Local YR1'!L88</f>
        <v>0</v>
      </c>
    </row>
    <row r="89" spans="1:13" x14ac:dyDescent="0.3">
      <c r="A89" s="106"/>
      <c r="B89" s="9" t="str">
        <f>'5.2 Budgeted Enrollment YR2'!E89</f>
        <v>Somerset Academy</v>
      </c>
      <c r="C89" s="1569">
        <f>'2.2 Spec Ed Local YR1'!C89</f>
        <v>8985268.2699999996</v>
      </c>
      <c r="D89" s="1569">
        <f>'2.2 Spec Ed Local YR1'!D89</f>
        <v>0</v>
      </c>
      <c r="E89" s="1569">
        <f>'2.2 Spec Ed Local YR1'!E89</f>
        <v>0</v>
      </c>
      <c r="F89" s="2306">
        <f>'2.2 Spec Ed Local YR1'!F89</f>
        <v>8985268.2699999996</v>
      </c>
      <c r="G89" s="1569">
        <f>'2.2 Spec Ed Local YR1'!G89</f>
        <v>4903466.9800000004</v>
      </c>
      <c r="H89" s="1569">
        <f>'2.2 Spec Ed Local YR1'!H89</f>
        <v>0</v>
      </c>
      <c r="I89" s="1569">
        <f>'2.2 Spec Ed Local YR1'!I89</f>
        <v>0</v>
      </c>
      <c r="J89" s="2306">
        <f>'2.2 Spec Ed Local YR1'!J89</f>
        <v>4903466.9800000004</v>
      </c>
      <c r="K89" s="1575">
        <f>'2.2 Spec Ed Local YR1'!K89</f>
        <v>4081801.2899999991</v>
      </c>
      <c r="L89" s="1581">
        <f>'2.2 Spec Ed Local YR1'!L89</f>
        <v>4081801</v>
      </c>
    </row>
    <row r="90" spans="1:13" x14ac:dyDescent="0.3">
      <c r="A90" s="106"/>
      <c r="B90" s="9" t="str">
        <f>'5.2 Budgeted Enrollment YR2'!E90</f>
        <v>Southern Nevada Trade High School</v>
      </c>
      <c r="C90" s="1569">
        <f>'2.2 Spec Ed Local YR1'!C90</f>
        <v>0</v>
      </c>
      <c r="D90" s="1569">
        <f>'2.2 Spec Ed Local YR1'!D90</f>
        <v>0</v>
      </c>
      <c r="E90" s="1569">
        <f>'2.2 Spec Ed Local YR1'!E90</f>
        <v>0</v>
      </c>
      <c r="F90" s="2306">
        <f>'2.2 Spec Ed Local YR1'!F90</f>
        <v>0</v>
      </c>
      <c r="G90" s="1569">
        <f>'2.2 Spec Ed Local YR1'!G90</f>
        <v>0</v>
      </c>
      <c r="H90" s="1569">
        <f>'2.2 Spec Ed Local YR1'!H90</f>
        <v>0</v>
      </c>
      <c r="I90" s="1569">
        <f>'2.2 Spec Ed Local YR1'!I90</f>
        <v>0</v>
      </c>
      <c r="J90" s="2306">
        <f>'2.2 Spec Ed Local YR1'!J90</f>
        <v>0</v>
      </c>
      <c r="K90" s="1575">
        <f>'2.2 Spec Ed Local YR1'!K90</f>
        <v>0</v>
      </c>
      <c r="L90" s="1581">
        <f>'2.2 Spec Ed Local YR1'!L90</f>
        <v>0</v>
      </c>
    </row>
    <row r="91" spans="1:13" x14ac:dyDescent="0.3">
      <c r="A91" s="106"/>
      <c r="B91" s="9" t="str">
        <f>'5.2 Budgeted Enrollment YR2'!E91</f>
        <v>Sports Leadership and Management Academy</v>
      </c>
      <c r="C91" s="1569">
        <f>'2.2 Spec Ed Local YR1'!C91</f>
        <v>2168879.71</v>
      </c>
      <c r="D91" s="1569">
        <f>'2.2 Spec Ed Local YR1'!D91</f>
        <v>0</v>
      </c>
      <c r="E91" s="1569">
        <f>'2.2 Spec Ed Local YR1'!E91</f>
        <v>0</v>
      </c>
      <c r="F91" s="2306">
        <f>'2.2 Spec Ed Local YR1'!F91</f>
        <v>2168879.71</v>
      </c>
      <c r="G91" s="1569">
        <f>'2.2 Spec Ed Local YR1'!G91</f>
        <v>753429.42000000016</v>
      </c>
      <c r="H91" s="1569">
        <f>'2.2 Spec Ed Local YR1'!H91</f>
        <v>0</v>
      </c>
      <c r="I91" s="1569">
        <f>'2.2 Spec Ed Local YR1'!I91</f>
        <v>0</v>
      </c>
      <c r="J91" s="2306">
        <f>'2.2 Spec Ed Local YR1'!J91</f>
        <v>753429.42000000016</v>
      </c>
      <c r="K91" s="1575">
        <f>'2.2 Spec Ed Local YR1'!K91</f>
        <v>1415450.2899999998</v>
      </c>
      <c r="L91" s="1581">
        <f>'2.2 Spec Ed Local YR1'!L91</f>
        <v>1415450</v>
      </c>
    </row>
    <row r="92" spans="1:13" x14ac:dyDescent="0.3">
      <c r="A92" s="106"/>
      <c r="B92" s="9" t="str">
        <f>'5.2 Budgeted Enrollment YR2'!E92</f>
        <v>Strong Start Academy</v>
      </c>
      <c r="C92" s="1569">
        <f>'2.2 Spec Ed Local YR1'!C92</f>
        <v>252733.53</v>
      </c>
      <c r="D92" s="1569">
        <f>'2.2 Spec Ed Local YR1'!D92</f>
        <v>0</v>
      </c>
      <c r="E92" s="1569">
        <f>'2.2 Spec Ed Local YR1'!E92</f>
        <v>0</v>
      </c>
      <c r="F92" s="2306">
        <f>'2.2 Spec Ed Local YR1'!F92</f>
        <v>252733.53</v>
      </c>
      <c r="G92" s="1569">
        <f>'2.2 Spec Ed Local YR1'!G92</f>
        <v>32936.81</v>
      </c>
      <c r="H92" s="1569">
        <f>'2.2 Spec Ed Local YR1'!H92</f>
        <v>0</v>
      </c>
      <c r="I92" s="1569">
        <f>'2.2 Spec Ed Local YR1'!I92</f>
        <v>0</v>
      </c>
      <c r="J92" s="2306">
        <f>'2.2 Spec Ed Local YR1'!J92</f>
        <v>32936.81</v>
      </c>
      <c r="K92" s="1575">
        <f>'2.2 Spec Ed Local YR1'!K92</f>
        <v>219796.72</v>
      </c>
      <c r="L92" s="1581">
        <f>'2.2 Spec Ed Local YR1'!L92</f>
        <v>219797</v>
      </c>
    </row>
    <row r="93" spans="1:13" x14ac:dyDescent="0.3">
      <c r="A93" s="106"/>
      <c r="B93" s="9" t="str">
        <f>'5.2 Budgeted Enrollment YR2'!E93</f>
        <v>ThrivePoint</v>
      </c>
      <c r="C93" s="1569">
        <f>'2.2 Spec Ed Local YR1'!C93</f>
        <v>0</v>
      </c>
      <c r="D93" s="1569">
        <f>'2.2 Spec Ed Local YR1'!D93</f>
        <v>0</v>
      </c>
      <c r="E93" s="1569">
        <f>'2.2 Spec Ed Local YR1'!E93</f>
        <v>0</v>
      </c>
      <c r="F93" s="2306">
        <f>'2.2 Spec Ed Local YR1'!F93</f>
        <v>0</v>
      </c>
      <c r="G93" s="1569">
        <f>'2.2 Spec Ed Local YR1'!G93</f>
        <v>0</v>
      </c>
      <c r="H93" s="1569">
        <f>'2.2 Spec Ed Local YR1'!H93</f>
        <v>0</v>
      </c>
      <c r="I93" s="1569">
        <f>'2.2 Spec Ed Local YR1'!I93</f>
        <v>0</v>
      </c>
      <c r="J93" s="2306">
        <f>'2.2 Spec Ed Local YR1'!J93</f>
        <v>0</v>
      </c>
      <c r="K93" s="1575">
        <f>'2.2 Spec Ed Local YR1'!K93</f>
        <v>0</v>
      </c>
      <c r="L93" s="1581">
        <f>'2.2 Spec Ed Local YR1'!L93</f>
        <v>0</v>
      </c>
      <c r="M93" s="9" t="s">
        <v>370</v>
      </c>
    </row>
    <row r="94" spans="1:13" x14ac:dyDescent="0.3">
      <c r="B94" s="9" t="str">
        <f>'5.2 Budgeted Enrollment YR2'!E94</f>
        <v>Vegas Vista Academy</v>
      </c>
      <c r="C94" s="1569">
        <f>'2.2 Spec Ed Local YR1'!C94</f>
        <v>0</v>
      </c>
      <c r="D94" s="1569">
        <f>'2.2 Spec Ed Local YR1'!D94</f>
        <v>0</v>
      </c>
      <c r="E94" s="1569">
        <f>'2.2 Spec Ed Local YR1'!E94</f>
        <v>0</v>
      </c>
      <c r="F94" s="2306">
        <f>'2.2 Spec Ed Local YR1'!F94</f>
        <v>0</v>
      </c>
      <c r="G94" s="1569">
        <f>'2.2 Spec Ed Local YR1'!G94</f>
        <v>0</v>
      </c>
      <c r="H94" s="1569">
        <f>'2.2 Spec Ed Local YR1'!H94</f>
        <v>0</v>
      </c>
      <c r="I94" s="1569">
        <f>'2.2 Spec Ed Local YR1'!I94</f>
        <v>0</v>
      </c>
      <c r="J94" s="2306">
        <f>'2.2 Spec Ed Local YR1'!J94</f>
        <v>0</v>
      </c>
      <c r="K94" s="1575">
        <f>'2.2 Spec Ed Local YR1'!K94</f>
        <v>0</v>
      </c>
      <c r="L94" s="1581">
        <f>'2.2 Spec Ed Local YR1'!L94</f>
        <v>0</v>
      </c>
      <c r="M94" s="9" t="s">
        <v>370</v>
      </c>
    </row>
    <row r="95" spans="1:13" x14ac:dyDescent="0.3">
      <c r="A95" s="106"/>
      <c r="B95" s="9" t="str">
        <f>'5.2 Budgeted Enrollment YR2'!E95</f>
        <v>Young Women's Leadership Academy</v>
      </c>
      <c r="C95" s="1569">
        <f>'2.2 Spec Ed Local YR1'!C95</f>
        <v>151714.63</v>
      </c>
      <c r="D95" s="1569">
        <f>'2.2 Spec Ed Local YR1'!D95</f>
        <v>0</v>
      </c>
      <c r="E95" s="1569">
        <f>'2.2 Spec Ed Local YR1'!E95</f>
        <v>0</v>
      </c>
      <c r="F95" s="2306">
        <f>'2.2 Spec Ed Local YR1'!F95</f>
        <v>151714.63</v>
      </c>
      <c r="G95" s="1569">
        <f>'2.2 Spec Ed Local YR1'!G95</f>
        <v>28819.71</v>
      </c>
      <c r="H95" s="1569">
        <f>'2.2 Spec Ed Local YR1'!H95</f>
        <v>0</v>
      </c>
      <c r="I95" s="1569">
        <f>'2.2 Spec Ed Local YR1'!I95</f>
        <v>0</v>
      </c>
      <c r="J95" s="2306">
        <f>'2.2 Spec Ed Local YR1'!J95</f>
        <v>28819.71</v>
      </c>
      <c r="K95" s="1575">
        <f>'2.2 Spec Ed Local YR1'!K95</f>
        <v>122894.92000000001</v>
      </c>
      <c r="L95" s="1581">
        <f>'2.2 Spec Ed Local YR1'!L95</f>
        <v>122895</v>
      </c>
    </row>
    <row r="96" spans="1:13" x14ac:dyDescent="0.3">
      <c r="A96" s="2311"/>
      <c r="B96" s="2312" t="str">
        <f>'1.2 Budgeted Enrollment YR1'!E96</f>
        <v>Total Charter Schools</v>
      </c>
      <c r="C96" s="1378">
        <f t="shared" ref="C96:L96" si="2">SUM(C34:C95)</f>
        <v>52012004.147004887</v>
      </c>
      <c r="D96" s="1378">
        <f t="shared" si="2"/>
        <v>23520.3</v>
      </c>
      <c r="E96" s="1378">
        <f t="shared" si="2"/>
        <v>0</v>
      </c>
      <c r="F96" s="1378">
        <f t="shared" si="2"/>
        <v>52035524.447004884</v>
      </c>
      <c r="G96" s="1378">
        <f t="shared" si="2"/>
        <v>27429401.609999999</v>
      </c>
      <c r="H96" s="1378"/>
      <c r="I96" s="1378"/>
      <c r="J96" s="1378">
        <f t="shared" si="2"/>
        <v>27429401.609999999</v>
      </c>
      <c r="K96" s="1378">
        <f t="shared" si="2"/>
        <v>24606122.837004878</v>
      </c>
      <c r="L96" s="2313">
        <f t="shared" si="2"/>
        <v>24608056</v>
      </c>
    </row>
    <row r="97" spans="1:12" x14ac:dyDescent="0.3">
      <c r="A97" s="881"/>
      <c r="B97" s="881"/>
      <c r="C97" s="896">
        <f>C96-'2.2 Spec Ed Local YR1'!C96</f>
        <v>0</v>
      </c>
      <c r="D97" s="896">
        <f>D96-'2.2 Spec Ed Local YR1'!D96</f>
        <v>0</v>
      </c>
      <c r="E97" s="896">
        <f>E96-'2.2 Spec Ed Local YR1'!E96</f>
        <v>0</v>
      </c>
      <c r="F97" s="896">
        <f>F96-'2.2 Spec Ed Local YR1'!F96</f>
        <v>0</v>
      </c>
      <c r="G97" s="896">
        <f>G96-'2.2 Spec Ed Local YR1'!G96</f>
        <v>0</v>
      </c>
      <c r="H97" s="896"/>
      <c r="I97" s="896"/>
      <c r="J97" s="896">
        <f>J96-'2.2 Spec Ed Local YR1'!J96</f>
        <v>0</v>
      </c>
      <c r="K97" s="896">
        <f>K96-'2.2 Spec Ed Local YR1'!K96</f>
        <v>0</v>
      </c>
      <c r="L97" s="896">
        <f>L96-'2.2 Spec Ed Local YR1'!L96</f>
        <v>0</v>
      </c>
    </row>
    <row r="98" spans="1:12" x14ac:dyDescent="0.3">
      <c r="A98" s="880" t="str">
        <f>B27</f>
        <v>University Schools</v>
      </c>
      <c r="B98" s="881"/>
      <c r="C98" s="896"/>
      <c r="D98" s="896"/>
      <c r="E98" s="896"/>
      <c r="F98" s="896"/>
      <c r="G98" s="896"/>
      <c r="H98" s="896"/>
      <c r="I98" s="896"/>
      <c r="J98" s="896"/>
      <c r="K98" s="896"/>
      <c r="L98" s="896"/>
    </row>
    <row r="99" spans="1:12" x14ac:dyDescent="0.3">
      <c r="A99" s="887"/>
      <c r="B99" s="888" t="str">
        <f>'1.2 Budgeted Enrollment YR1'!E100</f>
        <v>Davidson Academy</v>
      </c>
      <c r="C99" s="897">
        <f>'2.2 Spec Ed Local YR1'!C99</f>
        <v>72842.899999999994</v>
      </c>
      <c r="D99" s="897">
        <f>'2.2 Spec Ed Local YR1'!D99</f>
        <v>0</v>
      </c>
      <c r="E99" s="897">
        <f>'2.2 Spec Ed Local YR1'!E99</f>
        <v>0</v>
      </c>
      <c r="F99" s="897">
        <f>'2.2 Spec Ed Local YR1'!F99</f>
        <v>72842.899999999994</v>
      </c>
      <c r="G99" s="897">
        <f>'2.2 Spec Ed Local YR1'!G99</f>
        <v>20575</v>
      </c>
      <c r="H99" s="897">
        <f>'2.2 Spec Ed Local YR1'!H99</f>
        <v>0</v>
      </c>
      <c r="I99" s="897">
        <f>'2.2 Spec Ed Local YR1'!I99</f>
        <v>0</v>
      </c>
      <c r="J99" s="897">
        <f>'2.2 Spec Ed Local YR1'!J99</f>
        <v>20575</v>
      </c>
      <c r="K99" s="2041">
        <f>'2.2 Spec Ed Local YR1'!K99</f>
        <v>52267.899999999994</v>
      </c>
      <c r="L99" s="898">
        <f>'2.2 Spec Ed Local YR1'!L99</f>
        <v>52268</v>
      </c>
    </row>
    <row r="100" spans="1:12" x14ac:dyDescent="0.3">
      <c r="A100" s="885"/>
      <c r="B100" s="886" t="str">
        <f>'1.2 Budgeted Enrollment YR1'!E101</f>
        <v>TBD</v>
      </c>
      <c r="C100" s="899">
        <f>'2.2 Spec Ed Local YR1'!C100</f>
        <v>0</v>
      </c>
      <c r="D100" s="899">
        <f>'2.2 Spec Ed Local YR1'!D100</f>
        <v>0</v>
      </c>
      <c r="E100" s="899">
        <f>'2.2 Spec Ed Local YR1'!E100</f>
        <v>0</v>
      </c>
      <c r="F100" s="899">
        <f>'2.2 Spec Ed Local YR1'!F100</f>
        <v>0</v>
      </c>
      <c r="G100" s="899">
        <f>'2.2 Spec Ed Local YR1'!G100</f>
        <v>0</v>
      </c>
      <c r="H100" s="899">
        <f>'2.2 Spec Ed Local YR1'!H100</f>
        <v>0</v>
      </c>
      <c r="I100" s="899">
        <f>'2.2 Spec Ed Local YR1'!I100</f>
        <v>0</v>
      </c>
      <c r="J100" s="899">
        <f>'2.2 Spec Ed Local YR1'!J100</f>
        <v>0</v>
      </c>
      <c r="K100" s="900">
        <f>'2.2 Spec Ed Local YR1'!K100</f>
        <v>0</v>
      </c>
      <c r="L100" s="901">
        <f>'2.2 Spec Ed Local YR1'!L100</f>
        <v>0</v>
      </c>
    </row>
    <row r="101" spans="1:12" x14ac:dyDescent="0.3">
      <c r="A101" s="885"/>
      <c r="B101" s="1373" t="str">
        <f>'1.2 Budgeted Enrollment YR1'!E102</f>
        <v>Total University Schools</v>
      </c>
      <c r="C101" s="902">
        <f>SUM(C99:C100)</f>
        <v>72842.899999999994</v>
      </c>
      <c r="D101" s="902">
        <f t="shared" ref="D101:K101" si="3">SUM(D99:D100)</f>
        <v>0</v>
      </c>
      <c r="E101" s="902">
        <f t="shared" si="3"/>
        <v>0</v>
      </c>
      <c r="F101" s="902">
        <f t="shared" si="3"/>
        <v>72842.899999999994</v>
      </c>
      <c r="G101" s="902">
        <f t="shared" si="3"/>
        <v>20575</v>
      </c>
      <c r="H101" s="902"/>
      <c r="I101" s="902"/>
      <c r="J101" s="902">
        <f t="shared" si="3"/>
        <v>20575</v>
      </c>
      <c r="K101" s="903">
        <f t="shared" si="3"/>
        <v>52267.899999999994</v>
      </c>
      <c r="L101" s="904">
        <f>SUM(L99:L100)</f>
        <v>52268</v>
      </c>
    </row>
    <row r="102" spans="1:12" x14ac:dyDescent="0.3">
      <c r="A102" s="881"/>
      <c r="B102" s="881"/>
      <c r="C102" s="896">
        <f>C101-'6.2 Spec Ed Local YR2'!C101</f>
        <v>0</v>
      </c>
      <c r="D102" s="896">
        <f>D101-'6.2 Spec Ed Local YR2'!D101</f>
        <v>0</v>
      </c>
      <c r="E102" s="896">
        <f>E101-'6.2 Spec Ed Local YR2'!E101</f>
        <v>0</v>
      </c>
      <c r="F102" s="896">
        <f>F101-'6.2 Spec Ed Local YR2'!F101</f>
        <v>0</v>
      </c>
      <c r="G102" s="896">
        <f>G101-'6.2 Spec Ed Local YR2'!G101</f>
        <v>0</v>
      </c>
      <c r="H102" s="896"/>
      <c r="I102" s="896"/>
      <c r="J102" s="896">
        <f>J101-'6.2 Spec Ed Local YR2'!J101</f>
        <v>0</v>
      </c>
      <c r="K102" s="896">
        <f>K101-'6.2 Spec Ed Local YR2'!K101</f>
        <v>0</v>
      </c>
      <c r="L102" s="896">
        <f>L101-'6.2 Spec Ed Local YR2'!L101</f>
        <v>0</v>
      </c>
    </row>
    <row r="103" spans="1:12" x14ac:dyDescent="0.3">
      <c r="A103" s="880" t="str">
        <f>B28</f>
        <v>City of Henderson</v>
      </c>
      <c r="B103" s="881"/>
      <c r="C103" s="896"/>
      <c r="D103" s="896"/>
      <c r="E103" s="896"/>
      <c r="F103" s="896"/>
      <c r="G103" s="896"/>
      <c r="H103" s="896"/>
      <c r="I103" s="896"/>
      <c r="J103" s="896"/>
      <c r="K103" s="896"/>
      <c r="L103" s="896"/>
    </row>
    <row r="104" spans="1:12" x14ac:dyDescent="0.3">
      <c r="A104" s="887"/>
      <c r="B104" s="888" t="str">
        <f>'1.2 Budgeted Enrollment YR1'!E107</f>
        <v>TBD</v>
      </c>
      <c r="C104" s="1367">
        <f>'2.2 Spec Ed Local YR1'!C104</f>
        <v>0</v>
      </c>
      <c r="D104" s="1368">
        <f>'2.2 Spec Ed Local YR1'!D104</f>
        <v>0</v>
      </c>
      <c r="E104" s="1368">
        <f>'2.2 Spec Ed Local YR1'!E104</f>
        <v>0</v>
      </c>
      <c r="F104" s="1368">
        <f>'2.2 Spec Ed Local YR1'!F104</f>
        <v>0</v>
      </c>
      <c r="G104" s="1368">
        <f>'2.2 Spec Ed Local YR1'!G104</f>
        <v>0</v>
      </c>
      <c r="H104" s="1368">
        <f>'2.2 Spec Ed Local YR1'!H104</f>
        <v>0</v>
      </c>
      <c r="I104" s="1368">
        <f>'2.2 Spec Ed Local YR1'!I104</f>
        <v>0</v>
      </c>
      <c r="J104" s="1369">
        <f>'2.2 Spec Ed Local YR1'!J104</f>
        <v>0</v>
      </c>
      <c r="K104" s="1361">
        <f>'2.2 Spec Ed Local YR1'!K104</f>
        <v>0</v>
      </c>
      <c r="L104" s="1932">
        <f>'2.2 Spec Ed Local YR1'!L104</f>
        <v>0</v>
      </c>
    </row>
    <row r="105" spans="1:12" x14ac:dyDescent="0.3">
      <c r="A105" s="885"/>
      <c r="B105" s="886" t="str">
        <f>'1.2 Budgeted Enrollment YR1'!E108</f>
        <v>TBD</v>
      </c>
      <c r="C105" s="1370">
        <f>'2.2 Spec Ed Local YR1'!C105</f>
        <v>0</v>
      </c>
      <c r="D105" s="895">
        <f>'2.2 Spec Ed Local YR1'!D105</f>
        <v>0</v>
      </c>
      <c r="E105" s="895">
        <f>'2.2 Spec Ed Local YR1'!E105</f>
        <v>0</v>
      </c>
      <c r="F105" s="895">
        <f>'2.2 Spec Ed Local YR1'!F105</f>
        <v>0</v>
      </c>
      <c r="G105" s="895">
        <f>'2.2 Spec Ed Local YR1'!G105</f>
        <v>0</v>
      </c>
      <c r="H105" s="895">
        <f>'2.2 Spec Ed Local YR1'!H105</f>
        <v>0</v>
      </c>
      <c r="I105" s="895">
        <f>'2.2 Spec Ed Local YR1'!I105</f>
        <v>0</v>
      </c>
      <c r="J105" s="1371">
        <f>'2.2 Spec Ed Local YR1'!J105</f>
        <v>0</v>
      </c>
      <c r="K105" s="1362">
        <f>'2.2 Spec Ed Local YR1'!K105</f>
        <v>0</v>
      </c>
      <c r="L105" s="891">
        <f>'2.2 Spec Ed Local YR1'!L105</f>
        <v>0</v>
      </c>
    </row>
    <row r="106" spans="1:12" s="4" customFormat="1" x14ac:dyDescent="0.3">
      <c r="A106" s="892"/>
      <c r="B106" s="1373" t="s">
        <v>1387</v>
      </c>
      <c r="C106" s="893">
        <f>SUM(C104:C105)</f>
        <v>0</v>
      </c>
      <c r="D106" s="893">
        <f t="shared" ref="D106:K106" si="4">SUM(D104:D105)</f>
        <v>0</v>
      </c>
      <c r="E106" s="893">
        <f t="shared" si="4"/>
        <v>0</v>
      </c>
      <c r="F106" s="893">
        <f t="shared" si="4"/>
        <v>0</v>
      </c>
      <c r="G106" s="893">
        <f t="shared" si="4"/>
        <v>0</v>
      </c>
      <c r="H106" s="893"/>
      <c r="I106" s="893"/>
      <c r="J106" s="893">
        <f t="shared" si="4"/>
        <v>0</v>
      </c>
      <c r="K106" s="894">
        <f t="shared" si="4"/>
        <v>0</v>
      </c>
      <c r="L106" s="894">
        <f>SUM(L104:L105)</f>
        <v>0</v>
      </c>
    </row>
    <row r="107" spans="1:12" x14ac:dyDescent="0.3">
      <c r="A107" s="881"/>
      <c r="B107" s="881"/>
      <c r="C107" s="896"/>
      <c r="D107" s="896"/>
      <c r="E107" s="896"/>
      <c r="F107" s="896"/>
      <c r="G107" s="896"/>
      <c r="H107" s="896"/>
      <c r="I107" s="896"/>
      <c r="J107" s="896"/>
      <c r="K107" s="896"/>
      <c r="L107" s="896"/>
    </row>
    <row r="108" spans="1:12" x14ac:dyDescent="0.3">
      <c r="A108" s="880" t="str">
        <f>B29</f>
        <v>City of North Las Vegas</v>
      </c>
      <c r="B108" s="881"/>
      <c r="C108" s="896"/>
      <c r="D108" s="896"/>
      <c r="E108" s="896"/>
      <c r="F108" s="896"/>
      <c r="G108" s="896"/>
      <c r="H108" s="896"/>
      <c r="I108" s="896"/>
      <c r="J108" s="896"/>
      <c r="K108" s="896"/>
      <c r="L108" s="896"/>
    </row>
    <row r="109" spans="1:12" x14ac:dyDescent="0.3">
      <c r="A109" s="887"/>
      <c r="B109" s="888" t="str">
        <f>'1.2 Budgeted Enrollment YR1'!E113</f>
        <v>TBD</v>
      </c>
      <c r="C109" s="1363">
        <f>'2.2 Spec Ed Local YR1'!C109</f>
        <v>0</v>
      </c>
      <c r="D109" s="889">
        <f>'2.2 Spec Ed Local YR1'!D109</f>
        <v>0</v>
      </c>
      <c r="E109" s="889">
        <f>'2.2 Spec Ed Local YR1'!E109</f>
        <v>0</v>
      </c>
      <c r="F109" s="889">
        <f>'2.2 Spec Ed Local YR1'!F109</f>
        <v>0</v>
      </c>
      <c r="G109" s="889">
        <f>'2.2 Spec Ed Local YR1'!G109</f>
        <v>0</v>
      </c>
      <c r="H109" s="889">
        <f>'2.2 Spec Ed Local YR1'!H109</f>
        <v>0</v>
      </c>
      <c r="I109" s="889">
        <f>'2.2 Spec Ed Local YR1'!I109</f>
        <v>0</v>
      </c>
      <c r="J109" s="1364">
        <f>'2.2 Spec Ed Local YR1'!J109</f>
        <v>0</v>
      </c>
      <c r="K109" s="1361">
        <f>'2.2 Spec Ed Local YR1'!K109</f>
        <v>0</v>
      </c>
      <c r="L109" s="1932">
        <f>'2.2 Spec Ed Local YR1'!L109</f>
        <v>0</v>
      </c>
    </row>
    <row r="110" spans="1:12" x14ac:dyDescent="0.3">
      <c r="A110" s="885"/>
      <c r="B110" s="886" t="str">
        <f>'1.2 Budgeted Enrollment YR1'!E114</f>
        <v>TBD</v>
      </c>
      <c r="C110" s="1365">
        <f>'2.2 Spec Ed Local YR1'!C110</f>
        <v>0</v>
      </c>
      <c r="D110" s="890">
        <f>'2.2 Spec Ed Local YR1'!D110</f>
        <v>0</v>
      </c>
      <c r="E110" s="890">
        <f>'2.2 Spec Ed Local YR1'!E110</f>
        <v>0</v>
      </c>
      <c r="F110" s="890">
        <f>'2.2 Spec Ed Local YR1'!F110</f>
        <v>0</v>
      </c>
      <c r="G110" s="890">
        <f>'2.2 Spec Ed Local YR1'!G110</f>
        <v>0</v>
      </c>
      <c r="H110" s="890">
        <f>'2.2 Spec Ed Local YR1'!H110</f>
        <v>0</v>
      </c>
      <c r="I110" s="890">
        <f>'2.2 Spec Ed Local YR1'!I110</f>
        <v>0</v>
      </c>
      <c r="J110" s="1366">
        <f>'2.2 Spec Ed Local YR1'!J110</f>
        <v>0</v>
      </c>
      <c r="K110" s="1362">
        <f>'2.2 Spec Ed Local YR1'!K110</f>
        <v>0</v>
      </c>
      <c r="L110" s="891">
        <f>'2.2 Spec Ed Local YR1'!L110</f>
        <v>0</v>
      </c>
    </row>
    <row r="111" spans="1:12" s="4" customFormat="1" x14ac:dyDescent="0.3">
      <c r="A111" s="892"/>
      <c r="B111" s="1373" t="s">
        <v>1387</v>
      </c>
      <c r="C111" s="893">
        <f>SUM(C109:C110)</f>
        <v>0</v>
      </c>
      <c r="D111" s="893">
        <f t="shared" ref="D111:L111" si="5">SUM(D109:D110)</f>
        <v>0</v>
      </c>
      <c r="E111" s="893">
        <f t="shared" si="5"/>
        <v>0</v>
      </c>
      <c r="F111" s="893">
        <f t="shared" si="5"/>
        <v>0</v>
      </c>
      <c r="G111" s="893">
        <f t="shared" si="5"/>
        <v>0</v>
      </c>
      <c r="H111" s="893"/>
      <c r="I111" s="893"/>
      <c r="J111" s="893">
        <f t="shared" si="5"/>
        <v>0</v>
      </c>
      <c r="K111" s="894">
        <f t="shared" si="5"/>
        <v>0</v>
      </c>
      <c r="L111" s="894">
        <f t="shared" si="5"/>
        <v>0</v>
      </c>
    </row>
  </sheetData>
  <pageMargins left="0.7" right="0.7" top="0.75" bottom="0.75" header="0.3" footer="0.3"/>
  <pageSetup paperSize="3" scale="89" fitToHeight="0" orientation="landscape" r:id="rId1"/>
  <headerFooter>
    <oddHeader>&amp;R&amp;"Arial Narrow,Regular"&amp;10&amp;A
&amp;P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6BBF-2F51-412D-A069-F6A709D7CFC0}">
  <sheetPr>
    <tabColor theme="6" tint="-0.249977111117893"/>
    <pageSetUpPr autoPageBreaks="0" fitToPage="1"/>
  </sheetPr>
  <dimension ref="A1:AL124"/>
  <sheetViews>
    <sheetView topLeftCell="A27" workbookViewId="0"/>
  </sheetViews>
  <sheetFormatPr defaultColWidth="8.7109375" defaultRowHeight="15" x14ac:dyDescent="0.25"/>
  <cols>
    <col min="1" max="1" width="6.140625" style="864" customWidth="1"/>
    <col min="2" max="2" width="39.42578125" style="864" bestFit="1" customWidth="1"/>
    <col min="3" max="3" width="18.5703125" style="864" bestFit="1" customWidth="1"/>
    <col min="4" max="4" width="18" style="1212" bestFit="1" customWidth="1"/>
    <col min="5" max="5" width="16.140625" style="864" bestFit="1" customWidth="1"/>
    <col min="6" max="6" width="10.5703125" style="864" bestFit="1" customWidth="1"/>
    <col min="7" max="11" width="8.7109375" style="864"/>
    <col min="12" max="12" width="13.7109375" style="864" customWidth="1"/>
    <col min="13" max="16384" width="8.7109375" style="864"/>
  </cols>
  <sheetData>
    <row r="1" spans="1:38" s="863" customFormat="1" x14ac:dyDescent="0.25">
      <c r="A1" s="863" t="s">
        <v>15</v>
      </c>
    </row>
    <row r="2" spans="1:38" x14ac:dyDescent="0.25">
      <c r="A2" s="864" t="str">
        <f>CONCATENATE("Pupil Center Funding Plan | FY",'5.1 Assumption Control YR2'!D5)</f>
        <v>Pupil Center Funding Plan | FY2027</v>
      </c>
      <c r="D2" s="864"/>
    </row>
    <row r="3" spans="1:38" x14ac:dyDescent="0.25">
      <c r="A3" s="864" t="s">
        <v>1758</v>
      </c>
      <c r="D3" s="864"/>
    </row>
    <row r="4" spans="1:38" s="863" customFormat="1" ht="15" customHeight="1" x14ac:dyDescent="0.25">
      <c r="B4" s="865"/>
      <c r="D4" s="1205"/>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L4" s="1206"/>
    </row>
    <row r="5" spans="1:38" ht="15.75" thickBot="1" x14ac:dyDescent="0.3">
      <c r="C5" s="866" t="s">
        <v>1331</v>
      </c>
      <c r="D5" s="866" t="s">
        <v>1332</v>
      </c>
      <c r="E5" s="867" t="s">
        <v>1333</v>
      </c>
    </row>
    <row r="6" spans="1:38" ht="16.5" thickTop="1" thickBot="1" x14ac:dyDescent="0.3">
      <c r="B6" s="866" t="s">
        <v>1336</v>
      </c>
      <c r="C6" s="1207">
        <f>'6.2 Spec Ed Local YR2'!E6</f>
        <v>4967259015</v>
      </c>
      <c r="D6" s="1234">
        <f>E35</f>
        <v>4406571085</v>
      </c>
      <c r="E6" s="1208">
        <f>C6-D6</f>
        <v>560687930</v>
      </c>
    </row>
    <row r="7" spans="1:38" ht="16.5" thickTop="1" thickBot="1" x14ac:dyDescent="0.3">
      <c r="B7" s="866"/>
      <c r="C7" s="953"/>
      <c r="D7" s="1030"/>
      <c r="E7" s="953"/>
    </row>
    <row r="8" spans="1:38" ht="16.5" thickTop="1" thickBot="1" x14ac:dyDescent="0.3">
      <c r="B8" s="866" t="str">
        <f>CONCATENATE("Statewide Base Per Pupil Funding | FY",'5.1 Assumption Control YR2'!$D$5,":")</f>
        <v>Statewide Base Per Pupil Funding | FY2027:</v>
      </c>
      <c r="C8" s="1209">
        <f>'5.1 Assumption Control YR2'!D28</f>
        <v>9502</v>
      </c>
      <c r="D8" s="864" t="s">
        <v>1725</v>
      </c>
    </row>
    <row r="9" spans="1:38" ht="15.75" thickTop="1" x14ac:dyDescent="0.25">
      <c r="D9" s="1205"/>
    </row>
    <row r="10" spans="1:38" x14ac:dyDescent="0.25">
      <c r="C10" s="1210" t="s">
        <v>1391</v>
      </c>
      <c r="D10" s="1205" t="s">
        <v>156</v>
      </c>
      <c r="E10" s="1210" t="s">
        <v>1392</v>
      </c>
    </row>
    <row r="11" spans="1:38" ht="14.65" customHeight="1" thickBot="1" x14ac:dyDescent="0.3">
      <c r="A11" s="2042"/>
      <c r="B11" s="1087"/>
      <c r="C11" s="2043" t="s">
        <v>1393</v>
      </c>
      <c r="D11" s="2044" t="s">
        <v>1394</v>
      </c>
      <c r="E11" s="2043" t="s">
        <v>1395</v>
      </c>
    </row>
    <row r="12" spans="1:38" s="1211" customFormat="1" ht="14.65" customHeight="1" thickBot="1" x14ac:dyDescent="0.3">
      <c r="A12" s="2045"/>
      <c r="B12" s="2046" t="s">
        <v>1346</v>
      </c>
      <c r="C12" s="2047" t="s">
        <v>1396</v>
      </c>
      <c r="D12" s="2048" t="s">
        <v>1733</v>
      </c>
      <c r="E12" s="2049" t="s">
        <v>1397</v>
      </c>
    </row>
    <row r="13" spans="1:38" ht="45" x14ac:dyDescent="0.25">
      <c r="A13" s="863" t="s">
        <v>1228</v>
      </c>
      <c r="C13" s="867"/>
      <c r="E13" s="965"/>
      <c r="F13" s="1957" t="s">
        <v>260</v>
      </c>
    </row>
    <row r="14" spans="1:38" x14ac:dyDescent="0.25">
      <c r="A14" s="876"/>
      <c r="B14" s="877" t="str">
        <f>'5.2 Budgeted Enrollment YR2'!E9</f>
        <v>Carson City</v>
      </c>
      <c r="C14" s="1213">
        <f>$C$8</f>
        <v>9502</v>
      </c>
      <c r="D14" s="1214">
        <f>'5.2 Budgeted Enrollment YR2'!$G9</f>
        <v>6970.4860982512937</v>
      </c>
      <c r="E14" s="2050">
        <f>ROUND(D14*C14,0)</f>
        <v>66233559</v>
      </c>
      <c r="F14" s="1214">
        <v>330</v>
      </c>
    </row>
    <row r="15" spans="1:38" x14ac:dyDescent="0.25">
      <c r="A15" s="868"/>
      <c r="B15" s="864" t="str">
        <f>'5.2 Budgeted Enrollment YR2'!E10</f>
        <v>Churchill</v>
      </c>
      <c r="C15" s="933">
        <f t="shared" ref="C15:C34" si="0">$C$8</f>
        <v>9502</v>
      </c>
      <c r="D15" s="1104">
        <f>'5.2 Budgeted Enrollment YR2'!$G10</f>
        <v>3074.1458778318033</v>
      </c>
      <c r="E15" s="1223">
        <f>ROUND(D15*C15,0)</f>
        <v>29210534</v>
      </c>
      <c r="F15" s="1104">
        <v>217</v>
      </c>
      <c r="N15" s="949"/>
    </row>
    <row r="16" spans="1:38" x14ac:dyDescent="0.25">
      <c r="A16" s="868"/>
      <c r="B16" s="864" t="str">
        <f>'5.2 Budgeted Enrollment YR2'!E11</f>
        <v>Clark</v>
      </c>
      <c r="C16" s="933">
        <f t="shared" si="0"/>
        <v>9502</v>
      </c>
      <c r="D16" s="1104">
        <f>'5.2 Budgeted Enrollment YR2'!$G11</f>
        <v>285878.81775061262</v>
      </c>
      <c r="E16" s="1223">
        <f t="shared" ref="E16:E30" si="1">ROUND(D16*C16,0)</f>
        <v>2716420526</v>
      </c>
      <c r="F16" s="1104">
        <v>1803</v>
      </c>
    </row>
    <row r="17" spans="1:12" x14ac:dyDescent="0.25">
      <c r="A17" s="868"/>
      <c r="B17" s="864" t="str">
        <f>'5.2 Budgeted Enrollment YR2'!E12</f>
        <v>Douglas</v>
      </c>
      <c r="C17" s="933">
        <f t="shared" si="0"/>
        <v>9502</v>
      </c>
      <c r="D17" s="1104">
        <f>'5.2 Budgeted Enrollment YR2'!$G12</f>
        <v>4790.5859463145525</v>
      </c>
      <c r="E17" s="1223">
        <f t="shared" si="1"/>
        <v>45520148</v>
      </c>
      <c r="F17" s="1104"/>
    </row>
    <row r="18" spans="1:12" x14ac:dyDescent="0.25">
      <c r="A18" s="868"/>
      <c r="B18" s="864" t="str">
        <f>'5.2 Budgeted Enrollment YR2'!E13</f>
        <v>Elko</v>
      </c>
      <c r="C18" s="933">
        <f t="shared" si="0"/>
        <v>9502</v>
      </c>
      <c r="D18" s="1104">
        <f>'5.2 Budgeted Enrollment YR2'!$G13</f>
        <v>9234.4483500865917</v>
      </c>
      <c r="E18" s="1223">
        <f t="shared" si="1"/>
        <v>87745728</v>
      </c>
      <c r="F18" s="1104"/>
    </row>
    <row r="19" spans="1:12" x14ac:dyDescent="0.25">
      <c r="A19" s="868"/>
      <c r="B19" s="864" t="str">
        <f>'5.2 Budgeted Enrollment YR2'!E14</f>
        <v>Esmeralda</v>
      </c>
      <c r="C19" s="933">
        <f t="shared" si="0"/>
        <v>9502</v>
      </c>
      <c r="D19" s="1104">
        <f>'5.2 Budgeted Enrollment YR2'!$G14</f>
        <v>80.635895560117746</v>
      </c>
      <c r="E19" s="1223">
        <f t="shared" si="1"/>
        <v>766202</v>
      </c>
      <c r="F19" s="1104"/>
    </row>
    <row r="20" spans="1:12" x14ac:dyDescent="0.25">
      <c r="A20" s="868"/>
      <c r="B20" s="864" t="str">
        <f>'5.2 Budgeted Enrollment YR2'!E15</f>
        <v>Eureka</v>
      </c>
      <c r="C20" s="933">
        <f t="shared" si="0"/>
        <v>9502</v>
      </c>
      <c r="D20" s="1104">
        <f>'5.2 Budgeted Enrollment YR2'!$G15</f>
        <v>297.58201989503061</v>
      </c>
      <c r="E20" s="1223">
        <f t="shared" si="1"/>
        <v>2827624</v>
      </c>
      <c r="F20" s="1104"/>
    </row>
    <row r="21" spans="1:12" x14ac:dyDescent="0.25">
      <c r="A21" s="868"/>
      <c r="B21" s="864" t="str">
        <f>'5.2 Budgeted Enrollment YR2'!E16</f>
        <v>Humboldt</v>
      </c>
      <c r="C21" s="933">
        <f t="shared" si="0"/>
        <v>9502</v>
      </c>
      <c r="D21" s="1104">
        <f>'5.2 Budgeted Enrollment YR2'!$G16</f>
        <v>3135.8857800940204</v>
      </c>
      <c r="E21" s="1223">
        <f t="shared" si="1"/>
        <v>29797187</v>
      </c>
      <c r="F21" s="1104">
        <v>175</v>
      </c>
      <c r="L21" s="949"/>
    </row>
    <row r="22" spans="1:12" x14ac:dyDescent="0.25">
      <c r="A22" s="868"/>
      <c r="B22" s="864" t="str">
        <f>'5.2 Budgeted Enrollment YR2'!E17</f>
        <v>Lander</v>
      </c>
      <c r="C22" s="933">
        <f t="shared" si="0"/>
        <v>9502</v>
      </c>
      <c r="D22" s="1104">
        <f>'5.2 Budgeted Enrollment YR2'!$G17</f>
        <v>970.28169719049401</v>
      </c>
      <c r="E22" s="1223">
        <f t="shared" si="1"/>
        <v>9219617</v>
      </c>
      <c r="F22" s="1104">
        <v>83</v>
      </c>
    </row>
    <row r="23" spans="1:12" x14ac:dyDescent="0.25">
      <c r="A23" s="868"/>
      <c r="B23" s="864" t="str">
        <f>'5.2 Budgeted Enrollment YR2'!E18</f>
        <v>Lincoln</v>
      </c>
      <c r="C23" s="933">
        <f t="shared" si="0"/>
        <v>9502</v>
      </c>
      <c r="D23" s="1104">
        <f>'5.2 Budgeted Enrollment YR2'!$G18</f>
        <v>870.02699048734246</v>
      </c>
      <c r="E23" s="1223">
        <f t="shared" si="1"/>
        <v>8266996</v>
      </c>
      <c r="F23" s="1104"/>
    </row>
    <row r="24" spans="1:12" x14ac:dyDescent="0.25">
      <c r="A24" s="868"/>
      <c r="B24" s="864" t="str">
        <f>'5.2 Budgeted Enrollment YR2'!E19</f>
        <v>Lyon</v>
      </c>
      <c r="C24" s="933">
        <f t="shared" si="0"/>
        <v>9502</v>
      </c>
      <c r="D24" s="1104">
        <f>'5.2 Budgeted Enrollment YR2'!$G19</f>
        <v>8933.9764767711295</v>
      </c>
      <c r="E24" s="1223">
        <f t="shared" si="1"/>
        <v>84890644</v>
      </c>
      <c r="F24" s="1104">
        <v>372</v>
      </c>
    </row>
    <row r="25" spans="1:12" x14ac:dyDescent="0.25">
      <c r="A25" s="868"/>
      <c r="B25" s="864" t="str">
        <f>'5.2 Budgeted Enrollment YR2'!E20</f>
        <v>Mineral</v>
      </c>
      <c r="C25" s="933">
        <f t="shared" si="0"/>
        <v>9502</v>
      </c>
      <c r="D25" s="1104">
        <f>'5.2 Budgeted Enrollment YR2'!$G20</f>
        <v>509.60323278309136</v>
      </c>
      <c r="E25" s="1223">
        <f t="shared" si="1"/>
        <v>4842250</v>
      </c>
      <c r="F25" s="1104">
        <v>83</v>
      </c>
    </row>
    <row r="26" spans="1:12" x14ac:dyDescent="0.25">
      <c r="A26" s="868"/>
      <c r="B26" s="864" t="str">
        <f>'5.2 Budgeted Enrollment YR2'!E21</f>
        <v>Nye</v>
      </c>
      <c r="C26" s="933">
        <f t="shared" si="0"/>
        <v>9502</v>
      </c>
      <c r="D26" s="1104">
        <f>'5.2 Budgeted Enrollment YR2'!$G21</f>
        <v>5457.0457625112185</v>
      </c>
      <c r="E26" s="1223">
        <f t="shared" si="1"/>
        <v>51852849</v>
      </c>
      <c r="F26" s="1104">
        <v>423</v>
      </c>
    </row>
    <row r="27" spans="1:12" x14ac:dyDescent="0.25">
      <c r="A27" s="868"/>
      <c r="B27" s="864" t="str">
        <f>'5.2 Budgeted Enrollment YR2'!E22</f>
        <v>Pershing</v>
      </c>
      <c r="C27" s="933">
        <f t="shared" si="0"/>
        <v>9502</v>
      </c>
      <c r="D27" s="1104">
        <f>'5.2 Budgeted Enrollment YR2'!$G22</f>
        <v>635.8592256998902</v>
      </c>
      <c r="E27" s="1223">
        <f t="shared" si="1"/>
        <v>6041934</v>
      </c>
      <c r="F27" s="1104">
        <v>62</v>
      </c>
      <c r="I27" s="944"/>
    </row>
    <row r="28" spans="1:12" x14ac:dyDescent="0.25">
      <c r="A28" s="868"/>
      <c r="B28" s="864" t="str">
        <f>'5.2 Budgeted Enrollment YR2'!E23</f>
        <v>Storey</v>
      </c>
      <c r="C28" s="933">
        <f t="shared" si="0"/>
        <v>9502</v>
      </c>
      <c r="D28" s="1104">
        <f>'5.2 Budgeted Enrollment YR2'!$G23</f>
        <v>395.34078642383383</v>
      </c>
      <c r="E28" s="1223">
        <f t="shared" si="1"/>
        <v>3756528</v>
      </c>
      <c r="F28" s="1104"/>
    </row>
    <row r="29" spans="1:12" x14ac:dyDescent="0.25">
      <c r="A29" s="868"/>
      <c r="B29" s="864" t="str">
        <f>'5.2 Budgeted Enrollment YR2'!E24</f>
        <v>Washoe</v>
      </c>
      <c r="C29" s="933">
        <f t="shared" si="0"/>
        <v>9502</v>
      </c>
      <c r="D29" s="1104">
        <f>'5.2 Budgeted Enrollment YR2'!$G24</f>
        <v>58816.718998091914</v>
      </c>
      <c r="E29" s="1223">
        <f t="shared" si="1"/>
        <v>558876464</v>
      </c>
      <c r="F29" s="1104">
        <v>1433</v>
      </c>
    </row>
    <row r="30" spans="1:12" x14ac:dyDescent="0.25">
      <c r="A30" s="870"/>
      <c r="B30" s="874" t="str">
        <f>'5.2 Budgeted Enrollment YR2'!E25</f>
        <v>White Pine</v>
      </c>
      <c r="C30" s="1217">
        <f t="shared" si="0"/>
        <v>9502</v>
      </c>
      <c r="D30" s="1218">
        <f>'5.2 Budgeted Enrollment YR2'!$G25</f>
        <v>1231.0239819599622</v>
      </c>
      <c r="E30" s="1226">
        <f t="shared" si="1"/>
        <v>11697190</v>
      </c>
      <c r="F30" s="1218">
        <v>81</v>
      </c>
    </row>
    <row r="31" spans="1:12" x14ac:dyDescent="0.25">
      <c r="A31" s="868"/>
      <c r="B31" s="864" t="str">
        <f>'5.2 Budgeted Enrollment YR2'!E26</f>
        <v>Charter Schools</v>
      </c>
      <c r="C31" s="933">
        <f t="shared" si="0"/>
        <v>9502</v>
      </c>
      <c r="D31" s="1104">
        <f>D100</f>
        <v>72301.606666666703</v>
      </c>
      <c r="E31" s="1223">
        <f>E100</f>
        <v>687009868</v>
      </c>
      <c r="F31" s="1104">
        <v>520</v>
      </c>
    </row>
    <row r="32" spans="1:12" x14ac:dyDescent="0.25">
      <c r="A32" s="868"/>
      <c r="B32" s="864" t="str">
        <f>'5.2 Budgeted Enrollment YR2'!E27</f>
        <v>University Schools</v>
      </c>
      <c r="C32" s="933">
        <f t="shared" si="0"/>
        <v>9502</v>
      </c>
      <c r="D32" s="1104">
        <f>D105</f>
        <v>167.88437423074134</v>
      </c>
      <c r="E32" s="1223">
        <f>E105</f>
        <v>1595237</v>
      </c>
      <c r="F32" s="1104"/>
    </row>
    <row r="33" spans="1:8" x14ac:dyDescent="0.25">
      <c r="A33" s="868"/>
      <c r="B33" s="864" t="str">
        <f>'5.2 Budgeted Enrollment YR2'!E28</f>
        <v>City of Henderson</v>
      </c>
      <c r="C33" s="933">
        <f t="shared" si="0"/>
        <v>9502</v>
      </c>
      <c r="D33" s="1104">
        <f>D110</f>
        <v>0</v>
      </c>
      <c r="E33" s="1223">
        <f>E110</f>
        <v>0</v>
      </c>
      <c r="F33" s="1104"/>
    </row>
    <row r="34" spans="1:8" x14ac:dyDescent="0.25">
      <c r="A34" s="870"/>
      <c r="B34" s="874" t="str">
        <f>'5.2 Budgeted Enrollment YR2'!E29</f>
        <v>City of North Las Vegas</v>
      </c>
      <c r="C34" s="1217">
        <f t="shared" si="0"/>
        <v>9502</v>
      </c>
      <c r="D34" s="1218">
        <f>D115</f>
        <v>0</v>
      </c>
      <c r="E34" s="1226">
        <f>E115</f>
        <v>0</v>
      </c>
      <c r="F34" s="1218"/>
    </row>
    <row r="35" spans="1:8" s="863" customFormat="1" x14ac:dyDescent="0.25">
      <c r="A35" s="878"/>
      <c r="B35" s="879" t="s">
        <v>1354</v>
      </c>
      <c r="C35" s="1220">
        <f>E35/D35</f>
        <v>9501.9999998475141</v>
      </c>
      <c r="D35" s="1221">
        <f>SUM(D14:D34)</f>
        <v>463751.95591146237</v>
      </c>
      <c r="E35" s="1222">
        <f>SUM(E14:E34)</f>
        <v>4406571085</v>
      </c>
      <c r="F35" s="1221">
        <f>SUM(F14:F34)</f>
        <v>5582</v>
      </c>
      <c r="G35" s="863">
        <v>5703</v>
      </c>
    </row>
    <row r="36" spans="1:8" x14ac:dyDescent="0.25">
      <c r="E36" s="933"/>
      <c r="G36" s="864">
        <f>G35-F35</f>
        <v>121</v>
      </c>
      <c r="H36" s="864" t="s">
        <v>1759</v>
      </c>
    </row>
    <row r="37" spans="1:8" x14ac:dyDescent="0.25">
      <c r="A37" s="863" t="s">
        <v>305</v>
      </c>
      <c r="E37" s="933"/>
    </row>
    <row r="38" spans="1:8" x14ac:dyDescent="0.25">
      <c r="A38" s="876"/>
      <c r="B38" s="877" t="str">
        <f>'5.2 Budgeted Enrollment YR2'!E34</f>
        <v>FuturEdge (Formerly 100 Academy Of Excellence)</v>
      </c>
      <c r="C38" s="1213">
        <f>$C$8</f>
        <v>9502</v>
      </c>
      <c r="D38" s="1214">
        <f>'5.2 Budgeted Enrollment YR2'!$G34</f>
        <v>240.86136805673826</v>
      </c>
      <c r="E38" s="1215">
        <f>ROUND(D38*C38,0)</f>
        <v>2288665</v>
      </c>
    </row>
    <row r="39" spans="1:8" x14ac:dyDescent="0.25">
      <c r="A39" s="868"/>
      <c r="B39" s="864" t="str">
        <f>'5.2 Budgeted Enrollment YR2'!E35</f>
        <v>Academy For Career Education</v>
      </c>
      <c r="C39" s="933">
        <f t="shared" ref="C39:C96" si="2">$C$8</f>
        <v>9502</v>
      </c>
      <c r="D39" s="1104">
        <f>'5.2 Budgeted Enrollment YR2'!$G35</f>
        <v>253.57864951202251</v>
      </c>
      <c r="E39" s="1216">
        <f>ROUND(D39*C39,0)</f>
        <v>2409504</v>
      </c>
    </row>
    <row r="40" spans="1:8" x14ac:dyDescent="0.25">
      <c r="A40" s="868"/>
      <c r="B40" s="864" t="str">
        <f>'5.2 Budgeted Enrollment YR2'!E36</f>
        <v xml:space="preserve">Alpine Academy </v>
      </c>
      <c r="C40" s="933">
        <f t="shared" si="2"/>
        <v>9502</v>
      </c>
      <c r="D40" s="1104">
        <f>'5.2 Budgeted Enrollment YR2'!$G36</f>
        <v>164.31844740358281</v>
      </c>
      <c r="E40" s="1216">
        <f t="shared" ref="E40:E99" si="3">ROUND(D40*C40,0)</f>
        <v>1561354</v>
      </c>
    </row>
    <row r="41" spans="1:8" x14ac:dyDescent="0.25">
      <c r="A41" s="868"/>
      <c r="B41" s="864" t="str">
        <f>'5.2 Budgeted Enrollment YR2'!E37</f>
        <v xml:space="preserve">Amplus (Formerly American Preparatory Academy) </v>
      </c>
      <c r="C41" s="933">
        <f t="shared" si="2"/>
        <v>9502</v>
      </c>
      <c r="D41" s="1104">
        <f>'5.2 Budgeted Enrollment YR2'!$G37</f>
        <v>2368.9011816066622</v>
      </c>
      <c r="E41" s="1216">
        <f t="shared" si="3"/>
        <v>22509299</v>
      </c>
    </row>
    <row r="42" spans="1:8" x14ac:dyDescent="0.25">
      <c r="A42" s="868"/>
      <c r="B42" s="864" t="str">
        <f>'5.2 Budgeted Enrollment YR2'!E38</f>
        <v>Bailey Charter School</v>
      </c>
      <c r="C42" s="933">
        <f t="shared" si="2"/>
        <v>9502</v>
      </c>
      <c r="D42" s="1104">
        <f>'5.2 Budgeted Enrollment YR2'!$G38</f>
        <v>166.53929996193739</v>
      </c>
      <c r="E42" s="1216">
        <f t="shared" si="3"/>
        <v>1582456</v>
      </c>
    </row>
    <row r="43" spans="1:8" x14ac:dyDescent="0.25">
      <c r="A43" s="868"/>
      <c r="B43" s="864" t="str">
        <f>'5.2 Budgeted Enrollment YR2'!E39</f>
        <v>Battle Born Academy</v>
      </c>
      <c r="C43" s="933">
        <f t="shared" si="2"/>
        <v>9502</v>
      </c>
      <c r="D43" s="1104">
        <f>'5.2 Budgeted Enrollment YR2'!$G39</f>
        <v>270.53331354166147</v>
      </c>
      <c r="E43" s="1216">
        <f t="shared" si="3"/>
        <v>2570608</v>
      </c>
    </row>
    <row r="44" spans="1:8" x14ac:dyDescent="0.25">
      <c r="A44" s="868"/>
      <c r="B44" s="864" t="str">
        <f>'5.2 Budgeted Enrollment YR2'!E40</f>
        <v>Beacon Academy</v>
      </c>
      <c r="C44" s="933">
        <f t="shared" si="2"/>
        <v>9502</v>
      </c>
      <c r="D44" s="1104">
        <f>'5.2 Budgeted Enrollment YR2'!$G40</f>
        <v>857.51912183963623</v>
      </c>
      <c r="E44" s="1216">
        <f t="shared" si="3"/>
        <v>8148147</v>
      </c>
    </row>
    <row r="45" spans="1:8" x14ac:dyDescent="0.25">
      <c r="A45" s="868"/>
      <c r="B45" s="864" t="str">
        <f>'5.2 Budgeted Enrollment YR2'!E41</f>
        <v>Cactus Park</v>
      </c>
      <c r="C45" s="933">
        <f t="shared" si="2"/>
        <v>9502</v>
      </c>
      <c r="D45" s="1104">
        <f>'5.2 Budgeted Enrollment YR2'!$G41</f>
        <v>301.59239347241777</v>
      </c>
      <c r="E45" s="1216">
        <f t="shared" si="3"/>
        <v>2865731</v>
      </c>
    </row>
    <row r="46" spans="1:8" x14ac:dyDescent="0.25">
      <c r="A46" s="868"/>
      <c r="B46" s="864" t="str">
        <f>'5.2 Budgeted Enrollment YR2'!E42</f>
        <v>Carson Montessori</v>
      </c>
      <c r="C46" s="933">
        <f t="shared" si="2"/>
        <v>9502</v>
      </c>
      <c r="D46" s="1104">
        <f>'5.2 Budgeted Enrollment YR2'!$G42</f>
        <v>296.55722891108132</v>
      </c>
      <c r="E46" s="1216">
        <f t="shared" si="3"/>
        <v>2817887</v>
      </c>
    </row>
    <row r="47" spans="1:8" x14ac:dyDescent="0.25">
      <c r="A47" s="868"/>
      <c r="B47" s="864" t="str">
        <f>'5.2 Budgeted Enrollment YR2'!E43</f>
        <v>CIVICA Nevada Career &amp; Collegiate Academy</v>
      </c>
      <c r="C47" s="933">
        <f t="shared" si="2"/>
        <v>9502</v>
      </c>
      <c r="D47" s="1104">
        <f>'5.2 Budgeted Enrollment YR2'!$G43</f>
        <v>916.3393721230467</v>
      </c>
      <c r="E47" s="1216">
        <f t="shared" si="3"/>
        <v>8707057</v>
      </c>
    </row>
    <row r="48" spans="1:8" x14ac:dyDescent="0.25">
      <c r="A48" s="868"/>
      <c r="B48" s="864" t="str">
        <f>'5.2 Budgeted Enrollment YR2'!E44</f>
        <v>Coral Academy of Science Las Vegas</v>
      </c>
      <c r="C48" s="933">
        <f t="shared" si="2"/>
        <v>9502</v>
      </c>
      <c r="D48" s="1104">
        <f>'5.2 Budgeted Enrollment YR2'!$G44</f>
        <v>5480.3063751434274</v>
      </c>
      <c r="E48" s="1216">
        <f t="shared" si="3"/>
        <v>52073871</v>
      </c>
    </row>
    <row r="49" spans="1:6" x14ac:dyDescent="0.25">
      <c r="A49" s="868"/>
      <c r="B49" s="864" t="str">
        <f>'5.2 Budgeted Enrollment YR2'!E45</f>
        <v>Coral Academy Washoe</v>
      </c>
      <c r="C49" s="933">
        <f t="shared" si="2"/>
        <v>9502</v>
      </c>
      <c r="D49" s="1104">
        <f>'5.2 Budgeted Enrollment YR2'!$G45</f>
        <v>2027.9998005260131</v>
      </c>
      <c r="E49" s="1216">
        <f t="shared" si="3"/>
        <v>19270054</v>
      </c>
    </row>
    <row r="50" spans="1:6" x14ac:dyDescent="0.25">
      <c r="A50" s="868"/>
      <c r="B50" s="864" t="str">
        <f>'5.2 Budgeted Enrollment YR2'!E46</f>
        <v>Delta Academy</v>
      </c>
      <c r="C50" s="933">
        <f t="shared" si="2"/>
        <v>9502</v>
      </c>
      <c r="D50" s="1104">
        <f>'5.2 Budgeted Enrollment YR2'!$G46</f>
        <v>1405.0080479301287</v>
      </c>
      <c r="E50" s="1216">
        <f t="shared" si="3"/>
        <v>13350386</v>
      </c>
    </row>
    <row r="51" spans="1:6" x14ac:dyDescent="0.25">
      <c r="A51" s="868"/>
      <c r="B51" s="864" t="str">
        <f>'5.2 Budgeted Enrollment YR2'!E47</f>
        <v>Democracy Prep</v>
      </c>
      <c r="C51" s="933">
        <f t="shared" si="2"/>
        <v>9502</v>
      </c>
      <c r="D51" s="1104">
        <f>'5.2 Budgeted Enrollment YR2'!$G47</f>
        <v>1279.0046975769933</v>
      </c>
      <c r="E51" s="1216">
        <f t="shared" si="3"/>
        <v>12153103</v>
      </c>
    </row>
    <row r="52" spans="1:6" x14ac:dyDescent="0.25">
      <c r="A52" s="868"/>
      <c r="B52" s="864" t="str">
        <f>'5.2 Budgeted Enrollment YR2'!E48</f>
        <v>Discovery Charter</v>
      </c>
      <c r="C52" s="933">
        <f t="shared" si="2"/>
        <v>9502</v>
      </c>
      <c r="D52" s="1104">
        <f>'5.2 Budgeted Enrollment YR2'!$G48</f>
        <v>499.79963400639872</v>
      </c>
      <c r="E52" s="1216">
        <f t="shared" si="3"/>
        <v>4749096</v>
      </c>
    </row>
    <row r="53" spans="1:6" x14ac:dyDescent="0.25">
      <c r="A53" s="868"/>
      <c r="B53" s="864" t="str">
        <f>'5.2 Budgeted Enrollment YR2'!E49</f>
        <v>Do and Be Academy of Excellence</v>
      </c>
      <c r="C53" s="933">
        <f t="shared" si="2"/>
        <v>9502</v>
      </c>
      <c r="D53" s="1104">
        <f>'5.2 Budgeted Enrollment YR2'!$G49</f>
        <v>55.444307975565003</v>
      </c>
      <c r="E53" s="1216">
        <f t="shared" si="3"/>
        <v>526832</v>
      </c>
      <c r="F53" s="864" t="s">
        <v>370</v>
      </c>
    </row>
    <row r="54" spans="1:6" x14ac:dyDescent="0.25">
      <c r="A54" s="868"/>
      <c r="B54" s="864" t="str">
        <f>'5.2 Budgeted Enrollment YR2'!E50</f>
        <v>Doral Academy</v>
      </c>
      <c r="C54" s="933">
        <f t="shared" si="2"/>
        <v>9502</v>
      </c>
      <c r="D54" s="1104">
        <f>'5.2 Budgeted Enrollment YR2'!$G50</f>
        <v>6463.7282261846876</v>
      </c>
      <c r="E54" s="1216">
        <f t="shared" si="3"/>
        <v>61418346</v>
      </c>
    </row>
    <row r="55" spans="1:6" x14ac:dyDescent="0.25">
      <c r="A55" s="868"/>
      <c r="B55" s="864" t="str">
        <f>'5.2 Budgeted Enrollment YR2'!E51</f>
        <v>Doral Academy of Northern Nevada</v>
      </c>
      <c r="C55" s="933">
        <f t="shared" si="2"/>
        <v>9502</v>
      </c>
      <c r="D55" s="1104">
        <f>'5.2 Budgeted Enrollment YR2'!$G51</f>
        <v>1018.777864840123</v>
      </c>
      <c r="E55" s="1216">
        <f t="shared" si="3"/>
        <v>9680427</v>
      </c>
    </row>
    <row r="56" spans="1:6" x14ac:dyDescent="0.25">
      <c r="A56" s="868"/>
      <c r="B56" s="864" t="str">
        <f>'5.2 Budgeted Enrollment YR2'!E52</f>
        <v>Eagle Charter School (CLOSED)</v>
      </c>
      <c r="C56" s="933">
        <f t="shared" si="2"/>
        <v>9502</v>
      </c>
      <c r="D56" s="1104">
        <f>'5.2 Budgeted Enrollment YR2'!$G52</f>
        <v>0</v>
      </c>
      <c r="E56" s="1216">
        <f t="shared" si="3"/>
        <v>0</v>
      </c>
    </row>
    <row r="57" spans="1:6" x14ac:dyDescent="0.25">
      <c r="A57" s="868"/>
      <c r="B57" s="864" t="str">
        <f>'5.2 Budgeted Enrollment YR2'!E53</f>
        <v>Elko Institute for Academic Achievement</v>
      </c>
      <c r="C57" s="933">
        <f t="shared" si="2"/>
        <v>9502</v>
      </c>
      <c r="D57" s="1104">
        <f>'5.2 Budgeted Enrollment YR2'!$G53</f>
        <v>315.7286385132989</v>
      </c>
      <c r="E57" s="1216">
        <f t="shared" si="3"/>
        <v>3000054</v>
      </c>
    </row>
    <row r="58" spans="1:6" x14ac:dyDescent="0.25">
      <c r="A58" s="868"/>
      <c r="B58" s="864" t="str">
        <f>'5.2 Budgeted Enrollment YR2'!E54</f>
        <v>enCompass Academy</v>
      </c>
      <c r="C58" s="933">
        <f t="shared" si="2"/>
        <v>9502</v>
      </c>
      <c r="D58" s="1104">
        <f>'5.2 Budgeted Enrollment YR2'!$G54</f>
        <v>129.86699722187711</v>
      </c>
      <c r="E58" s="1216">
        <f t="shared" si="3"/>
        <v>1233996</v>
      </c>
    </row>
    <row r="59" spans="1:6" x14ac:dyDescent="0.25">
      <c r="A59" s="868"/>
      <c r="B59" s="864" t="str">
        <f>'5.2 Budgeted Enrollment YR2'!E55</f>
        <v>Equipo Academy</v>
      </c>
      <c r="C59" s="933">
        <f t="shared" si="2"/>
        <v>9502</v>
      </c>
      <c r="D59" s="1104">
        <f>'5.2 Budgeted Enrollment YR2'!$G55</f>
        <v>900.7667088070209</v>
      </c>
      <c r="E59" s="1216">
        <f t="shared" si="3"/>
        <v>8559085</v>
      </c>
    </row>
    <row r="60" spans="1:6" x14ac:dyDescent="0.25">
      <c r="A60" s="868"/>
      <c r="B60" s="864" t="str">
        <f>'5.2 Budgeted Enrollment YR2'!E56</f>
        <v>Explore Academy</v>
      </c>
      <c r="C60" s="933">
        <f t="shared" si="2"/>
        <v>9502</v>
      </c>
      <c r="D60" s="1104">
        <f>'5.2 Budgeted Enrollment YR2'!$G56</f>
        <v>285.9150020191048</v>
      </c>
      <c r="E60" s="1216">
        <f t="shared" si="3"/>
        <v>2716764</v>
      </c>
    </row>
    <row r="61" spans="1:6" x14ac:dyDescent="0.25">
      <c r="A61" s="868"/>
      <c r="B61" s="864" t="str">
        <f>'5.2 Budgeted Enrollment YR2'!E57</f>
        <v>Explore Knowledge Academy</v>
      </c>
      <c r="C61" s="933">
        <f t="shared" si="2"/>
        <v>9502</v>
      </c>
      <c r="D61" s="1104">
        <f>'5.2 Budgeted Enrollment YR2'!$G57</f>
        <v>664.59038477421791</v>
      </c>
      <c r="E61" s="1216">
        <f t="shared" si="3"/>
        <v>6314938</v>
      </c>
    </row>
    <row r="62" spans="1:6" x14ac:dyDescent="0.25">
      <c r="A62" s="868"/>
      <c r="B62" s="864" t="str">
        <f>'5.2 Budgeted Enrollment YR2'!E58</f>
        <v>Founders Academy of Las Vegas</v>
      </c>
      <c r="C62" s="933">
        <f t="shared" si="2"/>
        <v>9502</v>
      </c>
      <c r="D62" s="1104">
        <f>'5.2 Budgeted Enrollment YR2'!$G58</f>
        <v>1110.2866416609052</v>
      </c>
      <c r="E62" s="1216">
        <f t="shared" si="3"/>
        <v>10549944</v>
      </c>
    </row>
    <row r="63" spans="1:6" x14ac:dyDescent="0.25">
      <c r="A63" s="868"/>
      <c r="B63" s="864" t="str">
        <f>'5.2 Budgeted Enrollment YR2'!E59</f>
        <v>Freedom Classical Academy</v>
      </c>
      <c r="C63" s="933">
        <f t="shared" si="2"/>
        <v>9502</v>
      </c>
      <c r="D63" s="1104">
        <f>'5.2 Budgeted Enrollment YR2'!$G59</f>
        <v>1074.7232250803561</v>
      </c>
      <c r="E63" s="1216">
        <f t="shared" si="3"/>
        <v>10212020</v>
      </c>
    </row>
    <row r="64" spans="1:6" s="1225" customFormat="1" x14ac:dyDescent="0.25">
      <c r="A64" s="1224"/>
      <c r="B64" s="864" t="str">
        <f>'5.2 Budgeted Enrollment YR2'!E60</f>
        <v>Futuro Academy Elementary</v>
      </c>
      <c r="C64" s="933">
        <f t="shared" si="2"/>
        <v>9502</v>
      </c>
      <c r="D64" s="1104">
        <f>'5.2 Budgeted Enrollment YR2'!$G60</f>
        <v>467.88219404846518</v>
      </c>
      <c r="E64" s="1216">
        <f t="shared" si="3"/>
        <v>4445817</v>
      </c>
    </row>
    <row r="65" spans="1:5" x14ac:dyDescent="0.25">
      <c r="A65" s="868"/>
      <c r="B65" s="864" t="str">
        <f>'5.2 Budgeted Enrollment YR2'!E61</f>
        <v>High Desert Montessori</v>
      </c>
      <c r="C65" s="933">
        <f t="shared" si="2"/>
        <v>9502</v>
      </c>
      <c r="D65" s="1104">
        <f>'5.2 Budgeted Enrollment YR2'!$G61</f>
        <v>411.94504777978403</v>
      </c>
      <c r="E65" s="1216">
        <f t="shared" si="3"/>
        <v>3914302</v>
      </c>
    </row>
    <row r="66" spans="1:5" x14ac:dyDescent="0.25">
      <c r="A66" s="868"/>
      <c r="B66" s="864" t="str">
        <f>'5.2 Budgeted Enrollment YR2'!E62</f>
        <v>Honors Academy of Literature</v>
      </c>
      <c r="C66" s="933">
        <f t="shared" si="2"/>
        <v>9502</v>
      </c>
      <c r="D66" s="1104">
        <f>'5.2 Budgeted Enrollment YR2'!$G62</f>
        <v>219.20317856717219</v>
      </c>
      <c r="E66" s="1216">
        <f t="shared" si="3"/>
        <v>2082869</v>
      </c>
    </row>
    <row r="67" spans="1:5" x14ac:dyDescent="0.25">
      <c r="A67" s="868"/>
      <c r="B67" s="864" t="str">
        <f>'5.2 Budgeted Enrollment YR2'!E63</f>
        <v>Imagine School Mountain View</v>
      </c>
      <c r="C67" s="933">
        <f t="shared" si="2"/>
        <v>9502</v>
      </c>
      <c r="D67" s="1104">
        <f>'5.2 Budgeted Enrollment YR2'!$G63</f>
        <v>695.95030141306381</v>
      </c>
      <c r="E67" s="1216">
        <f t="shared" si="3"/>
        <v>6612920</v>
      </c>
    </row>
    <row r="68" spans="1:5" x14ac:dyDescent="0.25">
      <c r="A68" s="868"/>
      <c r="B68" s="864" t="str">
        <f>'5.2 Budgeted Enrollment YR2'!E64</f>
        <v>Innovations Int'l Charter</v>
      </c>
      <c r="C68" s="933">
        <f t="shared" si="2"/>
        <v>9502</v>
      </c>
      <c r="D68" s="1104">
        <f>'5.2 Budgeted Enrollment YR2'!$G64</f>
        <v>682.14466872714809</v>
      </c>
      <c r="E68" s="1216">
        <f t="shared" si="3"/>
        <v>6481739</v>
      </c>
    </row>
    <row r="69" spans="1:5" x14ac:dyDescent="0.25">
      <c r="A69" s="868"/>
      <c r="B69" s="864" t="str">
        <f>'5.2 Budgeted Enrollment YR2'!E65</f>
        <v>Leadership Academy of Nevada</v>
      </c>
      <c r="C69" s="933">
        <f t="shared" si="2"/>
        <v>9502</v>
      </c>
      <c r="D69" s="1104">
        <f>'5.2 Budgeted Enrollment YR2'!$G65</f>
        <v>287.40686460222514</v>
      </c>
      <c r="E69" s="1216">
        <f t="shared" si="3"/>
        <v>2730940</v>
      </c>
    </row>
    <row r="70" spans="1:5" x14ac:dyDescent="0.25">
      <c r="A70" s="868"/>
      <c r="B70" s="864" t="str">
        <f>'5.2 Budgeted Enrollment YR2'!E66</f>
        <v>Learning Bridge</v>
      </c>
      <c r="C70" s="933">
        <f t="shared" si="2"/>
        <v>9502</v>
      </c>
      <c r="D70" s="1104">
        <f>'5.2 Budgeted Enrollment YR2'!$G66</f>
        <v>170.53745061484202</v>
      </c>
      <c r="E70" s="1216">
        <f t="shared" si="3"/>
        <v>1620447</v>
      </c>
    </row>
    <row r="71" spans="1:5" x14ac:dyDescent="0.25">
      <c r="A71" s="868"/>
      <c r="B71" s="864" t="str">
        <f>'5.2 Budgeted Enrollment YR2'!E67</f>
        <v>Legacy Traditional Schools</v>
      </c>
      <c r="C71" s="933">
        <f t="shared" si="2"/>
        <v>9502</v>
      </c>
      <c r="D71" s="1104">
        <f>'5.2 Budgeted Enrollment YR2'!$G67</f>
        <v>4125.1478938155515</v>
      </c>
      <c r="E71" s="1216">
        <f t="shared" si="3"/>
        <v>39197155</v>
      </c>
    </row>
    <row r="72" spans="1:5" x14ac:dyDescent="0.25">
      <c r="A72" s="868"/>
      <c r="B72" s="864" t="str">
        <f>'5.2 Budgeted Enrollment YR2'!E68</f>
        <v xml:space="preserve">Mariposa Language and Learning Academy </v>
      </c>
      <c r="C72" s="933">
        <f t="shared" si="2"/>
        <v>9502</v>
      </c>
      <c r="D72" s="1104">
        <f>'5.2 Budgeted Enrollment YR2'!$G68</f>
        <v>164.39442664043821</v>
      </c>
      <c r="E72" s="1216">
        <f t="shared" si="3"/>
        <v>1562076</v>
      </c>
    </row>
    <row r="73" spans="1:5" x14ac:dyDescent="0.25">
      <c r="A73" s="868"/>
      <c r="B73" s="864" t="str">
        <f>'5.2 Budgeted Enrollment YR2'!E69</f>
        <v>Mater Academy</v>
      </c>
      <c r="C73" s="933">
        <f t="shared" si="2"/>
        <v>9502</v>
      </c>
      <c r="D73" s="1104">
        <f>'5.2 Budgeted Enrollment YR2'!$G69</f>
        <v>4489.9355041692297</v>
      </c>
      <c r="E73" s="1216">
        <f t="shared" si="3"/>
        <v>42663367</v>
      </c>
    </row>
    <row r="74" spans="1:5" x14ac:dyDescent="0.25">
      <c r="A74" s="868"/>
      <c r="B74" s="864" t="str">
        <f>'5.2 Budgeted Enrollment YR2'!E70</f>
        <v>Mater Academy of Northern Nevada</v>
      </c>
      <c r="C74" s="933">
        <f t="shared" si="2"/>
        <v>9502</v>
      </c>
      <c r="D74" s="1104">
        <f>'5.2 Budgeted Enrollment YR2'!$G70</f>
        <v>502.85317793083078</v>
      </c>
      <c r="E74" s="1216">
        <f t="shared" si="3"/>
        <v>4778111</v>
      </c>
    </row>
    <row r="75" spans="1:5" x14ac:dyDescent="0.25">
      <c r="A75" s="868"/>
      <c r="B75" s="864" t="str">
        <f>'5.2 Budgeted Enrollment YR2'!E71</f>
        <v>Nevada Connections Academy</v>
      </c>
      <c r="C75" s="933">
        <f t="shared" si="2"/>
        <v>9502</v>
      </c>
      <c r="D75" s="1104">
        <f>'5.2 Budgeted Enrollment YR2'!$G71</f>
        <v>1200.806661656123</v>
      </c>
      <c r="E75" s="1216">
        <f t="shared" si="3"/>
        <v>11410065</v>
      </c>
    </row>
    <row r="76" spans="1:5" x14ac:dyDescent="0.25">
      <c r="A76" s="868"/>
      <c r="B76" s="864" t="str">
        <f>'5.2 Budgeted Enrollment YR2'!E72</f>
        <v>Nevada Prep</v>
      </c>
      <c r="C76" s="933">
        <f t="shared" si="2"/>
        <v>9502</v>
      </c>
      <c r="D76" s="1104">
        <f>'5.2 Budgeted Enrollment YR2'!$G72</f>
        <v>305.23837009503319</v>
      </c>
      <c r="E76" s="1216">
        <f t="shared" si="3"/>
        <v>2900375</v>
      </c>
    </row>
    <row r="77" spans="1:5" x14ac:dyDescent="0.25">
      <c r="A77" s="868"/>
      <c r="B77" s="864" t="str">
        <f>'5.2 Budgeted Enrollment YR2'!E73</f>
        <v xml:space="preserve">Nevada Rise </v>
      </c>
      <c r="C77" s="933">
        <f t="shared" si="2"/>
        <v>9502</v>
      </c>
      <c r="D77" s="1104">
        <f>'5.2 Budgeted Enrollment YR2'!$G73</f>
        <v>372.57548213135692</v>
      </c>
      <c r="E77" s="1216">
        <f t="shared" si="3"/>
        <v>3540212</v>
      </c>
    </row>
    <row r="78" spans="1:5" x14ac:dyDescent="0.25">
      <c r="A78" s="868"/>
      <c r="B78" s="864" t="str">
        <f>'5.2 Budgeted Enrollment YR2'!E74</f>
        <v>Nevada State High School</v>
      </c>
      <c r="C78" s="933">
        <f t="shared" si="2"/>
        <v>9502</v>
      </c>
      <c r="D78" s="1104">
        <f>'5.2 Budgeted Enrollment YR2'!$G74</f>
        <v>913.27248049484274</v>
      </c>
      <c r="E78" s="1216">
        <f t="shared" si="3"/>
        <v>8677915</v>
      </c>
    </row>
    <row r="79" spans="1:5" x14ac:dyDescent="0.25">
      <c r="A79" s="868"/>
      <c r="B79" s="864" t="str">
        <f>'5.2 Budgeted Enrollment YR2'!E75</f>
        <v>Nevada State High School-Meadowwood</v>
      </c>
      <c r="C79" s="933">
        <f t="shared" si="2"/>
        <v>9502</v>
      </c>
      <c r="D79" s="1104">
        <f>'5.2 Budgeted Enrollment YR2'!$G75</f>
        <v>30.196612917803087</v>
      </c>
      <c r="E79" s="1216">
        <f t="shared" si="3"/>
        <v>286928</v>
      </c>
    </row>
    <row r="80" spans="1:5" x14ac:dyDescent="0.25">
      <c r="A80" s="868"/>
      <c r="B80" s="864" t="str">
        <f>'5.2 Budgeted Enrollment YR2'!E76</f>
        <v>Nevada Virtual Academy</v>
      </c>
      <c r="C80" s="933">
        <f t="shared" si="2"/>
        <v>9502</v>
      </c>
      <c r="D80" s="1104">
        <f>'5.2 Budgeted Enrollment YR2'!$G76</f>
        <v>1819.9707035088049</v>
      </c>
      <c r="E80" s="1216">
        <f t="shared" si="3"/>
        <v>17293362</v>
      </c>
    </row>
    <row r="81" spans="1:6" x14ac:dyDescent="0.25">
      <c r="A81" s="868"/>
      <c r="B81" s="864" t="str">
        <f>'5.2 Budgeted Enrollment YR2'!E77</f>
        <v>Oasis Academy</v>
      </c>
      <c r="C81" s="933">
        <f t="shared" si="2"/>
        <v>9502</v>
      </c>
      <c r="D81" s="1104">
        <f>'5.2 Budgeted Enrollment YR2'!$G77</f>
        <v>785.63660329576021</v>
      </c>
      <c r="E81" s="1216">
        <f t="shared" si="3"/>
        <v>7465119</v>
      </c>
    </row>
    <row r="82" spans="1:6" x14ac:dyDescent="0.25">
      <c r="A82" s="868"/>
      <c r="B82" s="864" t="str">
        <f>'5.2 Budgeted Enrollment YR2'!E78</f>
        <v>Odyssey Charter Schools</v>
      </c>
      <c r="C82" s="933">
        <f t="shared" si="2"/>
        <v>9502</v>
      </c>
      <c r="D82" s="1104">
        <f>'5.2 Budgeted Enrollment YR2'!$G78</f>
        <v>2400.7898726641642</v>
      </c>
      <c r="E82" s="1216">
        <f t="shared" si="3"/>
        <v>22812305</v>
      </c>
    </row>
    <row r="83" spans="1:6" x14ac:dyDescent="0.25">
      <c r="A83" s="868"/>
      <c r="B83" s="864" t="str">
        <f>'5.2 Budgeted Enrollment YR2'!E79</f>
        <v>Pinecrest Academy of Northern Nevada</v>
      </c>
      <c r="C83" s="933">
        <f t="shared" si="2"/>
        <v>9502</v>
      </c>
      <c r="D83" s="1104">
        <f>'5.2 Budgeted Enrollment YR2'!$G79</f>
        <v>1022.3920123229747</v>
      </c>
      <c r="E83" s="1216">
        <f t="shared" si="3"/>
        <v>9714769</v>
      </c>
    </row>
    <row r="84" spans="1:6" x14ac:dyDescent="0.25">
      <c r="A84" s="868"/>
      <c r="B84" s="864" t="str">
        <f>'5.2 Budgeted Enrollment YR2'!E80</f>
        <v>Pinecrest Academy of Nevada</v>
      </c>
      <c r="C84" s="933">
        <f t="shared" si="2"/>
        <v>9502</v>
      </c>
      <c r="D84" s="1104">
        <f>'5.2 Budgeted Enrollment YR2'!$G80</f>
        <v>8054.8515217779041</v>
      </c>
      <c r="E84" s="1216">
        <f t="shared" si="3"/>
        <v>76537199</v>
      </c>
    </row>
    <row r="85" spans="1:6" x14ac:dyDescent="0.25">
      <c r="A85" s="868"/>
      <c r="B85" s="864" t="str">
        <f>'5.2 Budgeted Enrollment YR2'!E81</f>
        <v>Pioneer Technical Arts Academy</v>
      </c>
      <c r="C85" s="933">
        <f t="shared" si="2"/>
        <v>9502</v>
      </c>
      <c r="D85" s="1104">
        <f>'5.2 Budgeted Enrollment YR2'!$G81</f>
        <v>263.87383610592974</v>
      </c>
      <c r="E85" s="1216">
        <f t="shared" si="3"/>
        <v>2507329</v>
      </c>
      <c r="F85" s="864" t="s">
        <v>370</v>
      </c>
    </row>
    <row r="86" spans="1:6" x14ac:dyDescent="0.25">
      <c r="A86" s="868"/>
      <c r="B86" s="864" t="str">
        <f>'5.2 Budgeted Enrollment YR2'!E82</f>
        <v>Quest Academy</v>
      </c>
      <c r="C86" s="933">
        <f t="shared" si="2"/>
        <v>9502</v>
      </c>
      <c r="D86" s="1104">
        <f>'5.2 Budgeted Enrollment YR2'!$G82</f>
        <v>455.57355767788971</v>
      </c>
      <c r="E86" s="1216">
        <f t="shared" si="3"/>
        <v>4328860</v>
      </c>
    </row>
    <row r="87" spans="1:6" x14ac:dyDescent="0.25">
      <c r="A87" s="868"/>
      <c r="B87" s="864" t="str">
        <f>'5.2 Budgeted Enrollment YR2'!E83</f>
        <v>Rainbow Dreams Academy</v>
      </c>
      <c r="C87" s="933">
        <f t="shared" si="2"/>
        <v>9502</v>
      </c>
      <c r="D87" s="1104">
        <f>'5.2 Budgeted Enrollment YR2'!$G83</f>
        <v>63.383111480510713</v>
      </c>
      <c r="E87" s="1216">
        <f t="shared" si="3"/>
        <v>602266</v>
      </c>
    </row>
    <row r="88" spans="1:6" x14ac:dyDescent="0.25">
      <c r="A88" s="868"/>
      <c r="B88" s="864" t="str">
        <f>'5.2 Budgeted Enrollment YR2'!E84</f>
        <v>Rooted Charter School</v>
      </c>
      <c r="C88" s="933">
        <f t="shared" si="2"/>
        <v>9502</v>
      </c>
      <c r="D88" s="1104">
        <f>'5.2 Budgeted Enrollment YR2'!$G84</f>
        <v>23.615168211814723</v>
      </c>
      <c r="E88" s="1216">
        <f t="shared" si="3"/>
        <v>224391</v>
      </c>
    </row>
    <row r="89" spans="1:6" x14ac:dyDescent="0.25">
      <c r="A89" s="868"/>
      <c r="B89" s="864" t="str">
        <f>'5.2 Budgeted Enrollment YR2'!E85</f>
        <v>Sage Collegiate Academy</v>
      </c>
      <c r="C89" s="933">
        <f t="shared" si="2"/>
        <v>9502</v>
      </c>
      <c r="D89" s="1104">
        <f>'5.2 Budgeted Enrollment YR2'!$G85</f>
        <v>236.13114718926738</v>
      </c>
      <c r="E89" s="1216">
        <f t="shared" si="3"/>
        <v>2243718</v>
      </c>
    </row>
    <row r="90" spans="1:6" x14ac:dyDescent="0.25">
      <c r="A90" s="868"/>
      <c r="B90" s="864" t="str">
        <f>'5.2 Budgeted Enrollment YR2'!E86</f>
        <v>Sierra Nevada Academy Charter</v>
      </c>
      <c r="C90" s="933">
        <f t="shared" si="2"/>
        <v>9502</v>
      </c>
      <c r="D90" s="1104">
        <f>'5.2 Budgeted Enrollment YR2'!$G86</f>
        <v>265.07102245962432</v>
      </c>
      <c r="E90" s="1216">
        <f t="shared" si="3"/>
        <v>2518705</v>
      </c>
    </row>
    <row r="91" spans="1:6" x14ac:dyDescent="0.25">
      <c r="A91" s="868"/>
      <c r="B91" s="864" t="str">
        <f>'5.2 Budgeted Enrollment YR2'!E87</f>
        <v>Signature Preparatory</v>
      </c>
      <c r="C91" s="933">
        <f t="shared" si="2"/>
        <v>9502</v>
      </c>
      <c r="D91" s="1104">
        <f>'5.2 Budgeted Enrollment YR2'!$G87</f>
        <v>995.39371457820653</v>
      </c>
      <c r="E91" s="1216">
        <f t="shared" si="3"/>
        <v>9458231</v>
      </c>
    </row>
    <row r="92" spans="1:6" x14ac:dyDescent="0.25">
      <c r="A92" s="868"/>
      <c r="B92" s="864" t="str">
        <f>'5.2 Budgeted Enrollment YR2'!E88</f>
        <v>Silver Sands Montessori</v>
      </c>
      <c r="C92" s="933">
        <f t="shared" si="2"/>
        <v>9502</v>
      </c>
      <c r="D92" s="1104">
        <f>'5.2 Budgeted Enrollment YR2'!$G88</f>
        <v>239.7637761081109</v>
      </c>
      <c r="E92" s="1216">
        <f t="shared" si="3"/>
        <v>2278235</v>
      </c>
    </row>
    <row r="93" spans="1:6" x14ac:dyDescent="0.25">
      <c r="A93" s="868"/>
      <c r="B93" s="864" t="str">
        <f>'5.2 Budgeted Enrollment YR2'!E89</f>
        <v>Somerset Academy</v>
      </c>
      <c r="C93" s="933">
        <f t="shared" si="2"/>
        <v>9502</v>
      </c>
      <c r="D93" s="1104">
        <f>'5.2 Budgeted Enrollment YR2'!$G89</f>
        <v>9613.0429519265235</v>
      </c>
      <c r="E93" s="1216">
        <f t="shared" si="3"/>
        <v>91343134</v>
      </c>
    </row>
    <row r="94" spans="1:6" x14ac:dyDescent="0.25">
      <c r="A94" s="868"/>
      <c r="B94" s="864" t="str">
        <f>'5.2 Budgeted Enrollment YR2'!E90</f>
        <v>Southern Nevada Trade High School</v>
      </c>
      <c r="C94" s="933">
        <f t="shared" si="2"/>
        <v>9502</v>
      </c>
      <c r="D94" s="1104">
        <f>'5.2 Budgeted Enrollment YR2'!$G90</f>
        <v>81.083193428487846</v>
      </c>
      <c r="E94" s="1216">
        <f t="shared" si="3"/>
        <v>770453</v>
      </c>
    </row>
    <row r="95" spans="1:6" x14ac:dyDescent="0.25">
      <c r="A95" s="868"/>
      <c r="B95" s="864" t="str">
        <f>'5.2 Budgeted Enrollment YR2'!E91</f>
        <v>Sports Leadership and Management Academy</v>
      </c>
      <c r="C95" s="933">
        <f t="shared" si="2"/>
        <v>9502</v>
      </c>
      <c r="D95" s="1104">
        <f>'5.2 Budgeted Enrollment YR2'!$G91</f>
        <v>1868.7586142879702</v>
      </c>
      <c r="E95" s="1216">
        <f t="shared" si="3"/>
        <v>17756944</v>
      </c>
    </row>
    <row r="96" spans="1:6" x14ac:dyDescent="0.25">
      <c r="A96" s="868"/>
      <c r="B96" s="864" t="str">
        <f>'5.2 Budgeted Enrollment YR2'!E92</f>
        <v>Strong Start Academy</v>
      </c>
      <c r="C96" s="933">
        <f t="shared" si="2"/>
        <v>9502</v>
      </c>
      <c r="D96" s="1104">
        <f>'5.2 Budgeted Enrollment YR2'!$G92</f>
        <v>147.52292907276259</v>
      </c>
      <c r="E96" s="1216">
        <f t="shared" si="3"/>
        <v>1401763</v>
      </c>
    </row>
    <row r="97" spans="1:6" x14ac:dyDescent="0.25">
      <c r="A97" s="868"/>
      <c r="B97" s="864" t="str">
        <f>'5.2 Budgeted Enrollment YR2'!E93</f>
        <v>ThrivePoint</v>
      </c>
      <c r="C97" s="933">
        <f>$C$8</f>
        <v>9502</v>
      </c>
      <c r="D97" s="1104">
        <f>'5.2 Budgeted Enrollment YR2'!$G93</f>
        <v>152.98522015479972</v>
      </c>
      <c r="E97" s="1216">
        <f t="shared" si="3"/>
        <v>1453666</v>
      </c>
      <c r="F97" s="864" t="s">
        <v>370</v>
      </c>
    </row>
    <row r="98" spans="1:6" x14ac:dyDescent="0.25">
      <c r="A98" s="868"/>
      <c r="B98" s="864" t="str">
        <f>'5.2 Budgeted Enrollment YR2'!E94</f>
        <v>Vegas Vista Academy</v>
      </c>
      <c r="C98" s="933">
        <f>$C$8</f>
        <v>9502</v>
      </c>
      <c r="D98" s="1104">
        <f>'5.2 Budgeted Enrollment YR2'!$G94</f>
        <v>104.72813728717834</v>
      </c>
      <c r="E98" s="1216">
        <f t="shared" si="3"/>
        <v>995127</v>
      </c>
      <c r="F98" s="864" t="s">
        <v>370</v>
      </c>
    </row>
    <row r="99" spans="1:6" x14ac:dyDescent="0.25">
      <c r="A99" s="870"/>
      <c r="B99" s="874" t="str">
        <f>'5.2 Budgeted Enrollment YR2'!E95</f>
        <v>Young Women's Leadership Academy</v>
      </c>
      <c r="C99" s="1217">
        <f>$C$8</f>
        <v>9502</v>
      </c>
      <c r="D99" s="1218">
        <f>'5.2 Budgeted Enrollment YR2'!$G95</f>
        <v>118.86232883517145</v>
      </c>
      <c r="E99" s="1219">
        <f t="shared" si="3"/>
        <v>1129430</v>
      </c>
    </row>
    <row r="100" spans="1:6" s="863" customFormat="1" x14ac:dyDescent="0.25">
      <c r="A100" s="1349"/>
      <c r="B100" s="1353" t="s">
        <v>1387</v>
      </c>
      <c r="C100" s="1350">
        <f t="shared" ref="C100:C105" si="4">$C$8</f>
        <v>9502</v>
      </c>
      <c r="D100" s="1221">
        <f>SUM(D38:D99)</f>
        <v>72301.606666666703</v>
      </c>
      <c r="E100" s="1233">
        <f>SUM(E38:E99)</f>
        <v>687009868</v>
      </c>
    </row>
    <row r="101" spans="1:6" x14ac:dyDescent="0.25">
      <c r="C101" s="933"/>
      <c r="E101" s="933"/>
    </row>
    <row r="102" spans="1:6" x14ac:dyDescent="0.25">
      <c r="A102" s="863" t="str">
        <f>B32</f>
        <v>University Schools</v>
      </c>
      <c r="C102" s="933"/>
      <c r="E102" s="933"/>
    </row>
    <row r="103" spans="1:6" x14ac:dyDescent="0.25">
      <c r="A103" s="966"/>
      <c r="B103" s="877" t="str">
        <f>'5.2 Budgeted Enrollment YR2'!E100</f>
        <v>Davidson Academy</v>
      </c>
      <c r="C103" s="1213">
        <f>$C$8</f>
        <v>9502</v>
      </c>
      <c r="D103" s="1229">
        <f>'5.2 Budgeted Enrollment YR2'!G100</f>
        <v>167.88437423074134</v>
      </c>
      <c r="E103" s="1230">
        <f>ROUND(D103*C103,0)</f>
        <v>1595237</v>
      </c>
    </row>
    <row r="104" spans="1:6" x14ac:dyDescent="0.25">
      <c r="A104" s="878"/>
      <c r="B104" s="874" t="str">
        <f>'5.2 Budgeted Enrollment YR2'!E101</f>
        <v>TBD</v>
      </c>
      <c r="C104" s="1217">
        <f t="shared" si="4"/>
        <v>9502</v>
      </c>
      <c r="D104" s="1231">
        <f>'5.2 Budgeted Enrollment YR2'!G101</f>
        <v>0</v>
      </c>
      <c r="E104" s="1232">
        <f>ROUND(D104*C104,0)</f>
        <v>0</v>
      </c>
    </row>
    <row r="105" spans="1:6" x14ac:dyDescent="0.25">
      <c r="A105" s="1349"/>
      <c r="B105" s="1353" t="s">
        <v>1387</v>
      </c>
      <c r="C105" s="1350">
        <f t="shared" si="4"/>
        <v>9502</v>
      </c>
      <c r="D105" s="1351">
        <f>SUM(D103:D104)</f>
        <v>167.88437423074134</v>
      </c>
      <c r="E105" s="1232">
        <f>SUM(E103:E104)</f>
        <v>1595237</v>
      </c>
    </row>
    <row r="106" spans="1:6" x14ac:dyDescent="0.25">
      <c r="A106" s="863"/>
      <c r="E106" s="933"/>
    </row>
    <row r="107" spans="1:6" x14ac:dyDescent="0.25">
      <c r="A107" s="863" t="str">
        <f>B33</f>
        <v>City of Henderson</v>
      </c>
      <c r="C107" s="933"/>
      <c r="E107" s="933"/>
    </row>
    <row r="108" spans="1:6" x14ac:dyDescent="0.25">
      <c r="A108" s="966"/>
      <c r="B108" s="877" t="str">
        <f>'5.2 Budgeted Enrollment YR2'!E107</f>
        <v>TBD</v>
      </c>
      <c r="C108" s="1213">
        <f t="shared" ref="C108:C115" si="5">$C$8</f>
        <v>9502</v>
      </c>
      <c r="D108" s="1229">
        <f>'5.2 Budgeted Enrollment YR2'!G107</f>
        <v>0</v>
      </c>
      <c r="E108" s="1230">
        <f>ROUND(D108*C108,0)</f>
        <v>0</v>
      </c>
    </row>
    <row r="109" spans="1:6" x14ac:dyDescent="0.25">
      <c r="A109" s="878"/>
      <c r="B109" s="874" t="str">
        <f>'5.2 Budgeted Enrollment YR2'!E108</f>
        <v>TBD</v>
      </c>
      <c r="C109" s="1217">
        <f t="shared" si="5"/>
        <v>9502</v>
      </c>
      <c r="D109" s="1231">
        <f>'5.2 Budgeted Enrollment YR2'!G108</f>
        <v>0</v>
      </c>
      <c r="E109" s="1232">
        <f>ROUND(D109*C109,0)</f>
        <v>0</v>
      </c>
    </row>
    <row r="110" spans="1:6" x14ac:dyDescent="0.25">
      <c r="A110" s="1349"/>
      <c r="B110" s="1353" t="s">
        <v>1387</v>
      </c>
      <c r="C110" s="1350">
        <f t="shared" si="5"/>
        <v>9502</v>
      </c>
      <c r="D110" s="1351">
        <f>SUM(D108:D109)</f>
        <v>0</v>
      </c>
      <c r="E110" s="1232">
        <f>SUM(E108:E109)</f>
        <v>0</v>
      </c>
    </row>
    <row r="111" spans="1:6" x14ac:dyDescent="0.25">
      <c r="A111" s="863"/>
      <c r="C111" s="933"/>
      <c r="D111" s="1235"/>
      <c r="E111" s="953"/>
    </row>
    <row r="112" spans="1:6" x14ac:dyDescent="0.25">
      <c r="A112" s="863" t="str">
        <f>B34</f>
        <v>City of North Las Vegas</v>
      </c>
      <c r="C112" s="933"/>
      <c r="E112" s="933"/>
    </row>
    <row r="113" spans="1:5" x14ac:dyDescent="0.25">
      <c r="A113" s="876"/>
      <c r="B113" s="877" t="str">
        <f>'5.2 Budgeted Enrollment YR2'!E113</f>
        <v>TBD</v>
      </c>
      <c r="C113" s="1213">
        <f t="shared" si="5"/>
        <v>9502</v>
      </c>
      <c r="D113" s="1229">
        <f>'5.2 Budgeted Enrollment YR2'!G113</f>
        <v>0</v>
      </c>
      <c r="E113" s="1230">
        <f>ROUND(D113*C113,0)</f>
        <v>0</v>
      </c>
    </row>
    <row r="114" spans="1:5" x14ac:dyDescent="0.25">
      <c r="A114" s="870"/>
      <c r="B114" s="874" t="str">
        <f>'5.2 Budgeted Enrollment YR2'!E114</f>
        <v>TBD</v>
      </c>
      <c r="C114" s="1217">
        <f t="shared" si="5"/>
        <v>9502</v>
      </c>
      <c r="D114" s="1231">
        <f>'5.2 Budgeted Enrollment YR2'!G114</f>
        <v>0</v>
      </c>
      <c r="E114" s="1232">
        <f>ROUND(D114*C114,0)</f>
        <v>0</v>
      </c>
    </row>
    <row r="115" spans="1:5" x14ac:dyDescent="0.25">
      <c r="A115" s="1352"/>
      <c r="B115" s="1353" t="s">
        <v>1387</v>
      </c>
      <c r="C115" s="1350">
        <f t="shared" si="5"/>
        <v>9502</v>
      </c>
      <c r="D115" s="1351">
        <f>SUM(D113:D114)</f>
        <v>0</v>
      </c>
      <c r="E115" s="1232">
        <f>SUM(E113:E114)</f>
        <v>0</v>
      </c>
    </row>
    <row r="116" spans="1:5" x14ac:dyDescent="0.25">
      <c r="E116" s="933"/>
    </row>
    <row r="117" spans="1:5" x14ac:dyDescent="0.25">
      <c r="E117" s="949"/>
    </row>
    <row r="118" spans="1:5" x14ac:dyDescent="0.25">
      <c r="E118" s="949"/>
    </row>
    <row r="119" spans="1:5" x14ac:dyDescent="0.25">
      <c r="E119" s="949"/>
    </row>
    <row r="120" spans="1:5" x14ac:dyDescent="0.25">
      <c r="E120" s="949"/>
    </row>
    <row r="121" spans="1:5" x14ac:dyDescent="0.25">
      <c r="E121" s="949"/>
    </row>
    <row r="122" spans="1:5" x14ac:dyDescent="0.25">
      <c r="E122" s="949"/>
    </row>
    <row r="123" spans="1:5" x14ac:dyDescent="0.25">
      <c r="E123" s="949"/>
    </row>
    <row r="124" spans="1:5" x14ac:dyDescent="0.25">
      <c r="E124" s="949"/>
    </row>
  </sheetData>
  <pageMargins left="0.7" right="0.7" top="0.75" bottom="0.75" header="0.3" footer="0.3"/>
  <pageSetup paperSize="3" fitToHeight="0" orientation="landscape" r:id="rId1"/>
  <headerFooter>
    <oddHeader>&amp;R&amp;"Arial Narrow,Regular"&amp;10&amp;A
&amp;P</oddHeader>
  </headerFooter>
  <rowBreaks count="1" manualBreakCount="1">
    <brk id="65"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9F204-D31D-406F-B8B4-B60E3E9C464D}">
  <sheetPr>
    <tabColor theme="7" tint="0.39997558519241921"/>
  </sheetPr>
  <dimension ref="A1:F6"/>
  <sheetViews>
    <sheetView workbookViewId="0"/>
  </sheetViews>
  <sheetFormatPr defaultColWidth="8.7109375" defaultRowHeight="16.5" x14ac:dyDescent="0.3"/>
  <cols>
    <col min="1" max="1" width="3.5703125" style="9" customWidth="1"/>
    <col min="2" max="2" width="92.42578125" style="9" customWidth="1"/>
    <col min="3" max="3" width="1.7109375" style="9" customWidth="1"/>
    <col min="4" max="4" width="28.7109375" style="9" customWidth="1"/>
    <col min="5" max="5" width="2" style="9" customWidth="1"/>
    <col min="6" max="6" width="35.5703125" style="9" customWidth="1"/>
    <col min="7" max="16384" width="8.7109375" style="9"/>
  </cols>
  <sheetData>
    <row r="1" spans="1:6" s="4" customFormat="1" x14ac:dyDescent="0.3">
      <c r="A1" s="4" t="s">
        <v>15</v>
      </c>
    </row>
    <row r="2" spans="1:6" x14ac:dyDescent="0.3">
      <c r="A2" s="9" t="str">
        <f>CONCATENATE("Pupil Center Funding Model | FY",'1.1 Assumption Control YR1'!D5)</f>
        <v>Pupil Center Funding Model | FY2026</v>
      </c>
    </row>
    <row r="3" spans="1:6" x14ac:dyDescent="0.3">
      <c r="A3" s="9" t="s">
        <v>100</v>
      </c>
    </row>
    <row r="5" spans="1:6" x14ac:dyDescent="0.3">
      <c r="A5" s="4" t="s">
        <v>73</v>
      </c>
      <c r="D5" s="4" t="s">
        <v>101</v>
      </c>
      <c r="F5" s="4" t="s">
        <v>75</v>
      </c>
    </row>
    <row r="6" spans="1:6" s="11" customFormat="1" ht="66" x14ac:dyDescent="0.25">
      <c r="A6" s="67" t="s">
        <v>76</v>
      </c>
      <c r="B6" s="11" t="s">
        <v>102</v>
      </c>
      <c r="D6" s="2094" t="s">
        <v>103</v>
      </c>
      <c r="F6" s="11" t="s">
        <v>78</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77C3B-94EF-47EE-BF3C-AEEA3BE73484}">
  <sheetPr>
    <tabColor theme="6" tint="-0.249977111117893"/>
    <pageSetUpPr fitToPage="1"/>
  </sheetPr>
  <dimension ref="A1:I204"/>
  <sheetViews>
    <sheetView topLeftCell="A22" workbookViewId="0"/>
  </sheetViews>
  <sheetFormatPr defaultColWidth="8.7109375" defaultRowHeight="16.5" x14ac:dyDescent="0.3"/>
  <cols>
    <col min="1" max="1" width="19.7109375" style="9" customWidth="1"/>
    <col min="2" max="2" width="24.5703125" style="9" bestFit="1" customWidth="1"/>
    <col min="3" max="3" width="28.7109375" style="9" bestFit="1" customWidth="1"/>
    <col min="4" max="4" width="35.7109375" style="9" bestFit="1" customWidth="1"/>
    <col min="5" max="5" width="20" style="9" customWidth="1"/>
    <col min="6" max="6" width="19" style="9" customWidth="1"/>
    <col min="7" max="7" width="17.7109375" style="9" customWidth="1"/>
    <col min="8" max="8" width="10.5703125" style="9" bestFit="1" customWidth="1"/>
    <col min="9" max="9" width="12.42578125" style="9" bestFit="1" customWidth="1"/>
    <col min="10" max="16384" width="8.7109375" style="9"/>
  </cols>
  <sheetData>
    <row r="1" spans="1:9" s="4" customFormat="1" x14ac:dyDescent="0.3">
      <c r="A1" s="4" t="s">
        <v>15</v>
      </c>
    </row>
    <row r="2" spans="1:9" x14ac:dyDescent="0.3">
      <c r="A2" s="9" t="str">
        <f>CONCATENATE("Pupil Center Funding Plan | FY",'5.1 Assumption Control YR2'!D5)</f>
        <v>Pupil Center Funding Plan | FY2027</v>
      </c>
    </row>
    <row r="3" spans="1:9" x14ac:dyDescent="0.3">
      <c r="A3" s="9" t="s">
        <v>1760</v>
      </c>
    </row>
    <row r="4" spans="1:9" x14ac:dyDescent="0.3">
      <c r="A4" s="75"/>
    </row>
    <row r="5" spans="1:9" x14ac:dyDescent="0.3">
      <c r="A5" s="4" t="s">
        <v>1400</v>
      </c>
    </row>
    <row r="6" spans="1:9" s="76" customFormat="1" ht="33.75" thickBot="1" x14ac:dyDescent="0.35">
      <c r="A6" s="80" t="s">
        <v>1401</v>
      </c>
      <c r="B6" s="80" t="s">
        <v>1402</v>
      </c>
      <c r="C6" s="80" t="s">
        <v>1403</v>
      </c>
      <c r="D6" s="80" t="s">
        <v>1404</v>
      </c>
      <c r="E6" s="81" t="s">
        <v>1405</v>
      </c>
    </row>
    <row r="7" spans="1:9" ht="18" thickTop="1" thickBot="1" x14ac:dyDescent="0.35">
      <c r="A7" s="66">
        <v>0</v>
      </c>
      <c r="B7" s="66">
        <v>17</v>
      </c>
      <c r="C7" s="68">
        <f>25.003</f>
        <v>25.003</v>
      </c>
      <c r="D7" s="70">
        <v>-0.79100000000000004</v>
      </c>
      <c r="E7" s="34" t="s">
        <v>1406</v>
      </c>
    </row>
    <row r="8" spans="1:9" ht="18" thickTop="1" thickBot="1" x14ac:dyDescent="0.35">
      <c r="A8" s="66">
        <v>18</v>
      </c>
      <c r="B8" s="66">
        <v>3899</v>
      </c>
      <c r="C8" s="69">
        <v>3.4</v>
      </c>
      <c r="D8" s="70">
        <f>-0.281</f>
        <v>-0.28100000000000003</v>
      </c>
      <c r="E8" s="34" t="s">
        <v>1407</v>
      </c>
      <c r="G8" s="71"/>
    </row>
    <row r="9" spans="1:9" ht="18" thickTop="1" thickBot="1" x14ac:dyDescent="0.35">
      <c r="A9" s="66">
        <v>3900</v>
      </c>
      <c r="B9" s="66">
        <v>1000000</v>
      </c>
      <c r="C9" s="69">
        <f>1.0868</f>
        <v>1.0868</v>
      </c>
      <c r="D9" s="70">
        <f>(-0.000001735)</f>
        <v>-1.7349999999999999E-6</v>
      </c>
      <c r="E9" s="34" t="s">
        <v>1408</v>
      </c>
      <c r="G9" s="71"/>
    </row>
    <row r="10" spans="1:9" ht="18" thickTop="1" thickBot="1" x14ac:dyDescent="0.35">
      <c r="E10" s="35"/>
    </row>
    <row r="11" spans="1:9" ht="18" thickTop="1" thickBot="1" x14ac:dyDescent="0.35">
      <c r="D11" s="77" t="str">
        <f>'5.1 Assumption Control YR2'!A21</f>
        <v>Statewide Base Funding including Inflation for | FY2027</v>
      </c>
      <c r="E11" s="358">
        <f>'5.1 Assumption Control YR2'!D28</f>
        <v>9502</v>
      </c>
      <c r="F11" t="s">
        <v>1725</v>
      </c>
    </row>
    <row r="12" spans="1:9" ht="17.25" thickTop="1" x14ac:dyDescent="0.3">
      <c r="E12" s="35"/>
      <c r="F12" s="17"/>
    </row>
    <row r="13" spans="1:9" s="76" customFormat="1" ht="34.5" customHeight="1" thickBot="1" x14ac:dyDescent="0.35">
      <c r="A13" s="2051" t="s">
        <v>1409</v>
      </c>
      <c r="B13" s="2051" t="s">
        <v>256</v>
      </c>
      <c r="C13" s="2052" t="str">
        <f>'2.4 District Size Adj. YR1'!C13</f>
        <v>Enrollment by  Attendance Area less Distant Education Students</v>
      </c>
      <c r="D13" s="2052" t="s">
        <v>1411</v>
      </c>
      <c r="E13" s="2052" t="s">
        <v>1412</v>
      </c>
      <c r="F13" s="2052" t="s">
        <v>1413</v>
      </c>
      <c r="G13" s="2052" t="s">
        <v>1414</v>
      </c>
    </row>
    <row r="14" spans="1:9" s="120" customFormat="1" ht="17.25" thickBot="1" x14ac:dyDescent="0.3">
      <c r="A14" s="2053"/>
      <c r="B14" s="216" t="s">
        <v>1346</v>
      </c>
      <c r="C14" s="2054" t="s">
        <v>1733</v>
      </c>
      <c r="D14" s="2055" t="s">
        <v>1415</v>
      </c>
      <c r="E14" s="2055" t="s">
        <v>1416</v>
      </c>
      <c r="F14" s="2056" t="s">
        <v>1417</v>
      </c>
      <c r="G14" s="2056" t="s">
        <v>1418</v>
      </c>
    </row>
    <row r="15" spans="1:9" s="120" customFormat="1" ht="10.5" customHeight="1" x14ac:dyDescent="0.25">
      <c r="A15" s="121"/>
      <c r="B15" s="122"/>
      <c r="C15" s="123"/>
      <c r="D15" s="124"/>
      <c r="E15" s="124"/>
      <c r="F15" s="125"/>
      <c r="G15" s="125"/>
    </row>
    <row r="16" spans="1:9" s="4" customFormat="1" x14ac:dyDescent="0.3">
      <c r="A16" s="4" t="s">
        <v>270</v>
      </c>
      <c r="B16" s="313" t="s">
        <v>270</v>
      </c>
      <c r="C16" s="412">
        <f>SUMIF('5.2 Budgeted Enrollment YR2'!$D$119:$D$753,$B16,'5.2 Budgeted Enrollment YR2'!$G$119:$G$753)</f>
        <v>6970.4860982512937</v>
      </c>
      <c r="D16" s="412">
        <f>IF(C16=0,0,(IF($C$9+($D$9*$C16)&lt;1,1,IF($C16&lt;=$B$7,$C$7*($C16^$D$7),IF($C16&lt;=$B$8,$C$8+($D$8*LN($C16)),$C$9+($C16*$D$9))))*C16-C16))</f>
        <v>520.73857469455106</v>
      </c>
      <c r="E16" s="37">
        <f>E11</f>
        <v>9502</v>
      </c>
      <c r="F16" s="372">
        <f>ROUND(D16*E16,0)</f>
        <v>4948058</v>
      </c>
      <c r="G16" s="372">
        <f>F16/C16</f>
        <v>709.85838437312623</v>
      </c>
      <c r="H16" s="73"/>
      <c r="I16" s="74"/>
    </row>
    <row r="17" spans="1:9" x14ac:dyDescent="0.3">
      <c r="C17" s="71"/>
      <c r="D17" s="71"/>
      <c r="F17" s="10"/>
      <c r="G17" s="10"/>
      <c r="H17" s="35"/>
      <c r="I17" s="74"/>
    </row>
    <row r="18" spans="1:9" s="4" customFormat="1" x14ac:dyDescent="0.3">
      <c r="A18" s="4" t="s">
        <v>271</v>
      </c>
      <c r="B18" s="313" t="s">
        <v>272</v>
      </c>
      <c r="C18" s="412">
        <f>SUMIF('5.2 Budgeted Enrollment YR2'!$D$119:$D$753,$B18,'5.2 Budgeted Enrollment YR2'!$G$119:$G$753)</f>
        <v>3074.1458778318033</v>
      </c>
      <c r="D18" s="412">
        <f>IF(C18=0,0,(IF($C$9+($D$9*$C18)&lt;1,1,IF($C18&lt;=$B$7,$C$7*($C18^$D$7),IF($C18&lt;=$B$8,$C$8+($D$8*LN($C18)),$C$9+($C18*$D$9))))*C18-C18))</f>
        <v>440.67927788440966</v>
      </c>
      <c r="E18" s="37">
        <f>E11</f>
        <v>9502</v>
      </c>
      <c r="F18" s="372">
        <f>ROUND(D18*E18,0)</f>
        <v>4187334</v>
      </c>
      <c r="G18" s="372">
        <f>F18/C18</f>
        <v>1362.1129791515714</v>
      </c>
      <c r="H18" s="73"/>
      <c r="I18" s="74"/>
    </row>
    <row r="19" spans="1:9" x14ac:dyDescent="0.3">
      <c r="C19" s="71"/>
      <c r="D19" s="71"/>
      <c r="F19" s="10"/>
      <c r="G19" s="10"/>
      <c r="H19" s="35"/>
      <c r="I19" s="74"/>
    </row>
    <row r="20" spans="1:9" x14ac:dyDescent="0.3">
      <c r="A20" s="4" t="s">
        <v>273</v>
      </c>
      <c r="B20" s="309" t="s">
        <v>274</v>
      </c>
      <c r="C20" s="567">
        <f>SUMIF('5.2 Budgeted Enrollment YR2'!$D$119:$D$753,$B20,'5.2 Budgeted Enrollment YR2'!$G$119:$G$753)</f>
        <v>38.612530926119462</v>
      </c>
      <c r="D20" s="396">
        <f>IF(C20=0,0,(IF($C$9+($D$9*$C20)&lt;1,1,IF($C20&lt;=$B$7,$C$7*($C20^$D$7),IF($C20&lt;=$B$8,$C$8+($D$8*LN($C20)),$C$9+($C20*$D$9))))*C20-C20))</f>
        <v>53.028322522730875</v>
      </c>
      <c r="E20" s="29">
        <f>$E$11</f>
        <v>9502</v>
      </c>
      <c r="F20" s="368">
        <f t="shared" ref="F20:F30" si="0">ROUND(D20*E20,0)</f>
        <v>503875</v>
      </c>
      <c r="G20" s="368">
        <f t="shared" ref="G20:G31" si="1">F20/C20</f>
        <v>13049.520140601649</v>
      </c>
      <c r="H20" s="35"/>
      <c r="I20" s="74"/>
    </row>
    <row r="21" spans="1:9" x14ac:dyDescent="0.3">
      <c r="B21" s="309" t="s">
        <v>276</v>
      </c>
      <c r="C21" s="567">
        <f>SUMIF('5.2 Budgeted Enrollment YR2'!$D$119:$D$753,$B21,'5.2 Budgeted Enrollment YR2'!$G$119:$G$753)</f>
        <v>1749.5159318419542</v>
      </c>
      <c r="D21" s="396">
        <f t="shared" ref="D21:D30" si="2">IF(C21=0,0,(IF($C$9+($D$9*$C21)&lt;1,1,IF($C21&lt;=$B$7,$C$7*($C21^$D$7),IF($C21&lt;=$B$8,$C$8+($D$8*LN($C21)),$C$9+($C21*$D$9))))*C21-C21))</f>
        <v>527.91025395469205</v>
      </c>
      <c r="E21" s="29">
        <f t="shared" ref="E21:E30" si="3">$E$11</f>
        <v>9502</v>
      </c>
      <c r="F21" s="368">
        <f t="shared" si="0"/>
        <v>5016203</v>
      </c>
      <c r="G21" s="368">
        <f t="shared" si="1"/>
        <v>2867.194810120282</v>
      </c>
      <c r="H21" s="35"/>
      <c r="I21" s="74"/>
    </row>
    <row r="22" spans="1:9" x14ac:dyDescent="0.3">
      <c r="B22" s="309" t="s">
        <v>278</v>
      </c>
      <c r="C22" s="567">
        <f>SUMIF('5.2 Budgeted Enrollment YR2'!$D$119:$D$753,$B22,'5.2 Budgeted Enrollment YR2'!$G$119:$G$753)</f>
        <v>2.9722674888122818</v>
      </c>
      <c r="D22" s="396">
        <f t="shared" si="2"/>
        <v>28.42323874045406</v>
      </c>
      <c r="E22" s="29">
        <f t="shared" si="3"/>
        <v>9502</v>
      </c>
      <c r="F22" s="368">
        <f t="shared" si="0"/>
        <v>270078</v>
      </c>
      <c r="G22" s="368">
        <f t="shared" si="1"/>
        <v>90865.980607930804</v>
      </c>
      <c r="H22" s="35"/>
      <c r="I22" s="74"/>
    </row>
    <row r="23" spans="1:9" x14ac:dyDescent="0.3">
      <c r="B23" s="309" t="s">
        <v>280</v>
      </c>
      <c r="C23" s="567">
        <f>SUMIF('5.2 Budgeted Enrollment YR2'!$D$119:$D$753,$B23,'5.2 Budgeted Enrollment YR2'!$G$119:$G$753)</f>
        <v>333.04689409557164</v>
      </c>
      <c r="D23" s="396">
        <f t="shared" si="2"/>
        <v>255.73751515327541</v>
      </c>
      <c r="E23" s="29">
        <f t="shared" si="3"/>
        <v>9502</v>
      </c>
      <c r="F23" s="368">
        <f t="shared" si="0"/>
        <v>2430018</v>
      </c>
      <c r="G23" s="368">
        <f t="shared" si="1"/>
        <v>7296.3238603350501</v>
      </c>
      <c r="H23" s="35"/>
      <c r="I23" s="74"/>
    </row>
    <row r="24" spans="1:9" x14ac:dyDescent="0.3">
      <c r="B24" s="309" t="s">
        <v>319</v>
      </c>
      <c r="C24" s="567">
        <f>SUMIF('5.2 Budgeted Enrollment YR2'!$D$119:$D$753,$B24,'5.2 Budgeted Enrollment YR2'!$G$119:$G$753)</f>
        <v>278807.7216877843</v>
      </c>
      <c r="D24" s="396">
        <f t="shared" si="2"/>
        <v>0</v>
      </c>
      <c r="E24" s="29">
        <f t="shared" si="3"/>
        <v>9502</v>
      </c>
      <c r="F24" s="368">
        <f t="shared" si="0"/>
        <v>0</v>
      </c>
      <c r="G24" s="368">
        <f t="shared" si="1"/>
        <v>0</v>
      </c>
      <c r="H24" s="72"/>
      <c r="I24" s="74"/>
    </row>
    <row r="25" spans="1:9" x14ac:dyDescent="0.3">
      <c r="B25" s="309" t="s">
        <v>284</v>
      </c>
      <c r="C25" s="567">
        <f>SUMIF('5.2 Budgeted Enrollment YR2'!$D$119:$D$753,$B25,'5.2 Budgeted Enrollment YR2'!$G$119:$G$753)</f>
        <v>628.93584569057998</v>
      </c>
      <c r="D25" s="396">
        <f t="shared" si="2"/>
        <v>370.58647128857342</v>
      </c>
      <c r="E25" s="29">
        <f t="shared" si="3"/>
        <v>9502</v>
      </c>
      <c r="F25" s="368">
        <f t="shared" si="0"/>
        <v>3521313</v>
      </c>
      <c r="G25" s="368">
        <f t="shared" si="1"/>
        <v>5598.8429092216093</v>
      </c>
      <c r="H25" s="35"/>
      <c r="I25" s="74"/>
    </row>
    <row r="26" spans="1:9" x14ac:dyDescent="0.3">
      <c r="B26" s="309" t="s">
        <v>286</v>
      </c>
      <c r="C26" s="567">
        <f>SUMIF('5.2 Budgeted Enrollment YR2'!$D$119:$D$753,$B26,'5.2 Budgeted Enrollment YR2'!$G$119:$G$753)</f>
        <v>1.016159552142015</v>
      </c>
      <c r="D26" s="396">
        <f t="shared" si="2"/>
        <v>24.07074969939843</v>
      </c>
      <c r="E26" s="29">
        <f t="shared" si="3"/>
        <v>9502</v>
      </c>
      <c r="F26" s="368">
        <f t="shared" si="0"/>
        <v>228720</v>
      </c>
      <c r="G26" s="368">
        <f t="shared" si="1"/>
        <v>225082.76334938675</v>
      </c>
      <c r="H26" s="35"/>
      <c r="I26" s="74"/>
    </row>
    <row r="27" spans="1:9" x14ac:dyDescent="0.3">
      <c r="B27" s="309" t="s">
        <v>288</v>
      </c>
      <c r="C27" s="567">
        <f>SUMIF('5.2 Budgeted Enrollment YR2'!$D$119:$D$753,$B27,'5.2 Budgeted Enrollment YR2'!$G$119:$G$753)</f>
        <v>2281.9234201812169</v>
      </c>
      <c r="D27" s="396">
        <f t="shared" si="2"/>
        <v>518.20316231686957</v>
      </c>
      <c r="E27" s="29">
        <f t="shared" si="3"/>
        <v>9502</v>
      </c>
      <c r="F27" s="368">
        <f t="shared" si="0"/>
        <v>4923966</v>
      </c>
      <c r="G27" s="368">
        <f t="shared" si="1"/>
        <v>2157.8138672195091</v>
      </c>
      <c r="H27" s="35"/>
      <c r="I27" s="74"/>
    </row>
    <row r="28" spans="1:9" x14ac:dyDescent="0.3">
      <c r="B28" s="309" t="s">
        <v>290</v>
      </c>
      <c r="C28" s="567">
        <f>SUMIF('5.2 Budgeted Enrollment YR2'!$D$119:$D$753,$B28,'5.2 Budgeted Enrollment YR2'!$G$119:$G$753)</f>
        <v>1730.6456283445993</v>
      </c>
      <c r="D28" s="396">
        <f t="shared" si="2"/>
        <v>527.49006170731059</v>
      </c>
      <c r="E28" s="29">
        <f t="shared" si="3"/>
        <v>9502</v>
      </c>
      <c r="F28" s="368">
        <f t="shared" si="0"/>
        <v>5012211</v>
      </c>
      <c r="G28" s="368">
        <f t="shared" si="1"/>
        <v>2896.1509611845204</v>
      </c>
      <c r="H28" s="35"/>
      <c r="I28" s="74"/>
    </row>
    <row r="29" spans="1:9" x14ac:dyDescent="0.3">
      <c r="B29" s="309" t="s">
        <v>292</v>
      </c>
      <c r="C29" s="567">
        <f>SUMIF('5.2 Budgeted Enrollment YR2'!$D$119:$D$753,$B29,'5.2 Budgeted Enrollment YR2'!$G$119:$G$753)</f>
        <v>293.92169869554857</v>
      </c>
      <c r="D29" s="396">
        <f t="shared" si="2"/>
        <v>236.01587161712951</v>
      </c>
      <c r="E29" s="29">
        <f t="shared" si="3"/>
        <v>9502</v>
      </c>
      <c r="F29" s="368">
        <f t="shared" si="0"/>
        <v>2242623</v>
      </c>
      <c r="G29" s="368">
        <f t="shared" si="1"/>
        <v>7630.001493435042</v>
      </c>
      <c r="H29" s="35"/>
      <c r="I29" s="74"/>
    </row>
    <row r="30" spans="1:9" x14ac:dyDescent="0.3">
      <c r="B30" s="529" t="s">
        <v>294</v>
      </c>
      <c r="C30" s="566">
        <f>SUMIF('5.2 Budgeted Enrollment YR2'!$D$119:$D$753,$B30,'5.2 Budgeted Enrollment YR2'!$G$119:$G$753)</f>
        <v>10.505686011797483</v>
      </c>
      <c r="D30" s="566">
        <f t="shared" si="2"/>
        <v>30.370448909616858</v>
      </c>
      <c r="E30" s="148">
        <f t="shared" si="3"/>
        <v>9502</v>
      </c>
      <c r="F30" s="391">
        <f t="shared" si="0"/>
        <v>288580</v>
      </c>
      <c r="G30" s="391">
        <f t="shared" si="1"/>
        <v>27468.934410940488</v>
      </c>
      <c r="H30" s="35"/>
      <c r="I30" s="74"/>
    </row>
    <row r="31" spans="1:9" s="4" customFormat="1" x14ac:dyDescent="0.3">
      <c r="B31" s="4" t="s">
        <v>1419</v>
      </c>
      <c r="C31" s="412">
        <f>SUM(C20:C30)</f>
        <v>285878.81775061274</v>
      </c>
      <c r="D31" s="412">
        <f>SUMPRODUCT(C20:C30,D20:D30)/C31</f>
        <v>11.924909920147428</v>
      </c>
      <c r="F31" s="371">
        <f>SUM(F20:F30)</f>
        <v>24437587</v>
      </c>
      <c r="G31" s="413">
        <f t="shared" si="1"/>
        <v>85.482328464497158</v>
      </c>
      <c r="H31" s="73"/>
      <c r="I31" s="74"/>
    </row>
    <row r="32" spans="1:9" x14ac:dyDescent="0.3">
      <c r="C32" s="71"/>
      <c r="D32" s="71"/>
      <c r="H32" s="35"/>
      <c r="I32" s="74"/>
    </row>
    <row r="33" spans="1:9" x14ac:dyDescent="0.3">
      <c r="A33" s="4" t="s">
        <v>275</v>
      </c>
      <c r="B33" s="309" t="s">
        <v>296</v>
      </c>
      <c r="C33" s="396">
        <f>SUMIF('5.2 Budgeted Enrollment YR2'!$D$119:$D$753,$B33,'5.2 Budgeted Enrollment YR2'!$G$119:$G$753)</f>
        <v>4496.0594697245606</v>
      </c>
      <c r="D33" s="396">
        <f>IF(C33=0,0,(IF($C$9+($D$9*$C33)&lt;1,1,IF($C33&lt;=$B$7,$C$7*($C33^$D$7),IF($C33&lt;=$B$8,$C$8+($D$8*LN($C33)),$C$9+($C33*$D$9))))*C33-C33))</f>
        <v>355.18571641164635</v>
      </c>
      <c r="E33" s="29">
        <f>$E$11</f>
        <v>9502</v>
      </c>
      <c r="F33" s="368">
        <f>ROUND(D33*E33,0)</f>
        <v>3374975</v>
      </c>
      <c r="G33" s="368">
        <f>F33/C33</f>
        <v>750.65177022819921</v>
      </c>
      <c r="H33" s="35"/>
      <c r="I33" s="74"/>
    </row>
    <row r="34" spans="1:9" x14ac:dyDescent="0.3">
      <c r="B34" s="309" t="s">
        <v>298</v>
      </c>
      <c r="C34" s="396">
        <f>SUMIF('5.2 Budgeted Enrollment YR2'!$D$119:$D$753,$B34,'5.2 Budgeted Enrollment YR2'!$G$119:$G$753)</f>
        <v>21.757778987325345</v>
      </c>
      <c r="D34" s="396">
        <f>IF(C34=0,0,(IF($C$9+($D$9*$C34)&lt;1,1,IF($C34&lt;=$B$7,$C$7*($C34^$D$7),IF($C34&lt;=$B$8,$C$8+($D$8*LN($C34)),$C$9+($C34*$D$9))))*C34-C34))</f>
        <v>33.387922187013871</v>
      </c>
      <c r="E34" s="29">
        <f>$E$11</f>
        <v>9502</v>
      </c>
      <c r="F34" s="368">
        <f>ROUND(D34*E34,0)</f>
        <v>317252</v>
      </c>
      <c r="G34" s="368">
        <f>F34/C34</f>
        <v>14581.083859010159</v>
      </c>
      <c r="H34" s="35"/>
      <c r="I34" s="74"/>
    </row>
    <row r="35" spans="1:9" x14ac:dyDescent="0.3">
      <c r="B35" s="529" t="s">
        <v>300</v>
      </c>
      <c r="C35" s="566">
        <f>SUMIF('5.2 Budgeted Enrollment YR2'!$D$119:$D$753,$B35,'5.2 Budgeted Enrollment YR2'!$G$119:$G$753)</f>
        <v>272.7686976026672</v>
      </c>
      <c r="D35" s="566">
        <f>IF(C35=0,0,(IF($C$9+($D$9*$C35)&lt;1,1,IF($C35&lt;=$B$7,$C$7*($C35^$D$7),IF($C35&lt;=$B$8,$C$8+($D$8*LN($C35)),$C$9+($C35*$D$9))))*C35-C35))</f>
        <v>224.75502593494753</v>
      </c>
      <c r="E35" s="148">
        <f>$E$11</f>
        <v>9502</v>
      </c>
      <c r="F35" s="391">
        <f>ROUND(D35*E35,0)</f>
        <v>2135622</v>
      </c>
      <c r="G35" s="391">
        <f>F35/C35</f>
        <v>7829.424779198408</v>
      </c>
      <c r="H35" s="35"/>
      <c r="I35" s="74"/>
    </row>
    <row r="36" spans="1:9" s="4" customFormat="1" x14ac:dyDescent="0.3">
      <c r="B36" s="4" t="s">
        <v>1420</v>
      </c>
      <c r="C36" s="412">
        <f>SUM(C33:C35)</f>
        <v>4790.5859463145534</v>
      </c>
      <c r="D36" s="412">
        <f>SUMPRODUCT(C33:C35,D33:D35)/C36</f>
        <v>346.29765651015333</v>
      </c>
      <c r="F36" s="371">
        <f>SUM(F33:F35)</f>
        <v>5827849</v>
      </c>
      <c r="G36" s="372">
        <f>F36/C36</f>
        <v>1216.5211239939081</v>
      </c>
      <c r="H36" s="73"/>
      <c r="I36" s="74"/>
    </row>
    <row r="37" spans="1:9" x14ac:dyDescent="0.3">
      <c r="C37" s="71"/>
      <c r="D37" s="71"/>
      <c r="H37" s="35"/>
      <c r="I37" s="74"/>
    </row>
    <row r="38" spans="1:9" x14ac:dyDescent="0.3">
      <c r="A38" s="4" t="s">
        <v>277</v>
      </c>
      <c r="B38" s="309" t="s">
        <v>302</v>
      </c>
      <c r="C38" s="396">
        <f>SUMIF('5.2 Budgeted Enrollment YR2'!$D$119:$D$753,$B38,'5.2 Budgeted Enrollment YR2'!$G$119:$G$753)</f>
        <v>367.2879132298051</v>
      </c>
      <c r="D38" s="396">
        <f t="shared" ref="D38:D48" si="4">IF(C38=0,0,(IF($C$9+($D$9*$C38)&lt;1,1,IF($C38&lt;=$B$7,$C$7*($C38^$D$7),IF($C38&lt;=$B$8,$C$8+($D$8*LN($C38)),$C$9+($C38*$D$9))))*C38-C38))</f>
        <v>271.93003996669563</v>
      </c>
      <c r="E38" s="29">
        <f t="shared" ref="E38:E48" si="5">$E$11</f>
        <v>9502</v>
      </c>
      <c r="F38" s="368">
        <f t="shared" ref="F38:F48" si="6">ROUND(D38*E38,0)</f>
        <v>2583879</v>
      </c>
      <c r="G38" s="368">
        <f t="shared" ref="G38:G48" si="7">F38/C38</f>
        <v>7035.0232254534221</v>
      </c>
      <c r="H38" s="35"/>
      <c r="I38" s="74"/>
    </row>
    <row r="39" spans="1:9" x14ac:dyDescent="0.3">
      <c r="B39" s="309" t="s">
        <v>277</v>
      </c>
      <c r="C39" s="396">
        <f>SUMIF('5.2 Budgeted Enrollment YR2'!$D$119:$D$753,$B39,'5.2 Budgeted Enrollment YR2'!$G$119:$G$753)</f>
        <v>4380.8088936925305</v>
      </c>
      <c r="D39" s="396">
        <f t="shared" si="4"/>
        <v>346.95698278561031</v>
      </c>
      <c r="E39" s="29">
        <f t="shared" si="5"/>
        <v>9502</v>
      </c>
      <c r="F39" s="368">
        <f t="shared" si="6"/>
        <v>3296785</v>
      </c>
      <c r="G39" s="368">
        <f t="shared" si="7"/>
        <v>752.55165883786822</v>
      </c>
      <c r="H39" s="35"/>
      <c r="I39" s="74"/>
    </row>
    <row r="40" spans="1:9" x14ac:dyDescent="0.3">
      <c r="B40" s="313" t="s">
        <v>307</v>
      </c>
      <c r="C40" s="396">
        <f>SUMIF('5.2 Budgeted Enrollment YR2'!$D$119:$D$753,$B40,'5.2 Budgeted Enrollment YR2'!$G$119:$G$753)</f>
        <v>7.7698438022583343</v>
      </c>
      <c r="D40" s="396">
        <f t="shared" si="4"/>
        <v>30.608682048119114</v>
      </c>
      <c r="E40" s="29">
        <f t="shared" si="5"/>
        <v>9502</v>
      </c>
      <c r="F40" s="368">
        <f t="shared" si="6"/>
        <v>290844</v>
      </c>
      <c r="G40" s="368">
        <f t="shared" si="7"/>
        <v>37432.41272308011</v>
      </c>
      <c r="H40" s="35"/>
      <c r="I40" s="74"/>
    </row>
    <row r="41" spans="1:9" x14ac:dyDescent="0.3">
      <c r="B41" s="309" t="s">
        <v>308</v>
      </c>
      <c r="C41" s="396">
        <f>SUMIF('5.2 Budgeted Enrollment YR2'!$D$119:$D$753,$B41,'5.2 Budgeted Enrollment YR2'!$G$119:$G$753)</f>
        <v>125.55400859008948</v>
      </c>
      <c r="D41" s="396">
        <f t="shared" si="4"/>
        <v>130.82742513651471</v>
      </c>
      <c r="E41" s="29">
        <f t="shared" si="5"/>
        <v>9502</v>
      </c>
      <c r="F41" s="368">
        <f t="shared" si="6"/>
        <v>1243122</v>
      </c>
      <c r="G41" s="368">
        <f t="shared" si="7"/>
        <v>9901.0936724335297</v>
      </c>
      <c r="H41" s="35"/>
      <c r="I41" s="74"/>
    </row>
    <row r="42" spans="1:9" x14ac:dyDescent="0.3">
      <c r="B42" s="309" t="s">
        <v>309</v>
      </c>
      <c r="C42" s="396">
        <f>SUMIF('5.2 Budgeted Enrollment YR2'!$D$119:$D$753,$B42,'5.2 Budgeted Enrollment YR2'!$G$119:$G$753)</f>
        <v>9.0420294649163502</v>
      </c>
      <c r="D42" s="396">
        <f t="shared" si="4"/>
        <v>30.572244223984367</v>
      </c>
      <c r="E42" s="29">
        <f t="shared" si="5"/>
        <v>9502</v>
      </c>
      <c r="F42" s="368">
        <f t="shared" si="6"/>
        <v>290497</v>
      </c>
      <c r="G42" s="368">
        <f t="shared" si="7"/>
        <v>32127.411343564723</v>
      </c>
      <c r="H42" s="35"/>
      <c r="I42" s="74"/>
    </row>
    <row r="43" spans="1:9" x14ac:dyDescent="0.3">
      <c r="B43" s="313" t="s">
        <v>311</v>
      </c>
      <c r="C43" s="396">
        <f>SUMIF('5.2 Budgeted Enrollment YR2'!$D$119:$D$753,$B43,'5.2 Budgeted Enrollment YR2'!$G$119:$G$753)</f>
        <v>9.345510337143045</v>
      </c>
      <c r="D43" s="396">
        <f t="shared" si="4"/>
        <v>30.543030761817924</v>
      </c>
      <c r="E43" s="29">
        <f t="shared" si="5"/>
        <v>9502</v>
      </c>
      <c r="F43" s="368">
        <f t="shared" si="6"/>
        <v>290220</v>
      </c>
      <c r="G43" s="368">
        <f t="shared" si="7"/>
        <v>31054.483867675146</v>
      </c>
      <c r="H43" s="35"/>
      <c r="I43" s="74"/>
    </row>
    <row r="44" spans="1:9" x14ac:dyDescent="0.3">
      <c r="B44" s="309" t="s">
        <v>314</v>
      </c>
      <c r="C44" s="396">
        <f>SUMIF('5.2 Budgeted Enrollment YR2'!$D$119:$D$753,$B44,'5.2 Budgeted Enrollment YR2'!$G$119:$G$753)</f>
        <v>222.83135404708102</v>
      </c>
      <c r="D44" s="396">
        <f t="shared" si="4"/>
        <v>196.26925982256117</v>
      </c>
      <c r="E44" s="29">
        <f t="shared" si="5"/>
        <v>9502</v>
      </c>
      <c r="F44" s="368">
        <f t="shared" si="6"/>
        <v>1864951</v>
      </c>
      <c r="G44" s="368">
        <f t="shared" si="7"/>
        <v>8369.33836342422</v>
      </c>
      <c r="H44" s="35"/>
      <c r="I44" s="74"/>
    </row>
    <row r="45" spans="1:9" x14ac:dyDescent="0.3">
      <c r="B45" s="313" t="s">
        <v>318</v>
      </c>
      <c r="C45" s="396">
        <f>SUMIF('5.2 Budgeted Enrollment YR2'!$D$119:$D$753,$B45,'5.2 Budgeted Enrollment YR2'!$G$119:$G$753)</f>
        <v>7.8777581915974242</v>
      </c>
      <c r="D45" s="396">
        <f t="shared" si="4"/>
        <v>30.611564955808468</v>
      </c>
      <c r="E45" s="29">
        <f t="shared" si="5"/>
        <v>9502</v>
      </c>
      <c r="F45" s="368">
        <f t="shared" si="6"/>
        <v>290871</v>
      </c>
      <c r="G45" s="368">
        <f t="shared" si="7"/>
        <v>36923.067822803809</v>
      </c>
      <c r="H45" s="35"/>
      <c r="I45" s="74"/>
    </row>
    <row r="46" spans="1:9" x14ac:dyDescent="0.3">
      <c r="B46" s="309" t="s">
        <v>322</v>
      </c>
      <c r="C46" s="396">
        <f>SUMIF('5.2 Budgeted Enrollment YR2'!$D$119:$D$753,$B46,'5.2 Budgeted Enrollment YR2'!$G$119:$G$753)</f>
        <v>2924.0911449004329</v>
      </c>
      <c r="D46" s="396">
        <f t="shared" si="4"/>
        <v>460.28803924386602</v>
      </c>
      <c r="E46" s="29">
        <f t="shared" si="5"/>
        <v>9502</v>
      </c>
      <c r="F46" s="368">
        <f t="shared" si="6"/>
        <v>4373657</v>
      </c>
      <c r="G46" s="368">
        <f t="shared" si="7"/>
        <v>1495.732103846211</v>
      </c>
      <c r="H46" s="35"/>
      <c r="I46" s="74"/>
    </row>
    <row r="47" spans="1:9" x14ac:dyDescent="0.3">
      <c r="B47" s="309" t="s">
        <v>326</v>
      </c>
      <c r="C47" s="396">
        <f>SUMIF('5.2 Budgeted Enrollment YR2'!$D$119:$D$753,$B47,'5.2 Budgeted Enrollment YR2'!$G$119:$G$753)</f>
        <v>285.62289734669088</v>
      </c>
      <c r="D47" s="396">
        <f t="shared" si="4"/>
        <v>231.65075367324863</v>
      </c>
      <c r="E47" s="29">
        <f t="shared" si="5"/>
        <v>9502</v>
      </c>
      <c r="F47" s="368">
        <f t="shared" si="6"/>
        <v>2201145</v>
      </c>
      <c r="G47" s="368">
        <f t="shared" si="7"/>
        <v>7706.4724867916884</v>
      </c>
      <c r="H47" s="35"/>
      <c r="I47" s="74"/>
    </row>
    <row r="48" spans="1:9" x14ac:dyDescent="0.3">
      <c r="B48" s="529" t="s">
        <v>329</v>
      </c>
      <c r="C48" s="566">
        <f>SUMIF('5.2 Budgeted Enrollment YR2'!$D$119:$D$753,$B48,'5.2 Budgeted Enrollment YR2'!$G$119:$G$753)</f>
        <v>894.21699648404774</v>
      </c>
      <c r="D48" s="566">
        <f t="shared" si="4"/>
        <v>438.46900250862996</v>
      </c>
      <c r="E48" s="148">
        <f t="shared" si="5"/>
        <v>9502</v>
      </c>
      <c r="F48" s="391">
        <f t="shared" si="6"/>
        <v>4166332</v>
      </c>
      <c r="G48" s="391">
        <f t="shared" si="7"/>
        <v>4659.1957169026191</v>
      </c>
      <c r="H48" s="35"/>
      <c r="I48" s="74"/>
    </row>
    <row r="49" spans="1:9" s="4" customFormat="1" x14ac:dyDescent="0.3">
      <c r="B49" s="4" t="s">
        <v>1421</v>
      </c>
      <c r="C49" s="412">
        <f>SUM(C38:C48)</f>
        <v>9234.4483500865936</v>
      </c>
      <c r="D49" s="412">
        <f>SUMPRODUCT(C38:C48,D38:D48)/C49</f>
        <v>377.41354950416525</v>
      </c>
      <c r="F49" s="371">
        <f>SUM(F38:F48)</f>
        <v>20892303</v>
      </c>
      <c r="G49" s="372">
        <f>F49/C49</f>
        <v>2262.4310849931917</v>
      </c>
      <c r="H49" s="73"/>
      <c r="I49" s="74"/>
    </row>
    <row r="50" spans="1:9" x14ac:dyDescent="0.3">
      <c r="C50" s="414"/>
      <c r="D50" s="414"/>
      <c r="H50" s="35"/>
      <c r="I50" s="74"/>
    </row>
    <row r="51" spans="1:9" x14ac:dyDescent="0.3">
      <c r="A51" s="4" t="s">
        <v>332</v>
      </c>
      <c r="B51" s="309" t="s">
        <v>333</v>
      </c>
      <c r="C51" s="396">
        <f>SUMIF('5.2 Budgeted Enrollment YR2'!$D$119:$D$753,$B51,'5.2 Budgeted Enrollment YR2'!$G$119:$G$753)</f>
        <v>45.589011809178224</v>
      </c>
      <c r="D51" s="396">
        <f>IF(C51=0,0,(IF($C$9+($D$9*$C51)&lt;1,1,IF($C51&lt;=$B$7,$C$7*($C51^$D$7),IF($C51&lt;=$B$8,$C$8+($D$8*LN($C51)),$C$9+($C51*$D$9))))*C51-C51))</f>
        <v>60.481740794045713</v>
      </c>
      <c r="E51" s="29">
        <f>$E$11</f>
        <v>9502</v>
      </c>
      <c r="F51" s="368">
        <f>ROUND(D51*E51,0)</f>
        <v>574698</v>
      </c>
      <c r="G51" s="368">
        <f>F51/C51</f>
        <v>12606.063987644908</v>
      </c>
      <c r="H51" s="35"/>
      <c r="I51" s="74"/>
    </row>
    <row r="52" spans="1:9" x14ac:dyDescent="0.3">
      <c r="B52" s="309" t="s">
        <v>336</v>
      </c>
      <c r="C52" s="396">
        <f>SUMIF('5.2 Budgeted Enrollment YR2'!$D$119:$D$753,$B52,'5.2 Budgeted Enrollment YR2'!$G$119:$G$753)</f>
        <v>26.777283932698449</v>
      </c>
      <c r="D52" s="396">
        <f>IF(C52=0,0,(IF($C$9+($D$9*$C52)&lt;1,1,IF($C52&lt;=$B$7,$C$7*($C52^$D$7),IF($C52&lt;=$B$8,$C$8+($D$8*LN($C52)),$C$9+($C52*$D$9))))*C52-C52))</f>
        <v>39.528555588823323</v>
      </c>
      <c r="E52" s="29">
        <f>$E$11</f>
        <v>9502</v>
      </c>
      <c r="F52" s="368">
        <f>ROUND(D52*E52,0)</f>
        <v>375600</v>
      </c>
      <c r="G52" s="368">
        <f>F52/C52</f>
        <v>14026.814703986647</v>
      </c>
      <c r="H52" s="35"/>
      <c r="I52" s="74"/>
    </row>
    <row r="53" spans="1:9" x14ac:dyDescent="0.3">
      <c r="B53" s="529" t="s">
        <v>339</v>
      </c>
      <c r="C53" s="566">
        <f>SUMIF('5.2 Budgeted Enrollment YR2'!$D$119:$D$753,$B53,'5.2 Budgeted Enrollment YR2'!$G$119:$G$753)</f>
        <v>8.2695998182410762</v>
      </c>
      <c r="D53" s="566">
        <f>IF(C53=0,0,(IF($C$9+($D$9*$C53)&lt;1,1,IF($C53&lt;=$B$7,$C$7*($C53^$D$7),IF($C53&lt;=$B$8,$C$8+($D$8*LN($C53)),$C$9+($C53*$D$9))))*C53-C53))</f>
        <v>30.612201798274178</v>
      </c>
      <c r="E53" s="148">
        <f>$E$11</f>
        <v>9502</v>
      </c>
      <c r="F53" s="391">
        <f>ROUND(D53*E53,0)</f>
        <v>290877</v>
      </c>
      <c r="G53" s="391">
        <f>F53/C53</f>
        <v>35174.253457632105</v>
      </c>
      <c r="H53" s="35"/>
      <c r="I53" s="74"/>
    </row>
    <row r="54" spans="1:9" s="4" customFormat="1" x14ac:dyDescent="0.3">
      <c r="B54" s="4" t="s">
        <v>1422</v>
      </c>
      <c r="C54" s="412">
        <f>SUM(C51:C53)</f>
        <v>80.635895560117746</v>
      </c>
      <c r="D54" s="412">
        <f>SUMPRODUCT(C51:C53,D51:D53)/C54</f>
        <v>50.460415698417869</v>
      </c>
      <c r="F54" s="371">
        <f>SUM(F51:F53)</f>
        <v>1241175</v>
      </c>
      <c r="G54" s="372">
        <f>F54/C54</f>
        <v>15392.338503571866</v>
      </c>
      <c r="H54" s="73"/>
      <c r="I54" s="74"/>
    </row>
    <row r="55" spans="1:9" x14ac:dyDescent="0.3">
      <c r="C55" s="71"/>
      <c r="D55" s="71"/>
      <c r="H55" s="35"/>
      <c r="I55" s="74"/>
    </row>
    <row r="56" spans="1:9" x14ac:dyDescent="0.3">
      <c r="A56" s="4" t="s">
        <v>281</v>
      </c>
      <c r="B56" s="309" t="s">
        <v>342</v>
      </c>
      <c r="C56" s="396">
        <f>SUMIF('5.2 Budgeted Enrollment YR2'!$D$119:$D$753,$B56,'5.2 Budgeted Enrollment YR2'!$G$119:$G$753)</f>
        <v>26.400500304391105</v>
      </c>
      <c r="D56" s="396">
        <f t="shared" ref="D56:D65" si="8">IF(C56=0,0,(IF($C$9+($D$9*$C56)&lt;1,1,IF($C56&lt;=$B$7,$C$7*($C56^$D$7),IF($C56&lt;=$B$8,$C$8+($D$8*LN($C56)),$C$9+($C56*$D$9))))*C56-C56))</f>
        <v>39.077476383132023</v>
      </c>
      <c r="E56" s="29">
        <f>$E$11</f>
        <v>9502</v>
      </c>
      <c r="F56" s="368">
        <f>ROUND(D56*E56,0)</f>
        <v>371314</v>
      </c>
      <c r="G56" s="368">
        <f>F56/C56</f>
        <v>14064.657704166333</v>
      </c>
      <c r="H56" s="35"/>
      <c r="I56" s="74"/>
    </row>
    <row r="57" spans="1:9" x14ac:dyDescent="0.3">
      <c r="B57" s="529" t="s">
        <v>281</v>
      </c>
      <c r="C57" s="566">
        <f>SUMIF('5.2 Budgeted Enrollment YR2'!$D$119:$D$753,$B57,'5.2 Budgeted Enrollment YR2'!$G$119:$G$753)</f>
        <v>271.18151959063948</v>
      </c>
      <c r="D57" s="566">
        <f t="shared" si="8"/>
        <v>223.89192530242752</v>
      </c>
      <c r="E57" s="148">
        <f>$E$11</f>
        <v>9502</v>
      </c>
      <c r="F57" s="391">
        <f>ROUND(D57*E57,0)</f>
        <v>2127421</v>
      </c>
      <c r="G57" s="391">
        <f>F57/C57</f>
        <v>7845.0072969995754</v>
      </c>
      <c r="H57" s="35"/>
      <c r="I57" s="74"/>
    </row>
    <row r="58" spans="1:9" s="4" customFormat="1" x14ac:dyDescent="0.3">
      <c r="B58" s="4" t="s">
        <v>1423</v>
      </c>
      <c r="C58" s="412">
        <f>SUM(C56:C57)</f>
        <v>297.58201989503061</v>
      </c>
      <c r="D58" s="412">
        <f>SUMPRODUCT(C56:C57,D56:D57)/C58</f>
        <v>207.49579385379084</v>
      </c>
      <c r="F58" s="371">
        <f>SUM(F56:F57)</f>
        <v>2498735</v>
      </c>
      <c r="G58" s="372">
        <f>F58/C58</f>
        <v>8396.7942716478847</v>
      </c>
      <c r="H58" s="73"/>
      <c r="I58" s="74"/>
    </row>
    <row r="59" spans="1:9" x14ac:dyDescent="0.3">
      <c r="C59" s="71"/>
      <c r="D59" s="71"/>
      <c r="H59" s="35"/>
      <c r="I59" s="74"/>
    </row>
    <row r="60" spans="1:9" x14ac:dyDescent="0.3">
      <c r="A60" s="4" t="s">
        <v>283</v>
      </c>
      <c r="B60" s="309" t="s">
        <v>347</v>
      </c>
      <c r="C60" s="396">
        <f>SUMIF('5.2 Budgeted Enrollment YR2'!$D$119:$D$753,$B60,'5.2 Budgeted Enrollment YR2'!$G$119:$G$753)</f>
        <v>6.1532279571726054</v>
      </c>
      <c r="D60" s="396">
        <f t="shared" si="8"/>
        <v>30.399066937731504</v>
      </c>
      <c r="E60" s="29">
        <f t="shared" ref="E60:E65" si="9">$E$11</f>
        <v>9502</v>
      </c>
      <c r="F60" s="368">
        <f t="shared" ref="F60:F65" si="10">ROUND(D60*E60,0)</f>
        <v>288852</v>
      </c>
      <c r="G60" s="368">
        <f t="shared" ref="G60:G65" si="11">F60/C60</f>
        <v>46943.165767700055</v>
      </c>
      <c r="H60" s="35"/>
      <c r="I60" s="74"/>
    </row>
    <row r="61" spans="1:9" x14ac:dyDescent="0.3">
      <c r="B61" s="309" t="s">
        <v>350</v>
      </c>
      <c r="C61" s="396">
        <f>SUMIF('5.2 Budgeted Enrollment YR2'!$D$119:$D$753,$B61,'5.2 Budgeted Enrollment YR2'!$G$119:$G$753)</f>
        <v>7.8578728185988655</v>
      </c>
      <c r="D61" s="396">
        <f t="shared" si="8"/>
        <v>30.61112434075568</v>
      </c>
      <c r="E61" s="29">
        <f t="shared" si="9"/>
        <v>9502</v>
      </c>
      <c r="F61" s="368">
        <f t="shared" si="10"/>
        <v>290867</v>
      </c>
      <c r="G61" s="368">
        <f t="shared" si="11"/>
        <v>37015.997422552377</v>
      </c>
      <c r="H61" s="35"/>
      <c r="I61" s="74"/>
    </row>
    <row r="62" spans="1:9" x14ac:dyDescent="0.3">
      <c r="B62" s="309" t="s">
        <v>353</v>
      </c>
      <c r="C62" s="396">
        <f>SUMIF('5.2 Budgeted Enrollment YR2'!$D$119:$D$753,$B62,'5.2 Budgeted Enrollment YR2'!$G$119:$G$753)</f>
        <v>111.92387516646239</v>
      </c>
      <c r="D62" s="396">
        <f t="shared" si="8"/>
        <v>120.2390215075347</v>
      </c>
      <c r="E62" s="29">
        <f t="shared" si="9"/>
        <v>9502</v>
      </c>
      <c r="F62" s="368">
        <f t="shared" si="10"/>
        <v>1142511</v>
      </c>
      <c r="G62" s="368">
        <f t="shared" si="11"/>
        <v>10207.929258174483</v>
      </c>
      <c r="H62" s="35"/>
      <c r="I62" s="74"/>
    </row>
    <row r="63" spans="1:9" x14ac:dyDescent="0.3">
      <c r="B63" s="309" t="s">
        <v>356</v>
      </c>
      <c r="C63" s="396">
        <f>SUMIF('5.2 Budgeted Enrollment YR2'!$D$119:$D$753,$B63,'5.2 Budgeted Enrollment YR2'!$G$119:$G$753)</f>
        <v>34.73744067827058</v>
      </c>
      <c r="D63" s="396">
        <f t="shared" si="8"/>
        <v>48.738821810423438</v>
      </c>
      <c r="E63" s="29">
        <f t="shared" si="9"/>
        <v>9502</v>
      </c>
      <c r="F63" s="368">
        <f t="shared" si="10"/>
        <v>463116</v>
      </c>
      <c r="G63" s="368">
        <f t="shared" si="11"/>
        <v>13331.897542172541</v>
      </c>
      <c r="H63" s="35"/>
      <c r="I63" s="74"/>
    </row>
    <row r="64" spans="1:9" x14ac:dyDescent="0.3">
      <c r="B64" s="309" t="s">
        <v>359</v>
      </c>
      <c r="C64" s="396">
        <f>SUMIF('5.2 Budgeted Enrollment YR2'!$D$119:$D$753,$B64,'5.2 Budgeted Enrollment YR2'!$G$119:$G$753)</f>
        <v>26.182486735596299</v>
      </c>
      <c r="D64" s="396">
        <f t="shared" si="8"/>
        <v>38.815785357986513</v>
      </c>
      <c r="E64" s="29">
        <f t="shared" si="9"/>
        <v>9502</v>
      </c>
      <c r="F64" s="368">
        <f t="shared" si="10"/>
        <v>368828</v>
      </c>
      <c r="G64" s="368">
        <f t="shared" si="11"/>
        <v>14086.820848019806</v>
      </c>
      <c r="H64" s="35"/>
      <c r="I64" s="74"/>
    </row>
    <row r="65" spans="1:9" x14ac:dyDescent="0.3">
      <c r="B65" s="529" t="s">
        <v>362</v>
      </c>
      <c r="C65" s="566">
        <f>SUMIF('5.2 Budgeted Enrollment YR2'!$D$119:$D$753,$B65,'5.2 Budgeted Enrollment YR2'!$G$119:$G$753)</f>
        <v>2949.0308767379197</v>
      </c>
      <c r="D65" s="566">
        <f t="shared" si="8"/>
        <v>457.17599475281304</v>
      </c>
      <c r="E65" s="148">
        <f t="shared" si="9"/>
        <v>9502</v>
      </c>
      <c r="F65" s="391">
        <f t="shared" si="10"/>
        <v>4344086</v>
      </c>
      <c r="G65" s="391">
        <f t="shared" si="11"/>
        <v>1473.0554482377022</v>
      </c>
      <c r="H65" s="35"/>
      <c r="I65" s="74"/>
    </row>
    <row r="66" spans="1:9" s="4" customFormat="1" x14ac:dyDescent="0.3">
      <c r="B66" s="4" t="s">
        <v>1424</v>
      </c>
      <c r="C66" s="412">
        <f>SUM(C60:C65)</f>
        <v>3135.8857800940204</v>
      </c>
      <c r="D66" s="412">
        <f>SUMPRODUCT(C60:C65,D60:D65)/C66</f>
        <v>435.22653055588603</v>
      </c>
      <c r="F66" s="371">
        <f>SUM(F60:F65)</f>
        <v>6898260</v>
      </c>
      <c r="G66" s="372">
        <f>F66/C66</f>
        <v>2199.7803758634268</v>
      </c>
      <c r="H66" s="73"/>
      <c r="I66" s="74"/>
    </row>
    <row r="67" spans="1:9" x14ac:dyDescent="0.3">
      <c r="C67" s="414"/>
      <c r="E67" s="35"/>
      <c r="I67" s="74"/>
    </row>
    <row r="68" spans="1:9" x14ac:dyDescent="0.3">
      <c r="A68" s="4" t="s">
        <v>366</v>
      </c>
      <c r="B68" s="309" t="s">
        <v>367</v>
      </c>
      <c r="C68" s="396">
        <f>SUMIF('5.2 Budgeted Enrollment YR2'!$D$119:$D$753,$B68,'5.2 Budgeted Enrollment YR2'!$G$119:$G$753)</f>
        <v>7.596048896613067</v>
      </c>
      <c r="D68" s="396">
        <f>IF(C68=0,0,(IF($C$9+($D$9*$C68)&lt;1,1,IF($C68&lt;=$B$7,$C$7*($C68^$D$7),IF($C68&lt;=$B$8,$C$8+($D$8*LN($C68)),$C$9+($C68*$D$9))))*C68-C68))</f>
        <v>30.60145298695225</v>
      </c>
      <c r="E68" s="29">
        <f>$E$11</f>
        <v>9502</v>
      </c>
      <c r="F68" s="368">
        <f>ROUND(D68*E68,0)</f>
        <v>290775</v>
      </c>
      <c r="G68" s="368">
        <f>F68/C68</f>
        <v>38279.76938506162</v>
      </c>
      <c r="I68" s="74"/>
    </row>
    <row r="69" spans="1:9" x14ac:dyDescent="0.3">
      <c r="B69" s="529" t="s">
        <v>371</v>
      </c>
      <c r="C69" s="566">
        <f>SUMIF('5.2 Budgeted Enrollment YR2'!$D$119:$D$753,$B69,'5.2 Budgeted Enrollment YR2'!$G$119:$G$753)</f>
        <v>962.68564829388106</v>
      </c>
      <c r="D69" s="566">
        <f>IF(C69=0,0,(IF($C$9+($D$9*$C69)&lt;1,1,IF($C69&lt;=$B$7,$C$7*($C69^$D$7),IF($C69&lt;=$B$8,$C$8+($D$8*LN($C69)),$C$9+($C69*$D$9))))*C69-C69))</f>
        <v>452.083662179258</v>
      </c>
      <c r="E69" s="148">
        <f>$E$11</f>
        <v>9502</v>
      </c>
      <c r="F69" s="391">
        <f>ROUND(D69*E69,0)</f>
        <v>4295699</v>
      </c>
      <c r="G69" s="391">
        <f>F69/C69</f>
        <v>4462.2032203482513</v>
      </c>
      <c r="I69" s="74"/>
    </row>
    <row r="70" spans="1:9" s="4" customFormat="1" x14ac:dyDescent="0.3">
      <c r="B70" s="4" t="s">
        <v>1425</v>
      </c>
      <c r="C70" s="412">
        <f>C69+C68</f>
        <v>970.28169719049413</v>
      </c>
      <c r="D70" s="412">
        <f>SUMPRODUCT(C68:C69,D68:D69)/C70</f>
        <v>448.78400242132619</v>
      </c>
      <c r="E70" s="5"/>
      <c r="F70" s="371">
        <f>SUM(F68:F69)</f>
        <v>4586474</v>
      </c>
      <c r="G70" s="372">
        <f>F70/C70</f>
        <v>4726.9509599948105</v>
      </c>
      <c r="I70" s="74"/>
    </row>
    <row r="71" spans="1:9" x14ac:dyDescent="0.3">
      <c r="C71" s="71"/>
      <c r="E71" s="35"/>
      <c r="I71" s="74"/>
    </row>
    <row r="72" spans="1:9" x14ac:dyDescent="0.3">
      <c r="A72" s="4" t="s">
        <v>287</v>
      </c>
      <c r="B72" s="309" t="s">
        <v>374</v>
      </c>
      <c r="C72" s="396">
        <f>SUMIF('5.2 Budgeted Enrollment YR2'!$D$119:$D$753,$B72,'5.2 Budgeted Enrollment YR2'!$G$119:$G$753)</f>
        <v>296.66386249376734</v>
      </c>
      <c r="D72" s="396">
        <f>IF(C72=0,0,(IF($C$9+($D$9*$C72)&lt;1,1,IF($C72&lt;=$B$7,$C$7*($C72^$D$7),IF($C72&lt;=$B$8,$C$8+($D$8*LN($C72)),$C$9+($C72*$D$9))))*C72-C72))</f>
        <v>237.44366746047211</v>
      </c>
      <c r="E72" s="29">
        <f>$E$11</f>
        <v>9502</v>
      </c>
      <c r="F72" s="368">
        <f>ROUND(D72*E72,0)</f>
        <v>2256190</v>
      </c>
      <c r="G72" s="368">
        <f>F72/C72</f>
        <v>7605.2067179142878</v>
      </c>
      <c r="I72" s="74"/>
    </row>
    <row r="73" spans="1:9" x14ac:dyDescent="0.3">
      <c r="A73" s="4"/>
      <c r="B73" s="309" t="s">
        <v>377</v>
      </c>
      <c r="C73" s="396">
        <f>SUMIF('5.2 Budgeted Enrollment YR2'!$D$119:$D$753,$B73,'5.2 Budgeted Enrollment YR2'!$G$119:$G$753)</f>
        <v>119.17334282349242</v>
      </c>
      <c r="D73" s="396">
        <f>IF(C73=0,0,(IF($C$9+($D$9*$C73)&lt;1,1,IF($C73&lt;=$B$7,$C$7*($C73^$D$7),IF($C73&lt;=$B$8,$C$8+($D$8*LN($C73)),$C$9+($C73*$D$9))))*C73-C73))</f>
        <v>125.92537957791814</v>
      </c>
      <c r="E73" s="29">
        <f>$E$11</f>
        <v>9502</v>
      </c>
      <c r="F73" s="368">
        <f>ROUND(D73*E73,0)</f>
        <v>1196543</v>
      </c>
      <c r="G73" s="368">
        <f>F73/C73</f>
        <v>10040.35778179185</v>
      </c>
      <c r="I73" s="74"/>
    </row>
    <row r="74" spans="1:9" x14ac:dyDescent="0.3">
      <c r="A74" s="4"/>
      <c r="B74" s="309" t="s">
        <v>380</v>
      </c>
      <c r="C74" s="567">
        <f>SUMIF('5.2 Budgeted Enrollment YR2'!$D$119:$D$753,$B74,'5.2 Budgeted Enrollment YR2'!$G$119:$G$753)</f>
        <v>405.34803927651626</v>
      </c>
      <c r="D74" s="567">
        <f>IF(C74=0,0,(IF($C$9+($D$9*$C74)&lt;1,1,IF($C74&lt;=$B$7,$C$7*($C74^$D$7),IF($C74&lt;=$B$8,$C$8+($D$8*LN($C74)),$C$9+($C74*$D$9))))*C74-C74))</f>
        <v>288.87791117317909</v>
      </c>
      <c r="E74" s="154">
        <f>$E$11</f>
        <v>9502</v>
      </c>
      <c r="F74" s="385">
        <f>ROUND(D74*E74,0)</f>
        <v>2744918</v>
      </c>
      <c r="G74" s="385">
        <f>F74/C74</f>
        <v>6771.7559579152157</v>
      </c>
      <c r="I74" s="74"/>
    </row>
    <row r="75" spans="1:9" x14ac:dyDescent="0.3">
      <c r="A75" s="4"/>
      <c r="B75" s="529" t="s">
        <v>383</v>
      </c>
      <c r="C75" s="566">
        <f>SUMIF('5.2 Budgeted Enrollment YR2'!$D$119:$D$753,$B75,'5.2 Budgeted Enrollment YR2'!$G$119:$G$753)</f>
        <v>48.841745893566603</v>
      </c>
      <c r="D75" s="566">
        <f>IF(C75=0,0,(IF($C$9+($D$9*$C75)&lt;1,1,IF($C75&lt;=$B$7,$C$7*($C75^$D$7),IF($C75&lt;=$B$8,$C$8+($D$8*LN($C75)),$C$9+($C75*$D$9))))*C75-C75))</f>
        <v>63.851180904246597</v>
      </c>
      <c r="E75" s="148">
        <f>$E$11</f>
        <v>9502</v>
      </c>
      <c r="F75" s="391">
        <f>ROUND(D75*E75,0)</f>
        <v>606714</v>
      </c>
      <c r="G75" s="391">
        <f>F75/C75</f>
        <v>12422.037519340927</v>
      </c>
      <c r="I75" s="74"/>
    </row>
    <row r="76" spans="1:9" s="4" customFormat="1" x14ac:dyDescent="0.3">
      <c r="B76" s="4" t="s">
        <v>1425</v>
      </c>
      <c r="C76" s="412">
        <f>SUM(C72:C75)</f>
        <v>870.02699048734257</v>
      </c>
      <c r="D76" s="412">
        <f>SUMPRODUCT(C72:C75,D72:D75)/C76</f>
        <v>236.3864618337862</v>
      </c>
      <c r="E76" s="5"/>
      <c r="F76" s="371">
        <f>SUM(F72:F75)</f>
        <v>6804365</v>
      </c>
      <c r="G76" s="372">
        <f>F76/C76</f>
        <v>7820.8665643678005</v>
      </c>
      <c r="I76" s="74"/>
    </row>
    <row r="77" spans="1:9" x14ac:dyDescent="0.3">
      <c r="A77" s="4"/>
      <c r="C77" s="71"/>
      <c r="E77" s="35"/>
      <c r="I77" s="74"/>
    </row>
    <row r="78" spans="1:9" x14ac:dyDescent="0.3">
      <c r="A78" s="4" t="s">
        <v>289</v>
      </c>
      <c r="B78" s="309" t="s">
        <v>386</v>
      </c>
      <c r="C78" s="396">
        <f>SUMIF('5.2 Budgeted Enrollment YR2'!$D$119:$D$753,$B78,'5.2 Budgeted Enrollment YR2'!$G$119:$G$753)</f>
        <v>2398.9317526745263</v>
      </c>
      <c r="D78" s="396">
        <f>IF(C78=0,0,(IF($C$9+($D$9*$C78)&lt;1,1,IF($C78&lt;=$B$7,$C$7*($C78^$D$7),IF($C78&lt;=$B$8,$C$8+($D$8*LN($C78)),$C$9+($C78*$D$9))))*C78-C78))</f>
        <v>511.06638920058549</v>
      </c>
      <c r="E78" s="29">
        <f>$E$11</f>
        <v>9502</v>
      </c>
      <c r="F78" s="368">
        <f>ROUND(D78*E78,0)</f>
        <v>4856153</v>
      </c>
      <c r="G78" s="368">
        <f t="shared" ref="G78:G83" si="12">F78/C78</f>
        <v>2024.2981045984161</v>
      </c>
      <c r="I78" s="74"/>
    </row>
    <row r="79" spans="1:9" x14ac:dyDescent="0.3">
      <c r="A79" s="4"/>
      <c r="B79" s="309" t="s">
        <v>389</v>
      </c>
      <c r="C79" s="396">
        <f>SUMIF('5.2 Budgeted Enrollment YR2'!$D$119:$D$753,$B79,'5.2 Budgeted Enrollment YR2'!$G$119:$G$753)</f>
        <v>4078.2407054894766</v>
      </c>
      <c r="D79" s="396">
        <f>IF(C79=0,0,(IF($C$9+($D$9*$C79)&lt;1,1,IF($C79&lt;=$B$7,$C$7*($C79^$D$7),IF($C79&lt;=$B$8,$C$8+($D$8*LN($C79)),$C$9+($C79*$D$9))))*C79-C79))</f>
        <v>325.13469125442043</v>
      </c>
      <c r="E79" s="29">
        <f>$E$11</f>
        <v>9502</v>
      </c>
      <c r="F79" s="368">
        <f>ROUND(D79*E79,0)</f>
        <v>3089430</v>
      </c>
      <c r="G79" s="368">
        <f t="shared" si="12"/>
        <v>757.5398862165008</v>
      </c>
      <c r="I79" s="74"/>
    </row>
    <row r="80" spans="1:9" x14ac:dyDescent="0.3">
      <c r="A80" s="4"/>
      <c r="B80" s="309" t="s">
        <v>393</v>
      </c>
      <c r="C80" s="396">
        <f>SUMIF('5.2 Budgeted Enrollment YR2'!$D$119:$D$753,$B80,'5.2 Budgeted Enrollment YR2'!$G$119:$G$753)</f>
        <v>1011.3117519066052</v>
      </c>
      <c r="D80" s="396">
        <f>IF(C80=0,0,(IF($C$9+($D$9*$C80)&lt;1,1,IF($C80&lt;=$B$7,$C$7*($C80^$D$7),IF($C80&lt;=$B$8,$C$8+($D$8*LN($C80)),$C$9+($C80*$D$9))))*C80-C80))</f>
        <v>460.91545180258572</v>
      </c>
      <c r="E80" s="29">
        <f>$E$11</f>
        <v>9502</v>
      </c>
      <c r="F80" s="368">
        <f>ROUND(D80*E80,0)</f>
        <v>4379619</v>
      </c>
      <c r="G80" s="368">
        <f t="shared" si="12"/>
        <v>4330.6319656062478</v>
      </c>
      <c r="I80" s="74"/>
    </row>
    <row r="81" spans="1:9" x14ac:dyDescent="0.3">
      <c r="A81" s="4"/>
      <c r="B81" s="309" t="s">
        <v>396</v>
      </c>
      <c r="C81" s="567">
        <f>SUMIF('5.2 Budgeted Enrollment YR2'!$D$119:$D$753,$B81,'5.2 Budgeted Enrollment YR2'!$G$119:$G$753)</f>
        <v>189.86443292246088</v>
      </c>
      <c r="D81" s="567">
        <f>IF(C81=0,0,(IF($C$9+($D$9*$C81)&lt;1,1,IF($C81&lt;=$B$7,$C$7*($C81^$D$7),IF($C81&lt;=$B$8,$C$8+($D$8*LN($C81)),$C$9+($C81*$D$9))))*C81-C81))</f>
        <v>175.77398652155205</v>
      </c>
      <c r="E81" s="154">
        <f>$E$11</f>
        <v>9502</v>
      </c>
      <c r="F81" s="385">
        <f>ROUND(D81*E81,0)</f>
        <v>1670204</v>
      </c>
      <c r="G81" s="385">
        <f t="shared" si="12"/>
        <v>8796.8239985321416</v>
      </c>
      <c r="I81" s="74"/>
    </row>
    <row r="82" spans="1:9" x14ac:dyDescent="0.3">
      <c r="A82" s="4"/>
      <c r="B82" s="529" t="s">
        <v>988</v>
      </c>
      <c r="C82" s="566">
        <f>SUMIF('5.2 Budgeted Enrollment YR2'!$D$119:$D$753,$B82,'5.2 Budgeted Enrollment YR2'!$G$119:$G$753)</f>
        <v>1255.6278337780584</v>
      </c>
      <c r="D82" s="566">
        <f>IF(C82=0,0,(IF($C$9+($D$9*$C82)&lt;1,1,IF($C82&lt;=$B$7,$C$7*($C82^$D$7),IF($C82&lt;=$B$8,$C$8+($D$8*LN($C82)),$C$9+($C82*$D$9))))*C82-C82))</f>
        <v>495.91665573560817</v>
      </c>
      <c r="E82" s="148">
        <f>$E$11</f>
        <v>9502</v>
      </c>
      <c r="F82" s="391">
        <f>ROUND(D82*E82,0)</f>
        <v>4712200</v>
      </c>
      <c r="G82" s="391">
        <f t="shared" si="12"/>
        <v>3752.8636059472033</v>
      </c>
      <c r="I82" s="74"/>
    </row>
    <row r="83" spans="1:9" s="4" customFormat="1" x14ac:dyDescent="0.3">
      <c r="B83" s="4" t="s">
        <v>1426</v>
      </c>
      <c r="C83" s="412">
        <f>SUM(C78:C82)</f>
        <v>8933.9764767711276</v>
      </c>
      <c r="D83" s="412">
        <f>SUMPRODUCT(C78:C82,D78:D82)/C83</f>
        <v>411.25921122180182</v>
      </c>
      <c r="E83" s="5"/>
      <c r="F83" s="371">
        <f>SUM(F78:F82)</f>
        <v>18707606</v>
      </c>
      <c r="G83" s="372">
        <f t="shared" si="12"/>
        <v>2093.9842463925097</v>
      </c>
      <c r="I83" s="74"/>
    </row>
    <row r="84" spans="1:9" x14ac:dyDescent="0.3">
      <c r="A84" s="4"/>
      <c r="C84" s="71"/>
      <c r="E84" s="35"/>
      <c r="I84" s="74"/>
    </row>
    <row r="85" spans="1:9" x14ac:dyDescent="0.3">
      <c r="A85" s="4" t="s">
        <v>291</v>
      </c>
      <c r="B85" s="309" t="s">
        <v>400</v>
      </c>
      <c r="C85" s="396">
        <f>SUMIF('5.2 Budgeted Enrollment YR2'!$D$119:$D$753,$B85,'5.2 Budgeted Enrollment YR2'!$G$119:$G$753)</f>
        <v>449.48766885692839</v>
      </c>
      <c r="D85" s="396">
        <f>IF(C85=0,0,(IF($C$9+($D$9*$C85)&lt;1,1,IF($C85&lt;=$B$7,$C$7*($C85^$D$7),IF($C85&lt;=$B$8,$C$8+($D$8*LN($C85)),$C$9+($C85*$D$9))))*C85-C85))</f>
        <v>307.27944962413494</v>
      </c>
      <c r="E85" s="29">
        <f>$E$11</f>
        <v>9502</v>
      </c>
      <c r="F85" s="368">
        <f>ROUND(D85*E85,0)</f>
        <v>2919769</v>
      </c>
      <c r="G85" s="368">
        <f>F85/C85</f>
        <v>6495.7710796052124</v>
      </c>
      <c r="I85" s="74"/>
    </row>
    <row r="86" spans="1:9" x14ac:dyDescent="0.3">
      <c r="A86" s="4"/>
      <c r="B86" s="529" t="s">
        <v>404</v>
      </c>
      <c r="C86" s="566">
        <f>SUMIF('5.2 Budgeted Enrollment YR2'!$D$119:$D$753,$B86,'5.2 Budgeted Enrollment YR2'!$G$119:$G$753)</f>
        <v>60.115563926162991</v>
      </c>
      <c r="D86" s="566">
        <f>IF(C86=0,0,(IF($C$9+($D$9*$C86)&lt;1,1,IF($C86&lt;=$B$7,$C$7*($C86^$D$7),IF($C86&lt;=$B$8,$C$8+($D$8*LN($C86)),$C$9+($C86*$D$9))))*C86-C86))</f>
        <v>75.081241839844267</v>
      </c>
      <c r="E86" s="148">
        <f>$E$11</f>
        <v>9502</v>
      </c>
      <c r="F86" s="391">
        <f>ROUND(D86*E86,0)</f>
        <v>713422</v>
      </c>
      <c r="G86" s="391">
        <f>F86/C86</f>
        <v>11867.509067639478</v>
      </c>
      <c r="I86" s="74"/>
    </row>
    <row r="87" spans="1:9" s="4" customFormat="1" x14ac:dyDescent="0.3">
      <c r="B87" s="4" t="s">
        <v>1427</v>
      </c>
      <c r="C87" s="412">
        <f>SUM(C85:C86)</f>
        <v>509.60323278309136</v>
      </c>
      <c r="D87" s="412">
        <f>SUMPRODUCT(C85:C86,D85:D86)/C87</f>
        <v>279.88808845210247</v>
      </c>
      <c r="E87" s="5"/>
      <c r="F87" s="371">
        <f>SUM(F85:F86)</f>
        <v>3633191</v>
      </c>
      <c r="G87" s="372">
        <f>F87/C87</f>
        <v>7129.450455324014</v>
      </c>
      <c r="I87" s="74"/>
    </row>
    <row r="88" spans="1:9" x14ac:dyDescent="0.3">
      <c r="A88" s="4"/>
      <c r="C88" s="71"/>
      <c r="E88" s="35"/>
      <c r="I88" s="74"/>
    </row>
    <row r="89" spans="1:9" x14ac:dyDescent="0.3">
      <c r="A89" s="4" t="s">
        <v>293</v>
      </c>
      <c r="B89" s="309" t="s">
        <v>408</v>
      </c>
      <c r="C89" s="396">
        <f>SUMIF('5.2 Budgeted Enrollment YR2'!$D$119:$D$753,$B89,'5.2 Budgeted Enrollment YR2'!$G$119:$G$753)</f>
        <v>142.46937336049228</v>
      </c>
      <c r="D89" s="396">
        <f t="shared" ref="D89:D94" si="13">IF(C89=0,0,(IF($C$9+($D$9*$C89)&lt;1,1,IF($C89&lt;=$B$7,$C$7*($C89^$D$7),IF($C89&lt;=$B$8,$C$8+($D$8*LN($C89)),$C$9+($C89*$D$9))))*C89-C89))</f>
        <v>143.39332972492815</v>
      </c>
      <c r="E89" s="29">
        <f t="shared" ref="E89:E94" si="14">$E$11</f>
        <v>9502</v>
      </c>
      <c r="F89" s="368">
        <f t="shared" ref="F89:F94" si="15">ROUND(D89*E89,0)</f>
        <v>1362523</v>
      </c>
      <c r="G89" s="368">
        <f t="shared" ref="G89:G95" si="16">F89/C89</f>
        <v>9563.6203617769042</v>
      </c>
      <c r="I89" s="74"/>
    </row>
    <row r="90" spans="1:9" x14ac:dyDescent="0.3">
      <c r="B90" s="309" t="s">
        <v>412</v>
      </c>
      <c r="C90" s="396">
        <f>SUMIF('5.2 Budgeted Enrollment YR2'!$D$119:$D$753,$B90,'5.2 Budgeted Enrollment YR2'!$G$119:$G$753)</f>
        <v>183.13483900852086</v>
      </c>
      <c r="D90" s="396">
        <f t="shared" si="13"/>
        <v>171.40091727853488</v>
      </c>
      <c r="E90" s="29">
        <f t="shared" si="14"/>
        <v>9502</v>
      </c>
      <c r="F90" s="368">
        <f t="shared" si="15"/>
        <v>1628652</v>
      </c>
      <c r="G90" s="368">
        <f t="shared" si="16"/>
        <v>8893.1849822644745</v>
      </c>
      <c r="I90" s="74"/>
    </row>
    <row r="91" spans="1:9" x14ac:dyDescent="0.3">
      <c r="B91" s="309" t="s">
        <v>415</v>
      </c>
      <c r="C91" s="396">
        <f>SUMIF('5.2 Budgeted Enrollment YR2'!$D$119:$D$753,$B91,'5.2 Budgeted Enrollment YR2'!$G$119:$G$753)</f>
        <v>26.523182086061858</v>
      </c>
      <c r="D91" s="396">
        <f t="shared" si="13"/>
        <v>39.224513872289329</v>
      </c>
      <c r="E91" s="29">
        <f t="shared" si="14"/>
        <v>9502</v>
      </c>
      <c r="F91" s="368">
        <f t="shared" si="15"/>
        <v>372711</v>
      </c>
      <c r="G91" s="368">
        <f t="shared" si="16"/>
        <v>14052.273169585582</v>
      </c>
      <c r="I91" s="74"/>
    </row>
    <row r="92" spans="1:9" x14ac:dyDescent="0.3">
      <c r="B92" s="309" t="s">
        <v>418</v>
      </c>
      <c r="C92" s="396">
        <f>SUMIF('5.2 Budgeted Enrollment YR2'!$D$119:$D$753,$B92,'5.2 Budgeted Enrollment YR2'!$G$119:$G$753)</f>
        <v>4558.6527750565374</v>
      </c>
      <c r="D92" s="396">
        <f t="shared" si="13"/>
        <v>359.63547913558159</v>
      </c>
      <c r="E92" s="29">
        <f t="shared" si="14"/>
        <v>9502</v>
      </c>
      <c r="F92" s="368">
        <f t="shared" si="15"/>
        <v>3417256</v>
      </c>
      <c r="G92" s="368">
        <f t="shared" si="16"/>
        <v>749.61971631138726</v>
      </c>
      <c r="I92" s="74"/>
    </row>
    <row r="93" spans="1:9" x14ac:dyDescent="0.3">
      <c r="B93" s="309" t="s">
        <v>421</v>
      </c>
      <c r="C93" s="567">
        <f>SUMIF('5.2 Budgeted Enrollment YR2'!$D$119:$D$753,$B93,'5.2 Budgeted Enrollment YR2'!$G$119:$G$753)</f>
        <v>265.24817415692428</v>
      </c>
      <c r="D93" s="567">
        <f t="shared" si="13"/>
        <v>220.64215362864252</v>
      </c>
      <c r="E93" s="154">
        <f t="shared" si="14"/>
        <v>9502</v>
      </c>
      <c r="F93" s="385">
        <f t="shared" si="15"/>
        <v>2096542</v>
      </c>
      <c r="G93" s="385">
        <f t="shared" si="16"/>
        <v>7904.0770277259608</v>
      </c>
      <c r="I93" s="74"/>
    </row>
    <row r="94" spans="1:9" x14ac:dyDescent="0.3">
      <c r="B94" s="529" t="s">
        <v>424</v>
      </c>
      <c r="C94" s="566">
        <f>SUMIF('5.2 Budgeted Enrollment YR2'!$D$119:$D$753,$B94,'5.2 Budgeted Enrollment YR2'!$G$119:$G$753)</f>
        <v>281.01741884268188</v>
      </c>
      <c r="D94" s="566">
        <f t="shared" si="13"/>
        <v>229.1991893054315</v>
      </c>
      <c r="E94" s="148">
        <f t="shared" si="14"/>
        <v>9502</v>
      </c>
      <c r="F94" s="391">
        <f t="shared" si="15"/>
        <v>2177851</v>
      </c>
      <c r="G94" s="391">
        <f t="shared" si="16"/>
        <v>7749.8790251831206</v>
      </c>
      <c r="I94" s="74"/>
    </row>
    <row r="95" spans="1:9" s="4" customFormat="1" x14ac:dyDescent="0.3">
      <c r="B95" s="4" t="s">
        <v>1428</v>
      </c>
      <c r="C95" s="412">
        <f>SUM(C89:C94)</f>
        <v>5457.0457625112185</v>
      </c>
      <c r="D95" s="412">
        <f>SUMPRODUCT(C89:C94,D89:D94)/C95</f>
        <v>332.64265008687386</v>
      </c>
      <c r="E95" s="5"/>
      <c r="F95" s="371">
        <f>SUM(F89:F94)</f>
        <v>11055535</v>
      </c>
      <c r="G95" s="372">
        <f t="shared" si="16"/>
        <v>2025.9194225471317</v>
      </c>
      <c r="I95" s="74"/>
    </row>
    <row r="96" spans="1:9" x14ac:dyDescent="0.3">
      <c r="C96" s="71"/>
      <c r="E96" s="35"/>
      <c r="I96" s="74"/>
    </row>
    <row r="97" spans="1:9" x14ac:dyDescent="0.3">
      <c r="A97" s="4" t="s">
        <v>428</v>
      </c>
      <c r="B97" s="309" t="s">
        <v>429</v>
      </c>
      <c r="C97" s="567">
        <f>SUMIF('5.2 Budgeted Enrollment YR2'!$D$119:$D$753,$B97,'5.2 Budgeted Enrollment YR2'!$G$119:$G$753)</f>
        <v>15.32928314037374</v>
      </c>
      <c r="D97" s="567">
        <f>IF(C97=0,0,(IF($C$9+($D$9*$C97)&lt;1,1,IF($C97&lt;=$B$7,$C$7*($C97^$D$7),IF($C97&lt;=$B$8,$C$8+($D$8*LN($C97)),$C$9+($C97*$D$9))))*C97-C97))</f>
        <v>28.905732655266853</v>
      </c>
      <c r="E97" s="154">
        <f>$E$11</f>
        <v>9502</v>
      </c>
      <c r="F97" s="385">
        <f>ROUND(D97*E97,0)</f>
        <v>274662</v>
      </c>
      <c r="G97" s="385">
        <f>F97/C97</f>
        <v>17917.471905558628</v>
      </c>
      <c r="I97" s="74"/>
    </row>
    <row r="98" spans="1:9" x14ac:dyDescent="0.3">
      <c r="A98" s="4"/>
      <c r="B98" s="529" t="s">
        <v>432</v>
      </c>
      <c r="C98" s="566">
        <f>SUMIF('5.2 Budgeted Enrollment YR2'!$D$119:$D$753,$B98,'5.2 Budgeted Enrollment YR2'!$G$119:$G$753)</f>
        <v>620.52994255951637</v>
      </c>
      <c r="D98" s="566">
        <f>IF(C98=0,0,(IF($C$9+($D$9*$C98)&lt;1,1,IF($C98&lt;=$B$7,$C$7*($C98^$D$7),IF($C98&lt;=$B$8,$C$8+($D$8*LN($C98)),$C$9+($C98*$D$9))))*C98-C98))</f>
        <v>367.97968285479067</v>
      </c>
      <c r="E98" s="148">
        <f>$E$11</f>
        <v>9502</v>
      </c>
      <c r="F98" s="391">
        <f>ROUND(D98*E98,0)</f>
        <v>3496543</v>
      </c>
      <c r="G98" s="391">
        <f>F98/C98</f>
        <v>5634.7691870882427</v>
      </c>
      <c r="I98" s="74"/>
    </row>
    <row r="99" spans="1:9" s="4" customFormat="1" x14ac:dyDescent="0.3">
      <c r="B99" s="4" t="s">
        <v>1429</v>
      </c>
      <c r="C99" s="412">
        <f>SUM(C97:C98)</f>
        <v>635.85922569989009</v>
      </c>
      <c r="D99" s="412">
        <f>SUMPRODUCT(C97:C98,D97:D98)/C99</f>
        <v>359.80529396798585</v>
      </c>
      <c r="E99" s="5"/>
      <c r="F99" s="371">
        <f>SUM(F97:F98)</f>
        <v>3771205</v>
      </c>
      <c r="G99" s="372">
        <f>F99/C99</f>
        <v>5930.8803703351723</v>
      </c>
      <c r="I99" s="74"/>
    </row>
    <row r="100" spans="1:9" x14ac:dyDescent="0.3">
      <c r="A100" s="4"/>
      <c r="C100" s="71"/>
      <c r="E100" s="35"/>
      <c r="I100" s="74"/>
    </row>
    <row r="101" spans="1:9" x14ac:dyDescent="0.3">
      <c r="A101" s="4" t="s">
        <v>297</v>
      </c>
      <c r="B101" s="309" t="s">
        <v>435</v>
      </c>
      <c r="C101" s="396">
        <f>SUMIF('5.2 Budgeted Enrollment YR2'!$D$119:$D$753,$B101,'5.2 Budgeted Enrollment YR2'!$G$119:$G$753)</f>
        <v>42.867496326932724</v>
      </c>
      <c r="D101" s="396">
        <f>IF(C101=0,0,(IF($C$9+($D$9*$C101)&lt;1,1,IF($C101&lt;=$B$7,$C$7*($C101^$D$7),IF($C101&lt;=$B$8,$C$8+($D$8*LN($C101)),$C$9+($C101*$D$9))))*C101-C101))</f>
        <v>57.612629057984435</v>
      </c>
      <c r="E101" s="29">
        <f>$E$11</f>
        <v>9502</v>
      </c>
      <c r="F101" s="368">
        <f>ROUND(D101*E101,0)</f>
        <v>547435</v>
      </c>
      <c r="G101" s="368">
        <f>F101/C101</f>
        <v>12770.39824824242</v>
      </c>
      <c r="I101" s="74"/>
    </row>
    <row r="102" spans="1:9" x14ac:dyDescent="0.3">
      <c r="A102" s="4"/>
      <c r="B102" s="529" t="s">
        <v>438</v>
      </c>
      <c r="C102" s="566">
        <f>SUMIF('5.2 Budgeted Enrollment YR2'!$D$119:$D$753,$B102,'5.2 Budgeted Enrollment YR2'!$G$119:$G$753)</f>
        <v>352.47329009690111</v>
      </c>
      <c r="D102" s="566">
        <f>IF(C102=0,0,(IF($C$9+($D$9*$C102)&lt;1,1,IF($C102&lt;=$B$7,$C$7*($C102^$D$7),IF($C102&lt;=$B$8,$C$8+($D$8*LN($C102)),$C$9+($C102*$D$9))))*C102-C102))</f>
        <v>265.03949470671739</v>
      </c>
      <c r="E102" s="148">
        <f>$E$11</f>
        <v>9502</v>
      </c>
      <c r="F102" s="391">
        <f>ROUND(D102*E102,0)</f>
        <v>2518405</v>
      </c>
      <c r="G102" s="391">
        <f>F102/C102</f>
        <v>7144.9527404123191</v>
      </c>
      <c r="I102" s="74"/>
    </row>
    <row r="103" spans="1:9" s="4" customFormat="1" x14ac:dyDescent="0.3">
      <c r="B103" s="4" t="s">
        <v>1430</v>
      </c>
      <c r="C103" s="412">
        <f>SUM(C101:C102)</f>
        <v>395.34078642383383</v>
      </c>
      <c r="D103" s="412">
        <f>SUMPRODUCT(C101:C102,D101:D102)/C103</f>
        <v>242.54783508885166</v>
      </c>
      <c r="E103" s="5"/>
      <c r="F103" s="371">
        <f>SUM(F101:F102)</f>
        <v>3065840</v>
      </c>
      <c r="G103" s="372">
        <f>F103/C103</f>
        <v>7754.9296841667092</v>
      </c>
      <c r="I103" s="74"/>
    </row>
    <row r="104" spans="1:9" x14ac:dyDescent="0.3">
      <c r="A104" s="4"/>
      <c r="C104" s="71"/>
      <c r="E104" s="35"/>
      <c r="I104" s="74"/>
    </row>
    <row r="105" spans="1:9" x14ac:dyDescent="0.3">
      <c r="A105" s="4" t="s">
        <v>299</v>
      </c>
      <c r="B105" s="309" t="s">
        <v>441</v>
      </c>
      <c r="C105" s="396">
        <f>SUMIF('5.2 Budgeted Enrollment YR2'!$D$119:$D$753,$B105,'5.2 Budgeted Enrollment YR2'!$G$119:$G$753)</f>
        <v>1362.8598361367704</v>
      </c>
      <c r="D105" s="396">
        <f t="shared" ref="D105:D112" si="17">IF(C105=0,0,(IF($C$9+($D$9*$C105)&lt;1,1,IF($C105&lt;=$B$7,$C$7*($C105^$D$7),IF($C105&lt;=$B$8,$C$8+($D$8*LN($C105)),$C$9+($C105*$D$9))))*C105-C105))</f>
        <v>506.88477063443293</v>
      </c>
      <c r="E105" s="29">
        <f t="shared" ref="E105:E112" si="18">$E$11</f>
        <v>9502</v>
      </c>
      <c r="F105" s="368">
        <f t="shared" ref="F105:F112" si="19">ROUND(D105*E105,0)</f>
        <v>4816419</v>
      </c>
      <c r="G105" s="368">
        <f t="shared" ref="G105:G113" si="20">F105/C105</f>
        <v>3534.0530788939077</v>
      </c>
      <c r="I105" s="74"/>
    </row>
    <row r="106" spans="1:9" x14ac:dyDescent="0.3">
      <c r="A106" s="4"/>
      <c r="B106" s="309" t="s">
        <v>444</v>
      </c>
      <c r="C106" s="396">
        <f>SUMIF('5.2 Budgeted Enrollment YR2'!$D$119:$D$753,$B106,'5.2 Budgeted Enrollment YR2'!$G$119:$G$753)</f>
        <v>24.345171974615241</v>
      </c>
      <c r="D106" s="396">
        <f t="shared" si="17"/>
        <v>36.589680207652542</v>
      </c>
      <c r="E106" s="29">
        <f t="shared" si="18"/>
        <v>9502</v>
      </c>
      <c r="F106" s="368">
        <f t="shared" si="19"/>
        <v>347675</v>
      </c>
      <c r="G106" s="368">
        <f t="shared" si="20"/>
        <v>14281.06568162761</v>
      </c>
      <c r="I106" s="74"/>
    </row>
    <row r="107" spans="1:9" x14ac:dyDescent="0.3">
      <c r="A107" s="4"/>
      <c r="B107" s="309" t="s">
        <v>447</v>
      </c>
      <c r="C107" s="396">
        <f>SUMIF('5.2 Budgeted Enrollment YR2'!$D$119:$D$753,$B107,'5.2 Budgeted Enrollment YR2'!$G$119:$G$753)</f>
        <v>637.5186649653823</v>
      </c>
      <c r="D107" s="396">
        <f t="shared" si="17"/>
        <v>373.21555274534433</v>
      </c>
      <c r="E107" s="29">
        <f t="shared" si="18"/>
        <v>9502</v>
      </c>
      <c r="F107" s="368">
        <f t="shared" si="19"/>
        <v>3546294</v>
      </c>
      <c r="G107" s="368">
        <f t="shared" si="20"/>
        <v>5562.6512522461853</v>
      </c>
      <c r="I107" s="74"/>
    </row>
    <row r="108" spans="1:9" x14ac:dyDescent="0.3">
      <c r="A108" s="4"/>
      <c r="B108" s="309" t="s">
        <v>1102</v>
      </c>
      <c r="C108" s="396">
        <f>SUMIF('5.2 Budgeted Enrollment YR2'!$D$119:$D$753,$B108,'5.2 Budgeted Enrollment YR2'!$G$119:$G$753)</f>
        <v>314.56616803964442</v>
      </c>
      <c r="D108" s="396">
        <f t="shared" si="17"/>
        <v>246.59293657614154</v>
      </c>
      <c r="E108" s="29">
        <f t="shared" si="18"/>
        <v>9502</v>
      </c>
      <c r="F108" s="368">
        <f t="shared" si="19"/>
        <v>2343126</v>
      </c>
      <c r="G108" s="368">
        <f t="shared" si="20"/>
        <v>7448.7539922115793</v>
      </c>
      <c r="I108" s="74"/>
    </row>
    <row r="109" spans="1:9" x14ac:dyDescent="0.3">
      <c r="A109" s="4"/>
      <c r="B109" s="309" t="s">
        <v>449</v>
      </c>
      <c r="C109" s="396">
        <f>SUMIF('5.2 Budgeted Enrollment YR2'!$D$119:$D$753,$B109,'5.2 Budgeted Enrollment YR2'!$G$119:$G$753)</f>
        <v>51791.688613507977</v>
      </c>
      <c r="D109" s="396">
        <f t="shared" si="17"/>
        <v>0</v>
      </c>
      <c r="E109" s="29">
        <f t="shared" si="18"/>
        <v>9502</v>
      </c>
      <c r="F109" s="368">
        <f t="shared" si="19"/>
        <v>0</v>
      </c>
      <c r="G109" s="368">
        <f t="shared" si="20"/>
        <v>0</v>
      </c>
      <c r="I109" s="74"/>
    </row>
    <row r="110" spans="1:9" x14ac:dyDescent="0.3">
      <c r="A110" s="4"/>
      <c r="B110" s="309" t="s">
        <v>452</v>
      </c>
      <c r="C110" s="396">
        <f>SUMIF('5.2 Budgeted Enrollment YR2'!$D$119:$D$753,$B110,'5.2 Budgeted Enrollment YR2'!$G$119:$G$753)</f>
        <v>4350.7590047731646</v>
      </c>
      <c r="D110" s="396">
        <f t="shared" si="17"/>
        <v>344.80388631724873</v>
      </c>
      <c r="E110" s="29">
        <f t="shared" si="18"/>
        <v>9502</v>
      </c>
      <c r="F110" s="368">
        <f t="shared" si="19"/>
        <v>3276327</v>
      </c>
      <c r="G110" s="368">
        <f t="shared" si="20"/>
        <v>753.04722610596946</v>
      </c>
      <c r="I110" s="74"/>
    </row>
    <row r="111" spans="1:9" x14ac:dyDescent="0.3">
      <c r="A111" s="4"/>
      <c r="B111" s="309" t="s">
        <v>455</v>
      </c>
      <c r="C111" s="396">
        <f>SUMIF('5.2 Budgeted Enrollment YR2'!$D$119:$D$753,$B111,'5.2 Budgeted Enrollment YR2'!$G$119:$G$753)</f>
        <v>222.49154626003153</v>
      </c>
      <c r="D111" s="396">
        <f t="shared" si="17"/>
        <v>196.06537117906143</v>
      </c>
      <c r="E111" s="29">
        <f t="shared" si="18"/>
        <v>9502</v>
      </c>
      <c r="F111" s="368">
        <f t="shared" si="19"/>
        <v>1863013</v>
      </c>
      <c r="G111" s="368">
        <f t="shared" si="20"/>
        <v>8373.4102770028367</v>
      </c>
      <c r="I111" s="74"/>
    </row>
    <row r="112" spans="1:9" x14ac:dyDescent="0.3">
      <c r="A112" s="4"/>
      <c r="B112" s="529" t="s">
        <v>458</v>
      </c>
      <c r="C112" s="566">
        <f>SUMIF('5.2 Budgeted Enrollment YR2'!$D$119:$D$753,$B112,'5.2 Budgeted Enrollment YR2'!$G$119:$G$753)</f>
        <v>112.48999243432719</v>
      </c>
      <c r="D112" s="566">
        <f t="shared" si="17"/>
        <v>120.68771666335608</v>
      </c>
      <c r="E112" s="148">
        <f t="shared" si="18"/>
        <v>9502</v>
      </c>
      <c r="F112" s="391">
        <f t="shared" si="19"/>
        <v>1146775</v>
      </c>
      <c r="G112" s="391">
        <f t="shared" si="20"/>
        <v>10194.462415574426</v>
      </c>
      <c r="I112" s="74"/>
    </row>
    <row r="113" spans="1:9" s="4" customFormat="1" x14ac:dyDescent="0.3">
      <c r="B113" s="4" t="s">
        <v>1431</v>
      </c>
      <c r="C113" s="412">
        <f>SUM(C105:C112)</f>
        <v>58816.718998091914</v>
      </c>
      <c r="D113" s="412">
        <f>SUMPRODUCT(C105:C112,D105:D112)/C113</f>
        <v>43.602619432987275</v>
      </c>
      <c r="E113" s="5"/>
      <c r="F113" s="371">
        <f>SUM(F105:F112)</f>
        <v>17339629</v>
      </c>
      <c r="G113" s="372">
        <f t="shared" si="20"/>
        <v>294.80782497511495</v>
      </c>
      <c r="I113" s="74"/>
    </row>
    <row r="114" spans="1:9" x14ac:dyDescent="0.3">
      <c r="A114" s="4"/>
      <c r="C114" s="71"/>
      <c r="E114" s="35"/>
      <c r="I114" s="74"/>
    </row>
    <row r="115" spans="1:9" x14ac:dyDescent="0.3">
      <c r="A115" s="4" t="s">
        <v>461</v>
      </c>
      <c r="B115" s="309" t="s">
        <v>462</v>
      </c>
      <c r="C115" s="396">
        <f>SUMIF('5.2 Budgeted Enrollment YR2'!$D$119:$D$753,$B115,'5.2 Budgeted Enrollment YR2'!$G$119:$G$753)</f>
        <v>2.1943232547095333</v>
      </c>
      <c r="D115" s="396">
        <f>IF(C115=0,0,(IF($C$9+($D$9*$C115)&lt;1,1,IF($C115&lt;=$B$7,$C$7*($C115^$D$7),IF($C115&lt;=$B$8,$C$8+($D$8*LN($C115)),$C$9+($C115*$D$9))))*C115-C115))</f>
        <v>27.271864206264382</v>
      </c>
      <c r="E115" s="29">
        <f>$E$11</f>
        <v>9502</v>
      </c>
      <c r="F115" s="368">
        <f>ROUND(D115*E115,0)</f>
        <v>259137</v>
      </c>
      <c r="G115" s="368">
        <f>F115/C115</f>
        <v>118094.26867433096</v>
      </c>
      <c r="I115" s="74"/>
    </row>
    <row r="116" spans="1:9" x14ac:dyDescent="0.3">
      <c r="B116" s="309" t="s">
        <v>425</v>
      </c>
      <c r="C116" s="396">
        <f>SUMIF('5.2 Budgeted Enrollment YR2'!$D$119:$D$753,$B116,'5.2 Budgeted Enrollment YR2'!$G$119:$G$753)</f>
        <v>988.88411845452652</v>
      </c>
      <c r="D116" s="396">
        <f>IF(C116=0,0,(IF($C$9+($D$9*$C116)&lt;1,1,IF($C116&lt;=$B$7,$C$7*($C116^$D$7),IF($C116&lt;=$B$8,$C$8+($D$8*LN($C116)),$C$9+($C116*$D$9))))*C116-C116))</f>
        <v>456.92559517742075</v>
      </c>
      <c r="E116" s="29">
        <f>$E$11</f>
        <v>9502</v>
      </c>
      <c r="F116" s="368">
        <f>ROUND(D116*E116,0)</f>
        <v>4341707</v>
      </c>
      <c r="G116" s="368">
        <f>F116/C116</f>
        <v>4390.511404698681</v>
      </c>
      <c r="I116" s="74"/>
    </row>
    <row r="117" spans="1:9" x14ac:dyDescent="0.3">
      <c r="B117" s="309" t="s">
        <v>467</v>
      </c>
      <c r="C117" s="396">
        <f>SUMIF('5.2 Budgeted Enrollment YR2'!$D$119:$D$753,$B117,'5.2 Budgeted Enrollment YR2'!$G$119:$G$753)</f>
        <v>113.09221883761623</v>
      </c>
      <c r="D117" s="396">
        <f>IF(C117=0,0,(IF($C$9+($D$9*$C117)&lt;1,1,IF($C117&lt;=$B$7,$C$7*($C117^$D$7),IF($C117&lt;=$B$8,$C$8+($D$8*LN($C117)),$C$9+($C117*$D$9))))*C117-C117))</f>
        <v>121.16415260536473</v>
      </c>
      <c r="E117" s="29">
        <f>$E$11</f>
        <v>9502</v>
      </c>
      <c r="F117" s="368">
        <f>ROUND(D117*E117,0)</f>
        <v>1151302</v>
      </c>
      <c r="G117" s="368">
        <f>F117/C117</f>
        <v>10180.205250487659</v>
      </c>
      <c r="I117" s="74"/>
    </row>
    <row r="118" spans="1:9" x14ac:dyDescent="0.3">
      <c r="B118" s="529" t="s">
        <v>470</v>
      </c>
      <c r="C118" s="566">
        <f>SUMIF('5.2 Budgeted Enrollment YR2'!$D$119:$D$753,$B118,'5.2 Budgeted Enrollment YR2'!$G$119:$G$753)</f>
        <v>126.85332141311</v>
      </c>
      <c r="D118" s="566">
        <f>IF(C118=0,0,(IF($C$9+($D$9*$C118)&lt;1,1,IF($C118&lt;=$B$7,$C$7*($C118^$D$7),IF($C118&lt;=$B$8,$C$8+($D$8*LN($C118)),$C$9+($C118*$D$9))))*C118-C118))</f>
        <v>131.81432103229889</v>
      </c>
      <c r="E118" s="148">
        <f>$E$11</f>
        <v>9502</v>
      </c>
      <c r="F118" s="391">
        <f>ROUND(D118*E118,0)</f>
        <v>1252500</v>
      </c>
      <c r="G118" s="391">
        <f>F118/C118</f>
        <v>9873.608243343615</v>
      </c>
      <c r="I118" s="74"/>
    </row>
    <row r="119" spans="1:9" s="4" customFormat="1" x14ac:dyDescent="0.3">
      <c r="B119" s="4" t="s">
        <v>1432</v>
      </c>
      <c r="C119" s="412">
        <f>SUM(C115:C118)</f>
        <v>1231.0239819599624</v>
      </c>
      <c r="D119" s="412">
        <f>SUMPRODUCT(C115:C118,D115:D118)/C119</f>
        <v>391.81211904475248</v>
      </c>
      <c r="E119" s="5"/>
      <c r="F119" s="371">
        <f>SUM(F115:F118)</f>
        <v>7004646</v>
      </c>
      <c r="G119" s="372">
        <f>F119/C119</f>
        <v>5690.0971083013537</v>
      </c>
      <c r="I119" s="74"/>
    </row>
    <row r="120" spans="1:9" x14ac:dyDescent="0.3">
      <c r="C120" s="22"/>
      <c r="E120" s="35"/>
      <c r="I120" s="108"/>
    </row>
    <row r="121" spans="1:9" x14ac:dyDescent="0.3">
      <c r="C121" s="22"/>
      <c r="D121" s="4"/>
      <c r="E121" s="17" t="s">
        <v>1433</v>
      </c>
      <c r="F121" s="371">
        <f>SUM(F119,F113,F103,F99,F95,F87,F83,F76,F70,F66,F58,F54,F49,F36,F31,F18,F16)</f>
        <v>146899792</v>
      </c>
      <c r="I121" s="108"/>
    </row>
    <row r="122" spans="1:9" x14ac:dyDescent="0.3">
      <c r="C122" s="22"/>
      <c r="E122" s="35"/>
    </row>
    <row r="123" spans="1:9" x14ac:dyDescent="0.3">
      <c r="B123" s="13" t="s">
        <v>1434</v>
      </c>
      <c r="C123" s="108">
        <f>SUM(C119,C113,C103,C99,C95,C87,C83,C76,C66,C58,C54,C49,C36,C31,C18,C16,C70)</f>
        <v>391282.46487056499</v>
      </c>
      <c r="D123" s="108">
        <f>C123-C124</f>
        <v>0</v>
      </c>
      <c r="E123" s="35"/>
    </row>
    <row r="124" spans="1:9" x14ac:dyDescent="0.3">
      <c r="B124" s="139" t="s">
        <v>1435</v>
      </c>
      <c r="C124" s="355">
        <f>SUM('5.2 Budgeted Enrollment YR2'!G754)</f>
        <v>391282.46487056476</v>
      </c>
      <c r="D124" s="57"/>
      <c r="E124" s="35"/>
    </row>
    <row r="126" spans="1:9" ht="84" customHeight="1" x14ac:dyDescent="0.3">
      <c r="A126" s="278" t="s">
        <v>1436</v>
      </c>
      <c r="B126" s="279"/>
      <c r="C126" s="279" t="str">
        <f>'2.4 District Size Adj. YR1'!B13</f>
        <v>Attendance Area</v>
      </c>
      <c r="D126" s="279" t="str">
        <f>'2.4 District Size Adj. YR1'!C13</f>
        <v>Enrollment by  Attendance Area less Distant Education Students</v>
      </c>
      <c r="E126" s="280" t="s">
        <v>1761</v>
      </c>
      <c r="F126" s="280"/>
      <c r="G126" s="631" t="s">
        <v>1762</v>
      </c>
    </row>
    <row r="127" spans="1:9" x14ac:dyDescent="0.3">
      <c r="A127" s="455"/>
      <c r="B127" s="207"/>
      <c r="C127" s="207"/>
      <c r="D127" s="207"/>
      <c r="E127" s="819"/>
      <c r="F127" s="207"/>
      <c r="G127" s="2027"/>
    </row>
    <row r="128" spans="1:9" x14ac:dyDescent="0.3">
      <c r="A128" s="106" t="str">
        <f>'5.2 Budgeted Enrollment YR2'!E34</f>
        <v>FuturEdge (Formerly 100 Academy Of Excellence)</v>
      </c>
      <c r="C128" s="9" t="str">
        <f>'5.2 Budgeted Enrollment YR2'!D34</f>
        <v>Las Vegas</v>
      </c>
      <c r="D128" s="62">
        <f>'5.2 Budgeted Enrollment YR2'!G34</f>
        <v>240.86136805673826</v>
      </c>
      <c r="E128" s="820">
        <f t="shared" ref="E128:E159" si="21">IF(C128="Carson City",$G$16,IF(C128="Fallon",$G$18,IF(C128="Elko",$G$39,IF(C128="Ely",$G$116,IF(C128="Stead",$G$110,0)))))</f>
        <v>0</v>
      </c>
      <c r="F128" s="821"/>
      <c r="G128" s="838">
        <f>ROUND(D128*E128,0)</f>
        <v>0</v>
      </c>
    </row>
    <row r="129" spans="1:8" x14ac:dyDescent="0.3">
      <c r="A129" s="106" t="str">
        <f>'5.2 Budgeted Enrollment YR2'!E35</f>
        <v>Academy For Career Education</v>
      </c>
      <c r="C129" s="9" t="str">
        <f>'5.2 Budgeted Enrollment YR2'!D35</f>
        <v>Reno</v>
      </c>
      <c r="D129" s="62">
        <f>'5.2 Budgeted Enrollment YR2'!G35</f>
        <v>253.57864951202251</v>
      </c>
      <c r="E129" s="820">
        <f t="shared" si="21"/>
        <v>0</v>
      </c>
      <c r="F129" s="821"/>
      <c r="G129" s="838">
        <f t="shared" ref="G129:G189" si="22">ROUND(D129*E129,0)</f>
        <v>0</v>
      </c>
    </row>
    <row r="130" spans="1:8" x14ac:dyDescent="0.3">
      <c r="A130" s="106" t="str">
        <f>'5.2 Budgeted Enrollment YR2'!E36</f>
        <v xml:space="preserve">Alpine Academy </v>
      </c>
      <c r="C130" s="9" t="str">
        <f>'5.2 Budgeted Enrollment YR2'!D36</f>
        <v>Reno</v>
      </c>
      <c r="D130" s="62">
        <f>'5.2 Budgeted Enrollment YR2'!G36</f>
        <v>164.31844740358281</v>
      </c>
      <c r="E130" s="820">
        <f t="shared" si="21"/>
        <v>0</v>
      </c>
      <c r="F130" s="821"/>
      <c r="G130" s="838">
        <f t="shared" si="22"/>
        <v>0</v>
      </c>
    </row>
    <row r="131" spans="1:8" x14ac:dyDescent="0.3">
      <c r="A131" s="106" t="str">
        <f>'5.2 Budgeted Enrollment YR2'!E37</f>
        <v xml:space="preserve">Amplus (Formerly American Preparatory Academy) </v>
      </c>
      <c r="C131" s="9" t="str">
        <f>'5.2 Budgeted Enrollment YR2'!D37</f>
        <v>Las Vegas</v>
      </c>
      <c r="D131" s="62">
        <f>'5.2 Budgeted Enrollment YR2'!G37</f>
        <v>2368.9011816066622</v>
      </c>
      <c r="E131" s="820">
        <f t="shared" si="21"/>
        <v>0</v>
      </c>
      <c r="F131" s="821"/>
      <c r="G131" s="838">
        <f t="shared" si="22"/>
        <v>0</v>
      </c>
    </row>
    <row r="132" spans="1:8" x14ac:dyDescent="0.3">
      <c r="A132" s="106" t="str">
        <f>'5.2 Budgeted Enrollment YR2'!E38</f>
        <v>Bailey Charter School</v>
      </c>
      <c r="C132" s="9" t="str">
        <f>'5.2 Budgeted Enrollment YR2'!D38</f>
        <v>Reno</v>
      </c>
      <c r="D132" s="62">
        <f>'5.2 Budgeted Enrollment YR2'!G38</f>
        <v>166.53929996193739</v>
      </c>
      <c r="E132" s="820">
        <f t="shared" si="21"/>
        <v>0</v>
      </c>
      <c r="F132" s="821"/>
      <c r="G132" s="838">
        <f t="shared" si="22"/>
        <v>0</v>
      </c>
    </row>
    <row r="133" spans="1:8" x14ac:dyDescent="0.3">
      <c r="A133" s="106" t="str">
        <f>'5.2 Budgeted Enrollment YR2'!E39</f>
        <v>Battle Born Academy</v>
      </c>
      <c r="C133" s="9" t="str">
        <f>'5.2 Budgeted Enrollment YR2'!D39</f>
        <v>Las Vegas</v>
      </c>
      <c r="D133" s="62">
        <f>'5.2 Budgeted Enrollment YR2'!G39</f>
        <v>270.53331354166147</v>
      </c>
      <c r="E133" s="820">
        <f t="shared" si="21"/>
        <v>0</v>
      </c>
      <c r="F133" s="821"/>
      <c r="G133" s="838">
        <f t="shared" si="22"/>
        <v>0</v>
      </c>
    </row>
    <row r="134" spans="1:8" x14ac:dyDescent="0.3">
      <c r="A134" s="106" t="str">
        <f>'5.2 Budgeted Enrollment YR2'!E40</f>
        <v>Beacon Academy</v>
      </c>
      <c r="C134" s="9" t="str">
        <f>'5.2 Budgeted Enrollment YR2'!D40</f>
        <v>Las Vegas</v>
      </c>
      <c r="D134" s="62">
        <f>'5.2 Budgeted Enrollment YR2'!G40</f>
        <v>857.51912183963623</v>
      </c>
      <c r="E134" s="820">
        <f t="shared" si="21"/>
        <v>0</v>
      </c>
      <c r="F134" s="821"/>
      <c r="G134" s="838">
        <f t="shared" si="22"/>
        <v>0</v>
      </c>
    </row>
    <row r="135" spans="1:8" x14ac:dyDescent="0.3">
      <c r="A135" s="106" t="str">
        <f>'5.2 Budgeted Enrollment YR2'!E41</f>
        <v>Cactus Park</v>
      </c>
      <c r="C135" s="9" t="str">
        <f>'5.2 Budgeted Enrollment YR2'!D41</f>
        <v>Las Vegas</v>
      </c>
      <c r="D135" s="62">
        <f>'5.2 Budgeted Enrollment YR2'!G41</f>
        <v>301.59239347241777</v>
      </c>
      <c r="E135" s="820">
        <f t="shared" si="21"/>
        <v>0</v>
      </c>
      <c r="F135" s="821"/>
      <c r="G135" s="838">
        <f t="shared" si="22"/>
        <v>0</v>
      </c>
    </row>
    <row r="136" spans="1:8" s="76" customFormat="1" x14ac:dyDescent="0.3">
      <c r="A136" s="106" t="str">
        <f>'5.2 Budgeted Enrollment YR2'!E42</f>
        <v>Carson Montessori</v>
      </c>
      <c r="B136" s="9"/>
      <c r="C136" s="9" t="str">
        <f>'5.2 Budgeted Enrollment YR2'!D42</f>
        <v>Carson City</v>
      </c>
      <c r="D136" s="62">
        <f>'5.2 Budgeted Enrollment YR2'!G42</f>
        <v>296.55722891108132</v>
      </c>
      <c r="E136" s="820">
        <f t="shared" si="21"/>
        <v>709.85838437312623</v>
      </c>
      <c r="F136" s="821"/>
      <c r="G136" s="838">
        <f t="shared" si="22"/>
        <v>210514</v>
      </c>
    </row>
    <row r="137" spans="1:8" x14ac:dyDescent="0.3">
      <c r="A137" s="106" t="str">
        <f>'5.2 Budgeted Enrollment YR2'!E43</f>
        <v>CIVICA Nevada Career &amp; Collegiate Academy</v>
      </c>
      <c r="C137" s="9" t="str">
        <f>'5.2 Budgeted Enrollment YR2'!D43</f>
        <v>Las Vegas</v>
      </c>
      <c r="D137" s="62">
        <f>'5.2 Budgeted Enrollment YR2'!G43</f>
        <v>916.3393721230467</v>
      </c>
      <c r="E137" s="820">
        <f t="shared" si="21"/>
        <v>0</v>
      </c>
      <c r="F137" s="821"/>
      <c r="G137" s="838">
        <f t="shared" si="22"/>
        <v>0</v>
      </c>
    </row>
    <row r="138" spans="1:8" x14ac:dyDescent="0.3">
      <c r="A138" s="106" t="str">
        <f>'5.2 Budgeted Enrollment YR2'!E44</f>
        <v>Coral Academy of Science Las Vegas</v>
      </c>
      <c r="C138" s="9" t="str">
        <f>'5.2 Budgeted Enrollment YR2'!D44</f>
        <v>Las Vegas</v>
      </c>
      <c r="D138" s="62">
        <f>'5.2 Budgeted Enrollment YR2'!G44</f>
        <v>5480.3063751434274</v>
      </c>
      <c r="E138" s="820">
        <f t="shared" si="21"/>
        <v>0</v>
      </c>
      <c r="F138" s="821"/>
      <c r="G138" s="838">
        <f t="shared" si="22"/>
        <v>0</v>
      </c>
    </row>
    <row r="139" spans="1:8" x14ac:dyDescent="0.3">
      <c r="A139" s="106" t="str">
        <f>'5.2 Budgeted Enrollment YR2'!E45</f>
        <v>Coral Academy Washoe</v>
      </c>
      <c r="C139" s="9" t="str">
        <f>'5.2 Budgeted Enrollment YR2'!D45</f>
        <v>Reno</v>
      </c>
      <c r="D139" s="62">
        <f>'5.2 Budgeted Enrollment YR2'!G45</f>
        <v>2027.9998005260131</v>
      </c>
      <c r="E139" s="820">
        <f t="shared" si="21"/>
        <v>0</v>
      </c>
      <c r="F139" s="821"/>
      <c r="G139" s="838">
        <f t="shared" si="22"/>
        <v>0</v>
      </c>
    </row>
    <row r="140" spans="1:8" x14ac:dyDescent="0.3">
      <c r="A140" s="106" t="str">
        <f>'5.2 Budgeted Enrollment YR2'!E46</f>
        <v>Delta Academy</v>
      </c>
      <c r="C140" s="9" t="str">
        <f>'5.2 Budgeted Enrollment YR2'!D46</f>
        <v>Las Vegas</v>
      </c>
      <c r="D140" s="62">
        <f>'5.2 Budgeted Enrollment YR2'!G46</f>
        <v>1405.0080479301287</v>
      </c>
      <c r="E140" s="820">
        <f t="shared" si="21"/>
        <v>0</v>
      </c>
      <c r="F140" s="821"/>
      <c r="G140" s="838">
        <f t="shared" si="22"/>
        <v>0</v>
      </c>
    </row>
    <row r="141" spans="1:8" x14ac:dyDescent="0.3">
      <c r="A141" s="106" t="str">
        <f>'5.2 Budgeted Enrollment YR2'!E47</f>
        <v>Democracy Prep</v>
      </c>
      <c r="C141" s="9" t="str">
        <f>'5.2 Budgeted Enrollment YR2'!D47</f>
        <v>Las Vegas</v>
      </c>
      <c r="D141" s="62">
        <f>'5.2 Budgeted Enrollment YR2'!G47</f>
        <v>1279.0046975769933</v>
      </c>
      <c r="E141" s="820">
        <f t="shared" si="21"/>
        <v>0</v>
      </c>
      <c r="F141" s="821"/>
      <c r="G141" s="838">
        <f t="shared" si="22"/>
        <v>0</v>
      </c>
    </row>
    <row r="142" spans="1:8" x14ac:dyDescent="0.3">
      <c r="A142" s="106" t="str">
        <f>'5.2 Budgeted Enrollment YR2'!E48</f>
        <v>Discovery Charter</v>
      </c>
      <c r="C142" s="9" t="str">
        <f>'5.2 Budgeted Enrollment YR2'!D48</f>
        <v>Las Vegas</v>
      </c>
      <c r="D142" s="62">
        <f>'5.2 Budgeted Enrollment YR2'!G48</f>
        <v>499.79963400639872</v>
      </c>
      <c r="E142" s="820">
        <f t="shared" si="21"/>
        <v>0</v>
      </c>
      <c r="F142" s="821"/>
      <c r="G142" s="838">
        <f t="shared" si="22"/>
        <v>0</v>
      </c>
    </row>
    <row r="143" spans="1:8" x14ac:dyDescent="0.3">
      <c r="A143" s="106" t="str">
        <f>'5.2 Budgeted Enrollment YR2'!E49</f>
        <v>Do and Be Academy of Excellence</v>
      </c>
      <c r="C143" s="9" t="str">
        <f>'5.2 Budgeted Enrollment YR2'!D49</f>
        <v>Las Vegas</v>
      </c>
      <c r="D143" s="62">
        <f>'5.2 Budgeted Enrollment YR2'!G49</f>
        <v>55.444307975565003</v>
      </c>
      <c r="E143" s="820">
        <f t="shared" si="21"/>
        <v>0</v>
      </c>
      <c r="F143" s="821"/>
      <c r="G143" s="838">
        <f t="shared" si="22"/>
        <v>0</v>
      </c>
      <c r="H143" s="9" t="s">
        <v>370</v>
      </c>
    </row>
    <row r="144" spans="1:8" x14ac:dyDescent="0.3">
      <c r="A144" s="106" t="str">
        <f>'5.2 Budgeted Enrollment YR2'!E50</f>
        <v>Doral Academy</v>
      </c>
      <c r="C144" s="9" t="str">
        <f>'5.2 Budgeted Enrollment YR2'!D50</f>
        <v>Las Vegas</v>
      </c>
      <c r="D144" s="62">
        <f>'5.2 Budgeted Enrollment YR2'!G50</f>
        <v>6463.7282261846876</v>
      </c>
      <c r="E144" s="820">
        <f t="shared" si="21"/>
        <v>0</v>
      </c>
      <c r="F144" s="821"/>
      <c r="G144" s="838">
        <f t="shared" si="22"/>
        <v>0</v>
      </c>
    </row>
    <row r="145" spans="1:7" x14ac:dyDescent="0.3">
      <c r="A145" s="106" t="str">
        <f>'5.2 Budgeted Enrollment YR2'!E51</f>
        <v>Doral Academy of Northern Nevada</v>
      </c>
      <c r="C145" s="9" t="str">
        <f>'5.2 Budgeted Enrollment YR2'!D51</f>
        <v>Reno</v>
      </c>
      <c r="D145" s="62">
        <f>'5.2 Budgeted Enrollment YR2'!G51</f>
        <v>1018.777864840123</v>
      </c>
      <c r="E145" s="820">
        <f t="shared" si="21"/>
        <v>0</v>
      </c>
      <c r="F145" s="821"/>
      <c r="G145" s="838">
        <f t="shared" si="22"/>
        <v>0</v>
      </c>
    </row>
    <row r="146" spans="1:7" x14ac:dyDescent="0.3">
      <c r="A146" s="106" t="str">
        <f>'5.2 Budgeted Enrollment YR2'!E52</f>
        <v>Eagle Charter School (CLOSED)</v>
      </c>
      <c r="C146" s="9" t="str">
        <f>'5.2 Budgeted Enrollment YR2'!D52</f>
        <v>Las Vegas</v>
      </c>
      <c r="D146" s="62">
        <f>'5.2 Budgeted Enrollment YR2'!G52</f>
        <v>0</v>
      </c>
      <c r="E146" s="820">
        <f t="shared" si="21"/>
        <v>0</v>
      </c>
      <c r="F146" s="821"/>
      <c r="G146" s="838">
        <f t="shared" si="22"/>
        <v>0</v>
      </c>
    </row>
    <row r="147" spans="1:7" x14ac:dyDescent="0.3">
      <c r="A147" s="106" t="str">
        <f>'5.2 Budgeted Enrollment YR2'!E53</f>
        <v>Elko Institute for Academic Achievement</v>
      </c>
      <c r="C147" s="9" t="str">
        <f>'5.2 Budgeted Enrollment YR2'!D53</f>
        <v>Elko</v>
      </c>
      <c r="D147" s="62">
        <f>'5.2 Budgeted Enrollment YR2'!G53</f>
        <v>315.7286385132989</v>
      </c>
      <c r="E147" s="820">
        <f t="shared" si="21"/>
        <v>752.55165883786822</v>
      </c>
      <c r="F147" s="821"/>
      <c r="G147" s="838">
        <f t="shared" si="22"/>
        <v>237602</v>
      </c>
    </row>
    <row r="148" spans="1:7" x14ac:dyDescent="0.3">
      <c r="A148" s="106" t="str">
        <f>'5.2 Budgeted Enrollment YR2'!E54</f>
        <v>enCompass Academy</v>
      </c>
      <c r="C148" s="9" t="str">
        <f>'5.2 Budgeted Enrollment YR2'!D54</f>
        <v>Reno</v>
      </c>
      <c r="D148" s="62">
        <f>'5.2 Budgeted Enrollment YR2'!G54</f>
        <v>129.86699722187711</v>
      </c>
      <c r="E148" s="820">
        <f t="shared" si="21"/>
        <v>0</v>
      </c>
      <c r="F148" s="821"/>
      <c r="G148" s="838">
        <f t="shared" si="22"/>
        <v>0</v>
      </c>
    </row>
    <row r="149" spans="1:7" x14ac:dyDescent="0.3">
      <c r="A149" s="106" t="str">
        <f>'5.2 Budgeted Enrollment YR2'!E55</f>
        <v>Equipo Academy</v>
      </c>
      <c r="C149" s="9" t="str">
        <f>'5.2 Budgeted Enrollment YR2'!D55</f>
        <v>Las Vegas</v>
      </c>
      <c r="D149" s="62">
        <f>'5.2 Budgeted Enrollment YR2'!G55</f>
        <v>900.7667088070209</v>
      </c>
      <c r="E149" s="820">
        <f t="shared" si="21"/>
        <v>0</v>
      </c>
      <c r="F149" s="821"/>
      <c r="G149" s="838">
        <f t="shared" si="22"/>
        <v>0</v>
      </c>
    </row>
    <row r="150" spans="1:7" x14ac:dyDescent="0.3">
      <c r="A150" s="106" t="str">
        <f>'5.2 Budgeted Enrollment YR2'!E56</f>
        <v>Explore Academy</v>
      </c>
      <c r="C150" s="9" t="str">
        <f>'5.2 Budgeted Enrollment YR2'!D56</f>
        <v>Las Vegas</v>
      </c>
      <c r="D150" s="62">
        <f>'5.2 Budgeted Enrollment YR2'!G56</f>
        <v>285.9150020191048</v>
      </c>
      <c r="E150" s="820">
        <f t="shared" si="21"/>
        <v>0</v>
      </c>
      <c r="F150" s="821"/>
      <c r="G150" s="838">
        <f t="shared" si="22"/>
        <v>0</v>
      </c>
    </row>
    <row r="151" spans="1:7" x14ac:dyDescent="0.3">
      <c r="A151" s="106" t="str">
        <f>'5.2 Budgeted Enrollment YR2'!E57</f>
        <v>Explore Knowledge Academy</v>
      </c>
      <c r="C151" s="9" t="str">
        <f>'5.2 Budgeted Enrollment YR2'!D57</f>
        <v>Las Vegas</v>
      </c>
      <c r="D151" s="62">
        <f>'5.2 Budgeted Enrollment YR2'!G57</f>
        <v>664.59038477421791</v>
      </c>
      <c r="E151" s="820">
        <f t="shared" si="21"/>
        <v>0</v>
      </c>
      <c r="F151" s="821"/>
      <c r="G151" s="838">
        <f t="shared" si="22"/>
        <v>0</v>
      </c>
    </row>
    <row r="152" spans="1:7" x14ac:dyDescent="0.3">
      <c r="A152" s="106" t="str">
        <f>'5.2 Budgeted Enrollment YR2'!E58</f>
        <v>Founders Academy of Las Vegas</v>
      </c>
      <c r="C152" s="9" t="str">
        <f>'5.2 Budgeted Enrollment YR2'!D58</f>
        <v>Las Vegas</v>
      </c>
      <c r="D152" s="62">
        <f>'5.2 Budgeted Enrollment YR2'!G58</f>
        <v>1110.2866416609052</v>
      </c>
      <c r="E152" s="820">
        <f t="shared" si="21"/>
        <v>0</v>
      </c>
      <c r="F152" s="821"/>
      <c r="G152" s="838">
        <f t="shared" si="22"/>
        <v>0</v>
      </c>
    </row>
    <row r="153" spans="1:7" x14ac:dyDescent="0.3">
      <c r="A153" s="106" t="str">
        <f>'5.2 Budgeted Enrollment YR2'!E59</f>
        <v>Freedom Classical Academy</v>
      </c>
      <c r="C153" s="9" t="str">
        <f>'5.2 Budgeted Enrollment YR2'!D59</f>
        <v>Las Vegas</v>
      </c>
      <c r="D153" s="62">
        <f>'5.2 Budgeted Enrollment YR2'!G59</f>
        <v>1074.7232250803561</v>
      </c>
      <c r="E153" s="820">
        <f t="shared" si="21"/>
        <v>0</v>
      </c>
      <c r="F153" s="821"/>
      <c r="G153" s="838">
        <f t="shared" si="22"/>
        <v>0</v>
      </c>
    </row>
    <row r="154" spans="1:7" x14ac:dyDescent="0.3">
      <c r="A154" s="106" t="str">
        <f>'5.2 Budgeted Enrollment YR2'!E60</f>
        <v>Futuro Academy Elementary</v>
      </c>
      <c r="C154" s="9" t="str">
        <f>'5.2 Budgeted Enrollment YR2'!D60</f>
        <v>Las Vegas</v>
      </c>
      <c r="D154" s="62">
        <f>'5.2 Budgeted Enrollment YR2'!G60</f>
        <v>467.88219404846518</v>
      </c>
      <c r="E154" s="820">
        <f t="shared" si="21"/>
        <v>0</v>
      </c>
      <c r="F154" s="821"/>
      <c r="G154" s="838">
        <f t="shared" si="22"/>
        <v>0</v>
      </c>
    </row>
    <row r="155" spans="1:7" x14ac:dyDescent="0.3">
      <c r="A155" s="106" t="str">
        <f>'5.2 Budgeted Enrollment YR2'!E61</f>
        <v>High Desert Montessori</v>
      </c>
      <c r="C155" s="9" t="str">
        <f>'5.2 Budgeted Enrollment YR2'!D61</f>
        <v>Reno</v>
      </c>
      <c r="D155" s="62">
        <f>'5.2 Budgeted Enrollment YR2'!G61</f>
        <v>411.94504777978403</v>
      </c>
      <c r="E155" s="820">
        <f t="shared" si="21"/>
        <v>0</v>
      </c>
      <c r="F155" s="821"/>
      <c r="G155" s="838">
        <f t="shared" si="22"/>
        <v>0</v>
      </c>
    </row>
    <row r="156" spans="1:7" x14ac:dyDescent="0.3">
      <c r="A156" s="106" t="str">
        <f>'5.2 Budgeted Enrollment YR2'!E62</f>
        <v>Honors Academy of Literature</v>
      </c>
      <c r="C156" s="9" t="str">
        <f>'5.2 Budgeted Enrollment YR2'!D62</f>
        <v>Reno</v>
      </c>
      <c r="D156" s="62">
        <f>'5.2 Budgeted Enrollment YR2'!G62</f>
        <v>219.20317856717219</v>
      </c>
      <c r="E156" s="820">
        <f t="shared" si="21"/>
        <v>0</v>
      </c>
      <c r="F156" s="821"/>
      <c r="G156" s="838">
        <f t="shared" si="22"/>
        <v>0</v>
      </c>
    </row>
    <row r="157" spans="1:7" x14ac:dyDescent="0.3">
      <c r="A157" s="106" t="str">
        <f>'5.2 Budgeted Enrollment YR2'!E63</f>
        <v>Imagine School Mountain View</v>
      </c>
      <c r="C157" s="9" t="str">
        <f>'5.2 Budgeted Enrollment YR2'!D63</f>
        <v>Las Vegas</v>
      </c>
      <c r="D157" s="62">
        <f>'5.2 Budgeted Enrollment YR2'!G63</f>
        <v>695.95030141306381</v>
      </c>
      <c r="E157" s="820">
        <f t="shared" si="21"/>
        <v>0</v>
      </c>
      <c r="F157" s="821"/>
      <c r="G157" s="838">
        <f t="shared" si="22"/>
        <v>0</v>
      </c>
    </row>
    <row r="158" spans="1:7" x14ac:dyDescent="0.3">
      <c r="A158" s="106" t="str">
        <f>'5.2 Budgeted Enrollment YR2'!E64</f>
        <v>Innovations Int'l Charter</v>
      </c>
      <c r="C158" s="9" t="str">
        <f>'5.2 Budgeted Enrollment YR2'!D64</f>
        <v>Las Vegas</v>
      </c>
      <c r="D158" s="62">
        <f>'5.2 Budgeted Enrollment YR2'!G64</f>
        <v>682.14466872714809</v>
      </c>
      <c r="E158" s="820">
        <f t="shared" si="21"/>
        <v>0</v>
      </c>
      <c r="F158" s="821"/>
      <c r="G158" s="838">
        <f t="shared" si="22"/>
        <v>0</v>
      </c>
    </row>
    <row r="159" spans="1:7" x14ac:dyDescent="0.3">
      <c r="A159" s="106" t="str">
        <f>'5.2 Budgeted Enrollment YR2'!E65</f>
        <v>Leadership Academy of Nevada</v>
      </c>
      <c r="C159" s="9" t="str">
        <f>'5.2 Budgeted Enrollment YR2'!D65</f>
        <v>Las Vegas</v>
      </c>
      <c r="D159" s="62">
        <f>'5.2 Budgeted Enrollment YR2'!G65</f>
        <v>287.40686460222514</v>
      </c>
      <c r="E159" s="820">
        <f t="shared" si="21"/>
        <v>0</v>
      </c>
      <c r="F159" s="821"/>
      <c r="G159" s="838">
        <f t="shared" si="22"/>
        <v>0</v>
      </c>
    </row>
    <row r="160" spans="1:7" x14ac:dyDescent="0.3">
      <c r="A160" s="106" t="str">
        <f>'5.2 Budgeted Enrollment YR2'!E66</f>
        <v>Learning Bridge</v>
      </c>
      <c r="C160" s="9" t="str">
        <f>'5.2 Budgeted Enrollment YR2'!D66</f>
        <v>Ely</v>
      </c>
      <c r="D160" s="62">
        <f>'5.2 Budgeted Enrollment YR2'!G66</f>
        <v>170.53745061484202</v>
      </c>
      <c r="E160" s="820">
        <f t="shared" ref="E160:E189" si="23">IF(C160="Carson City",$G$16,IF(C160="Fallon",$G$18,IF(C160="Elko",$G$39,IF(C160="Ely",$G$116,IF(C160="Stead",$G$110,0)))))</f>
        <v>4390.511404698681</v>
      </c>
      <c r="F160" s="821"/>
      <c r="G160" s="838">
        <f t="shared" si="22"/>
        <v>748747</v>
      </c>
    </row>
    <row r="161" spans="1:8" x14ac:dyDescent="0.3">
      <c r="A161" s="106" t="str">
        <f>'5.2 Budgeted Enrollment YR2'!E67</f>
        <v>Legacy Traditional Schools</v>
      </c>
      <c r="C161" s="9" t="str">
        <f>'5.2 Budgeted Enrollment YR2'!D67</f>
        <v>Las Vegas</v>
      </c>
      <c r="D161" s="62">
        <f>'5.2 Budgeted Enrollment YR2'!G67</f>
        <v>4125.1478938155515</v>
      </c>
      <c r="E161" s="820">
        <f t="shared" si="23"/>
        <v>0</v>
      </c>
      <c r="F161" s="821"/>
      <c r="G161" s="838">
        <f t="shared" si="22"/>
        <v>0</v>
      </c>
    </row>
    <row r="162" spans="1:8" x14ac:dyDescent="0.3">
      <c r="A162" s="106" t="str">
        <f>'5.2 Budgeted Enrollment YR2'!E68</f>
        <v xml:space="preserve">Mariposa Language and Learning Academy </v>
      </c>
      <c r="C162" s="9" t="str">
        <f>'5.2 Budgeted Enrollment YR2'!D68</f>
        <v>Reno</v>
      </c>
      <c r="D162" s="62">
        <f>'5.2 Budgeted Enrollment YR2'!G68</f>
        <v>164.39442664043821</v>
      </c>
      <c r="E162" s="820">
        <f t="shared" si="23"/>
        <v>0</v>
      </c>
      <c r="F162" s="821"/>
      <c r="G162" s="838">
        <f t="shared" si="22"/>
        <v>0</v>
      </c>
    </row>
    <row r="163" spans="1:8" x14ac:dyDescent="0.3">
      <c r="A163" s="106" t="str">
        <f>'5.2 Budgeted Enrollment YR2'!E69</f>
        <v>Mater Academy</v>
      </c>
      <c r="C163" s="9" t="str">
        <f>'5.2 Budgeted Enrollment YR2'!D69</f>
        <v>Las Vegas</v>
      </c>
      <c r="D163" s="62">
        <f>'5.2 Budgeted Enrollment YR2'!G69</f>
        <v>4489.9355041692297</v>
      </c>
      <c r="E163" s="820">
        <f t="shared" si="23"/>
        <v>0</v>
      </c>
      <c r="F163" s="821"/>
      <c r="G163" s="838">
        <f t="shared" si="22"/>
        <v>0</v>
      </c>
    </row>
    <row r="164" spans="1:8" x14ac:dyDescent="0.3">
      <c r="A164" s="106" t="str">
        <f>'5.2 Budgeted Enrollment YR2'!E70</f>
        <v>Mater Academy of Northern Nevada</v>
      </c>
      <c r="C164" s="9" t="str">
        <f>'5.2 Budgeted Enrollment YR2'!D70</f>
        <v>Reno</v>
      </c>
      <c r="D164" s="62">
        <f>'5.2 Budgeted Enrollment YR2'!G70</f>
        <v>502.85317793083078</v>
      </c>
      <c r="E164" s="820">
        <f t="shared" si="23"/>
        <v>0</v>
      </c>
      <c r="F164" s="821"/>
      <c r="G164" s="838">
        <f t="shared" si="22"/>
        <v>0</v>
      </c>
    </row>
    <row r="165" spans="1:8" x14ac:dyDescent="0.3">
      <c r="A165" s="106" t="str">
        <f>'5.2 Budgeted Enrollment YR2'!E71</f>
        <v>Nevada Connections Academy</v>
      </c>
      <c r="C165" s="9" t="str">
        <f>'5.2 Budgeted Enrollment YR2'!D71</f>
        <v>Reno</v>
      </c>
      <c r="D165" s="62">
        <f>'5.2 Budgeted Enrollment YR2'!G71</f>
        <v>1200.806661656123</v>
      </c>
      <c r="E165" s="820">
        <f t="shared" si="23"/>
        <v>0</v>
      </c>
      <c r="F165" s="821"/>
      <c r="G165" s="838">
        <f t="shared" si="22"/>
        <v>0</v>
      </c>
    </row>
    <row r="166" spans="1:8" x14ac:dyDescent="0.3">
      <c r="A166" s="106" t="str">
        <f>'5.2 Budgeted Enrollment YR2'!E72</f>
        <v>Nevada Prep</v>
      </c>
      <c r="C166" s="9" t="str">
        <f>'5.2 Budgeted Enrollment YR2'!D72</f>
        <v>Las Vegas</v>
      </c>
      <c r="D166" s="62">
        <f>'5.2 Budgeted Enrollment YR2'!G72</f>
        <v>305.23837009503319</v>
      </c>
      <c r="E166" s="820">
        <f t="shared" si="23"/>
        <v>0</v>
      </c>
      <c r="F166" s="821"/>
      <c r="G166" s="838">
        <f t="shared" si="22"/>
        <v>0</v>
      </c>
    </row>
    <row r="167" spans="1:8" x14ac:dyDescent="0.3">
      <c r="A167" s="106" t="str">
        <f>'5.2 Budgeted Enrollment YR2'!E73</f>
        <v xml:space="preserve">Nevada Rise </v>
      </c>
      <c r="C167" s="9" t="str">
        <f>'5.2 Budgeted Enrollment YR2'!D73</f>
        <v>Las Vegas</v>
      </c>
      <c r="D167" s="62">
        <f>'5.2 Budgeted Enrollment YR2'!G73</f>
        <v>372.57548213135692</v>
      </c>
      <c r="E167" s="820">
        <f t="shared" si="23"/>
        <v>0</v>
      </c>
      <c r="F167" s="821"/>
      <c r="G167" s="838">
        <f t="shared" si="22"/>
        <v>0</v>
      </c>
    </row>
    <row r="168" spans="1:8" x14ac:dyDescent="0.3">
      <c r="A168" s="106" t="str">
        <f>'5.2 Budgeted Enrollment YR2'!E74</f>
        <v>Nevada State High School</v>
      </c>
      <c r="C168" s="9" t="str">
        <f>'5.2 Budgeted Enrollment YR2'!D74</f>
        <v>Las Vegas</v>
      </c>
      <c r="D168" s="62">
        <f>'5.2 Budgeted Enrollment YR2'!G74</f>
        <v>913.27248049484274</v>
      </c>
      <c r="E168" s="820">
        <f t="shared" si="23"/>
        <v>0</v>
      </c>
      <c r="F168" s="821"/>
      <c r="G168" s="838">
        <f t="shared" si="22"/>
        <v>0</v>
      </c>
    </row>
    <row r="169" spans="1:8" x14ac:dyDescent="0.3">
      <c r="A169" s="106" t="str">
        <f>'5.2 Budgeted Enrollment YR2'!E75</f>
        <v>Nevada State High School-Meadowwood</v>
      </c>
      <c r="C169" s="9" t="str">
        <f>'5.2 Budgeted Enrollment YR2'!D75</f>
        <v>Reno</v>
      </c>
      <c r="D169" s="62">
        <f>'5.2 Budgeted Enrollment YR2'!G75</f>
        <v>30.196612917803087</v>
      </c>
      <c r="E169" s="820">
        <f t="shared" si="23"/>
        <v>0</v>
      </c>
      <c r="F169" s="821"/>
      <c r="G169" s="838">
        <f t="shared" si="22"/>
        <v>0</v>
      </c>
    </row>
    <row r="170" spans="1:8" x14ac:dyDescent="0.3">
      <c r="A170" s="106" t="str">
        <f>'5.2 Budgeted Enrollment YR2'!E76</f>
        <v>Nevada Virtual Academy</v>
      </c>
      <c r="C170" s="9" t="str">
        <f>'5.2 Budgeted Enrollment YR2'!D76</f>
        <v>Las Vegas</v>
      </c>
      <c r="D170" s="62">
        <f>'5.2 Budgeted Enrollment YR2'!G76</f>
        <v>1819.9707035088049</v>
      </c>
      <c r="E170" s="820">
        <f t="shared" si="23"/>
        <v>0</v>
      </c>
      <c r="F170" s="821"/>
      <c r="G170" s="838">
        <f t="shared" si="22"/>
        <v>0</v>
      </c>
    </row>
    <row r="171" spans="1:8" x14ac:dyDescent="0.3">
      <c r="A171" s="106" t="str">
        <f>'5.2 Budgeted Enrollment YR2'!E77</f>
        <v>Oasis Academy</v>
      </c>
      <c r="C171" s="9" t="str">
        <f>'5.2 Budgeted Enrollment YR2'!D77</f>
        <v>Fallon</v>
      </c>
      <c r="D171" s="62">
        <f>'5.2 Budgeted Enrollment YR2'!G77</f>
        <v>785.63660329576021</v>
      </c>
      <c r="E171" s="820">
        <f t="shared" si="23"/>
        <v>1362.1129791515714</v>
      </c>
      <c r="F171" s="821"/>
      <c r="G171" s="838">
        <f t="shared" si="22"/>
        <v>1070126</v>
      </c>
    </row>
    <row r="172" spans="1:8" x14ac:dyDescent="0.3">
      <c r="A172" s="106" t="str">
        <f>'5.2 Budgeted Enrollment YR2'!E78</f>
        <v>Odyssey Charter Schools</v>
      </c>
      <c r="C172" s="9" t="str">
        <f>'5.2 Budgeted Enrollment YR2'!D78</f>
        <v>Las Vegas</v>
      </c>
      <c r="D172" s="62">
        <f>'5.2 Budgeted Enrollment YR2'!G78</f>
        <v>2400.7898726641642</v>
      </c>
      <c r="E172" s="820">
        <f t="shared" si="23"/>
        <v>0</v>
      </c>
      <c r="F172" s="821"/>
      <c r="G172" s="838">
        <f t="shared" si="22"/>
        <v>0</v>
      </c>
    </row>
    <row r="173" spans="1:8" x14ac:dyDescent="0.3">
      <c r="A173" s="106" t="str">
        <f>'5.2 Budgeted Enrollment YR2'!E79</f>
        <v>Pinecrest Academy of Northern Nevada</v>
      </c>
      <c r="C173" s="9" t="str">
        <f>'5.2 Budgeted Enrollment YR2'!D79</f>
        <v>Reno</v>
      </c>
      <c r="D173" s="62">
        <f>'5.2 Budgeted Enrollment YR2'!G79</f>
        <v>1022.3920123229747</v>
      </c>
      <c r="E173" s="820">
        <f t="shared" si="23"/>
        <v>0</v>
      </c>
      <c r="F173" s="821"/>
      <c r="G173" s="838">
        <f t="shared" si="22"/>
        <v>0</v>
      </c>
    </row>
    <row r="174" spans="1:8" x14ac:dyDescent="0.3">
      <c r="A174" s="106" t="str">
        <f>'5.2 Budgeted Enrollment YR2'!E80</f>
        <v>Pinecrest Academy of Nevada</v>
      </c>
      <c r="C174" s="9" t="str">
        <f>'5.2 Budgeted Enrollment YR2'!D80</f>
        <v>Las Vegas</v>
      </c>
      <c r="D174" s="62">
        <f>'5.2 Budgeted Enrollment YR2'!G80</f>
        <v>8054.8515217779041</v>
      </c>
      <c r="E174" s="820">
        <f t="shared" si="23"/>
        <v>0</v>
      </c>
      <c r="F174" s="821"/>
      <c r="G174" s="838">
        <f t="shared" si="22"/>
        <v>0</v>
      </c>
    </row>
    <row r="175" spans="1:8" x14ac:dyDescent="0.3">
      <c r="A175" s="106" t="str">
        <f>'5.2 Budgeted Enrollment YR2'!E81</f>
        <v>Pioneer Technical Arts Academy</v>
      </c>
      <c r="C175" s="9" t="str">
        <f>'5.2 Budgeted Enrollment YR2'!D81</f>
        <v>Las Vegas</v>
      </c>
      <c r="D175" s="62">
        <f>'5.2 Budgeted Enrollment YR2'!G81</f>
        <v>263.87383610592974</v>
      </c>
      <c r="E175" s="820">
        <f t="shared" si="23"/>
        <v>0</v>
      </c>
      <c r="F175" s="821"/>
      <c r="G175" s="838">
        <f t="shared" si="22"/>
        <v>0</v>
      </c>
      <c r="H175" s="9" t="s">
        <v>370</v>
      </c>
    </row>
    <row r="176" spans="1:8" x14ac:dyDescent="0.3">
      <c r="A176" s="106" t="str">
        <f>'5.2 Budgeted Enrollment YR2'!E82</f>
        <v>Quest Academy</v>
      </c>
      <c r="C176" s="9" t="str">
        <f>'5.2 Budgeted Enrollment YR2'!D82</f>
        <v>Las Vegas</v>
      </c>
      <c r="D176" s="62">
        <f>'5.2 Budgeted Enrollment YR2'!G82</f>
        <v>455.57355767788971</v>
      </c>
      <c r="E176" s="820">
        <f t="shared" si="23"/>
        <v>0</v>
      </c>
      <c r="F176" s="821"/>
      <c r="G176" s="838">
        <f t="shared" si="22"/>
        <v>0</v>
      </c>
    </row>
    <row r="177" spans="1:8" x14ac:dyDescent="0.3">
      <c r="A177" s="106" t="str">
        <f>'5.2 Budgeted Enrollment YR2'!E83</f>
        <v>Rainbow Dreams Academy</v>
      </c>
      <c r="C177" s="9" t="str">
        <f>'5.2 Budgeted Enrollment YR2'!D83</f>
        <v>Las Vegas</v>
      </c>
      <c r="D177" s="62">
        <f>'5.2 Budgeted Enrollment YR2'!G83</f>
        <v>63.383111480510713</v>
      </c>
      <c r="E177" s="820">
        <f t="shared" si="23"/>
        <v>0</v>
      </c>
      <c r="F177" s="821"/>
      <c r="G177" s="838">
        <f t="shared" si="22"/>
        <v>0</v>
      </c>
    </row>
    <row r="178" spans="1:8" x14ac:dyDescent="0.3">
      <c r="A178" s="106" t="str">
        <f>'5.2 Budgeted Enrollment YR2'!E84</f>
        <v>Rooted Charter School</v>
      </c>
      <c r="C178" s="9" t="str">
        <f>'5.2 Budgeted Enrollment YR2'!D84</f>
        <v>Las Vegas</v>
      </c>
      <c r="D178" s="62">
        <f>'5.2 Budgeted Enrollment YR2'!G84</f>
        <v>23.615168211814723</v>
      </c>
      <c r="E178" s="820">
        <f t="shared" si="23"/>
        <v>0</v>
      </c>
      <c r="F178" s="821"/>
      <c r="G178" s="838">
        <f t="shared" si="22"/>
        <v>0</v>
      </c>
    </row>
    <row r="179" spans="1:8" x14ac:dyDescent="0.3">
      <c r="A179" s="106" t="str">
        <f>'5.2 Budgeted Enrollment YR2'!E85</f>
        <v>Sage Collegiate Academy</v>
      </c>
      <c r="C179" s="9" t="str">
        <f>'5.2 Budgeted Enrollment YR2'!D85</f>
        <v>Las Vegas</v>
      </c>
      <c r="D179" s="62">
        <f>'5.2 Budgeted Enrollment YR2'!G85</f>
        <v>236.13114718926738</v>
      </c>
      <c r="E179" s="820">
        <f t="shared" si="23"/>
        <v>0</v>
      </c>
      <c r="F179" s="821"/>
      <c r="G179" s="838">
        <f t="shared" si="22"/>
        <v>0</v>
      </c>
    </row>
    <row r="180" spans="1:8" x14ac:dyDescent="0.3">
      <c r="A180" s="106" t="str">
        <f>'5.2 Budgeted Enrollment YR2'!E86</f>
        <v>Sierra Nevada Academy Charter</v>
      </c>
      <c r="C180" s="9" t="str">
        <f>'5.2 Budgeted Enrollment YR2'!D86</f>
        <v>Stead</v>
      </c>
      <c r="D180" s="62">
        <f>'5.2 Budgeted Enrollment YR2'!G86</f>
        <v>265.07102245962432</v>
      </c>
      <c r="E180" s="820">
        <f t="shared" si="23"/>
        <v>753.04722610596946</v>
      </c>
      <c r="F180" s="821"/>
      <c r="G180" s="838">
        <f t="shared" si="22"/>
        <v>199611</v>
      </c>
    </row>
    <row r="181" spans="1:8" x14ac:dyDescent="0.3">
      <c r="A181" s="106" t="str">
        <f>'5.2 Budgeted Enrollment YR2'!E87</f>
        <v>Signature Preparatory</v>
      </c>
      <c r="C181" s="9" t="str">
        <f>'5.2 Budgeted Enrollment YR2'!D87</f>
        <v>Las Vegas</v>
      </c>
      <c r="D181" s="62">
        <f>'5.2 Budgeted Enrollment YR2'!G87</f>
        <v>995.39371457820653</v>
      </c>
      <c r="E181" s="820">
        <f t="shared" si="23"/>
        <v>0</v>
      </c>
      <c r="F181" s="821"/>
      <c r="G181" s="838">
        <f t="shared" si="22"/>
        <v>0</v>
      </c>
    </row>
    <row r="182" spans="1:8" x14ac:dyDescent="0.3">
      <c r="A182" s="106" t="str">
        <f>'5.2 Budgeted Enrollment YR2'!E88</f>
        <v>Silver Sands Montessori</v>
      </c>
      <c r="C182" s="9" t="str">
        <f>'5.2 Budgeted Enrollment YR2'!D88</f>
        <v>Las Vegas</v>
      </c>
      <c r="D182" s="62">
        <f>'5.2 Budgeted Enrollment YR2'!G88</f>
        <v>239.7637761081109</v>
      </c>
      <c r="E182" s="820">
        <f t="shared" si="23"/>
        <v>0</v>
      </c>
      <c r="F182" s="821"/>
      <c r="G182" s="838">
        <f t="shared" si="22"/>
        <v>0</v>
      </c>
    </row>
    <row r="183" spans="1:8" x14ac:dyDescent="0.3">
      <c r="A183" s="106" t="str">
        <f>'5.2 Budgeted Enrollment YR2'!E89</f>
        <v>Somerset Academy</v>
      </c>
      <c r="C183" s="9" t="str">
        <f>'5.2 Budgeted Enrollment YR2'!D89</f>
        <v>Las Vegas</v>
      </c>
      <c r="D183" s="62">
        <f>'5.2 Budgeted Enrollment YR2'!G89</f>
        <v>9613.0429519265235</v>
      </c>
      <c r="E183" s="820">
        <f t="shared" si="23"/>
        <v>0</v>
      </c>
      <c r="F183" s="821"/>
      <c r="G183" s="838">
        <f t="shared" si="22"/>
        <v>0</v>
      </c>
    </row>
    <row r="184" spans="1:8" x14ac:dyDescent="0.3">
      <c r="A184" s="106" t="str">
        <f>'5.2 Budgeted Enrollment YR2'!E90</f>
        <v>Southern Nevada Trade High School</v>
      </c>
      <c r="C184" s="9" t="str">
        <f>'5.2 Budgeted Enrollment YR2'!D90</f>
        <v>Las Vegas</v>
      </c>
      <c r="D184" s="62">
        <f>'5.2 Budgeted Enrollment YR2'!G90</f>
        <v>81.083193428487846</v>
      </c>
      <c r="E184" s="820">
        <f t="shared" si="23"/>
        <v>0</v>
      </c>
      <c r="F184" s="821"/>
      <c r="G184" s="838">
        <f t="shared" si="22"/>
        <v>0</v>
      </c>
    </row>
    <row r="185" spans="1:8" x14ac:dyDescent="0.3">
      <c r="A185" s="106" t="str">
        <f>'5.2 Budgeted Enrollment YR2'!E91</f>
        <v>Sports Leadership and Management Academy</v>
      </c>
      <c r="C185" s="9" t="str">
        <f>'5.2 Budgeted Enrollment YR2'!D91</f>
        <v>Las Vegas</v>
      </c>
      <c r="D185" s="62">
        <f>'5.2 Budgeted Enrollment YR2'!G91</f>
        <v>1868.7586142879702</v>
      </c>
      <c r="E185" s="820">
        <f t="shared" si="23"/>
        <v>0</v>
      </c>
      <c r="F185" s="821"/>
      <c r="G185" s="838">
        <f t="shared" si="22"/>
        <v>0</v>
      </c>
    </row>
    <row r="186" spans="1:8" x14ac:dyDescent="0.3">
      <c r="A186" s="106" t="str">
        <f>'5.2 Budgeted Enrollment YR2'!E92</f>
        <v>Strong Start Academy</v>
      </c>
      <c r="C186" s="9" t="str">
        <f>'5.2 Budgeted Enrollment YR2'!D92</f>
        <v>Las Vegas</v>
      </c>
      <c r="D186" s="62">
        <f>'5.2 Budgeted Enrollment YR2'!G92</f>
        <v>147.52292907276259</v>
      </c>
      <c r="E186" s="820">
        <f t="shared" si="23"/>
        <v>0</v>
      </c>
      <c r="F186" s="821"/>
      <c r="G186" s="838">
        <f t="shared" si="22"/>
        <v>0</v>
      </c>
    </row>
    <row r="187" spans="1:8" x14ac:dyDescent="0.3">
      <c r="A187" s="106" t="str">
        <f>'5.2 Budgeted Enrollment YR2'!E93</f>
        <v>ThrivePoint</v>
      </c>
      <c r="C187" s="9" t="str">
        <f>'5.2 Budgeted Enrollment YR2'!D93</f>
        <v>Las Vegas</v>
      </c>
      <c r="D187" s="62">
        <f>'5.2 Budgeted Enrollment YR2'!G93</f>
        <v>152.98522015479972</v>
      </c>
      <c r="E187" s="820">
        <f t="shared" si="23"/>
        <v>0</v>
      </c>
      <c r="F187" s="821"/>
      <c r="G187" s="838">
        <f t="shared" si="22"/>
        <v>0</v>
      </c>
      <c r="H187" s="9" t="s">
        <v>370</v>
      </c>
    </row>
    <row r="188" spans="1:8" x14ac:dyDescent="0.3">
      <c r="A188" s="106" t="str">
        <f>'5.2 Budgeted Enrollment YR2'!E94</f>
        <v>Vegas Vista Academy</v>
      </c>
      <c r="C188" s="9" t="str">
        <f>'5.2 Budgeted Enrollment YR2'!D94</f>
        <v>Las Vegas</v>
      </c>
      <c r="D188" s="62">
        <f>'5.2 Budgeted Enrollment YR2'!G94</f>
        <v>104.72813728717834</v>
      </c>
      <c r="E188" s="820">
        <f t="shared" si="23"/>
        <v>0</v>
      </c>
      <c r="F188" s="821"/>
      <c r="G188" s="838">
        <f t="shared" si="22"/>
        <v>0</v>
      </c>
      <c r="H188" s="9" t="s">
        <v>370</v>
      </c>
    </row>
    <row r="189" spans="1:8" x14ac:dyDescent="0.3">
      <c r="A189" s="142" t="str">
        <f>'5.2 Budgeted Enrollment YR2'!E95</f>
        <v>Young Women's Leadership Academy</v>
      </c>
      <c r="B189" s="137"/>
      <c r="C189" s="137" t="str">
        <f>'5.2 Budgeted Enrollment YR2'!D95</f>
        <v>Las Vegas</v>
      </c>
      <c r="D189" s="359">
        <f>'5.2 Budgeted Enrollment YR2'!G95</f>
        <v>118.86232883517145</v>
      </c>
      <c r="E189" s="822">
        <f t="shared" si="23"/>
        <v>0</v>
      </c>
      <c r="F189" s="823"/>
      <c r="G189" s="838">
        <f t="shared" si="22"/>
        <v>0</v>
      </c>
    </row>
    <row r="190" spans="1:8" x14ac:dyDescent="0.3">
      <c r="A190" s="289" t="s">
        <v>1439</v>
      </c>
      <c r="B190" s="291"/>
      <c r="C190" s="291"/>
      <c r="D190" s="1378">
        <f>SUM(D128:D189)</f>
        <v>72301.606666666703</v>
      </c>
      <c r="E190" s="1379"/>
      <c r="F190" s="1379"/>
      <c r="G190" s="1417">
        <f>SUM(G128:G189)</f>
        <v>2466600</v>
      </c>
    </row>
    <row r="191" spans="1:8" x14ac:dyDescent="0.3">
      <c r="D191" s="57">
        <f>D190-'5.2 Budgeted Enrollment YR2'!G96</f>
        <v>0</v>
      </c>
      <c r="E191" s="821"/>
      <c r="F191" s="821"/>
      <c r="G191" s="821">
        <f>G190-'6.6 Adj. Base Summary YR2'!E101</f>
        <v>0</v>
      </c>
    </row>
    <row r="192" spans="1:8" x14ac:dyDescent="0.3">
      <c r="D192" s="57"/>
      <c r="E192" s="821"/>
      <c r="F192" s="821"/>
      <c r="G192" s="821"/>
    </row>
    <row r="193" spans="1:7" s="79" customFormat="1" ht="82.5" customHeight="1" x14ac:dyDescent="0.3">
      <c r="A193" s="80" t="str">
        <f>'6.3 Statewide Base Funding YR2'!A102</f>
        <v>University Schools</v>
      </c>
      <c r="B193" s="80"/>
      <c r="C193" s="80" t="s">
        <v>256</v>
      </c>
      <c r="D193" s="1381" t="s">
        <v>1440</v>
      </c>
      <c r="E193" s="1382" t="s">
        <v>1761</v>
      </c>
      <c r="F193" s="1382"/>
      <c r="G193" s="1382" t="s">
        <v>1762</v>
      </c>
    </row>
    <row r="194" spans="1:7" x14ac:dyDescent="0.3">
      <c r="A194" s="455" t="str">
        <f>'5.2 Budgeted Enrollment YR2'!E100</f>
        <v>Davidson Academy</v>
      </c>
      <c r="B194" s="207"/>
      <c r="C194" s="207" t="str">
        <f>'5.2 Budgeted Enrollment YR2'!D100</f>
        <v>Reno</v>
      </c>
      <c r="D194" s="463">
        <f>'5.2 Budgeted Enrollment YR2'!G100</f>
        <v>167.88437423074134</v>
      </c>
      <c r="E194" s="1374">
        <f>IF(C194="Carson City",$G$16,IF(C194="Fallon",$G$18,IF(C194="Elko",$G$39,IF(C194="Ely",$G$116,0))))</f>
        <v>0</v>
      </c>
      <c r="F194" s="1374"/>
      <c r="G194" s="2014">
        <f t="shared" ref="G194:G195" si="24">ROUND(D194*E194,0)</f>
        <v>0</v>
      </c>
    </row>
    <row r="195" spans="1:7" x14ac:dyDescent="0.3">
      <c r="A195" s="142" t="str">
        <f>'5.2 Budgeted Enrollment YR2'!E101</f>
        <v>TBD</v>
      </c>
      <c r="B195" s="137"/>
      <c r="C195" s="137">
        <f>'5.2 Budgeted Enrollment YR2'!D101</f>
        <v>0</v>
      </c>
      <c r="D195" s="461">
        <f>'5.2 Budgeted Enrollment YR2'!G101</f>
        <v>0</v>
      </c>
      <c r="E195" s="823">
        <f>IF(C195="Carson City",$G$16,IF(C195="Fallon",$G$18,IF(C195="Elko",$G$39,IF(C195="Ely",$G$116,0))))</f>
        <v>0</v>
      </c>
      <c r="F195" s="823"/>
      <c r="G195" s="1380">
        <f t="shared" si="24"/>
        <v>0</v>
      </c>
    </row>
    <row r="196" spans="1:7" x14ac:dyDescent="0.3">
      <c r="A196" s="294"/>
      <c r="B196" s="226"/>
      <c r="C196" s="329"/>
      <c r="D196" s="1376">
        <f>SUM(D194:D195)</f>
        <v>167.88437423074134</v>
      </c>
      <c r="E196" s="1377"/>
      <c r="F196" s="1377"/>
      <c r="G196" s="1375">
        <f>SUM(G194:G195)</f>
        <v>0</v>
      </c>
    </row>
    <row r="197" spans="1:7" s="79" customFormat="1" ht="82.5" customHeight="1" x14ac:dyDescent="0.3">
      <c r="A197" s="80" t="str">
        <f>'6.3 Statewide Base Funding YR2'!A107</f>
        <v>City of Henderson</v>
      </c>
      <c r="B197" s="80"/>
      <c r="C197" s="80" t="s">
        <v>256</v>
      </c>
      <c r="D197" s="1381" t="s">
        <v>1440</v>
      </c>
      <c r="E197" s="1382" t="s">
        <v>1761</v>
      </c>
      <c r="F197" s="1382"/>
      <c r="G197" s="1382" t="s">
        <v>1762</v>
      </c>
    </row>
    <row r="198" spans="1:7" x14ac:dyDescent="0.3">
      <c r="A198" s="455" t="str">
        <f>'5.2 Budgeted Enrollment YR2'!E107</f>
        <v>TBD</v>
      </c>
      <c r="B198" s="207"/>
      <c r="C198" s="207" t="str">
        <f>'5.2 Budgeted Enrollment YR2'!D107</f>
        <v>Las Vegas</v>
      </c>
      <c r="D198" s="463">
        <f>'5.2 Budgeted Enrollment YR2'!G107</f>
        <v>0</v>
      </c>
      <c r="E198" s="1374">
        <f>IF(C198="Carson City",$G$16,IF(C198="Fallon",$G$18,IF(C198="Elko",$G$39,IF(C198="Ely",$G$116,0))))</f>
        <v>0</v>
      </c>
      <c r="F198" s="1374"/>
      <c r="G198" s="2014">
        <f t="shared" ref="G198:G199" si="25">ROUND(D198*E198,0)</f>
        <v>0</v>
      </c>
    </row>
    <row r="199" spans="1:7" x14ac:dyDescent="0.3">
      <c r="A199" s="142" t="str">
        <f>'5.2 Budgeted Enrollment YR2'!E108</f>
        <v>TBD</v>
      </c>
      <c r="B199" s="137"/>
      <c r="C199" s="137" t="str">
        <f>'5.2 Budgeted Enrollment YR2'!D108</f>
        <v>Las Vegas</v>
      </c>
      <c r="D199" s="461">
        <f>'5.2 Budgeted Enrollment YR2'!G105</f>
        <v>0</v>
      </c>
      <c r="E199" s="823">
        <f>IF(C199="Carson City",$G$16,IF(C199="Fallon",$G$18,IF(C199="Elko",$G$39,IF(C199="Ely",$G$116,0))))</f>
        <v>0</v>
      </c>
      <c r="F199" s="823"/>
      <c r="G199" s="1380">
        <f t="shared" si="25"/>
        <v>0</v>
      </c>
    </row>
    <row r="200" spans="1:7" x14ac:dyDescent="0.3">
      <c r="A200" s="294"/>
      <c r="B200" s="226"/>
      <c r="C200" s="329"/>
      <c r="D200" s="1376">
        <f>SUM(D198:D199)</f>
        <v>0</v>
      </c>
      <c r="E200" s="1377"/>
      <c r="F200" s="1377"/>
      <c r="G200" s="1375">
        <f>SUM(G198:G199)</f>
        <v>0</v>
      </c>
    </row>
    <row r="201" spans="1:7" s="79" customFormat="1" ht="84.75" customHeight="1" x14ac:dyDescent="0.3">
      <c r="A201" s="80" t="str">
        <f>'6.3 Statewide Base Funding YR2'!A112</f>
        <v>City of North Las Vegas</v>
      </c>
      <c r="B201" s="80"/>
      <c r="C201" s="80" t="s">
        <v>256</v>
      </c>
      <c r="D201" s="1381" t="s">
        <v>1440</v>
      </c>
      <c r="E201" s="1382" t="s">
        <v>1761</v>
      </c>
      <c r="F201" s="1382"/>
      <c r="G201" s="1382" t="s">
        <v>1762</v>
      </c>
    </row>
    <row r="202" spans="1:7" x14ac:dyDescent="0.3">
      <c r="A202" s="455" t="str">
        <f>'5.2 Budgeted Enrollment YR2'!E113</f>
        <v>TBD</v>
      </c>
      <c r="B202" s="207"/>
      <c r="C202" s="207" t="str">
        <f>'5.2 Budgeted Enrollment YR2'!D113</f>
        <v>Las Vegas</v>
      </c>
      <c r="D202" s="463">
        <f>'5.2 Budgeted Enrollment YR2'!G113</f>
        <v>0</v>
      </c>
      <c r="E202" s="1374">
        <f>IF(C202="Carson City",$G$16,IF(C202="Fallon",$G$18,IF(C202="Elko",$G$39,IF(C202="Ely",$G$116,0))))</f>
        <v>0</v>
      </c>
      <c r="F202" s="1374"/>
      <c r="G202" s="2014">
        <f>ROUND(D202*E202,0)</f>
        <v>0</v>
      </c>
    </row>
    <row r="203" spans="1:7" x14ac:dyDescent="0.3">
      <c r="A203" s="142" t="str">
        <f>'5.2 Budgeted Enrollment YR2'!E114</f>
        <v>TBD</v>
      </c>
      <c r="B203" s="137"/>
      <c r="C203" s="137" t="str">
        <f>'5.2 Budgeted Enrollment YR2'!D114</f>
        <v>Las Vegas</v>
      </c>
      <c r="D203" s="461">
        <f>'5.2 Budgeted Enrollment YR2'!G114</f>
        <v>0</v>
      </c>
      <c r="E203" s="823">
        <f>IF(C203="Carson City",$G$16,IF(C203="Fallon",$G$18,IF(C203="Elko",$G$39,IF(C203="Ely",$G$116,0))))</f>
        <v>0</v>
      </c>
      <c r="F203" s="823"/>
      <c r="G203" s="1380">
        <f t="shared" ref="G203" si="26">ROUND(D203*E203,0)</f>
        <v>0</v>
      </c>
    </row>
    <row r="204" spans="1:7" x14ac:dyDescent="0.3">
      <c r="A204" s="294"/>
      <c r="B204" s="226"/>
      <c r="C204" s="226"/>
      <c r="D204" s="1376">
        <f>SUM(D202:D203)</f>
        <v>0</v>
      </c>
      <c r="E204" s="1377"/>
      <c r="F204" s="1377"/>
      <c r="G204" s="1375">
        <f>SUM(G202:G203)</f>
        <v>0</v>
      </c>
    </row>
  </sheetData>
  <pageMargins left="0.7" right="0.7" top="0.75" bottom="0.75" header="0.3" footer="0.3"/>
  <pageSetup scale="74" fitToHeight="4" orientation="landscape" horizontalDpi="1200" verticalDpi="1200" r:id="rId1"/>
  <rowBreaks count="3" manualBreakCount="3">
    <brk id="49" max="6" man="1"/>
    <brk id="87" max="6" man="1"/>
    <brk id="119" max="6"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9805-41B0-4EB6-8DE0-A127D80FF8FD}">
  <sheetPr>
    <tabColor theme="6" tint="-0.249977111117893"/>
    <pageSetUpPr autoPageBreaks="0" fitToPage="1"/>
  </sheetPr>
  <dimension ref="A1:M109"/>
  <sheetViews>
    <sheetView topLeftCell="A56" workbookViewId="0">
      <selection activeCell="K26" sqref="K26"/>
    </sheetView>
  </sheetViews>
  <sheetFormatPr defaultColWidth="8.7109375" defaultRowHeight="16.5" x14ac:dyDescent="0.3"/>
  <cols>
    <col min="1" max="1" width="7.7109375" style="4" customWidth="1"/>
    <col min="2" max="2" width="39.140625" style="9" customWidth="1"/>
    <col min="3" max="3" width="13.140625" style="9" bestFit="1" customWidth="1"/>
    <col min="4" max="4" width="14.140625" style="9" bestFit="1" customWidth="1"/>
    <col min="5" max="5" width="10.5703125" style="9" bestFit="1" customWidth="1"/>
    <col min="6" max="6" width="15" style="9" bestFit="1" customWidth="1"/>
    <col min="7" max="7" width="15.7109375" style="9" bestFit="1" customWidth="1"/>
    <col min="8" max="8" width="19.140625" style="9" bestFit="1" customWidth="1"/>
    <col min="9" max="9" width="19.140625" style="9" customWidth="1"/>
    <col min="10" max="10" width="18.42578125" style="9" customWidth="1"/>
    <col min="11" max="11" width="10.5703125" style="78" bestFit="1" customWidth="1"/>
    <col min="12" max="12" width="43.7109375" style="9" bestFit="1" customWidth="1"/>
    <col min="13" max="13" width="12.7109375" style="9" bestFit="1" customWidth="1"/>
    <col min="14" max="16384" width="8.7109375" style="9"/>
  </cols>
  <sheetData>
    <row r="1" spans="1:13" s="4" customFormat="1" x14ac:dyDescent="0.3">
      <c r="B1" s="4" t="s">
        <v>15</v>
      </c>
      <c r="K1" s="16"/>
    </row>
    <row r="2" spans="1:13" x14ac:dyDescent="0.3">
      <c r="B2" s="9" t="str">
        <f>CONCATENATE("Pupil Center Funding Plan | FY",'5.1 Assumption Control YR2'!D5)</f>
        <v>Pupil Center Funding Plan | FY2027</v>
      </c>
      <c r="K2" s="162"/>
    </row>
    <row r="3" spans="1:13" x14ac:dyDescent="0.3">
      <c r="B3" s="9" t="s">
        <v>1763</v>
      </c>
      <c r="K3" s="162"/>
    </row>
    <row r="4" spans="1:13" x14ac:dyDescent="0.3">
      <c r="I4" s="79"/>
      <c r="J4" s="76"/>
    </row>
    <row r="5" spans="1:13" ht="66" x14ac:dyDescent="0.3">
      <c r="A5" s="4" t="str">
        <f>'2.3 Statewide Base Funding YR1'!A13</f>
        <v>School District</v>
      </c>
      <c r="B5" s="4"/>
      <c r="C5" s="4"/>
      <c r="D5" s="80" t="str">
        <f>'2.5 NCEI Adj. YR1'!D5</f>
        <v>Statewide Base Per pupil Funding</v>
      </c>
      <c r="E5" s="644" t="str">
        <f>'2.5 NCEI Adj. YR1'!E5</f>
        <v>Distant Education Enrollment</v>
      </c>
      <c r="F5" s="645" t="str">
        <f>'2.5 NCEI Adj. YR1'!F5</f>
        <v>Statewide Base Total for Distant Education</v>
      </c>
      <c r="G5" s="644" t="str">
        <f>'2.5 NCEI Adj. YR1'!G5</f>
        <v>Total Enrollment less Distant Education</v>
      </c>
      <c r="H5" s="645" t="str">
        <f>'2.5 NCEI Adj. YR1'!H5</f>
        <v xml:space="preserve">Total Statewide base less Distant Education </v>
      </c>
      <c r="I5" s="278" t="str">
        <f>'2.5 NCEI Adj. YR1'!I5</f>
        <v>NCEI, Using CWI All Workers for Wages, and RPP “Goods” for Non-wages</v>
      </c>
      <c r="J5" s="631" t="str">
        <f>'2.5 NCEI Adj. YR1'!J5</f>
        <v xml:space="preserve">Nevada Cost of Education Index (NCEI) Adjustment </v>
      </c>
    </row>
    <row r="6" spans="1:13" s="84" customFormat="1" x14ac:dyDescent="0.25">
      <c r="A6" s="654"/>
      <c r="B6" s="203" t="s">
        <v>1346</v>
      </c>
      <c r="C6" s="652" t="s">
        <v>1733</v>
      </c>
      <c r="D6" s="652" t="s">
        <v>1742</v>
      </c>
      <c r="E6" s="658" t="s">
        <v>1450</v>
      </c>
      <c r="F6" s="816" t="s">
        <v>1417</v>
      </c>
      <c r="G6" s="658" t="s">
        <v>1733</v>
      </c>
      <c r="H6" s="667" t="s">
        <v>1764</v>
      </c>
      <c r="I6" s="653" t="s">
        <v>1725</v>
      </c>
      <c r="J6" s="1395" t="s">
        <v>1765</v>
      </c>
      <c r="K6" s="170"/>
    </row>
    <row r="7" spans="1:13" x14ac:dyDescent="0.3">
      <c r="B7" s="9" t="str">
        <f>'5.2 Budgeted Enrollment YR2'!E9</f>
        <v>Carson City</v>
      </c>
      <c r="C7" s="35">
        <f>'5.2 Budgeted Enrollment YR2'!B9</f>
        <v>13</v>
      </c>
      <c r="D7" s="641">
        <f>'6.3 Statewide Base Funding YR2'!C14</f>
        <v>9502</v>
      </c>
      <c r="E7" s="1386">
        <v>0</v>
      </c>
      <c r="F7" s="177">
        <f>D7*E7</f>
        <v>0</v>
      </c>
      <c r="G7" s="660">
        <f>'5.2 Budgeted Enrollment YR2'!G9-E7</f>
        <v>6970.4860982512937</v>
      </c>
      <c r="H7" s="1413">
        <f>ROUND(D7*G7,0)</f>
        <v>66233559</v>
      </c>
      <c r="I7" s="360">
        <f>'5.1 Assumption Control YR2'!M35</f>
        <v>1</v>
      </c>
      <c r="J7" s="1396">
        <f>SUM(H7:H7)*(I7-1)</f>
        <v>0</v>
      </c>
      <c r="K7" s="643"/>
    </row>
    <row r="8" spans="1:13" x14ac:dyDescent="0.3">
      <c r="B8" s="9" t="str">
        <f>'5.2 Budgeted Enrollment YR2'!E10</f>
        <v>Churchill</v>
      </c>
      <c r="C8" s="35">
        <f>'5.2 Budgeted Enrollment YR2'!B10</f>
        <v>1</v>
      </c>
      <c r="D8" s="641">
        <f>'6.3 Statewide Base Funding YR2'!C15</f>
        <v>9502</v>
      </c>
      <c r="E8" s="1386">
        <v>0</v>
      </c>
      <c r="F8" s="177">
        <f t="shared" ref="F8:F22" si="0">D8*E8</f>
        <v>0</v>
      </c>
      <c r="G8" s="660">
        <f>'5.2 Budgeted Enrollment YR2'!G10-E8</f>
        <v>3074.1458778318033</v>
      </c>
      <c r="H8" s="646">
        <f t="shared" ref="H8:H23" si="1">ROUND(D8*G8,0)</f>
        <v>29210534</v>
      </c>
      <c r="I8" s="360">
        <f>'5.1 Assumption Control YR2'!M36</f>
        <v>1</v>
      </c>
      <c r="J8" s="1396">
        <f t="shared" ref="J8:J23" si="2">SUM(H8:H8)*(I8-1)</f>
        <v>0</v>
      </c>
      <c r="K8" s="643"/>
      <c r="L8" s="12"/>
      <c r="M8" s="153"/>
    </row>
    <row r="9" spans="1:13" x14ac:dyDescent="0.3">
      <c r="B9" s="9" t="str">
        <f>'5.2 Budgeted Enrollment YR2'!E11</f>
        <v>Clark</v>
      </c>
      <c r="C9" s="35">
        <f>'5.2 Budgeted Enrollment YR2'!B11</f>
        <v>2</v>
      </c>
      <c r="D9" s="641">
        <f>'6.3 Statewide Base Funding YR2'!C16</f>
        <v>9502</v>
      </c>
      <c r="E9" s="1386">
        <v>0</v>
      </c>
      <c r="F9" s="177">
        <f t="shared" si="0"/>
        <v>0</v>
      </c>
      <c r="G9" s="660">
        <f>'5.2 Budgeted Enrollment YR2'!G11-E9</f>
        <v>285878.81775061262</v>
      </c>
      <c r="H9" s="646">
        <f t="shared" si="1"/>
        <v>2716420526</v>
      </c>
      <c r="I9" s="360">
        <f>'5.1 Assumption Control YR2'!M37</f>
        <v>1</v>
      </c>
      <c r="J9" s="1396">
        <f t="shared" si="2"/>
        <v>0</v>
      </c>
      <c r="K9" s="643"/>
      <c r="L9" s="12"/>
      <c r="M9" s="153"/>
    </row>
    <row r="10" spans="1:13" x14ac:dyDescent="0.3">
      <c r="B10" s="9" t="str">
        <f>'5.2 Budgeted Enrollment YR2'!E12</f>
        <v>Douglas</v>
      </c>
      <c r="C10" s="35">
        <f>'5.2 Budgeted Enrollment YR2'!B12</f>
        <v>3</v>
      </c>
      <c r="D10" s="641">
        <f>'6.3 Statewide Base Funding YR2'!C17</f>
        <v>9502</v>
      </c>
      <c r="E10" s="1386">
        <v>0</v>
      </c>
      <c r="F10" s="177">
        <f t="shared" si="0"/>
        <v>0</v>
      </c>
      <c r="G10" s="660">
        <f>'5.2 Budgeted Enrollment YR2'!G12-E10</f>
        <v>4790.5859463145525</v>
      </c>
      <c r="H10" s="646">
        <f t="shared" si="1"/>
        <v>45520148</v>
      </c>
      <c r="I10" s="360">
        <f>'5.1 Assumption Control YR2'!M38</f>
        <v>1</v>
      </c>
      <c r="J10" s="1396">
        <f t="shared" si="2"/>
        <v>0</v>
      </c>
      <c r="K10" s="643"/>
      <c r="L10" s="12"/>
      <c r="M10" s="153"/>
    </row>
    <row r="11" spans="1:13" x14ac:dyDescent="0.3">
      <c r="B11" s="9" t="str">
        <f>'5.2 Budgeted Enrollment YR2'!E13</f>
        <v>Elko</v>
      </c>
      <c r="C11" s="35">
        <f>'5.2 Budgeted Enrollment YR2'!B13</f>
        <v>4</v>
      </c>
      <c r="D11" s="641">
        <f>'6.3 Statewide Base Funding YR2'!C18</f>
        <v>9502</v>
      </c>
      <c r="E11" s="1386">
        <v>0</v>
      </c>
      <c r="F11" s="177">
        <f t="shared" si="0"/>
        <v>0</v>
      </c>
      <c r="G11" s="660">
        <f>'5.2 Budgeted Enrollment YR2'!G13-E11</f>
        <v>9234.4483500865917</v>
      </c>
      <c r="H11" s="646">
        <f t="shared" si="1"/>
        <v>87745728</v>
      </c>
      <c r="I11" s="360">
        <f>'5.1 Assumption Control YR2'!M39</f>
        <v>1</v>
      </c>
      <c r="J11" s="1396">
        <f t="shared" si="2"/>
        <v>0</v>
      </c>
      <c r="K11" s="643"/>
      <c r="L11" s="12"/>
      <c r="M11" s="153"/>
    </row>
    <row r="12" spans="1:13" x14ac:dyDescent="0.3">
      <c r="B12" s="9" t="str">
        <f>'5.2 Budgeted Enrollment YR2'!E14</f>
        <v>Esmeralda</v>
      </c>
      <c r="C12" s="35">
        <f>'5.2 Budgeted Enrollment YR2'!B14</f>
        <v>5</v>
      </c>
      <c r="D12" s="641">
        <f>'6.3 Statewide Base Funding YR2'!C19</f>
        <v>9502</v>
      </c>
      <c r="E12" s="1386">
        <v>0</v>
      </c>
      <c r="F12" s="177">
        <f t="shared" si="0"/>
        <v>0</v>
      </c>
      <c r="G12" s="660">
        <f>'5.2 Budgeted Enrollment YR2'!G14-E12</f>
        <v>80.635895560117746</v>
      </c>
      <c r="H12" s="646">
        <f t="shared" si="1"/>
        <v>766202</v>
      </c>
      <c r="I12" s="360">
        <f>'5.1 Assumption Control YR2'!M40</f>
        <v>1</v>
      </c>
      <c r="J12" s="1396">
        <f t="shared" si="2"/>
        <v>0</v>
      </c>
      <c r="K12" s="643"/>
      <c r="L12" s="12"/>
      <c r="M12" s="153"/>
    </row>
    <row r="13" spans="1:13" x14ac:dyDescent="0.3">
      <c r="B13" s="9" t="str">
        <f>'5.2 Budgeted Enrollment YR2'!E15</f>
        <v>Eureka</v>
      </c>
      <c r="C13" s="35">
        <f>'5.2 Budgeted Enrollment YR2'!B15</f>
        <v>6</v>
      </c>
      <c r="D13" s="641">
        <f>'6.3 Statewide Base Funding YR2'!C20</f>
        <v>9502</v>
      </c>
      <c r="E13" s="1386">
        <v>0</v>
      </c>
      <c r="F13" s="177">
        <f t="shared" si="0"/>
        <v>0</v>
      </c>
      <c r="G13" s="660">
        <f>'5.2 Budgeted Enrollment YR2'!G15-E13</f>
        <v>297.58201989503061</v>
      </c>
      <c r="H13" s="646">
        <f t="shared" si="1"/>
        <v>2827624</v>
      </c>
      <c r="I13" s="360">
        <f>'5.1 Assumption Control YR2'!M41</f>
        <v>1</v>
      </c>
      <c r="J13" s="1396">
        <f t="shared" si="2"/>
        <v>0</v>
      </c>
      <c r="K13" s="643"/>
      <c r="L13" s="12"/>
      <c r="M13" s="153"/>
    </row>
    <row r="14" spans="1:13" x14ac:dyDescent="0.3">
      <c r="B14" s="9" t="str">
        <f>'5.2 Budgeted Enrollment YR2'!E16</f>
        <v>Humboldt</v>
      </c>
      <c r="C14" s="35">
        <f>'5.2 Budgeted Enrollment YR2'!B16</f>
        <v>7</v>
      </c>
      <c r="D14" s="641">
        <f>'6.3 Statewide Base Funding YR2'!C21</f>
        <v>9502</v>
      </c>
      <c r="E14" s="1386">
        <v>0</v>
      </c>
      <c r="F14" s="177">
        <f t="shared" si="0"/>
        <v>0</v>
      </c>
      <c r="G14" s="660">
        <f>'5.2 Budgeted Enrollment YR2'!G16-E14</f>
        <v>3135.8857800940204</v>
      </c>
      <c r="H14" s="646">
        <f t="shared" si="1"/>
        <v>29797187</v>
      </c>
      <c r="I14" s="360">
        <f>'5.1 Assumption Control YR2'!M42</f>
        <v>1</v>
      </c>
      <c r="J14" s="1396">
        <f t="shared" si="2"/>
        <v>0</v>
      </c>
      <c r="K14" s="643"/>
      <c r="L14" s="12"/>
      <c r="M14" s="153"/>
    </row>
    <row r="15" spans="1:13" x14ac:dyDescent="0.3">
      <c r="B15" s="9" t="str">
        <f>'5.2 Budgeted Enrollment YR2'!E17</f>
        <v>Lander</v>
      </c>
      <c r="C15" s="35">
        <f>'5.2 Budgeted Enrollment YR2'!B17</f>
        <v>8</v>
      </c>
      <c r="D15" s="641">
        <f>'6.3 Statewide Base Funding YR2'!C22</f>
        <v>9502</v>
      </c>
      <c r="E15" s="1386">
        <v>0</v>
      </c>
      <c r="F15" s="177">
        <f t="shared" si="0"/>
        <v>0</v>
      </c>
      <c r="G15" s="660">
        <f>'5.2 Budgeted Enrollment YR2'!G17-E15</f>
        <v>970.28169719049401</v>
      </c>
      <c r="H15" s="646">
        <f t="shared" si="1"/>
        <v>9219617</v>
      </c>
      <c r="I15" s="360">
        <f>'5.1 Assumption Control YR2'!M43</f>
        <v>1</v>
      </c>
      <c r="J15" s="1396">
        <f t="shared" si="2"/>
        <v>0</v>
      </c>
      <c r="K15" s="643"/>
      <c r="L15" s="12"/>
      <c r="M15" s="153"/>
    </row>
    <row r="16" spans="1:13" x14ac:dyDescent="0.3">
      <c r="B16" s="9" t="str">
        <f>'5.2 Budgeted Enrollment YR2'!E18</f>
        <v>Lincoln</v>
      </c>
      <c r="C16" s="35">
        <f>'5.2 Budgeted Enrollment YR2'!B18</f>
        <v>9</v>
      </c>
      <c r="D16" s="641">
        <f>'6.3 Statewide Base Funding YR2'!C23</f>
        <v>9502</v>
      </c>
      <c r="E16" s="1386">
        <v>0</v>
      </c>
      <c r="F16" s="177">
        <f t="shared" si="0"/>
        <v>0</v>
      </c>
      <c r="G16" s="660">
        <f>'5.2 Budgeted Enrollment YR2'!G18-E16</f>
        <v>870.02699048734246</v>
      </c>
      <c r="H16" s="646">
        <f t="shared" si="1"/>
        <v>8266996</v>
      </c>
      <c r="I16" s="360">
        <f>'5.1 Assumption Control YR2'!M44</f>
        <v>1</v>
      </c>
      <c r="J16" s="1396">
        <f t="shared" si="2"/>
        <v>0</v>
      </c>
      <c r="K16" s="643"/>
      <c r="L16" s="12"/>
      <c r="M16" s="153"/>
    </row>
    <row r="17" spans="1:13" x14ac:dyDescent="0.3">
      <c r="B17" s="9" t="str">
        <f>'5.2 Budgeted Enrollment YR2'!E19</f>
        <v>Lyon</v>
      </c>
      <c r="C17" s="35">
        <f>'5.2 Budgeted Enrollment YR2'!B19</f>
        <v>10</v>
      </c>
      <c r="D17" s="641">
        <f>'6.3 Statewide Base Funding YR2'!C24</f>
        <v>9502</v>
      </c>
      <c r="E17" s="1386">
        <v>0</v>
      </c>
      <c r="F17" s="177">
        <f t="shared" si="0"/>
        <v>0</v>
      </c>
      <c r="G17" s="660">
        <f>'5.2 Budgeted Enrollment YR2'!G19-E17</f>
        <v>8933.9764767711295</v>
      </c>
      <c r="H17" s="646">
        <f t="shared" si="1"/>
        <v>84890644</v>
      </c>
      <c r="I17" s="360">
        <f>'5.1 Assumption Control YR2'!M45</f>
        <v>1</v>
      </c>
      <c r="J17" s="1396">
        <f t="shared" si="2"/>
        <v>0</v>
      </c>
      <c r="K17" s="643"/>
      <c r="L17" s="12"/>
      <c r="M17" s="153"/>
    </row>
    <row r="18" spans="1:13" x14ac:dyDescent="0.3">
      <c r="B18" s="9" t="str">
        <f>'5.2 Budgeted Enrollment YR2'!E20</f>
        <v>Mineral</v>
      </c>
      <c r="C18" s="35">
        <f>'5.2 Budgeted Enrollment YR2'!B20</f>
        <v>11</v>
      </c>
      <c r="D18" s="641">
        <f>'6.3 Statewide Base Funding YR2'!C25</f>
        <v>9502</v>
      </c>
      <c r="E18" s="1386">
        <v>0</v>
      </c>
      <c r="F18" s="177">
        <f t="shared" si="0"/>
        <v>0</v>
      </c>
      <c r="G18" s="660">
        <f>'5.2 Budgeted Enrollment YR2'!G20-E18</f>
        <v>509.60323278309136</v>
      </c>
      <c r="H18" s="646">
        <f t="shared" si="1"/>
        <v>4842250</v>
      </c>
      <c r="I18" s="360">
        <f>'5.1 Assumption Control YR2'!M46</f>
        <v>1</v>
      </c>
      <c r="J18" s="1396">
        <f t="shared" si="2"/>
        <v>0</v>
      </c>
      <c r="K18" s="643"/>
      <c r="L18" s="12"/>
      <c r="M18" s="153"/>
    </row>
    <row r="19" spans="1:13" x14ac:dyDescent="0.3">
      <c r="B19" s="9" t="str">
        <f>'5.2 Budgeted Enrollment YR2'!E21</f>
        <v>Nye</v>
      </c>
      <c r="C19" s="35">
        <f>'5.2 Budgeted Enrollment YR2'!B21</f>
        <v>12</v>
      </c>
      <c r="D19" s="641">
        <f>'6.3 Statewide Base Funding YR2'!C26</f>
        <v>9502</v>
      </c>
      <c r="E19" s="1386">
        <v>0</v>
      </c>
      <c r="F19" s="177">
        <f t="shared" si="0"/>
        <v>0</v>
      </c>
      <c r="G19" s="660">
        <f>'5.2 Budgeted Enrollment YR2'!G21-E19</f>
        <v>5457.0457625112185</v>
      </c>
      <c r="H19" s="646">
        <f t="shared" si="1"/>
        <v>51852849</v>
      </c>
      <c r="I19" s="360">
        <f>'5.1 Assumption Control YR2'!M47</f>
        <v>1</v>
      </c>
      <c r="J19" s="1396">
        <f t="shared" si="2"/>
        <v>0</v>
      </c>
      <c r="K19" s="643"/>
      <c r="L19" s="12"/>
      <c r="M19" s="153"/>
    </row>
    <row r="20" spans="1:13" x14ac:dyDescent="0.3">
      <c r="B20" s="9" t="str">
        <f>'5.2 Budgeted Enrollment YR2'!E22</f>
        <v>Pershing</v>
      </c>
      <c r="C20" s="35">
        <f>'5.2 Budgeted Enrollment YR2'!B22</f>
        <v>14</v>
      </c>
      <c r="D20" s="641">
        <f>'6.3 Statewide Base Funding YR2'!C27</f>
        <v>9502</v>
      </c>
      <c r="E20" s="1386">
        <v>0</v>
      </c>
      <c r="F20" s="177">
        <f t="shared" si="0"/>
        <v>0</v>
      </c>
      <c r="G20" s="660">
        <f>'5.2 Budgeted Enrollment YR2'!G22-E20</f>
        <v>635.8592256998902</v>
      </c>
      <c r="H20" s="646">
        <f t="shared" si="1"/>
        <v>6041934</v>
      </c>
      <c r="I20" s="360">
        <f>'5.1 Assumption Control YR2'!M48</f>
        <v>1</v>
      </c>
      <c r="J20" s="1396">
        <f t="shared" si="2"/>
        <v>0</v>
      </c>
      <c r="K20" s="643"/>
    </row>
    <row r="21" spans="1:13" x14ac:dyDescent="0.3">
      <c r="B21" s="9" t="str">
        <f>'5.2 Budgeted Enrollment YR2'!E23</f>
        <v>Storey</v>
      </c>
      <c r="C21" s="35">
        <f>'5.2 Budgeted Enrollment YR2'!B23</f>
        <v>15</v>
      </c>
      <c r="D21" s="641">
        <f>'6.3 Statewide Base Funding YR2'!C28</f>
        <v>9502</v>
      </c>
      <c r="E21" s="1386">
        <v>0</v>
      </c>
      <c r="F21" s="177">
        <f t="shared" si="0"/>
        <v>0</v>
      </c>
      <c r="G21" s="660">
        <f>'5.2 Budgeted Enrollment YR2'!G23-E21</f>
        <v>395.34078642383383</v>
      </c>
      <c r="H21" s="646">
        <f t="shared" si="1"/>
        <v>3756528</v>
      </c>
      <c r="I21" s="360">
        <f>'5.1 Assumption Control YR2'!M49</f>
        <v>1</v>
      </c>
      <c r="J21" s="1396">
        <f t="shared" si="2"/>
        <v>0</v>
      </c>
      <c r="K21" s="643"/>
    </row>
    <row r="22" spans="1:13" x14ac:dyDescent="0.3">
      <c r="B22" s="9" t="str">
        <f>'5.2 Budgeted Enrollment YR2'!E24</f>
        <v>Washoe</v>
      </c>
      <c r="C22" s="35">
        <f>'5.2 Budgeted Enrollment YR2'!B24</f>
        <v>16</v>
      </c>
      <c r="D22" s="641">
        <f>'6.3 Statewide Base Funding YR2'!C29</f>
        <v>9502</v>
      </c>
      <c r="E22" s="1386">
        <v>0</v>
      </c>
      <c r="F22" s="177">
        <f t="shared" si="0"/>
        <v>0</v>
      </c>
      <c r="G22" s="660">
        <f>'5.2 Budgeted Enrollment YR2'!G24-E22</f>
        <v>58816.718998091914</v>
      </c>
      <c r="H22" s="646">
        <f t="shared" si="1"/>
        <v>558876464</v>
      </c>
      <c r="I22" s="360">
        <f>'5.1 Assumption Control YR2'!M50</f>
        <v>1</v>
      </c>
      <c r="J22" s="1396">
        <f t="shared" si="2"/>
        <v>0</v>
      </c>
      <c r="K22" s="643"/>
    </row>
    <row r="23" spans="1:13" x14ac:dyDescent="0.3">
      <c r="A23" s="135"/>
      <c r="B23" s="137" t="str">
        <f>'5.2 Budgeted Enrollment YR2'!E25</f>
        <v>White Pine</v>
      </c>
      <c r="C23" s="304">
        <f>'5.2 Budgeted Enrollment YR2'!B25</f>
        <v>17</v>
      </c>
      <c r="D23" s="183">
        <f>'6.3 Statewide Base Funding YR2'!C30</f>
        <v>9502</v>
      </c>
      <c r="E23" s="1387">
        <v>0</v>
      </c>
      <c r="F23" s="183">
        <f>D23*E23</f>
        <v>0</v>
      </c>
      <c r="G23" s="1383">
        <f>'5.2 Budgeted Enrollment YR2'!G25-E23</f>
        <v>1231.0239819599622</v>
      </c>
      <c r="H23" s="647">
        <f t="shared" si="1"/>
        <v>11697190</v>
      </c>
      <c r="I23" s="1384">
        <f>'5.1 Assumption Control YR2'!M51</f>
        <v>1</v>
      </c>
      <c r="J23" s="1397">
        <f t="shared" si="2"/>
        <v>0</v>
      </c>
      <c r="K23" s="643"/>
    </row>
    <row r="24" spans="1:13" x14ac:dyDescent="0.3">
      <c r="B24" s="9" t="str">
        <f>'5.2 Budgeted Enrollment YR2'!E26</f>
        <v>Charter Schools</v>
      </c>
      <c r="C24" s="35">
        <f>'5.2 Budgeted Enrollment YR2'!B26</f>
        <v>18</v>
      </c>
      <c r="D24" s="641">
        <f>'6.3 Statewide Base Funding YR2'!C31</f>
        <v>9502</v>
      </c>
      <c r="E24" s="1386">
        <v>0</v>
      </c>
      <c r="F24" s="177">
        <f>F94</f>
        <v>32546100.551247489</v>
      </c>
      <c r="G24" s="180">
        <f>G94</f>
        <v>68876.422436899535</v>
      </c>
      <c r="H24" s="177">
        <f>H94</f>
        <v>654463767</v>
      </c>
      <c r="I24" s="1392"/>
      <c r="J24" s="394">
        <f>J94</f>
        <v>0</v>
      </c>
      <c r="K24" s="643"/>
    </row>
    <row r="25" spans="1:13" x14ac:dyDescent="0.3">
      <c r="B25" s="9" t="str">
        <f>'5.2 Budgeted Enrollment YR2'!E27</f>
        <v>University Schools</v>
      </c>
      <c r="C25" s="35">
        <f>'5.2 Budgeted Enrollment YR2'!B27</f>
        <v>19</v>
      </c>
      <c r="D25" s="177">
        <f>'6.3 Statewide Base Funding YR2'!C32</f>
        <v>9502</v>
      </c>
      <c r="E25" s="1386">
        <v>0</v>
      </c>
      <c r="F25" s="177">
        <f>F99</f>
        <v>0</v>
      </c>
      <c r="G25" s="1385">
        <f>G99</f>
        <v>167.88437423074134</v>
      </c>
      <c r="H25" s="186">
        <f>H99</f>
        <v>1595237</v>
      </c>
      <c r="I25" s="1393"/>
      <c r="J25" s="394">
        <f>J99</f>
        <v>0</v>
      </c>
      <c r="K25" s="643"/>
    </row>
    <row r="26" spans="1:13" x14ac:dyDescent="0.3">
      <c r="B26" s="9" t="str">
        <f>'5.2 Budgeted Enrollment YR2'!E28</f>
        <v>City of Henderson</v>
      </c>
      <c r="C26" s="35">
        <f>'5.2 Budgeted Enrollment YR2'!B28</f>
        <v>20</v>
      </c>
      <c r="D26" s="177">
        <f>'6.3 Statewide Base Funding YR2'!C33</f>
        <v>9502</v>
      </c>
      <c r="E26" s="1386">
        <v>0</v>
      </c>
      <c r="F26" s="177">
        <f>F104</f>
        <v>0</v>
      </c>
      <c r="G26" s="1385">
        <f>G104</f>
        <v>0</v>
      </c>
      <c r="H26" s="186">
        <f>H104</f>
        <v>0</v>
      </c>
      <c r="I26" s="1393"/>
      <c r="J26" s="394">
        <f>J104</f>
        <v>0</v>
      </c>
      <c r="K26" s="643"/>
    </row>
    <row r="27" spans="1:13" x14ac:dyDescent="0.3">
      <c r="A27" s="135"/>
      <c r="B27" s="137" t="str">
        <f>'5.2 Budgeted Enrollment YR2'!E29</f>
        <v>City of North Las Vegas</v>
      </c>
      <c r="C27" s="304">
        <f>'5.2 Budgeted Enrollment YR2'!B29</f>
        <v>21</v>
      </c>
      <c r="D27" s="183">
        <f>'6.3 Statewide Base Funding YR2'!C34</f>
        <v>9502</v>
      </c>
      <c r="E27" s="1387">
        <v>0</v>
      </c>
      <c r="F27" s="183">
        <f>F109</f>
        <v>0</v>
      </c>
      <c r="G27" s="2327">
        <f>G109</f>
        <v>0</v>
      </c>
      <c r="H27" s="468">
        <f>H109</f>
        <v>0</v>
      </c>
      <c r="I27" s="1394"/>
      <c r="J27" s="392">
        <f>J109</f>
        <v>0</v>
      </c>
      <c r="K27" s="643"/>
    </row>
    <row r="28" spans="1:13" s="4" customFormat="1" x14ac:dyDescent="0.3">
      <c r="B28" s="4" t="s">
        <v>1456</v>
      </c>
      <c r="E28" s="659">
        <f>SUM(E7:E27)</f>
        <v>0</v>
      </c>
      <c r="F28" s="817">
        <f>SUM(F7:F27)</f>
        <v>32546100.551247489</v>
      </c>
      <c r="G28" s="1418">
        <f>SUM(G7:G27)</f>
        <v>460326.77168169525</v>
      </c>
      <c r="H28" s="1419">
        <f>SUM(H7:H27)</f>
        <v>4374024984</v>
      </c>
      <c r="I28" s="817"/>
      <c r="J28" s="378">
        <f>SUM(J7:J25)</f>
        <v>0</v>
      </c>
    </row>
    <row r="29" spans="1:13" x14ac:dyDescent="0.3">
      <c r="H29" s="15"/>
      <c r="I29" s="82"/>
      <c r="J29" s="15"/>
    </row>
    <row r="30" spans="1:13" s="83" customFormat="1" ht="69" customHeight="1" x14ac:dyDescent="0.3">
      <c r="A30" s="464" t="str">
        <f>'2.3 Statewide Base Funding YR1'!A37</f>
        <v>Charter Schools</v>
      </c>
      <c r="B30" s="465"/>
      <c r="C30" s="466"/>
      <c r="D30" s="466" t="str">
        <f>D5</f>
        <v>Statewide Base Per pupil Funding</v>
      </c>
      <c r="E30" s="278" t="str">
        <f t="shared" ref="E30:J30" si="3">E5</f>
        <v>Distant Education Enrollment</v>
      </c>
      <c r="F30" s="608" t="str">
        <f t="shared" si="3"/>
        <v>Statewide Base Total for Distant Education</v>
      </c>
      <c r="G30" s="278" t="str">
        <f t="shared" si="3"/>
        <v>Total Enrollment less Distant Education</v>
      </c>
      <c r="H30" s="608" t="str">
        <f t="shared" si="3"/>
        <v xml:space="preserve">Total Statewide base less Distant Education </v>
      </c>
      <c r="I30" s="631" t="str">
        <f t="shared" si="3"/>
        <v>NCEI, Using CWI All Workers for Wages, and RPP “Goods” for Non-wages</v>
      </c>
      <c r="J30" s="631" t="str">
        <f t="shared" si="3"/>
        <v xml:space="preserve">Nevada Cost of Education Index (NCEI) Adjustment </v>
      </c>
      <c r="K30" s="171"/>
    </row>
    <row r="31" spans="1:13" s="86" customFormat="1" x14ac:dyDescent="0.25">
      <c r="A31" s="655"/>
      <c r="B31" s="656" t="s">
        <v>1346</v>
      </c>
      <c r="C31" s="657" t="str">
        <f>C6</f>
        <v>Tab 5.2</v>
      </c>
      <c r="D31" s="657" t="str">
        <f>D6</f>
        <v>Tab 6.3</v>
      </c>
      <c r="E31" s="1402" t="str">
        <f>E6</f>
        <v>N/A</v>
      </c>
      <c r="F31" s="1403" t="str">
        <f>F6</f>
        <v>= D * E</v>
      </c>
      <c r="G31" s="1402" t="str">
        <f>G6</f>
        <v>Tab 5.2</v>
      </c>
      <c r="H31" s="1403" t="str">
        <f>H6</f>
        <v>= D * G</v>
      </c>
      <c r="I31" s="1399" t="s">
        <v>1766</v>
      </c>
      <c r="J31" s="1398" t="str">
        <f>J6</f>
        <v>=(H * (G - 1))</v>
      </c>
      <c r="K31" s="172"/>
    </row>
    <row r="32" spans="1:13" x14ac:dyDescent="0.3">
      <c r="B32" s="9" t="str">
        <f>'5.2 Budgeted Enrollment YR2'!E34</f>
        <v>FuturEdge (Formerly 100 Academy Of Excellence)</v>
      </c>
      <c r="C32" s="399" t="str">
        <f>'5.2 Budgeted Enrollment YR2'!A34</f>
        <v>Clark</v>
      </c>
      <c r="D32" s="370">
        <f>'6.3 Statewide Base Funding YR2'!C38</f>
        <v>9502</v>
      </c>
      <c r="E32" s="1407">
        <f>'5.2 Budgeted Enrollment YR2'!L34</f>
        <v>0</v>
      </c>
      <c r="F32" s="402">
        <f>D32*E32</f>
        <v>0</v>
      </c>
      <c r="G32" s="1404">
        <f>'5.2 Budgeted Enrollment YR2'!G34-E32</f>
        <v>240.86136805673826</v>
      </c>
      <c r="H32" s="1413">
        <f>ROUND(D32*G32,0)</f>
        <v>2288665</v>
      </c>
      <c r="I32" s="1400">
        <f>VLOOKUP($C32,'6.5 NCEI Adj. YR2'!$B$7:$I$23,8,FALSE)</f>
        <v>1</v>
      </c>
      <c r="J32" s="2057">
        <f>SUM(H32:H32)*(I32-1)</f>
        <v>0</v>
      </c>
      <c r="K32" s="9"/>
    </row>
    <row r="33" spans="2:11" x14ac:dyDescent="0.3">
      <c r="B33" s="9" t="str">
        <f>'5.2 Budgeted Enrollment YR2'!E35</f>
        <v>Academy For Career Education</v>
      </c>
      <c r="C33" s="399" t="str">
        <f>'5.2 Budgeted Enrollment YR2'!A35</f>
        <v>Washoe</v>
      </c>
      <c r="D33" s="370">
        <f>'6.3 Statewide Base Funding YR2'!C39</f>
        <v>9502</v>
      </c>
      <c r="E33" s="1407">
        <f>'5.2 Budgeted Enrollment YR2'!L35</f>
        <v>0</v>
      </c>
      <c r="F33" s="402">
        <f t="shared" ref="F33:F93" si="4">D33*E33</f>
        <v>0</v>
      </c>
      <c r="G33" s="1404">
        <f>'5.2 Budgeted Enrollment YR2'!G35-E33</f>
        <v>253.57864951202251</v>
      </c>
      <c r="H33" s="646">
        <f t="shared" ref="H33:H92" si="5">ROUND(D33*G33,0)</f>
        <v>2409504</v>
      </c>
      <c r="I33" s="1400">
        <f>VLOOKUP($C33,'6.5 NCEI Adj. YR2'!$B$7:$I$23,8,FALSE)</f>
        <v>1</v>
      </c>
      <c r="J33" s="1396">
        <f t="shared" ref="J33:J63" si="6">SUM(H33:H33)*(I33-1)</f>
        <v>0</v>
      </c>
      <c r="K33" s="9"/>
    </row>
    <row r="34" spans="2:11" x14ac:dyDescent="0.3">
      <c r="B34" s="9" t="str">
        <f>'5.2 Budgeted Enrollment YR2'!E36</f>
        <v xml:space="preserve">Alpine Academy </v>
      </c>
      <c r="C34" s="399" t="str">
        <f>'5.2 Budgeted Enrollment YR2'!A36</f>
        <v>Washoe</v>
      </c>
      <c r="D34" s="370">
        <f>'6.3 Statewide Base Funding YR2'!C40</f>
        <v>9502</v>
      </c>
      <c r="E34" s="1407">
        <f>'5.2 Budgeted Enrollment YR2'!L36</f>
        <v>0</v>
      </c>
      <c r="F34" s="402">
        <f t="shared" si="4"/>
        <v>0</v>
      </c>
      <c r="G34" s="1404">
        <f>'5.2 Budgeted Enrollment YR2'!G36-E34</f>
        <v>164.31844740358281</v>
      </c>
      <c r="H34" s="646">
        <f t="shared" si="5"/>
        <v>1561354</v>
      </c>
      <c r="I34" s="1400">
        <f>VLOOKUP($C34,'6.5 NCEI Adj. YR2'!$B$7:$I$23,8,FALSE)</f>
        <v>1</v>
      </c>
      <c r="J34" s="1396">
        <f t="shared" si="6"/>
        <v>0</v>
      </c>
      <c r="K34" s="9"/>
    </row>
    <row r="35" spans="2:11" x14ac:dyDescent="0.3">
      <c r="B35" s="9" t="str">
        <f>'5.2 Budgeted Enrollment YR2'!E37</f>
        <v xml:space="preserve">Amplus (Formerly American Preparatory Academy) </v>
      </c>
      <c r="C35" s="399" t="str">
        <f>'5.2 Budgeted Enrollment YR2'!A37</f>
        <v>Clark</v>
      </c>
      <c r="D35" s="370">
        <f>'6.3 Statewide Base Funding YR2'!C41</f>
        <v>9502</v>
      </c>
      <c r="E35" s="1407">
        <f>'5.2 Budgeted Enrollment YR2'!L37</f>
        <v>0</v>
      </c>
      <c r="F35" s="402">
        <f t="shared" si="4"/>
        <v>0</v>
      </c>
      <c r="G35" s="1404">
        <f>'5.2 Budgeted Enrollment YR2'!G37-E35</f>
        <v>2368.9011816066622</v>
      </c>
      <c r="H35" s="646">
        <f t="shared" si="5"/>
        <v>22509299</v>
      </c>
      <c r="I35" s="1400">
        <f>VLOOKUP($C35,'6.5 NCEI Adj. YR2'!$B$7:$I$23,8,FALSE)</f>
        <v>1</v>
      </c>
      <c r="J35" s="1396">
        <f t="shared" si="6"/>
        <v>0</v>
      </c>
      <c r="K35" s="9"/>
    </row>
    <row r="36" spans="2:11" x14ac:dyDescent="0.3">
      <c r="B36" s="9" t="str">
        <f>'5.2 Budgeted Enrollment YR2'!E38</f>
        <v>Bailey Charter School</v>
      </c>
      <c r="C36" s="399" t="str">
        <f>'5.2 Budgeted Enrollment YR2'!A38</f>
        <v>Washoe</v>
      </c>
      <c r="D36" s="370">
        <f>'6.3 Statewide Base Funding YR2'!C42</f>
        <v>9502</v>
      </c>
      <c r="E36" s="1407">
        <f>'5.2 Budgeted Enrollment YR2'!L38</f>
        <v>0</v>
      </c>
      <c r="F36" s="402">
        <f t="shared" si="4"/>
        <v>0</v>
      </c>
      <c r="G36" s="1404">
        <f>'5.2 Budgeted Enrollment YR2'!G38-E36</f>
        <v>166.53929996193739</v>
      </c>
      <c r="H36" s="646">
        <f t="shared" si="5"/>
        <v>1582456</v>
      </c>
      <c r="I36" s="1400">
        <f>VLOOKUP($C36,'6.5 NCEI Adj. YR2'!$B$7:$I$23,8,FALSE)</f>
        <v>1</v>
      </c>
      <c r="J36" s="1396">
        <f t="shared" si="6"/>
        <v>0</v>
      </c>
      <c r="K36" s="9"/>
    </row>
    <row r="37" spans="2:11" x14ac:dyDescent="0.3">
      <c r="B37" s="9" t="str">
        <f>'5.2 Budgeted Enrollment YR2'!E39</f>
        <v>Battle Born Academy</v>
      </c>
      <c r="C37" s="399" t="str">
        <f>'5.2 Budgeted Enrollment YR2'!A39</f>
        <v>Clark</v>
      </c>
      <c r="D37" s="370">
        <f>'6.3 Statewide Base Funding YR2'!C43</f>
        <v>9502</v>
      </c>
      <c r="E37" s="1407">
        <f>'5.2 Budgeted Enrollment YR2'!L39</f>
        <v>0</v>
      </c>
      <c r="F37" s="402">
        <f t="shared" si="4"/>
        <v>0</v>
      </c>
      <c r="G37" s="1404">
        <f>'5.2 Budgeted Enrollment YR2'!G39-E37</f>
        <v>270.53331354166147</v>
      </c>
      <c r="H37" s="646">
        <f t="shared" si="5"/>
        <v>2570608</v>
      </c>
      <c r="I37" s="1400">
        <f>VLOOKUP($C37,'6.5 NCEI Adj. YR2'!$B$7:$I$23,8,FALSE)</f>
        <v>1</v>
      </c>
      <c r="J37" s="1396">
        <f t="shared" si="6"/>
        <v>0</v>
      </c>
      <c r="K37" s="9"/>
    </row>
    <row r="38" spans="2:11" x14ac:dyDescent="0.3">
      <c r="B38" s="9" t="str">
        <f>'5.2 Budgeted Enrollment YR2'!E40</f>
        <v>Beacon Academy</v>
      </c>
      <c r="C38" s="399" t="str">
        <f>'5.2 Budgeted Enrollment YR2'!A40</f>
        <v>Clark</v>
      </c>
      <c r="D38" s="370">
        <f>'6.3 Statewide Base Funding YR2'!C44</f>
        <v>9502</v>
      </c>
      <c r="E38" s="1407">
        <f>'5.2 Budgeted Enrollment YR2'!L40</f>
        <v>0</v>
      </c>
      <c r="F38" s="402">
        <f t="shared" si="4"/>
        <v>0</v>
      </c>
      <c r="G38" s="1404">
        <f>'5.2 Budgeted Enrollment YR2'!G40-E38</f>
        <v>857.51912183963623</v>
      </c>
      <c r="H38" s="646">
        <f t="shared" si="5"/>
        <v>8148147</v>
      </c>
      <c r="I38" s="1400">
        <f>VLOOKUP($C38,'6.5 NCEI Adj. YR2'!$B$7:$I$23,8,FALSE)</f>
        <v>1</v>
      </c>
      <c r="J38" s="1396">
        <f t="shared" si="6"/>
        <v>0</v>
      </c>
      <c r="K38" s="9"/>
    </row>
    <row r="39" spans="2:11" x14ac:dyDescent="0.3">
      <c r="B39" s="9" t="str">
        <f>'5.2 Budgeted Enrollment YR2'!E41</f>
        <v>Cactus Park</v>
      </c>
      <c r="C39" s="399" t="str">
        <f>'5.2 Budgeted Enrollment YR2'!A41</f>
        <v>Clark</v>
      </c>
      <c r="D39" s="370">
        <f>'6.3 Statewide Base Funding YR2'!C45</f>
        <v>9502</v>
      </c>
      <c r="E39" s="1407">
        <f>'5.2 Budgeted Enrollment YR2'!L41</f>
        <v>0</v>
      </c>
      <c r="F39" s="402">
        <f t="shared" si="4"/>
        <v>0</v>
      </c>
      <c r="G39" s="1404">
        <f>'5.2 Budgeted Enrollment YR2'!G41-E39</f>
        <v>301.59239347241777</v>
      </c>
      <c r="H39" s="646">
        <f t="shared" si="5"/>
        <v>2865731</v>
      </c>
      <c r="I39" s="1400">
        <f>VLOOKUP($C39,'6.5 NCEI Adj. YR2'!$B$7:$I$23,8,FALSE)</f>
        <v>1</v>
      </c>
      <c r="J39" s="1396">
        <f t="shared" si="6"/>
        <v>0</v>
      </c>
      <c r="K39" s="9"/>
    </row>
    <row r="40" spans="2:11" x14ac:dyDescent="0.3">
      <c r="B40" s="9" t="str">
        <f>'5.2 Budgeted Enrollment YR2'!E42</f>
        <v>Carson Montessori</v>
      </c>
      <c r="C40" s="399" t="str">
        <f>'5.2 Budgeted Enrollment YR2'!A42</f>
        <v>Carson City</v>
      </c>
      <c r="D40" s="370">
        <f>'6.3 Statewide Base Funding YR2'!C46</f>
        <v>9502</v>
      </c>
      <c r="E40" s="1407">
        <f>'5.2 Budgeted Enrollment YR2'!L42</f>
        <v>0</v>
      </c>
      <c r="F40" s="402">
        <f t="shared" si="4"/>
        <v>0</v>
      </c>
      <c r="G40" s="1404">
        <f>'5.2 Budgeted Enrollment YR2'!G42-E40</f>
        <v>296.55722891108132</v>
      </c>
      <c r="H40" s="646">
        <f t="shared" si="5"/>
        <v>2817887</v>
      </c>
      <c r="I40" s="1400">
        <f>VLOOKUP($C40,'6.5 NCEI Adj. YR2'!$B$7:$I$23,8,FALSE)</f>
        <v>1</v>
      </c>
      <c r="J40" s="1396">
        <f t="shared" si="6"/>
        <v>0</v>
      </c>
      <c r="K40" s="9"/>
    </row>
    <row r="41" spans="2:11" x14ac:dyDescent="0.3">
      <c r="B41" s="9" t="str">
        <f>'5.2 Budgeted Enrollment YR2'!E43</f>
        <v>CIVICA Nevada Career &amp; Collegiate Academy</v>
      </c>
      <c r="C41" s="399" t="str">
        <f>'5.2 Budgeted Enrollment YR2'!A43</f>
        <v>Clark</v>
      </c>
      <c r="D41" s="370">
        <f>'6.3 Statewide Base Funding YR2'!C47</f>
        <v>9502</v>
      </c>
      <c r="E41" s="1407">
        <f>'5.2 Budgeted Enrollment YR2'!L43</f>
        <v>0</v>
      </c>
      <c r="F41" s="402">
        <f t="shared" si="4"/>
        <v>0</v>
      </c>
      <c r="G41" s="1404">
        <f>'5.2 Budgeted Enrollment YR2'!G43-E41</f>
        <v>916.3393721230467</v>
      </c>
      <c r="H41" s="646">
        <f t="shared" si="5"/>
        <v>8707057</v>
      </c>
      <c r="I41" s="1400">
        <f>VLOOKUP($C41,'6.5 NCEI Adj. YR2'!$B$7:$I$23,8,FALSE)</f>
        <v>1</v>
      </c>
      <c r="J41" s="1396">
        <f t="shared" si="6"/>
        <v>0</v>
      </c>
      <c r="K41" s="9"/>
    </row>
    <row r="42" spans="2:11" x14ac:dyDescent="0.3">
      <c r="B42" s="9" t="str">
        <f>'5.2 Budgeted Enrollment YR2'!E44</f>
        <v>Coral Academy of Science Las Vegas</v>
      </c>
      <c r="C42" s="399" t="str">
        <f>'5.2 Budgeted Enrollment YR2'!A44</f>
        <v>Clark</v>
      </c>
      <c r="D42" s="370">
        <f>'6.3 Statewide Base Funding YR2'!C48</f>
        <v>9502</v>
      </c>
      <c r="E42" s="1407">
        <f>'5.2 Budgeted Enrollment YR2'!L44</f>
        <v>0</v>
      </c>
      <c r="F42" s="402">
        <f t="shared" si="4"/>
        <v>0</v>
      </c>
      <c r="G42" s="1404">
        <f>'5.2 Budgeted Enrollment YR2'!G44-E42</f>
        <v>5480.3063751434274</v>
      </c>
      <c r="H42" s="646">
        <f t="shared" si="5"/>
        <v>52073871</v>
      </c>
      <c r="I42" s="1400">
        <f>VLOOKUP($C42,'6.5 NCEI Adj. YR2'!$B$7:$I$23,8,FALSE)</f>
        <v>1</v>
      </c>
      <c r="J42" s="1396">
        <f t="shared" si="6"/>
        <v>0</v>
      </c>
      <c r="K42" s="9"/>
    </row>
    <row r="43" spans="2:11" x14ac:dyDescent="0.3">
      <c r="B43" s="9" t="str">
        <f>'5.2 Budgeted Enrollment YR2'!E45</f>
        <v>Coral Academy Washoe</v>
      </c>
      <c r="C43" s="399" t="str">
        <f>'5.2 Budgeted Enrollment YR2'!A45</f>
        <v>Washoe</v>
      </c>
      <c r="D43" s="370">
        <f>'6.3 Statewide Base Funding YR2'!C49</f>
        <v>9502</v>
      </c>
      <c r="E43" s="1407">
        <f>'5.2 Budgeted Enrollment YR2'!L45</f>
        <v>0</v>
      </c>
      <c r="F43" s="402">
        <f t="shared" si="4"/>
        <v>0</v>
      </c>
      <c r="G43" s="1404">
        <f>'5.2 Budgeted Enrollment YR2'!G45-E43</f>
        <v>2027.9998005260131</v>
      </c>
      <c r="H43" s="646">
        <f t="shared" si="5"/>
        <v>19270054</v>
      </c>
      <c r="I43" s="1400">
        <f>VLOOKUP($C43,'6.5 NCEI Adj. YR2'!$B$7:$I$23,8,FALSE)</f>
        <v>1</v>
      </c>
      <c r="J43" s="1396">
        <f t="shared" si="6"/>
        <v>0</v>
      </c>
      <c r="K43" s="9"/>
    </row>
    <row r="44" spans="2:11" x14ac:dyDescent="0.3">
      <c r="B44" s="9" t="str">
        <f>'5.2 Budgeted Enrollment YR2'!E46</f>
        <v>Delta Academy</v>
      </c>
      <c r="C44" s="399" t="str">
        <f>'5.2 Budgeted Enrollment YR2'!A46</f>
        <v>Clark</v>
      </c>
      <c r="D44" s="370">
        <f>'6.3 Statewide Base Funding YR2'!C50</f>
        <v>9502</v>
      </c>
      <c r="E44" s="1407">
        <f>'5.2 Budgeted Enrollment YR2'!L46</f>
        <v>0</v>
      </c>
      <c r="F44" s="402">
        <f t="shared" si="4"/>
        <v>0</v>
      </c>
      <c r="G44" s="1404">
        <f>'5.2 Budgeted Enrollment YR2'!G46-E44</f>
        <v>1405.0080479301287</v>
      </c>
      <c r="H44" s="646">
        <f t="shared" si="5"/>
        <v>13350386</v>
      </c>
      <c r="I44" s="1400">
        <f>VLOOKUP($C44,'6.5 NCEI Adj. YR2'!$B$7:$I$23,8,FALSE)</f>
        <v>1</v>
      </c>
      <c r="J44" s="1396">
        <f t="shared" si="6"/>
        <v>0</v>
      </c>
      <c r="K44" s="9"/>
    </row>
    <row r="45" spans="2:11" x14ac:dyDescent="0.3">
      <c r="B45" s="9" t="str">
        <f>'5.2 Budgeted Enrollment YR2'!E47</f>
        <v>Democracy Prep</v>
      </c>
      <c r="C45" s="399" t="str">
        <f>'5.2 Budgeted Enrollment YR2'!A47</f>
        <v>Clark</v>
      </c>
      <c r="D45" s="370">
        <f>'6.3 Statewide Base Funding YR2'!C51</f>
        <v>9502</v>
      </c>
      <c r="E45" s="1407">
        <f>'5.2 Budgeted Enrollment YR2'!L47</f>
        <v>0</v>
      </c>
      <c r="F45" s="402">
        <f t="shared" si="4"/>
        <v>0</v>
      </c>
      <c r="G45" s="1404">
        <f>'5.2 Budgeted Enrollment YR2'!G47-E45</f>
        <v>1279.0046975769933</v>
      </c>
      <c r="H45" s="646">
        <f t="shared" si="5"/>
        <v>12153103</v>
      </c>
      <c r="I45" s="1400">
        <f>VLOOKUP($C45,'6.5 NCEI Adj. YR2'!$B$7:$I$23,8,FALSE)</f>
        <v>1</v>
      </c>
      <c r="J45" s="1396">
        <f t="shared" si="6"/>
        <v>0</v>
      </c>
      <c r="K45" s="9"/>
    </row>
    <row r="46" spans="2:11" x14ac:dyDescent="0.3">
      <c r="B46" s="9" t="str">
        <f>'5.2 Budgeted Enrollment YR2'!E48</f>
        <v>Discovery Charter</v>
      </c>
      <c r="C46" s="399" t="str">
        <f>'5.2 Budgeted Enrollment YR2'!A48</f>
        <v>Clark</v>
      </c>
      <c r="D46" s="370">
        <f>'6.3 Statewide Base Funding YR2'!C52</f>
        <v>9502</v>
      </c>
      <c r="E46" s="1407">
        <f>'5.2 Budgeted Enrollment YR2'!L48</f>
        <v>0</v>
      </c>
      <c r="F46" s="402">
        <f t="shared" si="4"/>
        <v>0</v>
      </c>
      <c r="G46" s="1404">
        <f>'5.2 Budgeted Enrollment YR2'!G48-E46</f>
        <v>499.79963400639872</v>
      </c>
      <c r="H46" s="646">
        <f t="shared" si="5"/>
        <v>4749096</v>
      </c>
      <c r="I46" s="1400">
        <f>VLOOKUP($C46,'6.5 NCEI Adj. YR2'!$B$7:$I$23,8,FALSE)</f>
        <v>1</v>
      </c>
      <c r="J46" s="1396">
        <f t="shared" si="6"/>
        <v>0</v>
      </c>
      <c r="K46" s="9"/>
    </row>
    <row r="47" spans="2:11" x14ac:dyDescent="0.3">
      <c r="B47" s="9" t="str">
        <f>'5.2 Budgeted Enrollment YR2'!E49</f>
        <v>Do and Be Academy of Excellence</v>
      </c>
      <c r="C47" s="399" t="str">
        <f>'5.2 Budgeted Enrollment YR2'!A49</f>
        <v>Clark</v>
      </c>
      <c r="D47" s="370">
        <f>'6.3 Statewide Base Funding YR2'!C53</f>
        <v>9502</v>
      </c>
      <c r="E47" s="1407">
        <f>'5.2 Budgeted Enrollment YR2'!L49</f>
        <v>0</v>
      </c>
      <c r="F47" s="402">
        <f t="shared" ref="F47" si="7">D47*E47</f>
        <v>0</v>
      </c>
      <c r="G47" s="1404">
        <f>'5.2 Budgeted Enrollment YR2'!G49-E47</f>
        <v>55.444307975565003</v>
      </c>
      <c r="H47" s="646">
        <f t="shared" si="5"/>
        <v>526832</v>
      </c>
      <c r="I47" s="1400">
        <f>VLOOKUP($C47,'6.5 NCEI Adj. YR2'!$B$7:$I$23,8,FALSE)</f>
        <v>1</v>
      </c>
      <c r="J47" s="1396">
        <f t="shared" ref="J47" si="8">SUM(H47:H47)*(I47-1)</f>
        <v>0</v>
      </c>
      <c r="K47" s="9" t="s">
        <v>370</v>
      </c>
    </row>
    <row r="48" spans="2:11" x14ac:dyDescent="0.3">
      <c r="B48" s="9" t="str">
        <f>'5.2 Budgeted Enrollment YR2'!E50</f>
        <v>Doral Academy</v>
      </c>
      <c r="C48" s="399" t="str">
        <f>'5.2 Budgeted Enrollment YR2'!A50</f>
        <v>Clark</v>
      </c>
      <c r="D48" s="370">
        <f>'6.3 Statewide Base Funding YR2'!C54</f>
        <v>9502</v>
      </c>
      <c r="E48" s="1407">
        <f>'5.2 Budgeted Enrollment YR2'!L50</f>
        <v>0</v>
      </c>
      <c r="F48" s="402">
        <f t="shared" si="4"/>
        <v>0</v>
      </c>
      <c r="G48" s="1404">
        <f>'5.2 Budgeted Enrollment YR2'!G50-E48</f>
        <v>6463.7282261846876</v>
      </c>
      <c r="H48" s="646">
        <f t="shared" si="5"/>
        <v>61418346</v>
      </c>
      <c r="I48" s="1400">
        <f>VLOOKUP($C48,'6.5 NCEI Adj. YR2'!$B$7:$I$23,8,FALSE)</f>
        <v>1</v>
      </c>
      <c r="J48" s="1396">
        <f t="shared" si="6"/>
        <v>0</v>
      </c>
      <c r="K48" s="9"/>
    </row>
    <row r="49" spans="2:11" x14ac:dyDescent="0.3">
      <c r="B49" s="9" t="str">
        <f>'5.2 Budgeted Enrollment YR2'!E51</f>
        <v>Doral Academy of Northern Nevada</v>
      </c>
      <c r="C49" s="399" t="str">
        <f>'5.2 Budgeted Enrollment YR2'!A51</f>
        <v>Washoe</v>
      </c>
      <c r="D49" s="370">
        <f>'6.3 Statewide Base Funding YR2'!C55</f>
        <v>9502</v>
      </c>
      <c r="E49" s="1407">
        <f>'5.2 Budgeted Enrollment YR2'!L51</f>
        <v>0</v>
      </c>
      <c r="F49" s="402">
        <f t="shared" si="4"/>
        <v>0</v>
      </c>
      <c r="G49" s="1404">
        <f>'5.2 Budgeted Enrollment YR2'!G51-E49</f>
        <v>1018.777864840123</v>
      </c>
      <c r="H49" s="646">
        <f t="shared" si="5"/>
        <v>9680427</v>
      </c>
      <c r="I49" s="1400">
        <f>VLOOKUP($C49,'6.5 NCEI Adj. YR2'!$B$7:$I$23,8,FALSE)</f>
        <v>1</v>
      </c>
      <c r="J49" s="1396">
        <f t="shared" si="6"/>
        <v>0</v>
      </c>
      <c r="K49" s="9"/>
    </row>
    <row r="50" spans="2:11" x14ac:dyDescent="0.3">
      <c r="B50" s="9" t="str">
        <f>'5.2 Budgeted Enrollment YR2'!E52</f>
        <v>Eagle Charter School (CLOSED)</v>
      </c>
      <c r="C50" s="399" t="str">
        <f>'5.2 Budgeted Enrollment YR2'!A52</f>
        <v>Clark</v>
      </c>
      <c r="D50" s="370">
        <f>'6.3 Statewide Base Funding YR2'!C56</f>
        <v>9502</v>
      </c>
      <c r="E50" s="1407">
        <f>'5.2 Budgeted Enrollment YR2'!L52</f>
        <v>0</v>
      </c>
      <c r="F50" s="402">
        <f t="shared" si="4"/>
        <v>0</v>
      </c>
      <c r="G50" s="1404">
        <f>'5.2 Budgeted Enrollment YR2'!G52-E50</f>
        <v>0</v>
      </c>
      <c r="H50" s="646">
        <f t="shared" si="5"/>
        <v>0</v>
      </c>
      <c r="I50" s="1400">
        <f>VLOOKUP($C50,'6.5 NCEI Adj. YR2'!$B$7:$I$23,8,FALSE)</f>
        <v>1</v>
      </c>
      <c r="J50" s="1396">
        <f t="shared" si="6"/>
        <v>0</v>
      </c>
      <c r="K50" s="9"/>
    </row>
    <row r="51" spans="2:11" x14ac:dyDescent="0.3">
      <c r="B51" s="9" t="str">
        <f>'5.2 Budgeted Enrollment YR2'!E53</f>
        <v>Elko Institute for Academic Achievement</v>
      </c>
      <c r="C51" s="399" t="str">
        <f>'5.2 Budgeted Enrollment YR2'!A53</f>
        <v>Elko</v>
      </c>
      <c r="D51" s="370">
        <f>'6.3 Statewide Base Funding YR2'!C57</f>
        <v>9502</v>
      </c>
      <c r="E51" s="1407">
        <f>'5.2 Budgeted Enrollment YR2'!L53</f>
        <v>0</v>
      </c>
      <c r="F51" s="402">
        <f t="shared" si="4"/>
        <v>0</v>
      </c>
      <c r="G51" s="1404">
        <f>'5.2 Budgeted Enrollment YR2'!G53-E51</f>
        <v>315.7286385132989</v>
      </c>
      <c r="H51" s="646">
        <f t="shared" si="5"/>
        <v>3000054</v>
      </c>
      <c r="I51" s="1400">
        <f>VLOOKUP($C51,'6.5 NCEI Adj. YR2'!$B$7:$I$23,8,FALSE)</f>
        <v>1</v>
      </c>
      <c r="J51" s="1396">
        <f t="shared" si="6"/>
        <v>0</v>
      </c>
      <c r="K51" s="9"/>
    </row>
    <row r="52" spans="2:11" x14ac:dyDescent="0.3">
      <c r="B52" s="9" t="str">
        <f>'5.2 Budgeted Enrollment YR2'!E54</f>
        <v>enCompass Academy</v>
      </c>
      <c r="C52" s="399" t="str">
        <f>'5.2 Budgeted Enrollment YR2'!A54</f>
        <v>Washoe</v>
      </c>
      <c r="D52" s="370">
        <f>'6.3 Statewide Base Funding YR2'!C58</f>
        <v>9502</v>
      </c>
      <c r="E52" s="1407">
        <f>'5.2 Budgeted Enrollment YR2'!L54</f>
        <v>0</v>
      </c>
      <c r="F52" s="402">
        <f t="shared" si="4"/>
        <v>0</v>
      </c>
      <c r="G52" s="1404">
        <f>'5.2 Budgeted Enrollment YR2'!G54-E52</f>
        <v>129.86699722187711</v>
      </c>
      <c r="H52" s="646">
        <f t="shared" si="5"/>
        <v>1233996</v>
      </c>
      <c r="I52" s="1400">
        <f>VLOOKUP($C52,'6.5 NCEI Adj. YR2'!$B$7:$I$23,8,FALSE)</f>
        <v>1</v>
      </c>
      <c r="J52" s="1396">
        <f t="shared" si="6"/>
        <v>0</v>
      </c>
      <c r="K52" s="9"/>
    </row>
    <row r="53" spans="2:11" x14ac:dyDescent="0.3">
      <c r="B53" s="9" t="str">
        <f>'5.2 Budgeted Enrollment YR2'!E55</f>
        <v>Equipo Academy</v>
      </c>
      <c r="C53" s="399" t="str">
        <f>'5.2 Budgeted Enrollment YR2'!A55</f>
        <v>Clark</v>
      </c>
      <c r="D53" s="370">
        <f>'6.3 Statewide Base Funding YR2'!C59</f>
        <v>9502</v>
      </c>
      <c r="E53" s="1407">
        <f>'5.2 Budgeted Enrollment YR2'!L55</f>
        <v>0</v>
      </c>
      <c r="F53" s="402">
        <f t="shared" si="4"/>
        <v>0</v>
      </c>
      <c r="G53" s="1404">
        <f>'5.2 Budgeted Enrollment YR2'!G55-E53</f>
        <v>900.7667088070209</v>
      </c>
      <c r="H53" s="646">
        <f t="shared" si="5"/>
        <v>8559085</v>
      </c>
      <c r="I53" s="1400">
        <f>VLOOKUP($C53,'6.5 NCEI Adj. YR2'!$B$7:$I$23,8,FALSE)</f>
        <v>1</v>
      </c>
      <c r="J53" s="1396">
        <f t="shared" si="6"/>
        <v>0</v>
      </c>
      <c r="K53" s="9"/>
    </row>
    <row r="54" spans="2:11" x14ac:dyDescent="0.3">
      <c r="B54" s="9" t="str">
        <f>'5.2 Budgeted Enrollment YR2'!E56</f>
        <v>Explore Academy</v>
      </c>
      <c r="C54" s="399" t="str">
        <f>'5.2 Budgeted Enrollment YR2'!A56</f>
        <v>Clark</v>
      </c>
      <c r="D54" s="370">
        <f>'6.3 Statewide Base Funding YR2'!C60</f>
        <v>9502</v>
      </c>
      <c r="E54" s="1407">
        <f>'5.2 Budgeted Enrollment YR2'!L56</f>
        <v>0</v>
      </c>
      <c r="F54" s="402">
        <f t="shared" si="4"/>
        <v>0</v>
      </c>
      <c r="G54" s="1404">
        <f>'5.2 Budgeted Enrollment YR2'!G56-E54</f>
        <v>285.9150020191048</v>
      </c>
      <c r="H54" s="646">
        <f t="shared" si="5"/>
        <v>2716764</v>
      </c>
      <c r="I54" s="1400">
        <f>VLOOKUP($C54,'6.5 NCEI Adj. YR2'!$B$7:$I$23,8,FALSE)</f>
        <v>1</v>
      </c>
      <c r="J54" s="1396">
        <f t="shared" si="6"/>
        <v>0</v>
      </c>
      <c r="K54" s="9"/>
    </row>
    <row r="55" spans="2:11" x14ac:dyDescent="0.3">
      <c r="B55" s="9" t="str">
        <f>'5.2 Budgeted Enrollment YR2'!E57</f>
        <v>Explore Knowledge Academy</v>
      </c>
      <c r="C55" s="399" t="str">
        <f>'5.2 Budgeted Enrollment YR2'!A57</f>
        <v>Clark</v>
      </c>
      <c r="D55" s="370">
        <f>'6.3 Statewide Base Funding YR2'!C61</f>
        <v>9502</v>
      </c>
      <c r="E55" s="1407">
        <f>'5.2 Budgeted Enrollment YR2'!L57</f>
        <v>0</v>
      </c>
      <c r="F55" s="402">
        <f t="shared" si="4"/>
        <v>0</v>
      </c>
      <c r="G55" s="1404">
        <f>'5.2 Budgeted Enrollment YR2'!G57-E55</f>
        <v>664.59038477421791</v>
      </c>
      <c r="H55" s="646">
        <f t="shared" si="5"/>
        <v>6314938</v>
      </c>
      <c r="I55" s="1400">
        <f>VLOOKUP($C55,'6.5 NCEI Adj. YR2'!$B$7:$I$23,8,FALSE)</f>
        <v>1</v>
      </c>
      <c r="J55" s="1396">
        <f t="shared" si="6"/>
        <v>0</v>
      </c>
      <c r="K55" s="9"/>
    </row>
    <row r="56" spans="2:11" x14ac:dyDescent="0.3">
      <c r="B56" s="9" t="str">
        <f>'5.2 Budgeted Enrollment YR2'!E58</f>
        <v>Founders Academy of Las Vegas</v>
      </c>
      <c r="C56" s="399" t="str">
        <f>'5.2 Budgeted Enrollment YR2'!A58</f>
        <v>Clark</v>
      </c>
      <c r="D56" s="370">
        <f>'6.3 Statewide Base Funding YR2'!C62</f>
        <v>9502</v>
      </c>
      <c r="E56" s="1407">
        <f>'5.2 Budgeted Enrollment YR2'!L58</f>
        <v>0</v>
      </c>
      <c r="F56" s="402">
        <f t="shared" si="4"/>
        <v>0</v>
      </c>
      <c r="G56" s="1404">
        <f>'5.2 Budgeted Enrollment YR2'!G58-E56</f>
        <v>1110.2866416609052</v>
      </c>
      <c r="H56" s="646">
        <f t="shared" si="5"/>
        <v>10549944</v>
      </c>
      <c r="I56" s="1400">
        <f>VLOOKUP($C56,'6.5 NCEI Adj. YR2'!$B$7:$I$23,8,FALSE)</f>
        <v>1</v>
      </c>
      <c r="J56" s="1396">
        <f t="shared" si="6"/>
        <v>0</v>
      </c>
      <c r="K56" s="9"/>
    </row>
    <row r="57" spans="2:11" x14ac:dyDescent="0.3">
      <c r="B57" s="9" t="str">
        <f>'5.2 Budgeted Enrollment YR2'!E59</f>
        <v>Freedom Classical Academy</v>
      </c>
      <c r="C57" s="399" t="str">
        <f>'5.2 Budgeted Enrollment YR2'!A59</f>
        <v>Clark</v>
      </c>
      <c r="D57" s="370">
        <f>'6.3 Statewide Base Funding YR2'!C63</f>
        <v>9502</v>
      </c>
      <c r="E57" s="1407">
        <f>'5.2 Budgeted Enrollment YR2'!L59</f>
        <v>0</v>
      </c>
      <c r="F57" s="402">
        <f t="shared" si="4"/>
        <v>0</v>
      </c>
      <c r="G57" s="1404">
        <f>'5.2 Budgeted Enrollment YR2'!G59-E57</f>
        <v>1074.7232250803561</v>
      </c>
      <c r="H57" s="646">
        <f t="shared" si="5"/>
        <v>10212020</v>
      </c>
      <c r="I57" s="1400">
        <f>VLOOKUP($C57,'6.5 NCEI Adj. YR2'!$B$7:$I$23,8,FALSE)</f>
        <v>1</v>
      </c>
      <c r="J57" s="1396">
        <f t="shared" si="6"/>
        <v>0</v>
      </c>
      <c r="K57" s="9"/>
    </row>
    <row r="58" spans="2:11" x14ac:dyDescent="0.3">
      <c r="B58" s="9" t="str">
        <f>'5.2 Budgeted Enrollment YR2'!E60</f>
        <v>Futuro Academy Elementary</v>
      </c>
      <c r="C58" s="399" t="str">
        <f>'5.2 Budgeted Enrollment YR2'!A60</f>
        <v>Clark</v>
      </c>
      <c r="D58" s="370">
        <f>'6.3 Statewide Base Funding YR2'!C64</f>
        <v>9502</v>
      </c>
      <c r="E58" s="1407">
        <f>'5.2 Budgeted Enrollment YR2'!L60</f>
        <v>0</v>
      </c>
      <c r="F58" s="402">
        <f t="shared" si="4"/>
        <v>0</v>
      </c>
      <c r="G58" s="1404">
        <f>'5.2 Budgeted Enrollment YR2'!G60-E58</f>
        <v>467.88219404846518</v>
      </c>
      <c r="H58" s="646">
        <f t="shared" si="5"/>
        <v>4445817</v>
      </c>
      <c r="I58" s="1400">
        <f>VLOOKUP($C58,'6.5 NCEI Adj. YR2'!$B$7:$I$23,8,FALSE)</f>
        <v>1</v>
      </c>
      <c r="J58" s="1396">
        <f t="shared" si="6"/>
        <v>0</v>
      </c>
      <c r="K58" s="9"/>
    </row>
    <row r="59" spans="2:11" x14ac:dyDescent="0.3">
      <c r="B59" s="9" t="str">
        <f>'5.2 Budgeted Enrollment YR2'!E61</f>
        <v>High Desert Montessori</v>
      </c>
      <c r="C59" s="399" t="str">
        <f>'5.2 Budgeted Enrollment YR2'!A61</f>
        <v>Washoe</v>
      </c>
      <c r="D59" s="370">
        <f>'6.3 Statewide Base Funding YR2'!C65</f>
        <v>9502</v>
      </c>
      <c r="E59" s="1407">
        <f>'5.2 Budgeted Enrollment YR2'!L61</f>
        <v>0</v>
      </c>
      <c r="F59" s="402">
        <f t="shared" si="4"/>
        <v>0</v>
      </c>
      <c r="G59" s="1404">
        <f>'5.2 Budgeted Enrollment YR2'!G61-E59</f>
        <v>411.94504777978403</v>
      </c>
      <c r="H59" s="646">
        <f t="shared" si="5"/>
        <v>3914302</v>
      </c>
      <c r="I59" s="1400">
        <f>VLOOKUP($C59,'6.5 NCEI Adj. YR2'!$B$7:$I$23,8,FALSE)</f>
        <v>1</v>
      </c>
      <c r="J59" s="1396">
        <f t="shared" si="6"/>
        <v>0</v>
      </c>
      <c r="K59" s="9"/>
    </row>
    <row r="60" spans="2:11" x14ac:dyDescent="0.3">
      <c r="B60" s="9" t="str">
        <f>'5.2 Budgeted Enrollment YR2'!E62</f>
        <v>Honors Academy of Literature</v>
      </c>
      <c r="C60" s="399" t="str">
        <f>'5.2 Budgeted Enrollment YR2'!A62</f>
        <v>Washoe</v>
      </c>
      <c r="D60" s="370">
        <f>'6.3 Statewide Base Funding YR2'!C66</f>
        <v>9502</v>
      </c>
      <c r="E60" s="1407">
        <f>'5.2 Budgeted Enrollment YR2'!L62</f>
        <v>0</v>
      </c>
      <c r="F60" s="402">
        <f t="shared" si="4"/>
        <v>0</v>
      </c>
      <c r="G60" s="1404">
        <f>'5.2 Budgeted Enrollment YR2'!G62-E60</f>
        <v>219.20317856717219</v>
      </c>
      <c r="H60" s="646">
        <f t="shared" si="5"/>
        <v>2082869</v>
      </c>
      <c r="I60" s="1400">
        <f>VLOOKUP($C60,'6.5 NCEI Adj. YR2'!$B$7:$I$23,8,FALSE)</f>
        <v>1</v>
      </c>
      <c r="J60" s="1396">
        <f t="shared" si="6"/>
        <v>0</v>
      </c>
      <c r="K60" s="9"/>
    </row>
    <row r="61" spans="2:11" x14ac:dyDescent="0.3">
      <c r="B61" s="9" t="str">
        <f>'5.2 Budgeted Enrollment YR2'!E63</f>
        <v>Imagine School Mountain View</v>
      </c>
      <c r="C61" s="399" t="str">
        <f>'5.2 Budgeted Enrollment YR2'!A63</f>
        <v>Clark</v>
      </c>
      <c r="D61" s="370">
        <f>'6.3 Statewide Base Funding YR2'!C67</f>
        <v>9502</v>
      </c>
      <c r="E61" s="1407">
        <f>'5.2 Budgeted Enrollment YR2'!L63</f>
        <v>0</v>
      </c>
      <c r="F61" s="402">
        <f t="shared" si="4"/>
        <v>0</v>
      </c>
      <c r="G61" s="1404">
        <f>'5.2 Budgeted Enrollment YR2'!G63-E61</f>
        <v>695.95030141306381</v>
      </c>
      <c r="H61" s="646">
        <f t="shared" si="5"/>
        <v>6612920</v>
      </c>
      <c r="I61" s="1400">
        <f>VLOOKUP($C61,'6.5 NCEI Adj. YR2'!$B$7:$I$23,8,FALSE)</f>
        <v>1</v>
      </c>
      <c r="J61" s="1396">
        <f t="shared" si="6"/>
        <v>0</v>
      </c>
      <c r="K61" s="9"/>
    </row>
    <row r="62" spans="2:11" x14ac:dyDescent="0.3">
      <c r="B62" s="9" t="str">
        <f>'5.2 Budgeted Enrollment YR2'!E64</f>
        <v>Innovations Int'l Charter</v>
      </c>
      <c r="C62" s="399" t="str">
        <f>'5.2 Budgeted Enrollment YR2'!A64</f>
        <v>Clark</v>
      </c>
      <c r="D62" s="370">
        <f>'6.3 Statewide Base Funding YR2'!C68</f>
        <v>9502</v>
      </c>
      <c r="E62" s="1407">
        <f>'5.2 Budgeted Enrollment YR2'!L64</f>
        <v>0</v>
      </c>
      <c r="F62" s="402">
        <f t="shared" si="4"/>
        <v>0</v>
      </c>
      <c r="G62" s="1404">
        <f>'5.2 Budgeted Enrollment YR2'!G64-E62</f>
        <v>682.14466872714809</v>
      </c>
      <c r="H62" s="646">
        <f t="shared" si="5"/>
        <v>6481739</v>
      </c>
      <c r="I62" s="1400">
        <f>VLOOKUP($C62,'6.5 NCEI Adj. YR2'!$B$7:$I$23,8,FALSE)</f>
        <v>1</v>
      </c>
      <c r="J62" s="1396">
        <f t="shared" si="6"/>
        <v>0</v>
      </c>
      <c r="K62" s="9"/>
    </row>
    <row r="63" spans="2:11" x14ac:dyDescent="0.3">
      <c r="B63" s="9" t="str">
        <f>'5.2 Budgeted Enrollment YR2'!E65</f>
        <v>Leadership Academy of Nevada</v>
      </c>
      <c r="C63" s="399" t="str">
        <f>'5.2 Budgeted Enrollment YR2'!A65</f>
        <v>Clark</v>
      </c>
      <c r="D63" s="370">
        <f>'6.3 Statewide Base Funding YR2'!C69</f>
        <v>9502</v>
      </c>
      <c r="E63" s="1407">
        <f>'5.2 Budgeted Enrollment YR2'!L65</f>
        <v>287.40686460222514</v>
      </c>
      <c r="F63" s="402">
        <f t="shared" si="4"/>
        <v>2730940.0274503431</v>
      </c>
      <c r="G63" s="1404">
        <f>'5.2 Budgeted Enrollment YR2'!G65-E63</f>
        <v>0</v>
      </c>
      <c r="H63" s="646">
        <f t="shared" si="5"/>
        <v>0</v>
      </c>
      <c r="I63" s="1400">
        <f>VLOOKUP($C63,'6.5 NCEI Adj. YR2'!$B$7:$I$23,8,FALSE)</f>
        <v>1</v>
      </c>
      <c r="J63" s="1396">
        <f t="shared" si="6"/>
        <v>0</v>
      </c>
      <c r="K63" s="9"/>
    </row>
    <row r="64" spans="2:11" x14ac:dyDescent="0.3">
      <c r="B64" s="9" t="str">
        <f>'5.2 Budgeted Enrollment YR2'!E66</f>
        <v>Learning Bridge</v>
      </c>
      <c r="C64" s="399" t="str">
        <f>'5.2 Budgeted Enrollment YR2'!A66</f>
        <v>White Pine</v>
      </c>
      <c r="D64" s="370">
        <f>'6.3 Statewide Base Funding YR2'!C70</f>
        <v>9502</v>
      </c>
      <c r="E64" s="1407">
        <f>'5.2 Budgeted Enrollment YR2'!L66</f>
        <v>0</v>
      </c>
      <c r="F64" s="402">
        <f t="shared" si="4"/>
        <v>0</v>
      </c>
      <c r="G64" s="1404">
        <f>'5.2 Budgeted Enrollment YR2'!G66-E64</f>
        <v>170.53745061484202</v>
      </c>
      <c r="H64" s="646">
        <f t="shared" si="5"/>
        <v>1620447</v>
      </c>
      <c r="I64" s="1400">
        <f>VLOOKUP($C64,'6.5 NCEI Adj. YR2'!$B$7:$I$23,8,FALSE)</f>
        <v>1</v>
      </c>
      <c r="J64" s="1396">
        <f t="shared" ref="J64:J93" si="9">SUM(H64:H64)*(I64-1)</f>
        <v>0</v>
      </c>
      <c r="K64" s="9"/>
    </row>
    <row r="65" spans="2:11" x14ac:dyDescent="0.3">
      <c r="B65" s="9" t="str">
        <f>'5.2 Budgeted Enrollment YR2'!E67</f>
        <v>Legacy Traditional Schools</v>
      </c>
      <c r="C65" s="399" t="str">
        <f>'5.2 Budgeted Enrollment YR2'!A67</f>
        <v>Clark</v>
      </c>
      <c r="D65" s="370">
        <f>'6.3 Statewide Base Funding YR2'!C71</f>
        <v>9502</v>
      </c>
      <c r="E65" s="1407">
        <f>'5.2 Budgeted Enrollment YR2'!L67</f>
        <v>0</v>
      </c>
      <c r="F65" s="402">
        <f t="shared" si="4"/>
        <v>0</v>
      </c>
      <c r="G65" s="1404">
        <f>'5.2 Budgeted Enrollment YR2'!G67-E65</f>
        <v>4125.1478938155515</v>
      </c>
      <c r="H65" s="646">
        <f t="shared" si="5"/>
        <v>39197155</v>
      </c>
      <c r="I65" s="1400">
        <f>VLOOKUP($C65,'6.5 NCEI Adj. YR2'!$B$7:$I$23,8,FALSE)</f>
        <v>1</v>
      </c>
      <c r="J65" s="1396">
        <f t="shared" si="9"/>
        <v>0</v>
      </c>
      <c r="K65" s="9"/>
    </row>
    <row r="66" spans="2:11" x14ac:dyDescent="0.3">
      <c r="B66" s="9" t="str">
        <f>'5.2 Budgeted Enrollment YR2'!E68</f>
        <v xml:space="preserve">Mariposa Language and Learning Academy </v>
      </c>
      <c r="C66" s="399" t="str">
        <f>'5.2 Budgeted Enrollment YR2'!A68</f>
        <v>Washoe</v>
      </c>
      <c r="D66" s="370">
        <f>'6.3 Statewide Base Funding YR2'!C72</f>
        <v>9502</v>
      </c>
      <c r="E66" s="1407">
        <f>'5.2 Budgeted Enrollment YR2'!L68</f>
        <v>0</v>
      </c>
      <c r="F66" s="402">
        <f t="shared" si="4"/>
        <v>0</v>
      </c>
      <c r="G66" s="1404">
        <f>'5.2 Budgeted Enrollment YR2'!G68-E66</f>
        <v>164.39442664043821</v>
      </c>
      <c r="H66" s="646">
        <f t="shared" si="5"/>
        <v>1562076</v>
      </c>
      <c r="I66" s="1400">
        <f>VLOOKUP($C66,'6.5 NCEI Adj. YR2'!$B$7:$I$23,8,FALSE)</f>
        <v>1</v>
      </c>
      <c r="J66" s="1396">
        <f t="shared" si="9"/>
        <v>0</v>
      </c>
      <c r="K66" s="9"/>
    </row>
    <row r="67" spans="2:11" x14ac:dyDescent="0.3">
      <c r="B67" s="9" t="str">
        <f>'5.2 Budgeted Enrollment YR2'!E69</f>
        <v>Mater Academy</v>
      </c>
      <c r="C67" s="399" t="str">
        <f>'5.2 Budgeted Enrollment YR2'!A69</f>
        <v>Clark</v>
      </c>
      <c r="D67" s="370">
        <f>'6.3 Statewide Base Funding YR2'!C73</f>
        <v>9502</v>
      </c>
      <c r="E67" s="1407">
        <f>'5.2 Budgeted Enrollment YR2'!L69</f>
        <v>0</v>
      </c>
      <c r="F67" s="402">
        <f t="shared" si="4"/>
        <v>0</v>
      </c>
      <c r="G67" s="1404">
        <f>'5.2 Budgeted Enrollment YR2'!G69-E67</f>
        <v>4489.9355041692297</v>
      </c>
      <c r="H67" s="646">
        <f t="shared" si="5"/>
        <v>42663367</v>
      </c>
      <c r="I67" s="1400">
        <f>VLOOKUP($C67,'6.5 NCEI Adj. YR2'!$B$7:$I$23,8,FALSE)</f>
        <v>1</v>
      </c>
      <c r="J67" s="1396">
        <f t="shared" si="9"/>
        <v>0</v>
      </c>
      <c r="K67" s="9"/>
    </row>
    <row r="68" spans="2:11" x14ac:dyDescent="0.3">
      <c r="B68" s="9" t="str">
        <f>'5.2 Budgeted Enrollment YR2'!E70</f>
        <v>Mater Academy of Northern Nevada</v>
      </c>
      <c r="C68" s="399" t="str">
        <f>'5.2 Budgeted Enrollment YR2'!A70</f>
        <v>Washoe</v>
      </c>
      <c r="D68" s="370">
        <f>'6.3 Statewide Base Funding YR2'!C74</f>
        <v>9502</v>
      </c>
      <c r="E68" s="1407">
        <f>'5.2 Budgeted Enrollment YR2'!L70</f>
        <v>0</v>
      </c>
      <c r="F68" s="402">
        <f t="shared" si="4"/>
        <v>0</v>
      </c>
      <c r="G68" s="1404">
        <f>'5.2 Budgeted Enrollment YR2'!G70-E68</f>
        <v>502.85317793083078</v>
      </c>
      <c r="H68" s="646">
        <f t="shared" si="5"/>
        <v>4778111</v>
      </c>
      <c r="I68" s="1400">
        <f>VLOOKUP($C68,'6.5 NCEI Adj. YR2'!$B$7:$I$23,8,FALSE)</f>
        <v>1</v>
      </c>
      <c r="J68" s="1396">
        <f t="shared" si="9"/>
        <v>0</v>
      </c>
      <c r="K68" s="9"/>
    </row>
    <row r="69" spans="2:11" x14ac:dyDescent="0.3">
      <c r="B69" s="9" t="str">
        <f>'5.2 Budgeted Enrollment YR2'!E71</f>
        <v>Nevada Connections Academy</v>
      </c>
      <c r="C69" s="399" t="str">
        <f>'5.2 Budgeted Enrollment YR2'!A71</f>
        <v>Washoe</v>
      </c>
      <c r="D69" s="370">
        <f>'6.3 Statewide Base Funding YR2'!C75</f>
        <v>9502</v>
      </c>
      <c r="E69" s="1407">
        <f>'5.2 Budgeted Enrollment YR2'!L71</f>
        <v>1200.806661656123</v>
      </c>
      <c r="F69" s="402">
        <f t="shared" si="4"/>
        <v>11410064.899056481</v>
      </c>
      <c r="G69" s="1404">
        <f>'5.2 Budgeted Enrollment YR2'!G71-E69</f>
        <v>0</v>
      </c>
      <c r="H69" s="646">
        <f t="shared" si="5"/>
        <v>0</v>
      </c>
      <c r="I69" s="1400">
        <f>VLOOKUP($C69,'6.5 NCEI Adj. YR2'!$B$7:$I$23,8,FALSE)</f>
        <v>1</v>
      </c>
      <c r="J69" s="1396">
        <f t="shared" si="9"/>
        <v>0</v>
      </c>
      <c r="K69" s="9"/>
    </row>
    <row r="70" spans="2:11" x14ac:dyDescent="0.3">
      <c r="B70" s="9" t="str">
        <f>'5.2 Budgeted Enrollment YR2'!E72</f>
        <v>Nevada Prep</v>
      </c>
      <c r="C70" s="399" t="str">
        <f>'5.2 Budgeted Enrollment YR2'!A72</f>
        <v>Clark</v>
      </c>
      <c r="D70" s="370">
        <f>'6.3 Statewide Base Funding YR2'!C76</f>
        <v>9502</v>
      </c>
      <c r="E70" s="1407">
        <f>'5.2 Budgeted Enrollment YR2'!L72</f>
        <v>0</v>
      </c>
      <c r="F70" s="402">
        <f t="shared" si="4"/>
        <v>0</v>
      </c>
      <c r="G70" s="1404">
        <f>'5.2 Budgeted Enrollment YR2'!G72-E70</f>
        <v>305.23837009503319</v>
      </c>
      <c r="H70" s="646">
        <f t="shared" si="5"/>
        <v>2900375</v>
      </c>
      <c r="I70" s="1400">
        <f>VLOOKUP($C70,'6.5 NCEI Adj. YR2'!$B$7:$I$23,8,FALSE)</f>
        <v>1</v>
      </c>
      <c r="J70" s="1396">
        <f t="shared" si="9"/>
        <v>0</v>
      </c>
      <c r="K70" s="9"/>
    </row>
    <row r="71" spans="2:11" x14ac:dyDescent="0.3">
      <c r="B71" s="9" t="str">
        <f>'5.2 Budgeted Enrollment YR2'!E73</f>
        <v xml:space="preserve">Nevada Rise </v>
      </c>
      <c r="C71" s="399" t="str">
        <f>'5.2 Budgeted Enrollment YR2'!A73</f>
        <v>Clark</v>
      </c>
      <c r="D71" s="370">
        <f>'6.3 Statewide Base Funding YR2'!C77</f>
        <v>9502</v>
      </c>
      <c r="E71" s="1407">
        <f>'5.2 Budgeted Enrollment YR2'!L73</f>
        <v>0</v>
      </c>
      <c r="F71" s="402">
        <f t="shared" si="4"/>
        <v>0</v>
      </c>
      <c r="G71" s="1404">
        <f>'5.2 Budgeted Enrollment YR2'!G73-E71</f>
        <v>372.57548213135692</v>
      </c>
      <c r="H71" s="646">
        <f t="shared" si="5"/>
        <v>3540212</v>
      </c>
      <c r="I71" s="1400">
        <f>VLOOKUP($C71,'6.5 NCEI Adj. YR2'!$B$7:$I$23,8,FALSE)</f>
        <v>1</v>
      </c>
      <c r="J71" s="1396">
        <f t="shared" si="9"/>
        <v>0</v>
      </c>
      <c r="K71" s="9"/>
    </row>
    <row r="72" spans="2:11" x14ac:dyDescent="0.3">
      <c r="B72" s="9" t="str">
        <f>'5.2 Budgeted Enrollment YR2'!E74</f>
        <v>Nevada State High School</v>
      </c>
      <c r="C72" s="399" t="str">
        <f>'5.2 Budgeted Enrollment YR2'!A74</f>
        <v>Clark</v>
      </c>
      <c r="D72" s="370">
        <f>'6.3 Statewide Base Funding YR2'!C78</f>
        <v>9502</v>
      </c>
      <c r="E72" s="1407">
        <f>'5.2 Budgeted Enrollment YR2'!L74</f>
        <v>0</v>
      </c>
      <c r="F72" s="402">
        <f t="shared" si="4"/>
        <v>0</v>
      </c>
      <c r="G72" s="1404">
        <f>'5.2 Budgeted Enrollment YR2'!G74-E72</f>
        <v>913.27248049484274</v>
      </c>
      <c r="H72" s="646">
        <f t="shared" si="5"/>
        <v>8677915</v>
      </c>
      <c r="I72" s="1400">
        <f>VLOOKUP($C72,'6.5 NCEI Adj. YR2'!$B$7:$I$23,8,FALSE)</f>
        <v>1</v>
      </c>
      <c r="J72" s="1396">
        <f t="shared" si="9"/>
        <v>0</v>
      </c>
      <c r="K72" s="9"/>
    </row>
    <row r="73" spans="2:11" x14ac:dyDescent="0.3">
      <c r="B73" s="9" t="str">
        <f>'5.2 Budgeted Enrollment YR2'!E75</f>
        <v>Nevada State High School-Meadowwood</v>
      </c>
      <c r="C73" s="399" t="str">
        <f>'5.2 Budgeted Enrollment YR2'!A75</f>
        <v>Washoe</v>
      </c>
      <c r="D73" s="370">
        <f>'6.3 Statewide Base Funding YR2'!C79</f>
        <v>9502</v>
      </c>
      <c r="E73" s="1407">
        <f>'5.2 Budgeted Enrollment YR2'!L75</f>
        <v>0</v>
      </c>
      <c r="F73" s="402">
        <f t="shared" si="4"/>
        <v>0</v>
      </c>
      <c r="G73" s="1404">
        <f>'5.2 Budgeted Enrollment YR2'!G75-E73</f>
        <v>30.196612917803087</v>
      </c>
      <c r="H73" s="646">
        <f t="shared" si="5"/>
        <v>286928</v>
      </c>
      <c r="I73" s="1400">
        <f>VLOOKUP($C73,'6.5 NCEI Adj. YR2'!$B$7:$I$23,8,FALSE)</f>
        <v>1</v>
      </c>
      <c r="J73" s="1396">
        <f t="shared" si="9"/>
        <v>0</v>
      </c>
      <c r="K73" s="9"/>
    </row>
    <row r="74" spans="2:11" x14ac:dyDescent="0.3">
      <c r="B74" s="9" t="str">
        <f>'5.2 Budgeted Enrollment YR2'!E76</f>
        <v>Nevada Virtual Academy</v>
      </c>
      <c r="C74" s="399" t="str">
        <f>'5.2 Budgeted Enrollment YR2'!A76</f>
        <v>Clark</v>
      </c>
      <c r="D74" s="370">
        <f>'6.3 Statewide Base Funding YR2'!C80</f>
        <v>9502</v>
      </c>
      <c r="E74" s="1407">
        <f>'5.2 Budgeted Enrollment YR2'!L76</f>
        <v>1819.9707035088049</v>
      </c>
      <c r="F74" s="402">
        <f t="shared" si="4"/>
        <v>17293361.624740664</v>
      </c>
      <c r="G74" s="1404">
        <f>'5.2 Budgeted Enrollment YR2'!G76-E74</f>
        <v>0</v>
      </c>
      <c r="H74" s="646">
        <f t="shared" si="5"/>
        <v>0</v>
      </c>
      <c r="I74" s="1400">
        <f>VLOOKUP($C74,'6.5 NCEI Adj. YR2'!$B$7:$I$23,8,FALSE)</f>
        <v>1</v>
      </c>
      <c r="J74" s="1396">
        <f t="shared" si="9"/>
        <v>0</v>
      </c>
      <c r="K74" s="9"/>
    </row>
    <row r="75" spans="2:11" x14ac:dyDescent="0.3">
      <c r="B75" s="9" t="str">
        <f>'5.2 Budgeted Enrollment YR2'!E77</f>
        <v>Oasis Academy</v>
      </c>
      <c r="C75" s="399" t="str">
        <f>'5.2 Budgeted Enrollment YR2'!A77</f>
        <v>Churchill</v>
      </c>
      <c r="D75" s="370">
        <f>'6.3 Statewide Base Funding YR2'!C81</f>
        <v>9502</v>
      </c>
      <c r="E75" s="1407">
        <f>'5.2 Budgeted Enrollment YR2'!L77</f>
        <v>0</v>
      </c>
      <c r="F75" s="402">
        <f t="shared" si="4"/>
        <v>0</v>
      </c>
      <c r="G75" s="1404">
        <f>'5.2 Budgeted Enrollment YR2'!G77-E75</f>
        <v>785.63660329576021</v>
      </c>
      <c r="H75" s="646">
        <f t="shared" si="5"/>
        <v>7465119</v>
      </c>
      <c r="I75" s="1400">
        <f>VLOOKUP($C75,'6.5 NCEI Adj. YR2'!$B$7:$I$23,8,FALSE)</f>
        <v>1</v>
      </c>
      <c r="J75" s="1396">
        <f t="shared" si="9"/>
        <v>0</v>
      </c>
      <c r="K75" s="9"/>
    </row>
    <row r="76" spans="2:11" x14ac:dyDescent="0.3">
      <c r="B76" s="9" t="str">
        <f>'5.2 Budgeted Enrollment YR2'!E78</f>
        <v>Odyssey Charter Schools</v>
      </c>
      <c r="C76" s="399" t="str">
        <f>'5.2 Budgeted Enrollment YR2'!A78</f>
        <v>Clark</v>
      </c>
      <c r="D76" s="370">
        <f>'6.3 Statewide Base Funding YR2'!C82</f>
        <v>9502</v>
      </c>
      <c r="E76" s="1407">
        <f>'5.2 Budgeted Enrollment YR2'!L78</f>
        <v>0</v>
      </c>
      <c r="F76" s="402">
        <f t="shared" si="4"/>
        <v>0</v>
      </c>
      <c r="G76" s="1404">
        <f>'5.2 Budgeted Enrollment YR2'!G78-E76</f>
        <v>2400.7898726641642</v>
      </c>
      <c r="H76" s="646">
        <f t="shared" si="5"/>
        <v>22812305</v>
      </c>
      <c r="I76" s="1400">
        <f>VLOOKUP($C76,'6.5 NCEI Adj. YR2'!$B$7:$I$23,8,FALSE)</f>
        <v>1</v>
      </c>
      <c r="J76" s="1396">
        <f t="shared" si="9"/>
        <v>0</v>
      </c>
      <c r="K76" s="9"/>
    </row>
    <row r="77" spans="2:11" x14ac:dyDescent="0.3">
      <c r="B77" s="9" t="str">
        <f>'5.2 Budgeted Enrollment YR2'!E79</f>
        <v>Pinecrest Academy of Northern Nevada</v>
      </c>
      <c r="C77" s="399" t="str">
        <f>'5.2 Budgeted Enrollment YR2'!A79</f>
        <v>Washoe</v>
      </c>
      <c r="D77" s="370">
        <f>'6.3 Statewide Base Funding YR2'!C83</f>
        <v>9502</v>
      </c>
      <c r="E77" s="1407">
        <f>'5.2 Budgeted Enrollment YR2'!L79</f>
        <v>0</v>
      </c>
      <c r="F77" s="402">
        <f t="shared" si="4"/>
        <v>0</v>
      </c>
      <c r="G77" s="1404">
        <f>'5.2 Budgeted Enrollment YR2'!G79-E77</f>
        <v>1022.3920123229747</v>
      </c>
      <c r="H77" s="646">
        <f t="shared" si="5"/>
        <v>9714769</v>
      </c>
      <c r="I77" s="1400">
        <f>VLOOKUP($C77,'6.5 NCEI Adj. YR2'!$B$7:$I$23,8,FALSE)</f>
        <v>1</v>
      </c>
      <c r="J77" s="1396">
        <f t="shared" si="9"/>
        <v>0</v>
      </c>
      <c r="K77" s="9"/>
    </row>
    <row r="78" spans="2:11" x14ac:dyDescent="0.3">
      <c r="B78" s="9" t="str">
        <f>'5.2 Budgeted Enrollment YR2'!E80</f>
        <v>Pinecrest Academy of Nevada</v>
      </c>
      <c r="C78" s="399" t="str">
        <f>'5.2 Budgeted Enrollment YR2'!A80</f>
        <v>Clark</v>
      </c>
      <c r="D78" s="370">
        <f>'6.3 Statewide Base Funding YR2'!C84</f>
        <v>9502</v>
      </c>
      <c r="E78" s="1407">
        <f>'5.2 Budgeted Enrollment YR2'!L80</f>
        <v>117</v>
      </c>
      <c r="F78" s="402">
        <f t="shared" si="4"/>
        <v>1111734</v>
      </c>
      <c r="G78" s="1404">
        <f>'5.2 Budgeted Enrollment YR2'!G80-E78</f>
        <v>7937.8515217779041</v>
      </c>
      <c r="H78" s="646">
        <f t="shared" si="5"/>
        <v>75425465</v>
      </c>
      <c r="I78" s="1400">
        <f>VLOOKUP($C78,'6.5 NCEI Adj. YR2'!$B$7:$I$23,8,FALSE)</f>
        <v>1</v>
      </c>
      <c r="J78" s="1396">
        <f t="shared" si="9"/>
        <v>0</v>
      </c>
      <c r="K78" s="9"/>
    </row>
    <row r="79" spans="2:11" x14ac:dyDescent="0.3">
      <c r="B79" s="9" t="str">
        <f>'5.2 Budgeted Enrollment YR2'!E81</f>
        <v>Pioneer Technical Arts Academy</v>
      </c>
      <c r="C79" s="399" t="str">
        <f>'5.2 Budgeted Enrollment YR2'!A81</f>
        <v>Clark</v>
      </c>
      <c r="D79" s="370">
        <f>'6.3 Statewide Base Funding YR2'!C85</f>
        <v>9502</v>
      </c>
      <c r="E79" s="1407">
        <f>'5.2 Budgeted Enrollment YR2'!L81</f>
        <v>0</v>
      </c>
      <c r="F79" s="402">
        <f t="shared" ref="F79" si="10">D79*E79</f>
        <v>0</v>
      </c>
      <c r="G79" s="1404">
        <f>'5.2 Budgeted Enrollment YR2'!G81-E79</f>
        <v>263.87383610592974</v>
      </c>
      <c r="H79" s="646">
        <f t="shared" si="5"/>
        <v>2507329</v>
      </c>
      <c r="I79" s="1400">
        <f>VLOOKUP($C79,'6.5 NCEI Adj. YR2'!$B$7:$I$23,8,FALSE)</f>
        <v>1</v>
      </c>
      <c r="J79" s="1396">
        <f t="shared" ref="J79" si="11">SUM(H79:H79)*(I79-1)</f>
        <v>0</v>
      </c>
      <c r="K79" s="9" t="s">
        <v>370</v>
      </c>
    </row>
    <row r="80" spans="2:11" x14ac:dyDescent="0.3">
      <c r="B80" s="9" t="str">
        <f>'5.2 Budgeted Enrollment YR2'!E82</f>
        <v>Quest Academy</v>
      </c>
      <c r="C80" s="399" t="str">
        <f>'5.2 Budgeted Enrollment YR2'!A82</f>
        <v>Clark</v>
      </c>
      <c r="D80" s="370">
        <f>'6.3 Statewide Base Funding YR2'!C86</f>
        <v>9502</v>
      </c>
      <c r="E80" s="1407">
        <f>'5.2 Budgeted Enrollment YR2'!L82</f>
        <v>0</v>
      </c>
      <c r="F80" s="402">
        <f t="shared" si="4"/>
        <v>0</v>
      </c>
      <c r="G80" s="1404">
        <f>'5.2 Budgeted Enrollment YR2'!G82-E80</f>
        <v>455.57355767788971</v>
      </c>
      <c r="H80" s="646">
        <f t="shared" si="5"/>
        <v>4328860</v>
      </c>
      <c r="I80" s="1400">
        <f>VLOOKUP($C80,'6.5 NCEI Adj. YR2'!$B$7:$I$23,8,FALSE)</f>
        <v>1</v>
      </c>
      <c r="J80" s="1396">
        <f t="shared" si="9"/>
        <v>0</v>
      </c>
      <c r="K80" s="9"/>
    </row>
    <row r="81" spans="1:11" x14ac:dyDescent="0.3">
      <c r="B81" s="9" t="str">
        <f>'5.2 Budgeted Enrollment YR2'!E83</f>
        <v>Rainbow Dreams Academy</v>
      </c>
      <c r="C81" s="399" t="str">
        <f>'5.2 Budgeted Enrollment YR2'!A83</f>
        <v>Clark</v>
      </c>
      <c r="D81" s="370">
        <f>'6.3 Statewide Base Funding YR2'!C87</f>
        <v>9502</v>
      </c>
      <c r="E81" s="1407">
        <f>'5.2 Budgeted Enrollment YR2'!L83</f>
        <v>0</v>
      </c>
      <c r="F81" s="402">
        <f t="shared" si="4"/>
        <v>0</v>
      </c>
      <c r="G81" s="1404">
        <f>'5.2 Budgeted Enrollment YR2'!G83-E81</f>
        <v>63.383111480510713</v>
      </c>
      <c r="H81" s="646">
        <f t="shared" si="5"/>
        <v>602266</v>
      </c>
      <c r="I81" s="1400">
        <f>VLOOKUP($C81,'6.5 NCEI Adj. YR2'!$B$7:$I$23,8,FALSE)</f>
        <v>1</v>
      </c>
      <c r="J81" s="1396">
        <f t="shared" si="9"/>
        <v>0</v>
      </c>
      <c r="K81" s="9"/>
    </row>
    <row r="82" spans="1:11" x14ac:dyDescent="0.3">
      <c r="B82" s="9" t="str">
        <f>'5.2 Budgeted Enrollment YR2'!E84</f>
        <v>Rooted Charter School</v>
      </c>
      <c r="C82" s="399" t="str">
        <f>'5.2 Budgeted Enrollment YR2'!A84</f>
        <v>Clark</v>
      </c>
      <c r="D82" s="370">
        <f>'6.3 Statewide Base Funding YR2'!C88</f>
        <v>9502</v>
      </c>
      <c r="E82" s="1407">
        <f>'5.2 Budgeted Enrollment YR2'!L84</f>
        <v>0</v>
      </c>
      <c r="F82" s="402">
        <f t="shared" ref="F82" si="12">D82*E82</f>
        <v>0</v>
      </c>
      <c r="G82" s="1404">
        <f>'5.2 Budgeted Enrollment YR2'!G84-E82</f>
        <v>23.615168211814723</v>
      </c>
      <c r="H82" s="646">
        <f t="shared" si="5"/>
        <v>224391</v>
      </c>
      <c r="I82" s="1400">
        <f>VLOOKUP($C82,'6.5 NCEI Adj. YR2'!$B$7:$I$23,8,FALSE)</f>
        <v>1</v>
      </c>
      <c r="J82" s="1396">
        <f t="shared" ref="J82" si="13">SUM(H82:H82)*(I82-1)</f>
        <v>0</v>
      </c>
      <c r="K82" s="9"/>
    </row>
    <row r="83" spans="1:11" x14ac:dyDescent="0.3">
      <c r="B83" s="9" t="str">
        <f>'5.2 Budgeted Enrollment YR2'!E85</f>
        <v>Sage Collegiate Academy</v>
      </c>
      <c r="C83" s="399" t="str">
        <f>'5.2 Budgeted Enrollment YR2'!A85</f>
        <v>Clark</v>
      </c>
      <c r="D83" s="370">
        <f>'6.3 Statewide Base Funding YR2'!C89</f>
        <v>9502</v>
      </c>
      <c r="E83" s="1407">
        <f>'5.2 Budgeted Enrollment YR2'!L85</f>
        <v>0</v>
      </c>
      <c r="F83" s="402">
        <f t="shared" si="4"/>
        <v>0</v>
      </c>
      <c r="G83" s="1404">
        <f>'5.2 Budgeted Enrollment YR2'!G85-E83</f>
        <v>236.13114718926738</v>
      </c>
      <c r="H83" s="646">
        <f t="shared" si="5"/>
        <v>2243718</v>
      </c>
      <c r="I83" s="1400">
        <f>VLOOKUP($C83,'6.5 NCEI Adj. YR2'!$B$7:$I$23,8,FALSE)</f>
        <v>1</v>
      </c>
      <c r="J83" s="1396">
        <f t="shared" si="9"/>
        <v>0</v>
      </c>
      <c r="K83" s="9"/>
    </row>
    <row r="84" spans="1:11" x14ac:dyDescent="0.3">
      <c r="B84" s="9" t="str">
        <f>'5.2 Budgeted Enrollment YR2'!E86</f>
        <v>Sierra Nevada Academy Charter</v>
      </c>
      <c r="C84" s="399" t="str">
        <f>'5.2 Budgeted Enrollment YR2'!A86</f>
        <v>Washoe</v>
      </c>
      <c r="D84" s="370">
        <f>'6.3 Statewide Base Funding YR2'!C90</f>
        <v>9502</v>
      </c>
      <c r="E84" s="1407">
        <f>'5.2 Budgeted Enrollment YR2'!L86</f>
        <v>0</v>
      </c>
      <c r="F84" s="402">
        <f t="shared" si="4"/>
        <v>0</v>
      </c>
      <c r="G84" s="1404">
        <f>'5.2 Budgeted Enrollment YR2'!G86-E84</f>
        <v>265.07102245962432</v>
      </c>
      <c r="H84" s="646">
        <f t="shared" si="5"/>
        <v>2518705</v>
      </c>
      <c r="I84" s="1400">
        <f>VLOOKUP($C84,'6.5 NCEI Adj. YR2'!$B$7:$I$23,8,FALSE)</f>
        <v>1</v>
      </c>
      <c r="J84" s="1396">
        <f t="shared" si="9"/>
        <v>0</v>
      </c>
      <c r="K84" s="9"/>
    </row>
    <row r="85" spans="1:11" x14ac:dyDescent="0.3">
      <c r="B85" s="9" t="str">
        <f>'5.2 Budgeted Enrollment YR2'!E87</f>
        <v>Signature Preparatory</v>
      </c>
      <c r="C85" s="399" t="str">
        <f>'5.2 Budgeted Enrollment YR2'!A87</f>
        <v>Clark</v>
      </c>
      <c r="D85" s="370">
        <f>'6.3 Statewide Base Funding YR2'!C91</f>
        <v>9502</v>
      </c>
      <c r="E85" s="1407">
        <f>'5.2 Budgeted Enrollment YR2'!L87</f>
        <v>0</v>
      </c>
      <c r="F85" s="402">
        <f t="shared" si="4"/>
        <v>0</v>
      </c>
      <c r="G85" s="1404">
        <f>'5.2 Budgeted Enrollment YR2'!G87-E85</f>
        <v>995.39371457820653</v>
      </c>
      <c r="H85" s="646">
        <f t="shared" si="5"/>
        <v>9458231</v>
      </c>
      <c r="I85" s="1400">
        <f>VLOOKUP($C85,'6.5 NCEI Adj. YR2'!$B$7:$I$23,8,FALSE)</f>
        <v>1</v>
      </c>
      <c r="J85" s="1396">
        <f t="shared" si="9"/>
        <v>0</v>
      </c>
      <c r="K85" s="9"/>
    </row>
    <row r="86" spans="1:11" x14ac:dyDescent="0.3">
      <c r="B86" s="9" t="str">
        <f>'5.2 Budgeted Enrollment YR2'!E88</f>
        <v>Silver Sands Montessori</v>
      </c>
      <c r="C86" s="399" t="str">
        <f>'5.2 Budgeted Enrollment YR2'!A88</f>
        <v>Clark</v>
      </c>
      <c r="D86" s="370">
        <f>'6.3 Statewide Base Funding YR2'!C92</f>
        <v>9502</v>
      </c>
      <c r="E86" s="1407">
        <f>'5.2 Budgeted Enrollment YR2'!L88</f>
        <v>0</v>
      </c>
      <c r="F86" s="402">
        <f t="shared" si="4"/>
        <v>0</v>
      </c>
      <c r="G86" s="1404">
        <f>'5.2 Budgeted Enrollment YR2'!G88-E86</f>
        <v>239.7637761081109</v>
      </c>
      <c r="H86" s="646">
        <f t="shared" si="5"/>
        <v>2278235</v>
      </c>
      <c r="I86" s="1400">
        <f>VLOOKUP($C86,'6.5 NCEI Adj. YR2'!$B$7:$I$23,8,FALSE)</f>
        <v>1</v>
      </c>
      <c r="J86" s="1396">
        <f t="shared" si="9"/>
        <v>0</v>
      </c>
      <c r="K86" s="9"/>
    </row>
    <row r="87" spans="1:11" x14ac:dyDescent="0.3">
      <c r="B87" s="9" t="str">
        <f>'5.2 Budgeted Enrollment YR2'!E89</f>
        <v>Somerset Academy</v>
      </c>
      <c r="C87" s="399" t="str">
        <f>'5.2 Budgeted Enrollment YR2'!A89</f>
        <v>Clark</v>
      </c>
      <c r="D87" s="370">
        <f>'6.3 Statewide Base Funding YR2'!C93</f>
        <v>9502</v>
      </c>
      <c r="E87" s="1407">
        <f>'5.2 Budgeted Enrollment YR2'!L89</f>
        <v>0</v>
      </c>
      <c r="F87" s="402">
        <f t="shared" si="4"/>
        <v>0</v>
      </c>
      <c r="G87" s="1404">
        <f>'5.2 Budgeted Enrollment YR2'!G89-E87</f>
        <v>9613.0429519265235</v>
      </c>
      <c r="H87" s="646">
        <f t="shared" si="5"/>
        <v>91343134</v>
      </c>
      <c r="I87" s="1400">
        <f>VLOOKUP($C87,'6.5 NCEI Adj. YR2'!$B$7:$I$23,8,FALSE)</f>
        <v>1</v>
      </c>
      <c r="J87" s="1396">
        <f t="shared" si="9"/>
        <v>0</v>
      </c>
      <c r="K87" s="9"/>
    </row>
    <row r="88" spans="1:11" x14ac:dyDescent="0.3">
      <c r="B88" s="9" t="str">
        <f>'5.2 Budgeted Enrollment YR2'!E90</f>
        <v>Southern Nevada Trade High School</v>
      </c>
      <c r="C88" s="399" t="str">
        <f>'5.2 Budgeted Enrollment YR2'!A90</f>
        <v>Clark</v>
      </c>
      <c r="D88" s="370">
        <f>'6.3 Statewide Base Funding YR2'!C94</f>
        <v>9502</v>
      </c>
      <c r="E88" s="1407">
        <f>'5.2 Budgeted Enrollment YR2'!L90</f>
        <v>0</v>
      </c>
      <c r="F88" s="402">
        <f t="shared" ref="F88" si="14">D88*E88</f>
        <v>0</v>
      </c>
      <c r="G88" s="1404">
        <f>'5.2 Budgeted Enrollment YR2'!G90-E88</f>
        <v>81.083193428487846</v>
      </c>
      <c r="H88" s="646">
        <f t="shared" si="5"/>
        <v>770453</v>
      </c>
      <c r="I88" s="1400">
        <f>VLOOKUP($C88,'6.5 NCEI Adj. YR2'!$B$7:$I$23,8,FALSE)</f>
        <v>1</v>
      </c>
      <c r="J88" s="1396">
        <f t="shared" ref="J88" si="15">SUM(H88:H88)*(I88-1)</f>
        <v>0</v>
      </c>
      <c r="K88" s="9"/>
    </row>
    <row r="89" spans="1:11" x14ac:dyDescent="0.3">
      <c r="B89" s="9" t="str">
        <f>'5.2 Budgeted Enrollment YR2'!E91</f>
        <v>Sports Leadership and Management Academy</v>
      </c>
      <c r="C89" s="399" t="str">
        <f>'5.2 Budgeted Enrollment YR2'!A91</f>
        <v>Clark</v>
      </c>
      <c r="D89" s="370">
        <f>'6.3 Statewide Base Funding YR2'!C95</f>
        <v>9502</v>
      </c>
      <c r="E89" s="1407">
        <f>'5.2 Budgeted Enrollment YR2'!L91</f>
        <v>0</v>
      </c>
      <c r="F89" s="402">
        <f t="shared" si="4"/>
        <v>0</v>
      </c>
      <c r="G89" s="1404">
        <f>'5.2 Budgeted Enrollment YR2'!G91-E89</f>
        <v>1868.7586142879702</v>
      </c>
      <c r="H89" s="646">
        <f t="shared" si="5"/>
        <v>17756944</v>
      </c>
      <c r="I89" s="1400">
        <f>VLOOKUP($C89,'6.5 NCEI Adj. YR2'!$B$7:$I$23,8,FALSE)</f>
        <v>1</v>
      </c>
      <c r="J89" s="1396">
        <f t="shared" si="9"/>
        <v>0</v>
      </c>
      <c r="K89" s="9"/>
    </row>
    <row r="90" spans="1:11" x14ac:dyDescent="0.3">
      <c r="B90" s="9" t="str">
        <f>'5.2 Budgeted Enrollment YR2'!E92</f>
        <v>Strong Start Academy</v>
      </c>
      <c r="C90" s="399" t="str">
        <f>'5.2 Budgeted Enrollment YR2'!A92</f>
        <v>Clark</v>
      </c>
      <c r="D90" s="370">
        <f>'6.3 Statewide Base Funding YR2'!C96</f>
        <v>9502</v>
      </c>
      <c r="E90" s="1407">
        <f>'5.2 Budgeted Enrollment YR2'!L92</f>
        <v>0</v>
      </c>
      <c r="F90" s="402">
        <f t="shared" si="4"/>
        <v>0</v>
      </c>
      <c r="G90" s="1404">
        <f>'5.2 Budgeted Enrollment YR2'!G92-E90</f>
        <v>147.52292907276259</v>
      </c>
      <c r="H90" s="646">
        <f t="shared" si="5"/>
        <v>1401763</v>
      </c>
      <c r="I90" s="1400">
        <f>VLOOKUP($C90,'6.5 NCEI Adj. YR2'!$B$7:$I$23,8,FALSE)</f>
        <v>1</v>
      </c>
      <c r="J90" s="1396">
        <f t="shared" si="9"/>
        <v>0</v>
      </c>
      <c r="K90" s="9"/>
    </row>
    <row r="91" spans="1:11" x14ac:dyDescent="0.3">
      <c r="B91" s="9" t="str">
        <f>'5.2 Budgeted Enrollment YR2'!E93</f>
        <v>ThrivePoint</v>
      </c>
      <c r="C91" s="399" t="str">
        <f>'5.2 Budgeted Enrollment YR2'!A93</f>
        <v>Clark</v>
      </c>
      <c r="D91" s="370">
        <f>'6.3 Statewide Base Funding YR2'!C97</f>
        <v>9502</v>
      </c>
      <c r="E91" s="1407">
        <f>'5.2 Budgeted Enrollment YR2'!L93</f>
        <v>0</v>
      </c>
      <c r="F91" s="402">
        <f t="shared" si="4"/>
        <v>0</v>
      </c>
      <c r="G91" s="1404">
        <f>'5.2 Budgeted Enrollment YR2'!G93-E91</f>
        <v>152.98522015479972</v>
      </c>
      <c r="H91" s="646">
        <f t="shared" si="5"/>
        <v>1453666</v>
      </c>
      <c r="I91" s="1400">
        <f>VLOOKUP($C91,'6.5 NCEI Adj. YR2'!$B$7:$I$23,8,FALSE)</f>
        <v>1</v>
      </c>
      <c r="J91" s="1396">
        <f t="shared" si="9"/>
        <v>0</v>
      </c>
      <c r="K91" s="9" t="s">
        <v>370</v>
      </c>
    </row>
    <row r="92" spans="1:11" x14ac:dyDescent="0.3">
      <c r="B92" s="9" t="str">
        <f>'5.2 Budgeted Enrollment YR2'!E94</f>
        <v>Vegas Vista Academy</v>
      </c>
      <c r="C92" s="399" t="str">
        <f>'5.2 Budgeted Enrollment YR2'!A94</f>
        <v>Clark</v>
      </c>
      <c r="D92" s="370">
        <f>'6.3 Statewide Base Funding YR2'!C98</f>
        <v>9502</v>
      </c>
      <c r="E92" s="1407">
        <f>'5.2 Budgeted Enrollment YR2'!L94</f>
        <v>0</v>
      </c>
      <c r="F92" s="402">
        <f t="shared" ref="F92" si="16">D92*E92</f>
        <v>0</v>
      </c>
      <c r="G92" s="1404">
        <f>'5.2 Budgeted Enrollment YR2'!G94-E92</f>
        <v>104.72813728717834</v>
      </c>
      <c r="H92" s="646">
        <f t="shared" si="5"/>
        <v>995127</v>
      </c>
      <c r="I92" s="1400">
        <f>VLOOKUP($C92,'6.5 NCEI Adj. YR2'!$B$7:$I$23,8,FALSE)</f>
        <v>1</v>
      </c>
      <c r="J92" s="1396">
        <f t="shared" ref="J92" si="17">SUM(H92:H92)*(I92-1)</f>
        <v>0</v>
      </c>
      <c r="K92" s="9" t="s">
        <v>370</v>
      </c>
    </row>
    <row r="93" spans="1:11" x14ac:dyDescent="0.3">
      <c r="A93" s="135"/>
      <c r="B93" s="137" t="str">
        <f>'5.2 Budgeted Enrollment YR2'!E95</f>
        <v>Young Women's Leadership Academy</v>
      </c>
      <c r="C93" s="411" t="str">
        <f>'5.2 Budgeted Enrollment YR2'!A95</f>
        <v>Clark</v>
      </c>
      <c r="D93" s="407">
        <f>'6.3 Statewide Base Funding YR2'!C99</f>
        <v>9502</v>
      </c>
      <c r="E93" s="1408">
        <f>'5.2 Budgeted Enrollment YR2'!L95</f>
        <v>0</v>
      </c>
      <c r="F93" s="403">
        <f t="shared" si="4"/>
        <v>0</v>
      </c>
      <c r="G93" s="1405">
        <f>'5.2 Budgeted Enrollment YR2'!G95-E93</f>
        <v>118.86232883517145</v>
      </c>
      <c r="H93" s="647">
        <f>ROUND(D93*G93,0)</f>
        <v>1129430</v>
      </c>
      <c r="I93" s="1401">
        <f>VLOOKUP($C93,'6.5 NCEI Adj. YR2'!$B$7:$I$23,8,FALSE)</f>
        <v>1</v>
      </c>
      <c r="J93" s="1397">
        <f t="shared" si="9"/>
        <v>0</v>
      </c>
      <c r="K93" s="9"/>
    </row>
    <row r="94" spans="1:11" s="4" customFormat="1" x14ac:dyDescent="0.3">
      <c r="B94" s="4" t="str">
        <f>'6.3 Statewide Base Funding YR2'!B100</f>
        <v>Total:</v>
      </c>
      <c r="E94" s="1391">
        <f>SUM(E32:E93)</f>
        <v>3425.1842297671528</v>
      </c>
      <c r="F94" s="410">
        <f>SUM(F32:F93)</f>
        <v>32546100.551247489</v>
      </c>
      <c r="G94" s="1406">
        <f>SUM(G32:G93)</f>
        <v>68876.422436899535</v>
      </c>
      <c r="H94" s="410">
        <f>SUM(H32:H93)</f>
        <v>654463767</v>
      </c>
      <c r="I94" s="839"/>
      <c r="J94" s="839">
        <f>SUM(J32:J93)</f>
        <v>0</v>
      </c>
      <c r="K94" s="85"/>
    </row>
    <row r="95" spans="1:11" x14ac:dyDescent="0.3">
      <c r="G95" s="57">
        <f>E94+G94-'5.2 Budgeted Enrollment YR2'!G26</f>
        <v>0</v>
      </c>
      <c r="H95" s="12"/>
    </row>
    <row r="96" spans="1:11" x14ac:dyDescent="0.3">
      <c r="A96" s="4" t="str">
        <f>B25</f>
        <v>University Schools</v>
      </c>
      <c r="G96" s="108"/>
      <c r="H96" s="12"/>
    </row>
    <row r="97" spans="1:11" x14ac:dyDescent="0.3">
      <c r="A97" s="300"/>
      <c r="B97" s="207" t="str">
        <f>'5.2 Budgeted Enrollment YR2'!E100</f>
        <v>Davidson Academy</v>
      </c>
      <c r="C97" s="1388" t="str">
        <f>'5.2 Budgeted Enrollment YR2'!A100</f>
        <v>Washoe</v>
      </c>
      <c r="D97" s="1389">
        <f>'6.3 Statewide Base Funding YR2'!C103</f>
        <v>9502</v>
      </c>
      <c r="E97" s="1412">
        <f>'5.2 Budgeted Enrollment YR2'!L100</f>
        <v>0</v>
      </c>
      <c r="F97" s="500">
        <f>D97*E97</f>
        <v>0</v>
      </c>
      <c r="G97" s="1412">
        <f>'5.2 Budgeted Enrollment YR2'!G100-E97</f>
        <v>167.88437423074134</v>
      </c>
      <c r="H97" s="1413">
        <f>ROUND(D97*G97,0)</f>
        <v>1595237</v>
      </c>
      <c r="I97" s="2058">
        <f>VLOOKUP($C97,'6.5 NCEI Adj. YR2'!$B$7:$I$25,8,FALSE)</f>
        <v>1</v>
      </c>
      <c r="J97" s="1931">
        <f>IF(H97=0,0,SUM(H97:H97)*(I97-1))</f>
        <v>0</v>
      </c>
    </row>
    <row r="98" spans="1:11" x14ac:dyDescent="0.3">
      <c r="A98" s="204"/>
      <c r="B98" s="137"/>
      <c r="C98" s="411">
        <f>'5.2 Budgeted Enrollment YR2'!A101</f>
        <v>0</v>
      </c>
      <c r="D98" s="407">
        <f>'6.3 Statewide Base Funding YR2'!C104</f>
        <v>9502</v>
      </c>
      <c r="E98" s="1408">
        <f>'5.2 Budgeted Enrollment YR2'!L101</f>
        <v>0</v>
      </c>
      <c r="F98" s="1247">
        <f>D98*E98</f>
        <v>0</v>
      </c>
      <c r="G98" s="1408">
        <f>'5.2 Budgeted Enrollment YR2'!G101-E98</f>
        <v>0</v>
      </c>
      <c r="H98" s="1414">
        <f>ROUND(D98*G98,0)</f>
        <v>0</v>
      </c>
      <c r="I98" s="1411">
        <f>IF(C98=0,0,VLOOKUP($C98,'6.5 NCEI Adj. YR2'!$B$7:$I$25,8,FALSE))</f>
        <v>0</v>
      </c>
      <c r="J98" s="856">
        <f>IF(H98=0,0,SUM(H98:H98)*(I98-1))</f>
        <v>0</v>
      </c>
    </row>
    <row r="99" spans="1:11" s="4" customFormat="1" x14ac:dyDescent="0.3">
      <c r="E99" s="1409">
        <f>SUM(E97:E98)</f>
        <v>0</v>
      </c>
      <c r="F99" s="1410">
        <f>SUM(F97:F98)</f>
        <v>0</v>
      </c>
      <c r="G99" s="1409">
        <f>SUM(G97:G98)</f>
        <v>167.88437423074134</v>
      </c>
      <c r="H99" s="648">
        <f>SUM(H97:H98)</f>
        <v>1595237</v>
      </c>
      <c r="I99" s="1293"/>
      <c r="J99" s="1293">
        <f>SUM(J97:J98)</f>
        <v>0</v>
      </c>
      <c r="K99" s="85"/>
    </row>
    <row r="101" spans="1:11" x14ac:dyDescent="0.3">
      <c r="A101" s="4" t="str">
        <f>B26</f>
        <v>City of Henderson</v>
      </c>
      <c r="G101" s="108"/>
      <c r="H101" s="12"/>
    </row>
    <row r="102" spans="1:11" x14ac:dyDescent="0.3">
      <c r="A102" s="300"/>
      <c r="B102" s="207" t="str">
        <f>'5.2 Budgeted Enrollment YR2'!E107</f>
        <v>TBD</v>
      </c>
      <c r="C102" s="1388" t="str">
        <f>'5.2 Budgeted Enrollment YR2'!A107</f>
        <v>Clark</v>
      </c>
      <c r="D102" s="1389">
        <f>'6.3 Statewide Base Funding YR2'!C108</f>
        <v>9502</v>
      </c>
      <c r="E102" s="1412">
        <f>'5.2 Budgeted Enrollment YR2'!L107</f>
        <v>0</v>
      </c>
      <c r="F102" s="500">
        <f>D102*E102</f>
        <v>0</v>
      </c>
      <c r="G102" s="1412">
        <f>'5.2 Budgeted Enrollment YR2'!G107-E102</f>
        <v>0</v>
      </c>
      <c r="H102" s="1413">
        <f>ROUND(D102*G102,0)</f>
        <v>0</v>
      </c>
      <c r="I102" s="2058">
        <f>VLOOKUP($C102,'6.5 NCEI Adj. YR2'!$B$7:$I$25,8,FALSE)</f>
        <v>1</v>
      </c>
      <c r="J102" s="1931">
        <f>IF(H102=0,0,SUM(H102:H102)*(I102-1))</f>
        <v>0</v>
      </c>
    </row>
    <row r="103" spans="1:11" x14ac:dyDescent="0.3">
      <c r="A103" s="204"/>
      <c r="B103" s="137"/>
      <c r="C103" s="411" t="str">
        <f>'5.2 Budgeted Enrollment YR2'!A108</f>
        <v>Clark</v>
      </c>
      <c r="D103" s="407">
        <f>'6.3 Statewide Base Funding YR2'!C109</f>
        <v>9502</v>
      </c>
      <c r="E103" s="1408">
        <f>'5.2 Budgeted Enrollment YR2'!L108</f>
        <v>0</v>
      </c>
      <c r="F103" s="1247">
        <f>D103*E103</f>
        <v>0</v>
      </c>
      <c r="G103" s="1408">
        <f>'5.2 Budgeted Enrollment YR2'!G108-E103</f>
        <v>0</v>
      </c>
      <c r="H103" s="1414">
        <f>ROUND(D103*G103,0)</f>
        <v>0</v>
      </c>
      <c r="I103" s="1411">
        <f>VLOOKUP($C103,'6.5 NCEI Adj. YR2'!$B$7:$I$25,8,FALSE)</f>
        <v>1</v>
      </c>
      <c r="J103" s="856">
        <f>IF(H103=0,0,SUM(H103:H103)*(I103-1))</f>
        <v>0</v>
      </c>
    </row>
    <row r="104" spans="1:11" s="4" customFormat="1" x14ac:dyDescent="0.3">
      <c r="E104" s="1390">
        <f>SUM(E102:E103)</f>
        <v>0</v>
      </c>
      <c r="F104" s="1240">
        <f>SUM(F102:F103)</f>
        <v>0</v>
      </c>
      <c r="G104" s="1409">
        <f>SUM(G102:G103)</f>
        <v>0</v>
      </c>
      <c r="H104" s="648">
        <f>SUM(H102:H103)</f>
        <v>0</v>
      </c>
      <c r="I104" s="1239"/>
      <c r="J104" s="1239">
        <f>SUM(J102:J103)</f>
        <v>0</v>
      </c>
      <c r="K104" s="85"/>
    </row>
    <row r="106" spans="1:11" x14ac:dyDescent="0.3">
      <c r="A106" s="4" t="str">
        <f>B27</f>
        <v>City of North Las Vegas</v>
      </c>
      <c r="G106" s="108"/>
      <c r="H106" s="12"/>
    </row>
    <row r="107" spans="1:11" x14ac:dyDescent="0.3">
      <c r="A107" s="300"/>
      <c r="B107" s="207" t="str">
        <f>'5.2 Budgeted Enrollment YR2'!E113</f>
        <v>TBD</v>
      </c>
      <c r="C107" s="1388" t="str">
        <f>'5.2 Budgeted Enrollment YR2'!A113</f>
        <v>Clark</v>
      </c>
      <c r="D107" s="1389">
        <f>'6.3 Statewide Base Funding YR2'!C113</f>
        <v>9502</v>
      </c>
      <c r="E107" s="1412">
        <f>'5.2 Budgeted Enrollment YR2'!L113</f>
        <v>0</v>
      </c>
      <c r="F107" s="500">
        <f>D107*E107</f>
        <v>0</v>
      </c>
      <c r="G107" s="1412">
        <f>'5.2 Budgeted Enrollment YR2'!G113-E107</f>
        <v>0</v>
      </c>
      <c r="H107" s="1413">
        <f>ROUND(D107*G107,0)</f>
        <v>0</v>
      </c>
      <c r="I107" s="1415">
        <f>VLOOKUP($C107,'6.5 NCEI Adj. YR2'!$B$7:$I$25,8,FALSE)</f>
        <v>1</v>
      </c>
      <c r="J107" s="1931">
        <f>IF(H107=0,0,SUM(H107:H107)*(I107-1))</f>
        <v>0</v>
      </c>
    </row>
    <row r="108" spans="1:11" x14ac:dyDescent="0.3">
      <c r="A108" s="204"/>
      <c r="B108" s="137" t="str">
        <f>'5.2 Budgeted Enrollment YR2'!E114</f>
        <v>TBD</v>
      </c>
      <c r="C108" s="411" t="str">
        <f>'5.2 Budgeted Enrollment YR2'!A114</f>
        <v>Clark</v>
      </c>
      <c r="D108" s="407">
        <f>'6.3 Statewide Base Funding YR2'!C114</f>
        <v>9502</v>
      </c>
      <c r="E108" s="1408">
        <f>'5.2 Budgeted Enrollment YR2'!L114</f>
        <v>0</v>
      </c>
      <c r="F108" s="1247">
        <f>D108*E108</f>
        <v>0</v>
      </c>
      <c r="G108" s="1408">
        <f>'5.2 Budgeted Enrollment YR2'!G114-E108</f>
        <v>0</v>
      </c>
      <c r="H108" s="1414">
        <f>ROUND(D108*G108,0)</f>
        <v>0</v>
      </c>
      <c r="I108" s="1416">
        <f>VLOOKUP($C108,'6.5 NCEI Adj. YR2'!$B$7:$I$25,8,FALSE)</f>
        <v>1</v>
      </c>
      <c r="J108" s="856">
        <f>IF(H108=0,0,SUM(H108:H108)*(I108-1))</f>
        <v>0</v>
      </c>
    </row>
    <row r="109" spans="1:11" s="4" customFormat="1" x14ac:dyDescent="0.3">
      <c r="E109" s="1390">
        <f>SUM(E107:E108)</f>
        <v>0</v>
      </c>
      <c r="F109" s="1240">
        <f>SUM(F107:F108)</f>
        <v>0</v>
      </c>
      <c r="G109" s="1409">
        <f>SUM(G107:G108)</f>
        <v>0</v>
      </c>
      <c r="H109" s="648">
        <f>SUM(H107:H108)</f>
        <v>0</v>
      </c>
      <c r="I109" s="1239"/>
      <c r="J109" s="1239">
        <f>SUM(J107:J108)</f>
        <v>0</v>
      </c>
      <c r="K109" s="85"/>
    </row>
  </sheetData>
  <pageMargins left="0.7" right="0.7" top="0.75" bottom="0.75" header="0.3" footer="0.3"/>
  <pageSetup paperSize="3" fitToHeight="0" orientation="landscape" r:id="rId1"/>
  <headerFooter>
    <oddHeader>&amp;R&amp;"Arial Narrow,Regular"&amp;10&amp;A
&amp;P</oddHeader>
  </headerFooter>
  <rowBreaks count="2" manualBreakCount="2">
    <brk id="28" max="16383" man="1"/>
    <brk id="72" max="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005B5-9261-4600-9502-6D9AC5E8422B}">
  <sheetPr>
    <tabColor theme="6" tint="-0.499984740745262"/>
    <pageSetUpPr autoPageBreaks="0" fitToPage="1"/>
  </sheetPr>
  <dimension ref="A1:K116"/>
  <sheetViews>
    <sheetView workbookViewId="0"/>
  </sheetViews>
  <sheetFormatPr defaultColWidth="8.7109375" defaultRowHeight="16.5" x14ac:dyDescent="0.3"/>
  <cols>
    <col min="1" max="1" width="7" style="9" customWidth="1"/>
    <col min="2" max="2" width="38.42578125" style="9" bestFit="1" customWidth="1"/>
    <col min="3" max="3" width="16" style="9" bestFit="1" customWidth="1"/>
    <col min="4" max="4" width="16.7109375" style="9" bestFit="1" customWidth="1"/>
    <col min="5" max="5" width="15.7109375" style="9" bestFit="1" customWidth="1"/>
    <col min="6" max="6" width="13.7109375" style="9" bestFit="1" customWidth="1"/>
    <col min="7" max="7" width="15.5703125" style="9" bestFit="1" customWidth="1"/>
    <col min="8" max="8" width="16.140625" style="9" bestFit="1" customWidth="1"/>
    <col min="9" max="9" width="10.5703125" style="9" bestFit="1" customWidth="1"/>
    <col min="10" max="16384" width="8.7109375" style="9"/>
  </cols>
  <sheetData>
    <row r="1" spans="1:10" s="4" customFormat="1" x14ac:dyDescent="0.3">
      <c r="A1" s="4" t="s">
        <v>15</v>
      </c>
    </row>
    <row r="2" spans="1:10" x14ac:dyDescent="0.3">
      <c r="A2" s="9" t="str">
        <f>CONCATENATE("Pupil Center Funding Plan | FY",'5.1 Assumption Control YR2'!D5)</f>
        <v>Pupil Center Funding Plan | FY2027</v>
      </c>
    </row>
    <row r="3" spans="1:10" x14ac:dyDescent="0.3">
      <c r="A3" s="9" t="s">
        <v>1767</v>
      </c>
    </row>
    <row r="5" spans="1:10" ht="17.25" thickBot="1" x14ac:dyDescent="0.35">
      <c r="B5" s="17" t="s">
        <v>1336</v>
      </c>
      <c r="C5" s="17" t="s">
        <v>1331</v>
      </c>
      <c r="D5" s="17" t="s">
        <v>1332</v>
      </c>
      <c r="E5" s="18" t="s">
        <v>1333</v>
      </c>
    </row>
    <row r="6" spans="1:10" ht="18" thickTop="1" thickBot="1" x14ac:dyDescent="0.35">
      <c r="C6" s="849">
        <f>'6.3 Statewide Base Funding YR2'!E6</f>
        <v>560687930</v>
      </c>
      <c r="D6" s="850">
        <f>E36+F36</f>
        <v>149366392</v>
      </c>
      <c r="E6" s="851">
        <f>C6-D6</f>
        <v>411321538</v>
      </c>
    </row>
    <row r="7" spans="1:10" ht="17.25" thickTop="1" x14ac:dyDescent="0.3">
      <c r="B7" s="17"/>
      <c r="C7" s="77"/>
    </row>
    <row r="8" spans="1:10" ht="15.75" customHeight="1" x14ac:dyDescent="0.3">
      <c r="B8" s="17"/>
      <c r="C8" s="129"/>
      <c r="D8" s="2364" t="s">
        <v>1457</v>
      </c>
      <c r="E8" s="2365"/>
      <c r="F8" s="2365"/>
      <c r="G8" s="2365"/>
      <c r="H8" s="2366"/>
      <c r="J8" s="4"/>
    </row>
    <row r="9" spans="1:10" x14ac:dyDescent="0.3">
      <c r="B9" s="17"/>
      <c r="C9" s="129"/>
      <c r="D9" s="2367" t="s">
        <v>1458</v>
      </c>
      <c r="E9" s="2368"/>
      <c r="F9" s="2368"/>
      <c r="G9" s="2368"/>
      <c r="H9" s="2369"/>
      <c r="J9" s="4"/>
    </row>
    <row r="10" spans="1:10" x14ac:dyDescent="0.3">
      <c r="C10" s="18" t="s">
        <v>1459</v>
      </c>
      <c r="D10" s="97" t="s">
        <v>1460</v>
      </c>
      <c r="E10" s="118" t="s">
        <v>1461</v>
      </c>
      <c r="F10" s="98" t="s">
        <v>1462</v>
      </c>
      <c r="G10" s="17" t="s">
        <v>1463</v>
      </c>
      <c r="H10" s="2000" t="s">
        <v>1464</v>
      </c>
    </row>
    <row r="11" spans="1:10" x14ac:dyDescent="0.3">
      <c r="C11" s="24" t="s">
        <v>1394</v>
      </c>
      <c r="D11" s="97" t="s">
        <v>1465</v>
      </c>
      <c r="E11" s="118" t="s">
        <v>1466</v>
      </c>
      <c r="F11" s="98" t="s">
        <v>1467</v>
      </c>
      <c r="G11" s="17" t="s">
        <v>1468</v>
      </c>
      <c r="H11" s="118" t="s">
        <v>1469</v>
      </c>
    </row>
    <row r="12" spans="1:10" x14ac:dyDescent="0.3">
      <c r="A12" s="4"/>
      <c r="B12" s="13"/>
      <c r="C12" s="315"/>
      <c r="D12" s="316" t="s">
        <v>1470</v>
      </c>
      <c r="E12" s="317" t="s">
        <v>1470</v>
      </c>
      <c r="F12" s="318" t="s">
        <v>1470</v>
      </c>
      <c r="G12" s="17" t="s">
        <v>1470</v>
      </c>
      <c r="H12" s="118" t="s">
        <v>216</v>
      </c>
    </row>
    <row r="13" spans="1:10" s="35" customFormat="1" x14ac:dyDescent="0.3">
      <c r="A13" s="2095"/>
      <c r="B13" s="319" t="s">
        <v>1346</v>
      </c>
      <c r="C13" s="320" t="s">
        <v>1733</v>
      </c>
      <c r="D13" s="321" t="s">
        <v>1742</v>
      </c>
      <c r="E13" s="322" t="s">
        <v>1768</v>
      </c>
      <c r="F13" s="323" t="s">
        <v>1769</v>
      </c>
      <c r="G13" s="324" t="s">
        <v>1351</v>
      </c>
      <c r="H13" s="524" t="s">
        <v>1472</v>
      </c>
    </row>
    <row r="14" spans="1:10" x14ac:dyDescent="0.3">
      <c r="A14" s="291" t="s">
        <v>1228</v>
      </c>
      <c r="B14" s="226"/>
      <c r="C14" s="326"/>
      <c r="D14" s="327"/>
      <c r="E14" s="327"/>
      <c r="F14" s="328"/>
      <c r="G14" s="207"/>
      <c r="H14" s="295"/>
    </row>
    <row r="15" spans="1:10" x14ac:dyDescent="0.3">
      <c r="B15" s="207" t="str">
        <f>'5.2 Budgeted Enrollment YR2'!E9</f>
        <v>Carson City</v>
      </c>
      <c r="C15" s="357">
        <f>'5.2 Budgeted Enrollment YR2'!G9</f>
        <v>6970.4860982512937</v>
      </c>
      <c r="D15" s="2012">
        <f>'6.3 Statewide Base Funding YR2'!E14</f>
        <v>66233559</v>
      </c>
      <c r="E15" s="442">
        <f>'6.4 District Size Adj. YR2'!$F$16</f>
        <v>4948058</v>
      </c>
      <c r="F15" s="12">
        <f>'6.5 NCEI Adj. YR2'!J7</f>
        <v>0</v>
      </c>
      <c r="G15" s="837">
        <f>D15+E15+F15</f>
        <v>71181617</v>
      </c>
      <c r="H15" s="838">
        <f>IF(C15=0,0,G15/C15)</f>
        <v>10211.858397918266</v>
      </c>
    </row>
    <row r="16" spans="1:10" x14ac:dyDescent="0.3">
      <c r="B16" s="9" t="str">
        <f>'5.2 Budgeted Enrollment YR2'!E10</f>
        <v>Churchill</v>
      </c>
      <c r="C16" s="357">
        <f>'5.2 Budgeted Enrollment YR2'!G10</f>
        <v>3074.1458778318033</v>
      </c>
      <c r="D16" s="117">
        <f>'6.3 Statewide Base Funding YR2'!E15</f>
        <v>29210534</v>
      </c>
      <c r="E16" s="116">
        <f>'6.4 District Size Adj. YR2'!$F$18</f>
        <v>4187334</v>
      </c>
      <c r="F16" s="12">
        <f>'6.5 NCEI Adj. YR2'!J8</f>
        <v>0</v>
      </c>
      <c r="G16" s="649">
        <f t="shared" ref="G16:G31" si="0">D16+E16+F16</f>
        <v>33397868</v>
      </c>
      <c r="H16" s="375">
        <f>IF(C16=0,0,G16/C16)</f>
        <v>10864.112936486779</v>
      </c>
    </row>
    <row r="17" spans="1:8" x14ac:dyDescent="0.3">
      <c r="B17" s="9" t="str">
        <f>'5.2 Budgeted Enrollment YR2'!E11</f>
        <v>Clark</v>
      </c>
      <c r="C17" s="357">
        <f>'5.2 Budgeted Enrollment YR2'!G11</f>
        <v>285878.81775061262</v>
      </c>
      <c r="D17" s="117">
        <f>'6.3 Statewide Base Funding YR2'!E16</f>
        <v>2716420526</v>
      </c>
      <c r="E17" s="116">
        <f>'6.4 District Size Adj. YR2'!$F$31</f>
        <v>24437587</v>
      </c>
      <c r="F17" s="12">
        <f>'6.5 NCEI Adj. YR2'!J9</f>
        <v>0</v>
      </c>
      <c r="G17" s="649">
        <f t="shared" si="0"/>
        <v>2740858113</v>
      </c>
      <c r="H17" s="375">
        <f t="shared" ref="H17:H35" si="1">IF(C17=0,0,G17/C17)</f>
        <v>9587.482327532909</v>
      </c>
    </row>
    <row r="18" spans="1:8" x14ac:dyDescent="0.3">
      <c r="B18" s="9" t="str">
        <f>'5.2 Budgeted Enrollment YR2'!E12</f>
        <v>Douglas</v>
      </c>
      <c r="C18" s="357">
        <f>'5.2 Budgeted Enrollment YR2'!G12</f>
        <v>4790.5859463145525</v>
      </c>
      <c r="D18" s="117">
        <f>'6.3 Statewide Base Funding YR2'!E17</f>
        <v>45520148</v>
      </c>
      <c r="E18" s="116">
        <f>'6.4 District Size Adj. YR2'!$F$36</f>
        <v>5827849</v>
      </c>
      <c r="F18" s="12">
        <f>'6.5 NCEI Adj. YR2'!J10</f>
        <v>0</v>
      </c>
      <c r="G18" s="649">
        <f t="shared" si="0"/>
        <v>51347997</v>
      </c>
      <c r="H18" s="375">
        <f t="shared" si="1"/>
        <v>10718.521194573817</v>
      </c>
    </row>
    <row r="19" spans="1:8" x14ac:dyDescent="0.3">
      <c r="B19" s="9" t="str">
        <f>'5.2 Budgeted Enrollment YR2'!E13</f>
        <v>Elko</v>
      </c>
      <c r="C19" s="357">
        <f>'5.2 Budgeted Enrollment YR2'!G13</f>
        <v>9234.4483500865917</v>
      </c>
      <c r="D19" s="117">
        <f>'6.3 Statewide Base Funding YR2'!E18</f>
        <v>87745728</v>
      </c>
      <c r="E19" s="116">
        <f>'6.4 District Size Adj. YR2'!$F$49</f>
        <v>20892303</v>
      </c>
      <c r="F19" s="12">
        <f>'6.5 NCEI Adj. YR2'!J11</f>
        <v>0</v>
      </c>
      <c r="G19" s="649">
        <f t="shared" si="0"/>
        <v>108638031</v>
      </c>
      <c r="H19" s="375">
        <f t="shared" si="1"/>
        <v>11764.43106089616</v>
      </c>
    </row>
    <row r="20" spans="1:8" x14ac:dyDescent="0.3">
      <c r="B20" s="9" t="str">
        <f>'5.2 Budgeted Enrollment YR2'!E14</f>
        <v>Esmeralda</v>
      </c>
      <c r="C20" s="357">
        <f>'5.2 Budgeted Enrollment YR2'!G14</f>
        <v>80.635895560117746</v>
      </c>
      <c r="D20" s="117">
        <f>'6.3 Statewide Base Funding YR2'!E19</f>
        <v>766202</v>
      </c>
      <c r="E20" s="116">
        <f>'6.4 District Size Adj. YR2'!$F$54</f>
        <v>1241175</v>
      </c>
      <c r="F20" s="12">
        <f>'6.5 NCEI Adj. YR2'!J12</f>
        <v>0</v>
      </c>
      <c r="G20" s="649">
        <f t="shared" si="0"/>
        <v>2007377</v>
      </c>
      <c r="H20" s="375">
        <f t="shared" si="1"/>
        <v>24894.335035981694</v>
      </c>
    </row>
    <row r="21" spans="1:8" x14ac:dyDescent="0.3">
      <c r="B21" s="9" t="str">
        <f>'5.2 Budgeted Enrollment YR2'!E15</f>
        <v>Eureka</v>
      </c>
      <c r="C21" s="357">
        <f>'5.2 Budgeted Enrollment YR2'!G15</f>
        <v>297.58201989503061</v>
      </c>
      <c r="D21" s="117">
        <f>'6.3 Statewide Base Funding YR2'!E20</f>
        <v>2827624</v>
      </c>
      <c r="E21" s="116">
        <f>'6.4 District Size Adj. YR2'!$F$58</f>
        <v>2498735</v>
      </c>
      <c r="F21" s="12">
        <f>'6.5 NCEI Adj. YR2'!J13</f>
        <v>0</v>
      </c>
      <c r="G21" s="649">
        <f t="shared" si="0"/>
        <v>5326359</v>
      </c>
      <c r="H21" s="375">
        <f t="shared" si="1"/>
        <v>17898.793085277212</v>
      </c>
    </row>
    <row r="22" spans="1:8" x14ac:dyDescent="0.3">
      <c r="B22" s="9" t="str">
        <f>'5.2 Budgeted Enrollment YR2'!E16</f>
        <v>Humboldt</v>
      </c>
      <c r="C22" s="357">
        <f>'5.2 Budgeted Enrollment YR2'!G16</f>
        <v>3135.8857800940204</v>
      </c>
      <c r="D22" s="117">
        <f>'6.3 Statewide Base Funding YR2'!E21</f>
        <v>29797187</v>
      </c>
      <c r="E22" s="116">
        <f>'6.4 District Size Adj. YR2'!$F$66</f>
        <v>6898260</v>
      </c>
      <c r="F22" s="12">
        <f>'6.5 NCEI Adj. YR2'!J14</f>
        <v>0</v>
      </c>
      <c r="G22" s="649">
        <f t="shared" si="0"/>
        <v>36695447</v>
      </c>
      <c r="H22" s="375">
        <f t="shared" si="1"/>
        <v>11701.780477125603</v>
      </c>
    </row>
    <row r="23" spans="1:8" x14ac:dyDescent="0.3">
      <c r="B23" s="9" t="str">
        <f>'5.2 Budgeted Enrollment YR2'!E17</f>
        <v>Lander</v>
      </c>
      <c r="C23" s="357">
        <f>'5.2 Budgeted Enrollment YR2'!G17</f>
        <v>970.28169719049401</v>
      </c>
      <c r="D23" s="117">
        <f>'6.3 Statewide Base Funding YR2'!E22</f>
        <v>9219617</v>
      </c>
      <c r="E23" s="116">
        <f>'6.4 District Size Adj. YR2'!$F$70</f>
        <v>4586474</v>
      </c>
      <c r="F23" s="12">
        <f>'6.5 NCEI Adj. YR2'!J15</f>
        <v>0</v>
      </c>
      <c r="G23" s="649">
        <f t="shared" si="0"/>
        <v>13806091</v>
      </c>
      <c r="H23" s="375">
        <f t="shared" si="1"/>
        <v>14228.95128288653</v>
      </c>
    </row>
    <row r="24" spans="1:8" x14ac:dyDescent="0.3">
      <c r="B24" s="9" t="str">
        <f>'5.2 Budgeted Enrollment YR2'!E18</f>
        <v>Lincoln</v>
      </c>
      <c r="C24" s="357">
        <f>'5.2 Budgeted Enrollment YR2'!G18</f>
        <v>870.02699048734246</v>
      </c>
      <c r="D24" s="117">
        <f>'6.3 Statewide Base Funding YR2'!E23</f>
        <v>8266996</v>
      </c>
      <c r="E24" s="116">
        <f>'6.4 District Size Adj. YR2'!$F$76</f>
        <v>6804365</v>
      </c>
      <c r="F24" s="12">
        <f>'6.5 NCEI Adj. YR2'!J16</f>
        <v>0</v>
      </c>
      <c r="G24" s="649">
        <f t="shared" si="0"/>
        <v>15071361</v>
      </c>
      <c r="H24" s="375">
        <f t="shared" si="1"/>
        <v>17322.866031498437</v>
      </c>
    </row>
    <row r="25" spans="1:8" x14ac:dyDescent="0.3">
      <c r="B25" s="9" t="str">
        <f>'5.2 Budgeted Enrollment YR2'!E19</f>
        <v>Lyon</v>
      </c>
      <c r="C25" s="357">
        <f>'5.2 Budgeted Enrollment YR2'!G19</f>
        <v>8933.9764767711295</v>
      </c>
      <c r="D25" s="117">
        <f>'6.3 Statewide Base Funding YR2'!E24</f>
        <v>84890644</v>
      </c>
      <c r="E25" s="116">
        <f>'6.4 District Size Adj. YR2'!$F$83</f>
        <v>18707606</v>
      </c>
      <c r="F25" s="12">
        <f>'6.5 NCEI Adj. YR2'!J17</f>
        <v>0</v>
      </c>
      <c r="G25" s="649">
        <f t="shared" si="0"/>
        <v>103598250</v>
      </c>
      <c r="H25" s="375">
        <f t="shared" si="1"/>
        <v>11595.984192409911</v>
      </c>
    </row>
    <row r="26" spans="1:8" x14ac:dyDescent="0.3">
      <c r="B26" s="9" t="str">
        <f>'5.2 Budgeted Enrollment YR2'!E20</f>
        <v>Mineral</v>
      </c>
      <c r="C26" s="357">
        <f>'5.2 Budgeted Enrollment YR2'!G20</f>
        <v>509.60323278309136</v>
      </c>
      <c r="D26" s="117">
        <f>'6.3 Statewide Base Funding YR2'!E25</f>
        <v>4842250</v>
      </c>
      <c r="E26" s="116">
        <f>'6.4 District Size Adj. YR2'!$F$87</f>
        <v>3633191</v>
      </c>
      <c r="F26" s="12">
        <f>'6.5 NCEI Adj. YR2'!J18</f>
        <v>0</v>
      </c>
      <c r="G26" s="649">
        <f t="shared" si="0"/>
        <v>8475441</v>
      </c>
      <c r="H26" s="375">
        <f t="shared" si="1"/>
        <v>16631.450616420061</v>
      </c>
    </row>
    <row r="27" spans="1:8" x14ac:dyDescent="0.3">
      <c r="B27" s="9" t="str">
        <f>'5.2 Budgeted Enrollment YR2'!E21</f>
        <v>Nye</v>
      </c>
      <c r="C27" s="357">
        <f>'5.2 Budgeted Enrollment YR2'!G21</f>
        <v>5457.0457625112185</v>
      </c>
      <c r="D27" s="117">
        <f>'6.3 Statewide Base Funding YR2'!E26</f>
        <v>51852849</v>
      </c>
      <c r="E27" s="116">
        <f>'6.4 District Size Adj. YR2'!$F$95</f>
        <v>11055535</v>
      </c>
      <c r="F27" s="12">
        <f>'6.5 NCEI Adj. YR2'!J19</f>
        <v>0</v>
      </c>
      <c r="G27" s="649">
        <f t="shared" si="0"/>
        <v>62908384</v>
      </c>
      <c r="H27" s="375">
        <f t="shared" si="1"/>
        <v>11527.919452713344</v>
      </c>
    </row>
    <row r="28" spans="1:8" x14ac:dyDescent="0.3">
      <c r="B28" s="9" t="str">
        <f>'5.2 Budgeted Enrollment YR2'!E22</f>
        <v>Pershing</v>
      </c>
      <c r="C28" s="357">
        <f>'5.2 Budgeted Enrollment YR2'!G22</f>
        <v>635.8592256998902</v>
      </c>
      <c r="D28" s="117">
        <f>'6.3 Statewide Base Funding YR2'!E27</f>
        <v>6041934</v>
      </c>
      <c r="E28" s="116">
        <f>'6.4 District Size Adj. YR2'!$F$99</f>
        <v>3771205</v>
      </c>
      <c r="F28" s="12">
        <f>'6.5 NCEI Adj. YR2'!J20</f>
        <v>0</v>
      </c>
      <c r="G28" s="649">
        <f t="shared" si="0"/>
        <v>9813139</v>
      </c>
      <c r="H28" s="375">
        <f t="shared" si="1"/>
        <v>15432.879800082603</v>
      </c>
    </row>
    <row r="29" spans="1:8" x14ac:dyDescent="0.3">
      <c r="B29" s="9" t="str">
        <f>'5.2 Budgeted Enrollment YR2'!E23</f>
        <v>Storey</v>
      </c>
      <c r="C29" s="357">
        <f>'5.2 Budgeted Enrollment YR2'!G23</f>
        <v>395.34078642383383</v>
      </c>
      <c r="D29" s="117">
        <f>'6.3 Statewide Base Funding YR2'!E28</f>
        <v>3756528</v>
      </c>
      <c r="E29" s="116">
        <f>'6.4 District Size Adj. YR2'!$F$103</f>
        <v>3065840</v>
      </c>
      <c r="F29" s="12">
        <f>'6.5 NCEI Adj. YR2'!J21</f>
        <v>0</v>
      </c>
      <c r="G29" s="649">
        <f t="shared" si="0"/>
        <v>6822368</v>
      </c>
      <c r="H29" s="375">
        <f t="shared" si="1"/>
        <v>17256.929298172461</v>
      </c>
    </row>
    <row r="30" spans="1:8" x14ac:dyDescent="0.3">
      <c r="B30" s="9" t="str">
        <f>'5.2 Budgeted Enrollment YR2'!E24</f>
        <v>Washoe</v>
      </c>
      <c r="C30" s="357">
        <f>'5.2 Budgeted Enrollment YR2'!G24</f>
        <v>58816.718998091914</v>
      </c>
      <c r="D30" s="117">
        <f>'6.3 Statewide Base Funding YR2'!E29</f>
        <v>558876464</v>
      </c>
      <c r="E30" s="116">
        <f>'6.4 District Size Adj. YR2'!$F$113</f>
        <v>17339629</v>
      </c>
      <c r="F30" s="12">
        <f>'6.5 NCEI Adj. YR2'!J22</f>
        <v>0</v>
      </c>
      <c r="G30" s="649">
        <f t="shared" si="0"/>
        <v>576216093</v>
      </c>
      <c r="H30" s="375">
        <f t="shared" si="1"/>
        <v>9796.8078263374937</v>
      </c>
    </row>
    <row r="31" spans="1:8" x14ac:dyDescent="0.3">
      <c r="B31" s="9" t="str">
        <f>'5.2 Budgeted Enrollment YR2'!E25</f>
        <v>White Pine</v>
      </c>
      <c r="C31" s="357">
        <f>'5.2 Budgeted Enrollment YR2'!G25</f>
        <v>1231.0239819599622</v>
      </c>
      <c r="D31" s="117">
        <f>'6.3 Statewide Base Funding YR2'!E30</f>
        <v>11697190</v>
      </c>
      <c r="E31" s="116">
        <f>'6.4 District Size Adj. YR2'!$F$119</f>
        <v>7004646</v>
      </c>
      <c r="F31" s="12">
        <f>'6.5 NCEI Adj. YR2'!J23</f>
        <v>0</v>
      </c>
      <c r="G31" s="649">
        <f t="shared" si="0"/>
        <v>18701836</v>
      </c>
      <c r="H31" s="375">
        <f t="shared" si="1"/>
        <v>15192.097208556461</v>
      </c>
    </row>
    <row r="32" spans="1:8" x14ac:dyDescent="0.3">
      <c r="A32" s="455"/>
      <c r="B32" s="207" t="str">
        <f>'5.2 Budgeted Enrollment YR2'!E26</f>
        <v>Charter Schools</v>
      </c>
      <c r="C32" s="441">
        <f>C101</f>
        <v>72301.606666666703</v>
      </c>
      <c r="D32" s="475">
        <f t="shared" ref="D32:G32" si="2">D101</f>
        <v>687009868</v>
      </c>
      <c r="E32" s="2015">
        <f t="shared" si="2"/>
        <v>2466600</v>
      </c>
      <c r="F32" s="475">
        <f t="shared" si="2"/>
        <v>0</v>
      </c>
      <c r="G32" s="2011">
        <f t="shared" si="2"/>
        <v>689476468</v>
      </c>
      <c r="H32" s="2011">
        <f t="shared" si="1"/>
        <v>9536.1154445530483</v>
      </c>
    </row>
    <row r="33" spans="1:11" x14ac:dyDescent="0.3">
      <c r="A33" s="106"/>
      <c r="B33" s="9" t="str">
        <f>'5.2 Budgeted Enrollment YR2'!E27</f>
        <v>University Schools</v>
      </c>
      <c r="C33" s="62">
        <f>C106</f>
        <v>167.88437423074134</v>
      </c>
      <c r="D33" s="154">
        <f t="shared" ref="D33:G33" si="3">D106</f>
        <v>1595237</v>
      </c>
      <c r="E33" s="354">
        <f t="shared" si="3"/>
        <v>0</v>
      </c>
      <c r="F33" s="154">
        <f t="shared" si="3"/>
        <v>0</v>
      </c>
      <c r="G33" s="375">
        <f t="shared" si="3"/>
        <v>1595237</v>
      </c>
      <c r="H33" s="375">
        <f t="shared" si="1"/>
        <v>9501.9980704547052</v>
      </c>
    </row>
    <row r="34" spans="1:11" x14ac:dyDescent="0.3">
      <c r="A34" s="106"/>
      <c r="B34" s="9" t="str">
        <f>'5.2 Budgeted Enrollment YR2'!E28</f>
        <v>City of Henderson</v>
      </c>
      <c r="C34" s="62">
        <f>C111</f>
        <v>0</v>
      </c>
      <c r="D34" s="154">
        <f t="shared" ref="D34:G34" si="4">D111</f>
        <v>0</v>
      </c>
      <c r="E34" s="354">
        <f t="shared" si="4"/>
        <v>0</v>
      </c>
      <c r="F34" s="154">
        <f t="shared" si="4"/>
        <v>0</v>
      </c>
      <c r="G34" s="375">
        <f t="shared" si="4"/>
        <v>0</v>
      </c>
      <c r="H34" s="375">
        <f t="shared" si="1"/>
        <v>0</v>
      </c>
    </row>
    <row r="35" spans="1:11" x14ac:dyDescent="0.3">
      <c r="A35" s="142"/>
      <c r="B35" s="137" t="str">
        <f>'5.2 Budgeted Enrollment YR2'!E29</f>
        <v>City of North Las Vegas</v>
      </c>
      <c r="C35" s="359">
        <f>C116</f>
        <v>0</v>
      </c>
      <c r="D35" s="148">
        <f t="shared" ref="D35:G35" si="5">D116</f>
        <v>0</v>
      </c>
      <c r="E35" s="365">
        <f t="shared" si="5"/>
        <v>0</v>
      </c>
      <c r="F35" s="148">
        <f t="shared" si="5"/>
        <v>0</v>
      </c>
      <c r="G35" s="376">
        <f t="shared" si="5"/>
        <v>0</v>
      </c>
      <c r="H35" s="376">
        <f t="shared" si="1"/>
        <v>0</v>
      </c>
    </row>
    <row r="36" spans="1:11" s="4" customFormat="1" x14ac:dyDescent="0.3">
      <c r="A36" s="135"/>
      <c r="B36" s="135" t="s">
        <v>1354</v>
      </c>
      <c r="C36" s="406">
        <f>SUM(C15:C35)</f>
        <v>463751.95591146237</v>
      </c>
      <c r="D36" s="386">
        <f>SUM(D15:D35)</f>
        <v>4406571085</v>
      </c>
      <c r="E36" s="130">
        <f>SUM(E15:E35)</f>
        <v>149366392</v>
      </c>
      <c r="F36" s="469">
        <f>SUM(F15:F35)</f>
        <v>0</v>
      </c>
      <c r="G36" s="378">
        <f>SUM(G15:G35)</f>
        <v>4555937477</v>
      </c>
      <c r="H36" s="388">
        <f>IF(C36=0,0,G36/C36)</f>
        <v>9824.0825055836558</v>
      </c>
      <c r="K36" s="8"/>
    </row>
    <row r="37" spans="1:11" x14ac:dyDescent="0.3">
      <c r="C37" s="108">
        <f>C36-'5.2 Budgeted Enrollment YR2'!G30</f>
        <v>0</v>
      </c>
      <c r="D37" s="106"/>
      <c r="E37" s="106"/>
      <c r="F37" s="2027"/>
      <c r="H37" s="102"/>
    </row>
    <row r="38" spans="1:11" x14ac:dyDescent="0.3">
      <c r="A38" s="135" t="s">
        <v>305</v>
      </c>
      <c r="B38" s="137"/>
      <c r="C38" s="137"/>
      <c r="D38" s="142"/>
      <c r="E38" s="142"/>
      <c r="F38" s="143"/>
      <c r="G38" s="137"/>
      <c r="H38" s="143"/>
    </row>
    <row r="39" spans="1:11" x14ac:dyDescent="0.3">
      <c r="B39" s="207" t="str">
        <f>'5.2 Budgeted Enrollment YR2'!E34</f>
        <v>FuturEdge (Formerly 100 Academy Of Excellence)</v>
      </c>
      <c r="C39" s="441">
        <f>'5.2 Budgeted Enrollment YR2'!G34</f>
        <v>240.86136805673826</v>
      </c>
      <c r="D39" s="2012">
        <f>'6.3 Statewide Base Funding YR2'!E38</f>
        <v>2288665</v>
      </c>
      <c r="E39" s="605">
        <f>'6.4 District Size Adj. YR2'!G128</f>
        <v>0</v>
      </c>
      <c r="F39" s="2012">
        <f>'6.5 NCEI Adj. YR2'!J32</f>
        <v>0</v>
      </c>
      <c r="G39" s="370">
        <f>D39+E39+F39</f>
        <v>2288665</v>
      </c>
      <c r="H39" s="375">
        <f>IF(C39=0,0,G39/C39)</f>
        <v>9502.001165503938</v>
      </c>
    </row>
    <row r="40" spans="1:11" x14ac:dyDescent="0.3">
      <c r="B40" s="9" t="str">
        <f>'5.2 Budgeted Enrollment YR2'!E35</f>
        <v>Academy For Career Education</v>
      </c>
      <c r="C40" s="62">
        <f>'5.2 Budgeted Enrollment YR2'!G35</f>
        <v>253.57864951202251</v>
      </c>
      <c r="D40" s="117">
        <f>'6.3 Statewide Base Funding YR2'!E39</f>
        <v>2409504</v>
      </c>
      <c r="E40" s="12">
        <f>'6.4 District Size Adj. YR2'!G129</f>
        <v>0</v>
      </c>
      <c r="F40" s="117">
        <f>'6.5 NCEI Adj. YR2'!J33</f>
        <v>0</v>
      </c>
      <c r="G40" s="370">
        <f>D40+E40+F40</f>
        <v>2409504</v>
      </c>
      <c r="H40" s="375">
        <f>IF(C40=0,0,G40/C40)</f>
        <v>9501.9987078437462</v>
      </c>
    </row>
    <row r="41" spans="1:11" x14ac:dyDescent="0.3">
      <c r="B41" s="9" t="str">
        <f>'5.2 Budgeted Enrollment YR2'!E36</f>
        <v xml:space="preserve">Alpine Academy </v>
      </c>
      <c r="C41" s="62">
        <f>'5.2 Budgeted Enrollment YR2'!G36</f>
        <v>164.31844740358281</v>
      </c>
      <c r="D41" s="117">
        <f>'6.3 Statewide Base Funding YR2'!E40</f>
        <v>1561354</v>
      </c>
      <c r="E41" s="12">
        <f>'6.4 District Size Adj. YR2'!G130</f>
        <v>0</v>
      </c>
      <c r="F41" s="117">
        <f>'6.5 NCEI Adj. YR2'!J34</f>
        <v>0</v>
      </c>
      <c r="G41" s="370">
        <f t="shared" ref="G41:G47" si="6">D41+E41+F41</f>
        <v>1561354</v>
      </c>
      <c r="H41" s="375">
        <f t="shared" ref="H41:H47" si="7">IF(C41=0,0,G41/C41)</f>
        <v>9502.0006862963837</v>
      </c>
    </row>
    <row r="42" spans="1:11" x14ac:dyDescent="0.3">
      <c r="B42" s="9" t="str">
        <f>'5.2 Budgeted Enrollment YR2'!E37</f>
        <v xml:space="preserve">Amplus (Formerly American Preparatory Academy) </v>
      </c>
      <c r="C42" s="62">
        <f>'5.2 Budgeted Enrollment YR2'!G37</f>
        <v>2368.9011816066622</v>
      </c>
      <c r="D42" s="117">
        <f>'6.3 Statewide Base Funding YR2'!E41</f>
        <v>22509299</v>
      </c>
      <c r="E42" s="12">
        <f>'6.4 District Size Adj. YR2'!G131</f>
        <v>0</v>
      </c>
      <c r="F42" s="117">
        <f>'6.5 NCEI Adj. YR2'!J35</f>
        <v>0</v>
      </c>
      <c r="G42" s="370">
        <f t="shared" si="6"/>
        <v>22509299</v>
      </c>
      <c r="H42" s="375">
        <f t="shared" si="7"/>
        <v>9501.9999883378405</v>
      </c>
    </row>
    <row r="43" spans="1:11" x14ac:dyDescent="0.3">
      <c r="B43" s="9" t="str">
        <f>'5.2 Budgeted Enrollment YR2'!E38</f>
        <v>Bailey Charter School</v>
      </c>
      <c r="C43" s="62">
        <f>'5.2 Budgeted Enrollment YR2'!G38</f>
        <v>166.53929996193739</v>
      </c>
      <c r="D43" s="117">
        <f>'6.3 Statewide Base Funding YR2'!E42</f>
        <v>1582456</v>
      </c>
      <c r="E43" s="12">
        <f>'6.4 District Size Adj. YR2'!G132</f>
        <v>0</v>
      </c>
      <c r="F43" s="117">
        <f>'6.5 NCEI Adj. YR2'!J36</f>
        <v>0</v>
      </c>
      <c r="G43" s="370">
        <f t="shared" si="6"/>
        <v>1582456</v>
      </c>
      <c r="H43" s="375">
        <f t="shared" si="7"/>
        <v>9501.9974286049655</v>
      </c>
    </row>
    <row r="44" spans="1:11" x14ac:dyDescent="0.3">
      <c r="B44" s="9" t="str">
        <f>'5.2 Budgeted Enrollment YR2'!E39</f>
        <v>Battle Born Academy</v>
      </c>
      <c r="C44" s="62">
        <f>'5.2 Budgeted Enrollment YR2'!G39</f>
        <v>270.53331354166147</v>
      </c>
      <c r="D44" s="117">
        <f>'6.3 Statewide Base Funding YR2'!E43</f>
        <v>2570608</v>
      </c>
      <c r="E44" s="12">
        <f>'6.4 District Size Adj. YR2'!G133</f>
        <v>0</v>
      </c>
      <c r="F44" s="117">
        <f>'6.5 NCEI Adj. YR2'!J37</f>
        <v>0</v>
      </c>
      <c r="G44" s="370">
        <f t="shared" si="6"/>
        <v>2570608</v>
      </c>
      <c r="H44" s="375">
        <f t="shared" si="7"/>
        <v>9502.0016808544824</v>
      </c>
    </row>
    <row r="45" spans="1:11" x14ac:dyDescent="0.3">
      <c r="B45" s="9" t="str">
        <f>'5.2 Budgeted Enrollment YR2'!E40</f>
        <v>Beacon Academy</v>
      </c>
      <c r="C45" s="62">
        <f>'5.2 Budgeted Enrollment YR2'!G40</f>
        <v>857.51912183963623</v>
      </c>
      <c r="D45" s="117">
        <f>'6.3 Statewide Base Funding YR2'!E44</f>
        <v>8148147</v>
      </c>
      <c r="E45" s="12">
        <f>'6.4 District Size Adj. YR2'!G134</f>
        <v>0</v>
      </c>
      <c r="F45" s="117">
        <f>'6.5 NCEI Adj. YR2'!J38</f>
        <v>0</v>
      </c>
      <c r="G45" s="370">
        <f t="shared" si="6"/>
        <v>8148147</v>
      </c>
      <c r="H45" s="375">
        <f t="shared" si="7"/>
        <v>9502.0003548373079</v>
      </c>
    </row>
    <row r="46" spans="1:11" x14ac:dyDescent="0.3">
      <c r="B46" s="9" t="str">
        <f>'5.2 Budgeted Enrollment YR2'!E41</f>
        <v>Cactus Park</v>
      </c>
      <c r="C46" s="62">
        <f>'5.2 Budgeted Enrollment YR2'!G41</f>
        <v>301.59239347241777</v>
      </c>
      <c r="D46" s="117">
        <f>'6.3 Statewide Base Funding YR2'!E45</f>
        <v>2865731</v>
      </c>
      <c r="E46" s="12">
        <f>'6.4 District Size Adj. YR2'!G135</f>
        <v>0</v>
      </c>
      <c r="F46" s="117">
        <f>'6.5 NCEI Adj. YR2'!J39</f>
        <v>0</v>
      </c>
      <c r="G46" s="370">
        <f t="shared" si="6"/>
        <v>2865731</v>
      </c>
      <c r="H46" s="375">
        <f t="shared" si="7"/>
        <v>9502.000256057805</v>
      </c>
    </row>
    <row r="47" spans="1:11" x14ac:dyDescent="0.3">
      <c r="B47" s="9" t="str">
        <f>'5.2 Budgeted Enrollment YR2'!E42</f>
        <v>Carson Montessori</v>
      </c>
      <c r="C47" s="62">
        <f>'5.2 Budgeted Enrollment YR2'!G42</f>
        <v>296.55722891108132</v>
      </c>
      <c r="D47" s="117">
        <f>'6.3 Statewide Base Funding YR2'!E46</f>
        <v>2817887</v>
      </c>
      <c r="E47" s="12">
        <f>'6.4 District Size Adj. YR2'!G136</f>
        <v>210514</v>
      </c>
      <c r="F47" s="117">
        <f>'6.5 NCEI Adj. YR2'!J40</f>
        <v>0</v>
      </c>
      <c r="G47" s="370">
        <f t="shared" si="6"/>
        <v>3028401</v>
      </c>
      <c r="H47" s="375">
        <f t="shared" si="7"/>
        <v>10211.860324969603</v>
      </c>
    </row>
    <row r="48" spans="1:11" x14ac:dyDescent="0.3">
      <c r="B48" s="9" t="str">
        <f>'5.2 Budgeted Enrollment YR2'!E43</f>
        <v>CIVICA Nevada Career &amp; Collegiate Academy</v>
      </c>
      <c r="C48" s="62">
        <f>'5.2 Budgeted Enrollment YR2'!G43</f>
        <v>916.3393721230467</v>
      </c>
      <c r="D48" s="117">
        <f>'6.3 Statewide Base Funding YR2'!E47</f>
        <v>8707057</v>
      </c>
      <c r="E48" s="12">
        <f>'6.4 District Size Adj. YR2'!G137</f>
        <v>0</v>
      </c>
      <c r="F48" s="117">
        <f>'6.5 NCEI Adj. YR2'!J41</f>
        <v>0</v>
      </c>
      <c r="G48" s="370">
        <f t="shared" ref="G48:G72" si="8">D48+E48+F48</f>
        <v>8707057</v>
      </c>
      <c r="H48" s="375">
        <f t="shared" ref="H48:H72" si="9">IF(C48=0,0,G48/C48)</f>
        <v>9502.0003122061753</v>
      </c>
    </row>
    <row r="49" spans="1:9" x14ac:dyDescent="0.3">
      <c r="B49" s="9" t="str">
        <f>'5.2 Budgeted Enrollment YR2'!E44</f>
        <v>Coral Academy of Science Las Vegas</v>
      </c>
      <c r="C49" s="62">
        <f>'5.2 Budgeted Enrollment YR2'!G44</f>
        <v>5480.3063751434274</v>
      </c>
      <c r="D49" s="117">
        <f>'6.3 Statewide Base Funding YR2'!E48</f>
        <v>52073871</v>
      </c>
      <c r="E49" s="12">
        <f>'6.4 District Size Adj. YR2'!G138</f>
        <v>0</v>
      </c>
      <c r="F49" s="117">
        <f>'6.5 NCEI Adj. YR2'!J42</f>
        <v>0</v>
      </c>
      <c r="G49" s="370">
        <f t="shared" si="8"/>
        <v>52073871</v>
      </c>
      <c r="H49" s="375">
        <f t="shared" si="9"/>
        <v>9501.9999677731794</v>
      </c>
    </row>
    <row r="50" spans="1:9" x14ac:dyDescent="0.3">
      <c r="B50" s="9" t="str">
        <f>'5.2 Budgeted Enrollment YR2'!E45</f>
        <v>Coral Academy Washoe</v>
      </c>
      <c r="C50" s="62">
        <f>'5.2 Budgeted Enrollment YR2'!G45</f>
        <v>2027.9998005260131</v>
      </c>
      <c r="D50" s="117">
        <f>'6.3 Statewide Base Funding YR2'!E49</f>
        <v>19270054</v>
      </c>
      <c r="E50" s="12">
        <f>'6.4 District Size Adj. YR2'!G139</f>
        <v>0</v>
      </c>
      <c r="F50" s="117">
        <f>'6.5 NCEI Adj. YR2'!J43</f>
        <v>0</v>
      </c>
      <c r="G50" s="370">
        <f t="shared" si="8"/>
        <v>19270054</v>
      </c>
      <c r="H50" s="375">
        <f t="shared" si="9"/>
        <v>9501.9999484229847</v>
      </c>
    </row>
    <row r="51" spans="1:9" x14ac:dyDescent="0.3">
      <c r="B51" s="9" t="str">
        <f>'5.2 Budgeted Enrollment YR2'!E46</f>
        <v>Delta Academy</v>
      </c>
      <c r="C51" s="62">
        <f>'5.2 Budgeted Enrollment YR2'!G46</f>
        <v>1405.0080479301287</v>
      </c>
      <c r="D51" s="117">
        <f>'6.3 Statewide Base Funding YR2'!E50</f>
        <v>13350386</v>
      </c>
      <c r="E51" s="12">
        <f>'6.4 District Size Adj. YR2'!G140</f>
        <v>0</v>
      </c>
      <c r="F51" s="117">
        <f>'6.5 NCEI Adj. YR2'!J44</f>
        <v>0</v>
      </c>
      <c r="G51" s="370">
        <f t="shared" si="8"/>
        <v>13350386</v>
      </c>
      <c r="H51" s="375">
        <f t="shared" si="9"/>
        <v>9501.9996644630737</v>
      </c>
    </row>
    <row r="52" spans="1:9" x14ac:dyDescent="0.3">
      <c r="B52" s="9" t="str">
        <f>'5.2 Budgeted Enrollment YR2'!E47</f>
        <v>Democracy Prep</v>
      </c>
      <c r="C52" s="62">
        <f>'5.2 Budgeted Enrollment YR2'!G47</f>
        <v>1279.0046975769933</v>
      </c>
      <c r="D52" s="117">
        <f>'6.3 Statewide Base Funding YR2'!E51</f>
        <v>12153103</v>
      </c>
      <c r="E52" s="12">
        <f>'6.4 District Size Adj. YR2'!G141</f>
        <v>0</v>
      </c>
      <c r="F52" s="117">
        <f>'6.5 NCEI Adj. YR2'!J45</f>
        <v>0</v>
      </c>
      <c r="G52" s="370">
        <f t="shared" si="8"/>
        <v>12153103</v>
      </c>
      <c r="H52" s="375">
        <f t="shared" si="9"/>
        <v>9502.0002843018556</v>
      </c>
    </row>
    <row r="53" spans="1:9" x14ac:dyDescent="0.3">
      <c r="B53" s="9" t="str">
        <f>'5.2 Budgeted Enrollment YR2'!E48</f>
        <v>Discovery Charter</v>
      </c>
      <c r="C53" s="62">
        <f>'5.2 Budgeted Enrollment YR2'!G48</f>
        <v>499.79963400639872</v>
      </c>
      <c r="D53" s="117">
        <f>'6.3 Statewide Base Funding YR2'!E52</f>
        <v>4749096</v>
      </c>
      <c r="E53" s="12">
        <f>'6.4 District Size Adj. YR2'!G142</f>
        <v>0</v>
      </c>
      <c r="F53" s="117">
        <f>'6.5 NCEI Adj. YR2'!J46</f>
        <v>0</v>
      </c>
      <c r="G53" s="370">
        <f t="shared" si="8"/>
        <v>4749096</v>
      </c>
      <c r="H53" s="375">
        <f t="shared" si="9"/>
        <v>9501.9997552443165</v>
      </c>
    </row>
    <row r="54" spans="1:9" x14ac:dyDescent="0.3">
      <c r="B54" s="9" t="str">
        <f>'5.2 Budgeted Enrollment YR2'!E49</f>
        <v>Do and Be Academy of Excellence</v>
      </c>
      <c r="C54" s="62">
        <f>'5.2 Budgeted Enrollment YR2'!G49</f>
        <v>55.444307975565003</v>
      </c>
      <c r="D54" s="117">
        <f>'6.3 Statewide Base Funding YR2'!E53</f>
        <v>526832</v>
      </c>
      <c r="E54" s="12">
        <f>'6.4 District Size Adj. YR2'!G143</f>
        <v>0</v>
      </c>
      <c r="F54" s="117">
        <f>'6.5 NCEI Adj. YR2'!J47</f>
        <v>0</v>
      </c>
      <c r="G54" s="370">
        <f t="shared" ref="G54" si="10">D54+E54+F54</f>
        <v>526832</v>
      </c>
      <c r="H54" s="375">
        <f t="shared" ref="H54" si="11">IF(C54=0,0,G54/C54)</f>
        <v>9502.0033477950783</v>
      </c>
      <c r="I54" s="9" t="s">
        <v>370</v>
      </c>
    </row>
    <row r="55" spans="1:9" x14ac:dyDescent="0.3">
      <c r="B55" s="9" t="str">
        <f>'5.2 Budgeted Enrollment YR2'!E50</f>
        <v>Doral Academy</v>
      </c>
      <c r="C55" s="62">
        <f>'5.2 Budgeted Enrollment YR2'!G50</f>
        <v>6463.7282261846876</v>
      </c>
      <c r="D55" s="117">
        <f>'6.3 Statewide Base Funding YR2'!E54</f>
        <v>61418346</v>
      </c>
      <c r="E55" s="12">
        <f>'6.4 District Size Adj. YR2'!G144</f>
        <v>0</v>
      </c>
      <c r="F55" s="117">
        <f>'6.5 NCEI Adj. YR2'!J48</f>
        <v>0</v>
      </c>
      <c r="G55" s="370">
        <f t="shared" si="8"/>
        <v>61418346</v>
      </c>
      <c r="H55" s="375">
        <f t="shared" si="9"/>
        <v>9502.0000610782336</v>
      </c>
    </row>
    <row r="56" spans="1:9" x14ac:dyDescent="0.3">
      <c r="B56" s="9" t="str">
        <f>'5.2 Budgeted Enrollment YR2'!E51</f>
        <v>Doral Academy of Northern Nevada</v>
      </c>
      <c r="C56" s="62">
        <f>'5.2 Budgeted Enrollment YR2'!G51</f>
        <v>1018.777864840123</v>
      </c>
      <c r="D56" s="117">
        <f>'6.3 Statewide Base Funding YR2'!E55</f>
        <v>9680427</v>
      </c>
      <c r="E56" s="12">
        <f>'6.4 District Size Adj. YR2'!G145</f>
        <v>0</v>
      </c>
      <c r="F56" s="117">
        <f>'6.5 NCEI Adj. YR2'!J49</f>
        <v>0</v>
      </c>
      <c r="G56" s="370">
        <f t="shared" si="8"/>
        <v>9680427</v>
      </c>
      <c r="H56" s="375">
        <f t="shared" si="9"/>
        <v>9501.9997332972598</v>
      </c>
    </row>
    <row r="57" spans="1:9" x14ac:dyDescent="0.3">
      <c r="B57" s="9" t="str">
        <f>'5.2 Budgeted Enrollment YR2'!E52</f>
        <v>Eagle Charter School (CLOSED)</v>
      </c>
      <c r="C57" s="62">
        <f>'5.2 Budgeted Enrollment YR2'!G52</f>
        <v>0</v>
      </c>
      <c r="D57" s="117">
        <f>'6.3 Statewide Base Funding YR2'!E56</f>
        <v>0</v>
      </c>
      <c r="E57" s="12">
        <f>'6.4 District Size Adj. YR2'!G146</f>
        <v>0</v>
      </c>
      <c r="F57" s="117">
        <f>'6.5 NCEI Adj. YR2'!J50</f>
        <v>0</v>
      </c>
      <c r="G57" s="370">
        <f t="shared" si="8"/>
        <v>0</v>
      </c>
      <c r="H57" s="375">
        <f t="shared" si="9"/>
        <v>0</v>
      </c>
    </row>
    <row r="58" spans="1:9" x14ac:dyDescent="0.3">
      <c r="B58" s="9" t="str">
        <f>'5.2 Budgeted Enrollment YR2'!E53</f>
        <v>Elko Institute for Academic Achievement</v>
      </c>
      <c r="C58" s="62">
        <f>'5.2 Budgeted Enrollment YR2'!G53</f>
        <v>315.7286385132989</v>
      </c>
      <c r="D58" s="117">
        <f>'6.3 Statewide Base Funding YR2'!E57</f>
        <v>3000054</v>
      </c>
      <c r="E58" s="12">
        <f>'6.4 District Size Adj. YR2'!G147</f>
        <v>237602</v>
      </c>
      <c r="F58" s="117">
        <f>'6.5 NCEI Adj. YR2'!J51</f>
        <v>0</v>
      </c>
      <c r="G58" s="370">
        <f t="shared" si="8"/>
        <v>3237656</v>
      </c>
      <c r="H58" s="375">
        <f t="shared" si="9"/>
        <v>10254.552818665596</v>
      </c>
    </row>
    <row r="59" spans="1:9" x14ac:dyDescent="0.3">
      <c r="B59" s="9" t="str">
        <f>'5.2 Budgeted Enrollment YR2'!E54</f>
        <v>enCompass Academy</v>
      </c>
      <c r="C59" s="62">
        <f>'5.2 Budgeted Enrollment YR2'!G54</f>
        <v>129.86699722187711</v>
      </c>
      <c r="D59" s="117">
        <f>'6.3 Statewide Base Funding YR2'!E58</f>
        <v>1233996</v>
      </c>
      <c r="E59" s="12">
        <f>'6.4 District Size Adj. YR2'!G148</f>
        <v>0</v>
      </c>
      <c r="F59" s="117">
        <f>'6.5 NCEI Adj. YR2'!J52</f>
        <v>0</v>
      </c>
      <c r="G59" s="370">
        <f t="shared" si="8"/>
        <v>1233996</v>
      </c>
      <c r="H59" s="375">
        <f t="shared" si="9"/>
        <v>9501.9984014239126</v>
      </c>
    </row>
    <row r="60" spans="1:9" x14ac:dyDescent="0.3">
      <c r="B60" s="9" t="str">
        <f>'5.2 Budgeted Enrollment YR2'!E55</f>
        <v>Equipo Academy</v>
      </c>
      <c r="C60" s="62">
        <f>'5.2 Budgeted Enrollment YR2'!G55</f>
        <v>900.7667088070209</v>
      </c>
      <c r="D60" s="117">
        <f>'6.3 Statewide Base Funding YR2'!E59</f>
        <v>8559085</v>
      </c>
      <c r="E60" s="12">
        <f>'6.4 District Size Adj. YR2'!G149</f>
        <v>0</v>
      </c>
      <c r="F60" s="117">
        <f>'6.5 NCEI Adj. YR2'!J53</f>
        <v>0</v>
      </c>
      <c r="G60" s="370">
        <f t="shared" si="8"/>
        <v>8559085</v>
      </c>
      <c r="H60" s="375">
        <f t="shared" si="9"/>
        <v>9501.9997034922471</v>
      </c>
    </row>
    <row r="61" spans="1:9" x14ac:dyDescent="0.3">
      <c r="B61" s="9" t="str">
        <f>'5.2 Budgeted Enrollment YR2'!E56</f>
        <v>Explore Academy</v>
      </c>
      <c r="C61" s="62">
        <f>'5.2 Budgeted Enrollment YR2'!G56</f>
        <v>285.9150020191048</v>
      </c>
      <c r="D61" s="117">
        <f>'6.3 Statewide Base Funding YR2'!E60</f>
        <v>2716764</v>
      </c>
      <c r="E61" s="12">
        <f>'6.4 District Size Adj. YR2'!G150</f>
        <v>0</v>
      </c>
      <c r="F61" s="117">
        <f>'6.5 NCEI Adj. YR2'!J54</f>
        <v>0</v>
      </c>
      <c r="G61" s="370">
        <f t="shared" si="8"/>
        <v>2716764</v>
      </c>
      <c r="H61" s="375">
        <f t="shared" si="9"/>
        <v>9501.9987787085975</v>
      </c>
    </row>
    <row r="62" spans="1:9" x14ac:dyDescent="0.3">
      <c r="B62" s="9" t="str">
        <f>'5.2 Budgeted Enrollment YR2'!E57</f>
        <v>Explore Knowledge Academy</v>
      </c>
      <c r="C62" s="62">
        <f>'5.2 Budgeted Enrollment YR2'!G57</f>
        <v>664.59038477421791</v>
      </c>
      <c r="D62" s="117">
        <f>'6.3 Statewide Base Funding YR2'!E61</f>
        <v>6314938</v>
      </c>
      <c r="E62" s="12">
        <f>'6.4 District Size Adj. YR2'!G151</f>
        <v>0</v>
      </c>
      <c r="F62" s="117">
        <f>'6.5 NCEI Adj. YR2'!J55</f>
        <v>0</v>
      </c>
      <c r="G62" s="370">
        <f t="shared" si="8"/>
        <v>6314938</v>
      </c>
      <c r="H62" s="375">
        <f t="shared" si="9"/>
        <v>9502.0002465810303</v>
      </c>
    </row>
    <row r="63" spans="1:9" s="19" customFormat="1" x14ac:dyDescent="0.3">
      <c r="A63" s="9"/>
      <c r="B63" s="9" t="str">
        <f>'5.2 Budgeted Enrollment YR2'!E58</f>
        <v>Founders Academy of Las Vegas</v>
      </c>
      <c r="C63" s="62">
        <f>'5.2 Budgeted Enrollment YR2'!G58</f>
        <v>1110.2866416609052</v>
      </c>
      <c r="D63" s="117">
        <f>'6.3 Statewide Base Funding YR2'!E62</f>
        <v>10549944</v>
      </c>
      <c r="E63" s="12">
        <f>'6.4 District Size Adj. YR2'!G152</f>
        <v>0</v>
      </c>
      <c r="F63" s="117">
        <f>'6.5 NCEI Adj. YR2'!J56</f>
        <v>0</v>
      </c>
      <c r="G63" s="370">
        <f t="shared" si="8"/>
        <v>10549944</v>
      </c>
      <c r="H63" s="375">
        <f t="shared" si="9"/>
        <v>9502.0002980654426</v>
      </c>
    </row>
    <row r="64" spans="1:9" x14ac:dyDescent="0.3">
      <c r="B64" s="9" t="str">
        <f>'5.2 Budgeted Enrollment YR2'!E59</f>
        <v>Freedom Classical Academy</v>
      </c>
      <c r="C64" s="62">
        <f>'5.2 Budgeted Enrollment YR2'!G59</f>
        <v>1074.7232250803561</v>
      </c>
      <c r="D64" s="117">
        <f>'6.3 Statewide Base Funding YR2'!E63</f>
        <v>10212020</v>
      </c>
      <c r="E64" s="12">
        <f>'6.4 District Size Adj. YR2'!G153</f>
        <v>0</v>
      </c>
      <c r="F64" s="117">
        <f>'6.5 NCEI Adj. YR2'!J57</f>
        <v>0</v>
      </c>
      <c r="G64" s="370">
        <f t="shared" si="8"/>
        <v>10212020</v>
      </c>
      <c r="H64" s="375">
        <f t="shared" si="9"/>
        <v>9501.9999211764098</v>
      </c>
    </row>
    <row r="65" spans="2:8" x14ac:dyDescent="0.3">
      <c r="B65" s="9" t="str">
        <f>'5.2 Budgeted Enrollment YR2'!E60</f>
        <v>Futuro Academy Elementary</v>
      </c>
      <c r="C65" s="62">
        <f>'5.2 Budgeted Enrollment YR2'!G60</f>
        <v>467.88219404846518</v>
      </c>
      <c r="D65" s="117">
        <f>'6.3 Statewide Base Funding YR2'!E64</f>
        <v>4445817</v>
      </c>
      <c r="E65" s="12">
        <f>'6.4 District Size Adj. YR2'!G154</f>
        <v>0</v>
      </c>
      <c r="F65" s="117">
        <f>'6.5 NCEI Adj. YR2'!J58</f>
        <v>0</v>
      </c>
      <c r="G65" s="370">
        <f t="shared" si="8"/>
        <v>4445817</v>
      </c>
      <c r="H65" s="375">
        <f t="shared" si="9"/>
        <v>9502.0008381414991</v>
      </c>
    </row>
    <row r="66" spans="2:8" x14ac:dyDescent="0.3">
      <c r="B66" s="9" t="str">
        <f>'5.2 Budgeted Enrollment YR2'!E61</f>
        <v>High Desert Montessori</v>
      </c>
      <c r="C66" s="62">
        <f>'5.2 Budgeted Enrollment YR2'!G61</f>
        <v>411.94504777978403</v>
      </c>
      <c r="D66" s="117">
        <f>'6.3 Statewide Base Funding YR2'!E65</f>
        <v>3914302</v>
      </c>
      <c r="E66" s="12">
        <f>'6.4 District Size Adj. YR2'!G155</f>
        <v>0</v>
      </c>
      <c r="F66" s="117">
        <f>'6.5 NCEI Adj. YR2'!J59</f>
        <v>0</v>
      </c>
      <c r="G66" s="370">
        <f t="shared" si="8"/>
        <v>3914302</v>
      </c>
      <c r="H66" s="375">
        <f t="shared" si="9"/>
        <v>9502.000378682771</v>
      </c>
    </row>
    <row r="67" spans="2:8" x14ac:dyDescent="0.3">
      <c r="B67" s="9" t="str">
        <f>'5.2 Budgeted Enrollment YR2'!E62</f>
        <v>Honors Academy of Literature</v>
      </c>
      <c r="C67" s="62">
        <f>'5.2 Budgeted Enrollment YR2'!G62</f>
        <v>219.20317856717219</v>
      </c>
      <c r="D67" s="117">
        <f>'6.3 Statewide Base Funding YR2'!E66</f>
        <v>2082869</v>
      </c>
      <c r="E67" s="12">
        <f>'6.4 District Size Adj. YR2'!G156</f>
        <v>0</v>
      </c>
      <c r="F67" s="117">
        <f>'6.5 NCEI Adj. YR2'!J60</f>
        <v>0</v>
      </c>
      <c r="G67" s="370">
        <f t="shared" si="8"/>
        <v>2082869</v>
      </c>
      <c r="H67" s="375">
        <f t="shared" si="9"/>
        <v>9502.0018122671972</v>
      </c>
    </row>
    <row r="68" spans="2:8" x14ac:dyDescent="0.3">
      <c r="B68" s="9" t="str">
        <f>'5.2 Budgeted Enrollment YR2'!E63</f>
        <v>Imagine School Mountain View</v>
      </c>
      <c r="C68" s="62">
        <f>'5.2 Budgeted Enrollment YR2'!G63</f>
        <v>695.95030141306381</v>
      </c>
      <c r="D68" s="117">
        <f>'6.3 Statewide Base Funding YR2'!E67</f>
        <v>6612920</v>
      </c>
      <c r="E68" s="12">
        <f>'6.4 District Size Adj. YR2'!G157</f>
        <v>0</v>
      </c>
      <c r="F68" s="117">
        <f>'6.5 NCEI Adj. YR2'!J61</f>
        <v>0</v>
      </c>
      <c r="G68" s="370">
        <f t="shared" si="8"/>
        <v>6612920</v>
      </c>
      <c r="H68" s="375">
        <f t="shared" si="9"/>
        <v>9502.0003390659749</v>
      </c>
    </row>
    <row r="69" spans="2:8" x14ac:dyDescent="0.3">
      <c r="B69" s="9" t="str">
        <f>'5.2 Budgeted Enrollment YR2'!E64</f>
        <v>Innovations Int'l Charter</v>
      </c>
      <c r="C69" s="62">
        <f>'5.2 Budgeted Enrollment YR2'!G64</f>
        <v>682.14466872714809</v>
      </c>
      <c r="D69" s="117">
        <f>'6.3 Statewide Base Funding YR2'!E68</f>
        <v>6481739</v>
      </c>
      <c r="E69" s="12">
        <f>'6.4 District Size Adj. YR2'!G158</f>
        <v>0</v>
      </c>
      <c r="F69" s="117">
        <f>'6.5 NCEI Adj. YR2'!J62</f>
        <v>0</v>
      </c>
      <c r="G69" s="370">
        <f t="shared" si="8"/>
        <v>6481739</v>
      </c>
      <c r="H69" s="375">
        <f t="shared" si="9"/>
        <v>9502.0005244556687</v>
      </c>
    </row>
    <row r="70" spans="2:8" x14ac:dyDescent="0.3">
      <c r="B70" s="9" t="str">
        <f>'5.2 Budgeted Enrollment YR2'!E65</f>
        <v>Leadership Academy of Nevada</v>
      </c>
      <c r="C70" s="62">
        <f>'5.2 Budgeted Enrollment YR2'!G65</f>
        <v>287.40686460222514</v>
      </c>
      <c r="D70" s="117">
        <f>'6.3 Statewide Base Funding YR2'!E69</f>
        <v>2730940</v>
      </c>
      <c r="E70" s="12">
        <f>'6.4 District Size Adj. YR2'!G159</f>
        <v>0</v>
      </c>
      <c r="F70" s="117">
        <f>'6.5 NCEI Adj. YR2'!J63</f>
        <v>0</v>
      </c>
      <c r="G70" s="370">
        <f t="shared" si="8"/>
        <v>2730940</v>
      </c>
      <c r="H70" s="375">
        <f t="shared" si="9"/>
        <v>9501.9999044896049</v>
      </c>
    </row>
    <row r="71" spans="2:8" x14ac:dyDescent="0.3">
      <c r="B71" s="9" t="str">
        <f>'5.2 Budgeted Enrollment YR2'!E66</f>
        <v>Learning Bridge</v>
      </c>
      <c r="C71" s="62">
        <f>'5.2 Budgeted Enrollment YR2'!G66</f>
        <v>170.53745061484202</v>
      </c>
      <c r="D71" s="117">
        <f>'6.3 Statewide Base Funding YR2'!E70</f>
        <v>1620447</v>
      </c>
      <c r="E71" s="12">
        <f>'6.4 District Size Adj. YR2'!G160</f>
        <v>748747</v>
      </c>
      <c r="F71" s="117">
        <f>'6.5 NCEI Adj. YR2'!J64</f>
        <v>0</v>
      </c>
      <c r="G71" s="370">
        <f t="shared" si="8"/>
        <v>2369194</v>
      </c>
      <c r="H71" s="375">
        <f t="shared" si="9"/>
        <v>13892.514467985175</v>
      </c>
    </row>
    <row r="72" spans="2:8" x14ac:dyDescent="0.3">
      <c r="B72" s="9" t="str">
        <f>'5.2 Budgeted Enrollment YR2'!E67</f>
        <v>Legacy Traditional Schools</v>
      </c>
      <c r="C72" s="62">
        <f>'5.2 Budgeted Enrollment YR2'!G67</f>
        <v>4125.1478938155515</v>
      </c>
      <c r="D72" s="117">
        <f>'6.3 Statewide Base Funding YR2'!E71</f>
        <v>39197155</v>
      </c>
      <c r="E72" s="12">
        <f>'6.4 District Size Adj. YR2'!G161</f>
        <v>0</v>
      </c>
      <c r="F72" s="117">
        <f>'6.5 NCEI Adj. YR2'!J65</f>
        <v>0</v>
      </c>
      <c r="G72" s="370">
        <f t="shared" si="8"/>
        <v>39197155</v>
      </c>
      <c r="H72" s="375">
        <f t="shared" si="9"/>
        <v>9501.999930418162</v>
      </c>
    </row>
    <row r="73" spans="2:8" x14ac:dyDescent="0.3">
      <c r="B73" s="9" t="str">
        <f>'5.2 Budgeted Enrollment YR2'!E68</f>
        <v xml:space="preserve">Mariposa Language and Learning Academy </v>
      </c>
      <c r="C73" s="62">
        <f>'5.2 Budgeted Enrollment YR2'!G68</f>
        <v>164.39442664043821</v>
      </c>
      <c r="D73" s="117">
        <f>'6.3 Statewide Base Funding YR2'!E72</f>
        <v>1562076</v>
      </c>
      <c r="E73" s="12">
        <f>'6.4 District Size Adj. YR2'!G162</f>
        <v>0</v>
      </c>
      <c r="F73" s="117">
        <f>'6.5 NCEI Adj. YR2'!J66</f>
        <v>0</v>
      </c>
      <c r="G73" s="370">
        <f t="shared" ref="G73:G97" si="12">D73+E73+F73</f>
        <v>1562076</v>
      </c>
      <c r="H73" s="375">
        <f t="shared" ref="H73:H97" si="13">IF(C73=0,0,G73/C73)</f>
        <v>9502.0009614836672</v>
      </c>
    </row>
    <row r="74" spans="2:8" x14ac:dyDescent="0.3">
      <c r="B74" s="9" t="str">
        <f>'5.2 Budgeted Enrollment YR2'!E69</f>
        <v>Mater Academy</v>
      </c>
      <c r="C74" s="62">
        <f>'5.2 Budgeted Enrollment YR2'!G69</f>
        <v>4489.9355041692297</v>
      </c>
      <c r="D74" s="117">
        <f>'6.3 Statewide Base Funding YR2'!E73</f>
        <v>42663367</v>
      </c>
      <c r="E74" s="12">
        <f>'6.4 District Size Adj. YR2'!G163</f>
        <v>0</v>
      </c>
      <c r="F74" s="117">
        <f>'6.5 NCEI Adj. YR2'!J67</f>
        <v>0</v>
      </c>
      <c r="G74" s="370">
        <f t="shared" si="12"/>
        <v>42663367</v>
      </c>
      <c r="H74" s="375">
        <f t="shared" si="13"/>
        <v>9501.9999642275434</v>
      </c>
    </row>
    <row r="75" spans="2:8" x14ac:dyDescent="0.3">
      <c r="B75" s="9" t="str">
        <f>'5.2 Budgeted Enrollment YR2'!E70</f>
        <v>Mater Academy of Northern Nevada</v>
      </c>
      <c r="C75" s="62">
        <f>'5.2 Budgeted Enrollment YR2'!G70</f>
        <v>502.85317793083078</v>
      </c>
      <c r="D75" s="117">
        <f>'6.3 Statewide Base Funding YR2'!E74</f>
        <v>4778111</v>
      </c>
      <c r="E75" s="12">
        <f>'6.4 District Size Adj. YR2'!G164</f>
        <v>0</v>
      </c>
      <c r="F75" s="117">
        <f>'6.5 NCEI Adj. YR2'!J68</f>
        <v>0</v>
      </c>
      <c r="G75" s="370">
        <f t="shared" si="12"/>
        <v>4778111</v>
      </c>
      <c r="H75" s="375">
        <f t="shared" si="13"/>
        <v>9502.0002054302331</v>
      </c>
    </row>
    <row r="76" spans="2:8" x14ac:dyDescent="0.3">
      <c r="B76" s="9" t="str">
        <f>'5.2 Budgeted Enrollment YR2'!E71</f>
        <v>Nevada Connections Academy</v>
      </c>
      <c r="C76" s="62">
        <f>'5.2 Budgeted Enrollment YR2'!G71</f>
        <v>1200.806661656123</v>
      </c>
      <c r="D76" s="117">
        <f>'6.3 Statewide Base Funding YR2'!E75</f>
        <v>11410065</v>
      </c>
      <c r="E76" s="12">
        <f>'6.4 District Size Adj. YR2'!G165</f>
        <v>0</v>
      </c>
      <c r="F76" s="117">
        <f>'6.5 NCEI Adj. YR2'!J69</f>
        <v>0</v>
      </c>
      <c r="G76" s="370">
        <f t="shared" si="12"/>
        <v>11410065</v>
      </c>
      <c r="H76" s="375">
        <f t="shared" si="13"/>
        <v>9502.000084063091</v>
      </c>
    </row>
    <row r="77" spans="2:8" x14ac:dyDescent="0.3">
      <c r="B77" s="9" t="str">
        <f>'5.2 Budgeted Enrollment YR2'!E72</f>
        <v>Nevada Prep</v>
      </c>
      <c r="C77" s="62">
        <f>'5.2 Budgeted Enrollment YR2'!G72</f>
        <v>305.23837009503319</v>
      </c>
      <c r="D77" s="117">
        <f>'6.3 Statewide Base Funding YR2'!E76</f>
        <v>2900375</v>
      </c>
      <c r="E77" s="12">
        <f>'6.4 District Size Adj. YR2'!G166</f>
        <v>0</v>
      </c>
      <c r="F77" s="117">
        <f>'6.5 NCEI Adj. YR2'!J70</f>
        <v>0</v>
      </c>
      <c r="G77" s="370">
        <f t="shared" si="12"/>
        <v>2900375</v>
      </c>
      <c r="H77" s="375">
        <f t="shared" si="13"/>
        <v>9502.0000241024572</v>
      </c>
    </row>
    <row r="78" spans="2:8" x14ac:dyDescent="0.3">
      <c r="B78" s="9" t="str">
        <f>'5.2 Budgeted Enrollment YR2'!E73</f>
        <v xml:space="preserve">Nevada Rise </v>
      </c>
      <c r="C78" s="62">
        <f>'5.2 Budgeted Enrollment YR2'!G73</f>
        <v>372.57548213135692</v>
      </c>
      <c r="D78" s="117">
        <f>'6.3 Statewide Base Funding YR2'!E77</f>
        <v>3540212</v>
      </c>
      <c r="E78" s="12">
        <f>'6.4 District Size Adj. YR2'!G167</f>
        <v>0</v>
      </c>
      <c r="F78" s="117">
        <f>'6.5 NCEI Adj. YR2'!J71</f>
        <v>0</v>
      </c>
      <c r="G78" s="370">
        <f t="shared" si="12"/>
        <v>3540212</v>
      </c>
      <c r="H78" s="375">
        <f t="shared" si="13"/>
        <v>9501.9993794219845</v>
      </c>
    </row>
    <row r="79" spans="2:8" x14ac:dyDescent="0.3">
      <c r="B79" s="9" t="str">
        <f>'5.2 Budgeted Enrollment YR2'!E74</f>
        <v>Nevada State High School</v>
      </c>
      <c r="C79" s="62">
        <f>'5.2 Budgeted Enrollment YR2'!G74</f>
        <v>913.27248049484274</v>
      </c>
      <c r="D79" s="117">
        <f>'6.3 Statewide Base Funding YR2'!E78</f>
        <v>8677915</v>
      </c>
      <c r="E79" s="12">
        <f>'6.4 District Size Adj. YR2'!G168</f>
        <v>0</v>
      </c>
      <c r="F79" s="117">
        <f>'6.5 NCEI Adj. YR2'!J72</f>
        <v>0</v>
      </c>
      <c r="G79" s="370">
        <f t="shared" si="12"/>
        <v>8677915</v>
      </c>
      <c r="H79" s="375">
        <f t="shared" si="13"/>
        <v>9501.9998799241221</v>
      </c>
    </row>
    <row r="80" spans="2:8" x14ac:dyDescent="0.3">
      <c r="B80" s="9" t="str">
        <f>'5.2 Budgeted Enrollment YR2'!E75</f>
        <v>Nevada State High School-Meadowwood</v>
      </c>
      <c r="C80" s="62">
        <f>'5.2 Budgeted Enrollment YR2'!G75</f>
        <v>30.196612917803087</v>
      </c>
      <c r="D80" s="117">
        <f>'6.3 Statewide Base Funding YR2'!E79</f>
        <v>286928</v>
      </c>
      <c r="E80" s="12">
        <f>'6.4 District Size Adj. YR2'!G169</f>
        <v>0</v>
      </c>
      <c r="F80" s="117">
        <f>'6.5 NCEI Adj. YR2'!J73</f>
        <v>0</v>
      </c>
      <c r="G80" s="370">
        <f t="shared" si="12"/>
        <v>286928</v>
      </c>
      <c r="H80" s="375">
        <f t="shared" si="13"/>
        <v>9501.992848702419</v>
      </c>
    </row>
    <row r="81" spans="2:9" x14ac:dyDescent="0.3">
      <c r="B81" s="9" t="str">
        <f>'5.2 Budgeted Enrollment YR2'!E76</f>
        <v>Nevada Virtual Academy</v>
      </c>
      <c r="C81" s="62">
        <f>'5.2 Budgeted Enrollment YR2'!G76</f>
        <v>1819.9707035088049</v>
      </c>
      <c r="D81" s="117">
        <f>'6.3 Statewide Base Funding YR2'!E80</f>
        <v>17293362</v>
      </c>
      <c r="E81" s="12">
        <f>'6.4 District Size Adj. YR2'!G170</f>
        <v>0</v>
      </c>
      <c r="F81" s="117">
        <f>'6.5 NCEI Adj. YR2'!J74</f>
        <v>0</v>
      </c>
      <c r="G81" s="370">
        <f t="shared" si="12"/>
        <v>17293362</v>
      </c>
      <c r="H81" s="375">
        <f t="shared" si="13"/>
        <v>9502.0002061897667</v>
      </c>
    </row>
    <row r="82" spans="2:9" x14ac:dyDescent="0.3">
      <c r="B82" s="9" t="str">
        <f>'5.2 Budgeted Enrollment YR2'!E77</f>
        <v>Oasis Academy</v>
      </c>
      <c r="C82" s="62">
        <f>'5.2 Budgeted Enrollment YR2'!G77</f>
        <v>785.63660329576021</v>
      </c>
      <c r="D82" s="117">
        <f>'6.3 Statewide Base Funding YR2'!E81</f>
        <v>7465119</v>
      </c>
      <c r="E82" s="12">
        <f>'6.4 District Size Adj. YR2'!G171</f>
        <v>1070126</v>
      </c>
      <c r="F82" s="117">
        <f>'6.5 NCEI Adj. YR2'!J75</f>
        <v>0</v>
      </c>
      <c r="G82" s="370">
        <f t="shared" si="12"/>
        <v>8535245</v>
      </c>
      <c r="H82" s="375">
        <f t="shared" si="13"/>
        <v>10864.113209840896</v>
      </c>
    </row>
    <row r="83" spans="2:9" x14ac:dyDescent="0.3">
      <c r="B83" s="9" t="str">
        <f>'5.2 Budgeted Enrollment YR2'!E78</f>
        <v>Odyssey Charter Schools</v>
      </c>
      <c r="C83" s="62">
        <f>'5.2 Budgeted Enrollment YR2'!G78</f>
        <v>2400.7898726641642</v>
      </c>
      <c r="D83" s="117">
        <f>'6.3 Statewide Base Funding YR2'!E82</f>
        <v>22812305</v>
      </c>
      <c r="E83" s="12">
        <f>'6.4 District Size Adj. YR2'!G172</f>
        <v>0</v>
      </c>
      <c r="F83" s="117">
        <f>'6.5 NCEI Adj. YR2'!J76</f>
        <v>0</v>
      </c>
      <c r="G83" s="370">
        <f t="shared" si="12"/>
        <v>22812305</v>
      </c>
      <c r="H83" s="375">
        <f t="shared" si="13"/>
        <v>9501.9998458611917</v>
      </c>
    </row>
    <row r="84" spans="2:9" x14ac:dyDescent="0.3">
      <c r="B84" s="9" t="str">
        <f>'5.2 Budgeted Enrollment YR2'!E79</f>
        <v>Pinecrest Academy of Northern Nevada</v>
      </c>
      <c r="C84" s="62">
        <f>'5.2 Budgeted Enrollment YR2'!G79</f>
        <v>1022.3920123229747</v>
      </c>
      <c r="D84" s="117">
        <f>'6.3 Statewide Base Funding YR2'!E83</f>
        <v>9714769</v>
      </c>
      <c r="E84" s="12">
        <f>'6.4 District Size Adj. YR2'!G173</f>
        <v>0</v>
      </c>
      <c r="F84" s="117">
        <f>'6.5 NCEI Adj. YR2'!J77</f>
        <v>0</v>
      </c>
      <c r="G84" s="370">
        <f t="shared" si="12"/>
        <v>9714769</v>
      </c>
      <c r="H84" s="375">
        <f t="shared" si="13"/>
        <v>9502.0000967408723</v>
      </c>
    </row>
    <row r="85" spans="2:9" x14ac:dyDescent="0.3">
      <c r="B85" s="9" t="str">
        <f>'5.2 Budgeted Enrollment YR2'!E80</f>
        <v>Pinecrest Academy of Nevada</v>
      </c>
      <c r="C85" s="62">
        <f>'5.2 Budgeted Enrollment YR2'!G80</f>
        <v>8054.8515217779041</v>
      </c>
      <c r="D85" s="117">
        <f>'6.3 Statewide Base Funding YR2'!E84</f>
        <v>76537199</v>
      </c>
      <c r="E85" s="12">
        <f>'6.4 District Size Adj. YR2'!G174</f>
        <v>0</v>
      </c>
      <c r="F85" s="117">
        <f>'6.5 NCEI Adj. YR2'!J78</f>
        <v>0</v>
      </c>
      <c r="G85" s="370">
        <f t="shared" si="12"/>
        <v>76537199</v>
      </c>
      <c r="H85" s="375">
        <f t="shared" si="13"/>
        <v>9501.9999801444337</v>
      </c>
    </row>
    <row r="86" spans="2:9" x14ac:dyDescent="0.3">
      <c r="B86" s="9" t="str">
        <f>'5.2 Budgeted Enrollment YR2'!E81</f>
        <v>Pioneer Technical Arts Academy</v>
      </c>
      <c r="C86" s="62">
        <f>'5.2 Budgeted Enrollment YR2'!G81</f>
        <v>263.87383610592974</v>
      </c>
      <c r="D86" s="117">
        <f>'6.3 Statewide Base Funding YR2'!E85</f>
        <v>2507329</v>
      </c>
      <c r="E86" s="12">
        <f>'6.4 District Size Adj. YR2'!G175</f>
        <v>0</v>
      </c>
      <c r="F86" s="117">
        <f>'6.5 NCEI Adj. YR2'!J79</f>
        <v>0</v>
      </c>
      <c r="G86" s="370">
        <f t="shared" ref="G86" si="14">D86+E86+F86</f>
        <v>2507329</v>
      </c>
      <c r="H86" s="375">
        <f t="shared" ref="H86" si="15">IF(C86=0,0,G86/C86)</f>
        <v>9501.9992773874546</v>
      </c>
      <c r="I86" s="9" t="s">
        <v>370</v>
      </c>
    </row>
    <row r="87" spans="2:9" x14ac:dyDescent="0.3">
      <c r="B87" s="9" t="str">
        <f>'5.2 Budgeted Enrollment YR2'!E82</f>
        <v>Quest Academy</v>
      </c>
      <c r="C87" s="62">
        <f>'5.2 Budgeted Enrollment YR2'!G82</f>
        <v>455.57355767788971</v>
      </c>
      <c r="D87" s="117">
        <f>'6.3 Statewide Base Funding YR2'!E86</f>
        <v>4328860</v>
      </c>
      <c r="E87" s="12">
        <f>'6.4 District Size Adj. YR2'!G176</f>
        <v>0</v>
      </c>
      <c r="F87" s="117">
        <f>'6.5 NCEI Adj. YR2'!J80</f>
        <v>0</v>
      </c>
      <c r="G87" s="370">
        <f t="shared" si="12"/>
        <v>4328860</v>
      </c>
      <c r="H87" s="375">
        <f t="shared" si="13"/>
        <v>9502.0001206055331</v>
      </c>
    </row>
    <row r="88" spans="2:9" x14ac:dyDescent="0.3">
      <c r="B88" s="9" t="str">
        <f>'5.2 Budgeted Enrollment YR2'!E83</f>
        <v>Rainbow Dreams Academy</v>
      </c>
      <c r="C88" s="62">
        <f>'5.2 Budgeted Enrollment YR2'!G83</f>
        <v>63.383111480510713</v>
      </c>
      <c r="D88" s="117">
        <f>'6.3 Statewide Base Funding YR2'!E87</f>
        <v>602266</v>
      </c>
      <c r="E88" s="12">
        <f>'6.4 District Size Adj. YR2'!G177</f>
        <v>0</v>
      </c>
      <c r="F88" s="117">
        <f>'6.5 NCEI Adj. YR2'!J81</f>
        <v>0</v>
      </c>
      <c r="G88" s="370">
        <f t="shared" si="12"/>
        <v>602266</v>
      </c>
      <c r="H88" s="375">
        <f t="shared" si="13"/>
        <v>9501.9948679103127</v>
      </c>
    </row>
    <row r="89" spans="2:9" x14ac:dyDescent="0.3">
      <c r="B89" s="9" t="str">
        <f>'5.2 Budgeted Enrollment YR2'!E84</f>
        <v>Rooted Charter School</v>
      </c>
      <c r="C89" s="62">
        <f>'5.2 Budgeted Enrollment YR2'!G84</f>
        <v>23.615168211814723</v>
      </c>
      <c r="D89" s="117">
        <f>'6.3 Statewide Base Funding YR2'!E88</f>
        <v>224391</v>
      </c>
      <c r="E89" s="12">
        <f>'6.4 District Size Adj. YR2'!G178</f>
        <v>0</v>
      </c>
      <c r="F89" s="117">
        <f>'6.5 NCEI Adj. YR2'!J82</f>
        <v>0</v>
      </c>
      <c r="G89" s="370">
        <f t="shared" ref="G89" si="16">D89+E89+F89</f>
        <v>224391</v>
      </c>
      <c r="H89" s="375">
        <f t="shared" ref="H89" si="17">IF(C89=0,0,G89/C89)</f>
        <v>9501.9860958575209</v>
      </c>
    </row>
    <row r="90" spans="2:9" x14ac:dyDescent="0.3">
      <c r="B90" s="9" t="str">
        <f>'5.2 Budgeted Enrollment YR2'!E85</f>
        <v>Sage Collegiate Academy</v>
      </c>
      <c r="C90" s="62">
        <f>'5.2 Budgeted Enrollment YR2'!G85</f>
        <v>236.13114718926738</v>
      </c>
      <c r="D90" s="117">
        <f>'6.3 Statewide Base Funding YR2'!E89</f>
        <v>2243718</v>
      </c>
      <c r="E90" s="12">
        <f>'6.4 District Size Adj. YR2'!G179</f>
        <v>0</v>
      </c>
      <c r="F90" s="117">
        <f>'6.5 NCEI Adj. YR2'!J83</f>
        <v>0</v>
      </c>
      <c r="G90" s="370">
        <f t="shared" si="12"/>
        <v>2243718</v>
      </c>
      <c r="H90" s="375">
        <f t="shared" si="13"/>
        <v>9501.9993199015862</v>
      </c>
    </row>
    <row r="91" spans="2:9" x14ac:dyDescent="0.3">
      <c r="B91" s="9" t="str">
        <f>'5.2 Budgeted Enrollment YR2'!E86</f>
        <v>Sierra Nevada Academy Charter</v>
      </c>
      <c r="C91" s="62">
        <f>'5.2 Budgeted Enrollment YR2'!G86</f>
        <v>265.07102245962432</v>
      </c>
      <c r="D91" s="117">
        <f>'6.3 Statewide Base Funding YR2'!E90</f>
        <v>2518705</v>
      </c>
      <c r="E91" s="12">
        <f>'6.4 District Size Adj. YR2'!G180</f>
        <v>199611</v>
      </c>
      <c r="F91" s="117">
        <f>'6.5 NCEI Adj. YR2'!J84</f>
        <v>0</v>
      </c>
      <c r="G91" s="370">
        <f t="shared" si="12"/>
        <v>2718316</v>
      </c>
      <c r="H91" s="375">
        <f t="shared" si="13"/>
        <v>10255.047778427212</v>
      </c>
    </row>
    <row r="92" spans="2:9" x14ac:dyDescent="0.3">
      <c r="B92" s="9" t="str">
        <f>'5.2 Budgeted Enrollment YR2'!E87</f>
        <v>Signature Preparatory</v>
      </c>
      <c r="C92" s="62">
        <f>'5.2 Budgeted Enrollment YR2'!G87</f>
        <v>995.39371457820653</v>
      </c>
      <c r="D92" s="117">
        <f>'6.3 Statewide Base Funding YR2'!E91</f>
        <v>9458231</v>
      </c>
      <c r="E92" s="12">
        <f>'6.4 District Size Adj. YR2'!G181</f>
        <v>0</v>
      </c>
      <c r="F92" s="117">
        <f>'6.5 NCEI Adj. YR2'!J85</f>
        <v>0</v>
      </c>
      <c r="G92" s="370">
        <f t="shared" si="12"/>
        <v>9458231</v>
      </c>
      <c r="H92" s="375">
        <f t="shared" si="13"/>
        <v>9501.9999237265438</v>
      </c>
    </row>
    <row r="93" spans="2:9" x14ac:dyDescent="0.3">
      <c r="B93" s="9" t="str">
        <f>'5.2 Budgeted Enrollment YR2'!E88</f>
        <v>Silver Sands Montessori</v>
      </c>
      <c r="C93" s="62">
        <f>'5.2 Budgeted Enrollment YR2'!G88</f>
        <v>239.7637761081109</v>
      </c>
      <c r="D93" s="117">
        <f>'6.3 Statewide Base Funding YR2'!E92</f>
        <v>2278235</v>
      </c>
      <c r="E93" s="12">
        <f>'6.4 District Size Adj. YR2'!G182</f>
        <v>0</v>
      </c>
      <c r="F93" s="117">
        <f>'6.5 NCEI Adj. YR2'!J86</f>
        <v>0</v>
      </c>
      <c r="G93" s="370">
        <f t="shared" si="12"/>
        <v>2278235</v>
      </c>
      <c r="H93" s="375">
        <f t="shared" si="13"/>
        <v>9501.9983292752713</v>
      </c>
    </row>
    <row r="94" spans="2:9" x14ac:dyDescent="0.3">
      <c r="B94" s="9" t="str">
        <f>'5.2 Budgeted Enrollment YR2'!E89</f>
        <v>Somerset Academy</v>
      </c>
      <c r="C94" s="62">
        <f>'5.2 Budgeted Enrollment YR2'!G89</f>
        <v>9613.0429519265235</v>
      </c>
      <c r="D94" s="117">
        <f>'6.3 Statewide Base Funding YR2'!E93</f>
        <v>91343134</v>
      </c>
      <c r="E94" s="12">
        <f>'6.4 District Size Adj. YR2'!G183</f>
        <v>0</v>
      </c>
      <c r="F94" s="117">
        <f>'6.5 NCEI Adj. YR2'!J87</f>
        <v>0</v>
      </c>
      <c r="G94" s="370">
        <f t="shared" si="12"/>
        <v>91343134</v>
      </c>
      <c r="H94" s="375">
        <f t="shared" si="13"/>
        <v>9501.99998655932</v>
      </c>
    </row>
    <row r="95" spans="2:9" x14ac:dyDescent="0.3">
      <c r="B95" s="9" t="str">
        <f>'5.2 Budgeted Enrollment YR2'!E90</f>
        <v>Southern Nevada Trade High School</v>
      </c>
      <c r="C95" s="62">
        <f>'5.2 Budgeted Enrollment YR2'!G90</f>
        <v>81.083193428487846</v>
      </c>
      <c r="D95" s="117">
        <f>'6.3 Statewide Base Funding YR2'!E94</f>
        <v>770453</v>
      </c>
      <c r="E95" s="12">
        <f>'6.4 District Size Adj. YR2'!G184</f>
        <v>0</v>
      </c>
      <c r="F95" s="117">
        <f>'6.5 NCEI Adj. YR2'!J88</f>
        <v>0</v>
      </c>
      <c r="G95" s="370">
        <f t="shared" ref="G95" si="18">D95+E95+F95</f>
        <v>770453</v>
      </c>
      <c r="H95" s="375">
        <f t="shared" ref="H95" si="19">IF(C95=0,0,G95/C95)</f>
        <v>9502.0061176982254</v>
      </c>
    </row>
    <row r="96" spans="2:9" x14ac:dyDescent="0.3">
      <c r="B96" s="9" t="str">
        <f>'5.2 Budgeted Enrollment YR2'!E91</f>
        <v>Sports Leadership and Management Academy</v>
      </c>
      <c r="C96" s="62">
        <f>'5.2 Budgeted Enrollment YR2'!G91</f>
        <v>1868.7586142879702</v>
      </c>
      <c r="D96" s="117">
        <f>'6.3 Statewide Base Funding YR2'!E95</f>
        <v>17756944</v>
      </c>
      <c r="E96" s="12">
        <f>'6.4 District Size Adj. YR2'!G185</f>
        <v>0</v>
      </c>
      <c r="F96" s="117">
        <f>'6.5 NCEI Adj. YR2'!J89</f>
        <v>0</v>
      </c>
      <c r="G96" s="370">
        <f t="shared" si="12"/>
        <v>17756944</v>
      </c>
      <c r="H96" s="375">
        <f t="shared" si="13"/>
        <v>9501.9998111236564</v>
      </c>
    </row>
    <row r="97" spans="1:9" x14ac:dyDescent="0.3">
      <c r="B97" s="9" t="str">
        <f>'5.2 Budgeted Enrollment YR2'!E92</f>
        <v>Strong Start Academy</v>
      </c>
      <c r="C97" s="62">
        <f>'5.2 Budgeted Enrollment YR2'!G92</f>
        <v>147.52292907276259</v>
      </c>
      <c r="D97" s="117">
        <f>'6.3 Statewide Base Funding YR2'!E96</f>
        <v>1401763</v>
      </c>
      <c r="E97" s="12">
        <f>'6.4 District Size Adj. YR2'!G186</f>
        <v>0</v>
      </c>
      <c r="F97" s="117">
        <f>'6.5 NCEI Adj. YR2'!J90</f>
        <v>0</v>
      </c>
      <c r="G97" s="370">
        <f t="shared" si="12"/>
        <v>1401763</v>
      </c>
      <c r="H97" s="375">
        <f t="shared" si="13"/>
        <v>9502.0008673269349</v>
      </c>
    </row>
    <row r="98" spans="1:9" x14ac:dyDescent="0.3">
      <c r="B98" s="9" t="str">
        <f>'5.2 Budgeted Enrollment YR2'!E93</f>
        <v>ThrivePoint</v>
      </c>
      <c r="C98" s="62">
        <f>'5.2 Budgeted Enrollment YR2'!G93</f>
        <v>152.98522015479972</v>
      </c>
      <c r="D98" s="117">
        <f>'6.3 Statewide Base Funding YR2'!E97</f>
        <v>1453666</v>
      </c>
      <c r="E98" s="12">
        <f>'6.4 District Size Adj. YR2'!G187</f>
        <v>0</v>
      </c>
      <c r="F98" s="117">
        <f>'6.5 NCEI Adj. YR2'!J91</f>
        <v>0</v>
      </c>
      <c r="G98" s="370">
        <f>D98+E98+F98</f>
        <v>1453666</v>
      </c>
      <c r="H98" s="375">
        <f>IF(C98=0,0,G98/C98)</f>
        <v>9502.0028636040315</v>
      </c>
      <c r="I98" s="9" t="s">
        <v>370</v>
      </c>
    </row>
    <row r="99" spans="1:9" x14ac:dyDescent="0.3">
      <c r="B99" s="9" t="str">
        <f>'5.2 Budgeted Enrollment YR2'!E94</f>
        <v>Vegas Vista Academy</v>
      </c>
      <c r="C99" s="62">
        <f>'5.2 Budgeted Enrollment YR2'!G94</f>
        <v>104.72813728717834</v>
      </c>
      <c r="D99" s="117">
        <f>'6.3 Statewide Base Funding YR2'!E98</f>
        <v>995127</v>
      </c>
      <c r="E99" s="12">
        <f>'6.4 District Size Adj. YR2'!G188</f>
        <v>0</v>
      </c>
      <c r="F99" s="117">
        <f>'6.5 NCEI Adj. YR2'!J92</f>
        <v>0</v>
      </c>
      <c r="G99" s="370">
        <f>D99+E99+F99</f>
        <v>995127</v>
      </c>
      <c r="H99" s="375">
        <f>IF(C99=0,0,G99/C99)</f>
        <v>9502.002286847046</v>
      </c>
      <c r="I99" s="9" t="s">
        <v>370</v>
      </c>
    </row>
    <row r="100" spans="1:9" x14ac:dyDescent="0.3">
      <c r="B100" s="137" t="str">
        <f>'5.2 Budgeted Enrollment YR2'!E95</f>
        <v>Young Women's Leadership Academy</v>
      </c>
      <c r="C100" s="359">
        <f>'5.2 Budgeted Enrollment YR2'!G95</f>
        <v>118.86232883517145</v>
      </c>
      <c r="D100" s="164">
        <f>'6.3 Statewide Base Funding YR2'!E99</f>
        <v>1129430</v>
      </c>
      <c r="E100" s="440">
        <f>'6.4 District Size Adj. YR2'!G189</f>
        <v>0</v>
      </c>
      <c r="F100" s="164">
        <f>'6.5 NCEI Adj. YR2'!J93</f>
        <v>0</v>
      </c>
      <c r="G100" s="370">
        <f>D100+E100+F100</f>
        <v>1129430</v>
      </c>
      <c r="H100" s="375">
        <f>IF(C100=0,0,G100/C100)</f>
        <v>9502.0012738114947</v>
      </c>
    </row>
    <row r="101" spans="1:9" s="4" customFormat="1" x14ac:dyDescent="0.3">
      <c r="A101" s="291"/>
      <c r="B101" s="291" t="s">
        <v>1398</v>
      </c>
      <c r="C101" s="409">
        <f>SUM(C39:C100)</f>
        <v>72301.606666666703</v>
      </c>
      <c r="D101" s="1238">
        <f>SUM(D39:D100)</f>
        <v>687009868</v>
      </c>
      <c r="E101" s="1239">
        <f>SUM(E39:E100)</f>
        <v>2466600</v>
      </c>
      <c r="F101" s="1240">
        <f>SUM(F39:F100)</f>
        <v>0</v>
      </c>
      <c r="G101" s="1241">
        <f>SUM(G39:G100)</f>
        <v>689476468</v>
      </c>
      <c r="H101" s="377">
        <f>G101/C101</f>
        <v>9536.1154445530483</v>
      </c>
    </row>
    <row r="102" spans="1:9" x14ac:dyDescent="0.3">
      <c r="G102" s="12"/>
      <c r="H102" s="12"/>
    </row>
    <row r="103" spans="1:9" x14ac:dyDescent="0.3">
      <c r="A103" s="300" t="str">
        <f>B33</f>
        <v>University Schools</v>
      </c>
      <c r="B103" s="207"/>
      <c r="C103" s="207"/>
      <c r="D103" s="207"/>
      <c r="E103" s="207"/>
      <c r="F103" s="207"/>
      <c r="G103" s="207"/>
      <c r="H103" s="445"/>
    </row>
    <row r="104" spans="1:9" x14ac:dyDescent="0.3">
      <c r="A104" s="455"/>
      <c r="B104" s="207" t="str">
        <f>'5.2 Budgeted Enrollment YR2'!E100</f>
        <v>Davidson Academy</v>
      </c>
      <c r="C104" s="498">
        <f>'5.2 Budgeted Enrollment YR2'!G100</f>
        <v>167.88437423074134</v>
      </c>
      <c r="D104" s="2059">
        <f>'6.3 Statewide Base Funding YR2'!E103</f>
        <v>1595237</v>
      </c>
      <c r="E104" s="2029">
        <f>'6.4 District Size Adj. YR2'!G194</f>
        <v>0</v>
      </c>
      <c r="F104" s="797">
        <f>'6.5 NCEI Adj. YR2'!J97</f>
        <v>0</v>
      </c>
      <c r="G104" s="2009">
        <f>D104+E104+F104</f>
        <v>1595237</v>
      </c>
      <c r="H104" s="1250">
        <f>IF(C104=0,0,G104/C104)</f>
        <v>9501.9980704547052</v>
      </c>
    </row>
    <row r="105" spans="1:9" x14ac:dyDescent="0.3">
      <c r="A105" s="142"/>
      <c r="B105" s="137"/>
      <c r="C105" s="490">
        <f>'5.2 Budgeted Enrollment YR2'!G101</f>
        <v>0</v>
      </c>
      <c r="D105" s="1246">
        <f>'6.3 Statewide Base Funding YR2'!E104</f>
        <v>0</v>
      </c>
      <c r="E105" s="1237">
        <f>'6.4 District Size Adj. YR2'!G195</f>
        <v>0</v>
      </c>
      <c r="F105" s="127">
        <f>'6.5 NCEI Adj. YR2'!J98</f>
        <v>0</v>
      </c>
      <c r="G105" s="390"/>
      <c r="H105" s="1252">
        <f>IF(C105=0,0,G105/C105)</f>
        <v>0</v>
      </c>
    </row>
    <row r="106" spans="1:9" s="4" customFormat="1" x14ac:dyDescent="0.3">
      <c r="A106" s="204"/>
      <c r="B106" s="135"/>
      <c r="C106" s="1256">
        <f t="shared" ref="C106:G106" si="20">SUM(C104:C105)</f>
        <v>167.88437423074134</v>
      </c>
      <c r="D106" s="1420">
        <f t="shared" si="20"/>
        <v>1595237</v>
      </c>
      <c r="E106" s="1420">
        <f t="shared" si="20"/>
        <v>0</v>
      </c>
      <c r="F106" s="387">
        <f t="shared" si="20"/>
        <v>0</v>
      </c>
      <c r="G106" s="1420">
        <f t="shared" si="20"/>
        <v>1595237</v>
      </c>
      <c r="H106" s="1253">
        <f>SUM(H104:H105)</f>
        <v>9501.9980704547052</v>
      </c>
    </row>
    <row r="107" spans="1:9" x14ac:dyDescent="0.3">
      <c r="H107" s="162"/>
    </row>
    <row r="108" spans="1:9" x14ac:dyDescent="0.3">
      <c r="A108" s="300" t="str">
        <f>B34</f>
        <v>City of Henderson</v>
      </c>
      <c r="B108" s="207"/>
      <c r="C108" s="207"/>
      <c r="D108" s="207"/>
      <c r="E108" s="207"/>
      <c r="F108" s="207"/>
      <c r="G108" s="207"/>
      <c r="H108" s="1248"/>
    </row>
    <row r="109" spans="1:9" x14ac:dyDescent="0.3">
      <c r="A109" s="455"/>
      <c r="B109" s="207">
        <f>'5.2 Budgeted Enrollment YR2'!E105</f>
        <v>0</v>
      </c>
      <c r="C109" s="498">
        <f>'5.2 Budgeted Enrollment YR2'!G107</f>
        <v>0</v>
      </c>
      <c r="D109" s="2059">
        <f>'6.3 Statewide Base Funding YR2'!E108</f>
        <v>0</v>
      </c>
      <c r="E109" s="2029">
        <f>'6.4 District Size Adj. YR2'!G198</f>
        <v>0</v>
      </c>
      <c r="F109" s="797">
        <f>'6.5 NCEI Adj. YR2'!J102</f>
        <v>0</v>
      </c>
      <c r="G109" s="2009">
        <f>D109+E109+F109</f>
        <v>0</v>
      </c>
      <c r="H109" s="1250">
        <f>IF(C109=0,0,G109/C109)</f>
        <v>0</v>
      </c>
    </row>
    <row r="110" spans="1:9" x14ac:dyDescent="0.3">
      <c r="A110" s="142"/>
      <c r="B110" s="137"/>
      <c r="C110" s="490">
        <f>'5.2 Budgeted Enrollment YR2'!G108</f>
        <v>0</v>
      </c>
      <c r="D110" s="1246">
        <f>'6.3 Statewide Base Funding YR2'!E109</f>
        <v>0</v>
      </c>
      <c r="E110" s="1237">
        <f>'6.4 District Size Adj. YR2'!G199</f>
        <v>0</v>
      </c>
      <c r="F110" s="127">
        <f>'6.5 NCEI Adj. YR2'!J103</f>
        <v>0</v>
      </c>
      <c r="G110" s="390"/>
      <c r="H110" s="1252">
        <f>IF(C110=0,0,G110/C110)</f>
        <v>0</v>
      </c>
    </row>
    <row r="111" spans="1:9" s="4" customFormat="1" x14ac:dyDescent="0.3">
      <c r="A111" s="204"/>
      <c r="B111" s="135"/>
      <c r="C111" s="1256">
        <f t="shared" ref="C111:H111" si="21">SUM(C109:C110)</f>
        <v>0</v>
      </c>
      <c r="D111" s="1420">
        <f t="shared" si="21"/>
        <v>0</v>
      </c>
      <c r="E111" s="1420">
        <f t="shared" si="21"/>
        <v>0</v>
      </c>
      <c r="F111" s="387">
        <f t="shared" si="21"/>
        <v>0</v>
      </c>
      <c r="G111" s="1420">
        <f t="shared" si="21"/>
        <v>0</v>
      </c>
      <c r="H111" s="1253">
        <f t="shared" si="21"/>
        <v>0</v>
      </c>
    </row>
    <row r="112" spans="1:9" x14ac:dyDescent="0.3">
      <c r="H112" s="162"/>
    </row>
    <row r="113" spans="1:8" x14ac:dyDescent="0.3">
      <c r="A113" s="300" t="str">
        <f>B35</f>
        <v>City of North Las Vegas</v>
      </c>
      <c r="B113" s="207"/>
      <c r="C113" s="207"/>
      <c r="D113" s="207"/>
      <c r="E113" s="207"/>
      <c r="F113" s="207"/>
      <c r="G113" s="207"/>
      <c r="H113" s="1248"/>
    </row>
    <row r="114" spans="1:8" x14ac:dyDescent="0.3">
      <c r="A114" s="455"/>
      <c r="B114" s="207">
        <f>'5.2 Budgeted Enrollment YR2'!E110</f>
        <v>0</v>
      </c>
      <c r="C114" s="498">
        <f>'5.2 Budgeted Enrollment YR2'!G113</f>
        <v>0</v>
      </c>
      <c r="D114" s="2059">
        <f>'6.3 Statewide Base Funding YR2'!E113</f>
        <v>0</v>
      </c>
      <c r="E114" s="2029">
        <f>'6.4 District Size Adj. YR2'!G202</f>
        <v>0</v>
      </c>
      <c r="F114" s="797">
        <f>'6.5 NCEI Adj. YR2'!J107</f>
        <v>0</v>
      </c>
      <c r="G114" s="2009">
        <f>D114+E114+F114</f>
        <v>0</v>
      </c>
      <c r="H114" s="1250">
        <f>IF(C114=0,0,G114/C114)</f>
        <v>0</v>
      </c>
    </row>
    <row r="115" spans="1:8" x14ac:dyDescent="0.3">
      <c r="A115" s="142"/>
      <c r="B115" s="137"/>
      <c r="C115" s="490">
        <f>'5.2 Budgeted Enrollment YR2'!G114</f>
        <v>0</v>
      </c>
      <c r="D115" s="1246">
        <f>'6.3 Statewide Base Funding YR2'!E114</f>
        <v>0</v>
      </c>
      <c r="E115" s="1237">
        <f>'6.4 District Size Adj. YR2'!G203</f>
        <v>0</v>
      </c>
      <c r="F115" s="127">
        <f>'6.5 NCEI Adj. YR2'!J108</f>
        <v>0</v>
      </c>
      <c r="G115" s="390"/>
      <c r="H115" s="1252">
        <f>IF(C115=0,0,G115/C115)</f>
        <v>0</v>
      </c>
    </row>
    <row r="116" spans="1:8" s="4" customFormat="1" x14ac:dyDescent="0.3">
      <c r="A116" s="204"/>
      <c r="B116" s="135"/>
      <c r="C116" s="1256">
        <f t="shared" ref="C116:H116" si="22">SUM(C114:C115)</f>
        <v>0</v>
      </c>
      <c r="D116" s="1420">
        <f t="shared" si="22"/>
        <v>0</v>
      </c>
      <c r="E116" s="1420">
        <f t="shared" si="22"/>
        <v>0</v>
      </c>
      <c r="F116" s="387">
        <f t="shared" si="22"/>
        <v>0</v>
      </c>
      <c r="G116" s="1420">
        <f t="shared" si="22"/>
        <v>0</v>
      </c>
      <c r="H116" s="1253">
        <f t="shared" si="22"/>
        <v>0</v>
      </c>
    </row>
  </sheetData>
  <mergeCells count="2">
    <mergeCell ref="D8:H8"/>
    <mergeCell ref="D9:H9"/>
  </mergeCells>
  <pageMargins left="0.7" right="0.7" top="0.75" bottom="0.75" header="0.3" footer="0.3"/>
  <pageSetup paperSize="3" fitToHeight="0" orientation="landscape" r:id="rId1"/>
  <headerFooter>
    <oddHeader>&amp;R&amp;"Arial Narrow,Regular"&amp;10&amp;A
&amp;P</oddHeader>
  </headerFooter>
  <rowBreaks count="1" manualBreakCount="1">
    <brk id="3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C228-977B-4F5E-97DE-48A3F31ABB04}">
  <sheetPr>
    <tabColor theme="6" tint="-0.499984740745262"/>
    <pageSetUpPr autoPageBreaks="0"/>
  </sheetPr>
  <dimension ref="A1:AJ120"/>
  <sheetViews>
    <sheetView workbookViewId="0">
      <selection activeCell="D28" sqref="D28"/>
    </sheetView>
  </sheetViews>
  <sheetFormatPr defaultColWidth="9" defaultRowHeight="16.5" x14ac:dyDescent="0.3"/>
  <cols>
    <col min="1" max="1" width="7" style="9" customWidth="1"/>
    <col min="2" max="2" width="38.42578125" style="9" bestFit="1" customWidth="1"/>
    <col min="3" max="3" width="33.140625" style="22" bestFit="1" customWidth="1"/>
    <col min="4" max="5" width="17" style="9" bestFit="1" customWidth="1"/>
    <col min="6" max="6" width="2.7109375" style="9" customWidth="1"/>
    <col min="7" max="7" width="30" style="22" customWidth="1"/>
    <col min="8" max="9" width="16.7109375" style="9" bestFit="1" customWidth="1"/>
    <col min="10" max="10" width="2.7109375" style="9" customWidth="1"/>
    <col min="11" max="11" width="36.7109375" style="27" customWidth="1"/>
    <col min="12" max="12" width="16.7109375" style="10" bestFit="1" customWidth="1"/>
    <col min="13" max="13" width="16.7109375" style="9" bestFit="1" customWidth="1"/>
    <col min="14" max="14" width="10.5703125" style="9" bestFit="1" customWidth="1"/>
    <col min="15" max="36" width="9" style="9" customWidth="1"/>
    <col min="37" max="16384" width="9" style="9"/>
  </cols>
  <sheetData>
    <row r="1" spans="1:36" s="4" customFormat="1" x14ac:dyDescent="0.3">
      <c r="A1" s="4" t="s">
        <v>15</v>
      </c>
      <c r="C1" s="17"/>
    </row>
    <row r="2" spans="1:36" x14ac:dyDescent="0.3">
      <c r="A2" s="9" t="str">
        <f>CONCATENATE("Pupil Center Funding Plan | FY",'5.1 Assumption Control YR2'!D5)</f>
        <v>Pupil Center Funding Plan | FY2027</v>
      </c>
      <c r="C2" s="17"/>
      <c r="D2" s="4"/>
      <c r="E2" s="4"/>
      <c r="F2" s="4"/>
      <c r="G2" s="300" t="s">
        <v>1770</v>
      </c>
      <c r="H2" s="297"/>
      <c r="I2" s="301"/>
      <c r="J2" s="4"/>
      <c r="K2" s="4" t="str">
        <f>'2.7 Weighted Funding YR1'!K2</f>
        <v>[1] Targeted Multipliers:  Recommended by the CSF during their April 17, 2020 meeting and formally recommended to Gov and Leg in July 15, 2020 letter; CSF targeted weight for GATE was .14.</v>
      </c>
      <c r="L2" s="4"/>
      <c r="M2" s="4"/>
    </row>
    <row r="3" spans="1:36" x14ac:dyDescent="0.3">
      <c r="A3" s="9" t="s">
        <v>1771</v>
      </c>
      <c r="C3" s="17"/>
      <c r="D3" s="4"/>
      <c r="E3" s="4"/>
      <c r="F3" s="4"/>
      <c r="G3" s="444"/>
      <c r="H3" s="4" t="s">
        <v>1772</v>
      </c>
      <c r="I3" s="288" t="s">
        <v>1512</v>
      </c>
      <c r="J3" s="4"/>
      <c r="K3" s="4"/>
      <c r="L3" s="4"/>
      <c r="M3" s="4"/>
    </row>
    <row r="4" spans="1:36" x14ac:dyDescent="0.3">
      <c r="C4" s="17"/>
      <c r="D4" s="4"/>
      <c r="E4" s="4"/>
      <c r="F4" s="4"/>
      <c r="G4" s="439" t="s">
        <v>1513</v>
      </c>
      <c r="H4" s="443">
        <v>0.5</v>
      </c>
      <c r="I4" s="438">
        <f>D11-H4</f>
        <v>-4.9999999999999989E-2</v>
      </c>
      <c r="J4" s="4"/>
      <c r="K4" s="4"/>
      <c r="L4" s="4"/>
      <c r="M4" s="4"/>
    </row>
    <row r="5" spans="1:36" s="4" customFormat="1" ht="17.25" thickBot="1" x14ac:dyDescent="0.35">
      <c r="B5" s="75"/>
      <c r="C5" s="17" t="s">
        <v>1331</v>
      </c>
      <c r="D5" s="17" t="s">
        <v>1332</v>
      </c>
      <c r="E5" s="18" t="s">
        <v>1333</v>
      </c>
      <c r="F5" s="9"/>
      <c r="G5" s="439" t="s">
        <v>1514</v>
      </c>
      <c r="H5" s="443">
        <v>0.3</v>
      </c>
      <c r="I5" s="438">
        <f>H11-H5</f>
        <v>4.9999999999999989E-2</v>
      </c>
      <c r="J5" s="9"/>
      <c r="L5" s="9"/>
      <c r="M5" s="9"/>
      <c r="N5" s="17"/>
      <c r="O5" s="17"/>
      <c r="P5" s="17"/>
      <c r="Q5" s="17"/>
      <c r="R5" s="17"/>
      <c r="S5" s="17"/>
      <c r="T5" s="17"/>
      <c r="U5" s="17"/>
      <c r="V5" s="17"/>
      <c r="W5" s="17"/>
      <c r="X5" s="17"/>
      <c r="Y5" s="17"/>
      <c r="Z5" s="17"/>
      <c r="AA5" s="17"/>
      <c r="AB5" s="17"/>
      <c r="AC5" s="17"/>
      <c r="AD5" s="17"/>
      <c r="AE5" s="17"/>
      <c r="AF5" s="17"/>
      <c r="AG5" s="17"/>
      <c r="AH5" s="17"/>
      <c r="AI5" s="17"/>
      <c r="AJ5" s="17"/>
    </row>
    <row r="6" spans="1:36" ht="18" thickTop="1" thickBot="1" x14ac:dyDescent="0.35">
      <c r="B6" s="17" t="s">
        <v>1515</v>
      </c>
      <c r="C6" s="849">
        <f>'6.6 Adj. Base Summary YR2'!E6</f>
        <v>411321538</v>
      </c>
      <c r="D6" s="850">
        <f>E39+I39+M39</f>
        <v>411321538</v>
      </c>
      <c r="E6" s="1242">
        <f>C6-D6</f>
        <v>0</v>
      </c>
      <c r="G6" s="439" t="s">
        <v>1516</v>
      </c>
      <c r="H6" s="640">
        <v>0.14000000000000001</v>
      </c>
      <c r="I6" s="438">
        <v>0</v>
      </c>
      <c r="K6" s="4" t="str">
        <f>'2.7 Weighted Funding YR1'!K6</f>
        <v xml:space="preserve"> [2] Weight for GATE set to .12 per Legislature</v>
      </c>
      <c r="L6" s="9"/>
    </row>
    <row r="7" spans="1:36" ht="17.25" thickTop="1" x14ac:dyDescent="0.3">
      <c r="C7" s="23"/>
      <c r="D7" s="17"/>
      <c r="E7" s="17"/>
      <c r="F7" s="17"/>
      <c r="G7" s="23"/>
      <c r="H7" s="17"/>
      <c r="I7" s="17"/>
      <c r="J7" s="17"/>
      <c r="K7" s="26"/>
      <c r="L7" s="18"/>
      <c r="M7" s="17"/>
    </row>
    <row r="8" spans="1:36" x14ac:dyDescent="0.3">
      <c r="C8" s="305" t="s">
        <v>1518</v>
      </c>
      <c r="D8" s="306"/>
      <c r="E8" s="307"/>
      <c r="G8" s="305" t="s">
        <v>1519</v>
      </c>
      <c r="H8" s="306"/>
      <c r="I8" s="307"/>
      <c r="K8" s="305" t="s">
        <v>1520</v>
      </c>
      <c r="L8" s="306"/>
      <c r="M8" s="307"/>
    </row>
    <row r="9" spans="1:36" x14ac:dyDescent="0.3">
      <c r="C9" s="114" t="s">
        <v>1521</v>
      </c>
      <c r="D9" s="57">
        <f>'5.2 Budgeted Enrollment YR2'!I30</f>
        <v>54923</v>
      </c>
      <c r="E9" s="111" t="s">
        <v>1733</v>
      </c>
      <c r="G9" s="114" t="s">
        <v>1522</v>
      </c>
      <c r="H9" s="57">
        <f>'5.2 Budgeted Enrollment YR2'!J30</f>
        <v>50074</v>
      </c>
      <c r="I9" s="111" t="s">
        <v>1733</v>
      </c>
      <c r="K9" s="110" t="s">
        <v>1523</v>
      </c>
      <c r="L9" s="362">
        <f>'5.2 Budgeted Enrollment YR2'!K30</f>
        <v>8722</v>
      </c>
      <c r="M9" s="111" t="s">
        <v>1733</v>
      </c>
    </row>
    <row r="10" spans="1:36" x14ac:dyDescent="0.3">
      <c r="B10" s="17"/>
      <c r="C10" s="140" t="s">
        <v>1524</v>
      </c>
      <c r="D10" s="154">
        <f>'5.1 Assumption Control YR2'!E39</f>
        <v>4275.9000000000005</v>
      </c>
      <c r="E10" s="111" t="s">
        <v>1725</v>
      </c>
      <c r="G10" s="140" t="s">
        <v>1525</v>
      </c>
      <c r="H10" s="154">
        <f>'5.1 Assumption Control YR2'!E40</f>
        <v>3325.7</v>
      </c>
      <c r="I10" s="111" t="s">
        <v>1725</v>
      </c>
      <c r="K10" s="140" t="s">
        <v>1526</v>
      </c>
      <c r="L10" s="154">
        <f>'5.1 Assumption Control YR2'!E41</f>
        <v>1140.24</v>
      </c>
      <c r="M10" s="111" t="s">
        <v>1725</v>
      </c>
    </row>
    <row r="11" spans="1:36" x14ac:dyDescent="0.3">
      <c r="B11" s="17"/>
      <c r="C11" s="126" t="s">
        <v>1527</v>
      </c>
      <c r="D11" s="361">
        <f>'5.1 Assumption Control YR2'!D39</f>
        <v>0.45</v>
      </c>
      <c r="E11" s="303" t="s">
        <v>1725</v>
      </c>
      <c r="G11" s="126" t="s">
        <v>1527</v>
      </c>
      <c r="H11" s="361">
        <f>'5.1 Assumption Control YR2'!D40</f>
        <v>0.35</v>
      </c>
      <c r="I11" s="303" t="s">
        <v>1725</v>
      </c>
      <c r="K11" s="126" t="s">
        <v>1527</v>
      </c>
      <c r="L11" s="361">
        <f>'5.1 Assumption Control YR2'!D41</f>
        <v>0.12</v>
      </c>
      <c r="M11" s="303" t="s">
        <v>1725</v>
      </c>
    </row>
    <row r="12" spans="1:36" x14ac:dyDescent="0.3">
      <c r="B12" s="17"/>
      <c r="C12" s="140"/>
      <c r="D12" s="134"/>
      <c r="E12" s="112"/>
      <c r="G12" s="140"/>
      <c r="H12" s="134"/>
      <c r="I12" s="112"/>
      <c r="K12" s="97" t="s">
        <v>1528</v>
      </c>
      <c r="L12" s="134"/>
      <c r="M12" s="112"/>
    </row>
    <row r="13" spans="1:36" x14ac:dyDescent="0.3">
      <c r="C13" s="105" t="s">
        <v>1529</v>
      </c>
      <c r="D13" s="91" t="s">
        <v>1530</v>
      </c>
      <c r="E13" s="98"/>
      <c r="G13" s="105" t="s">
        <v>1531</v>
      </c>
      <c r="H13" s="91" t="s">
        <v>1532</v>
      </c>
      <c r="I13" s="98"/>
      <c r="K13" s="105" t="s">
        <v>1533</v>
      </c>
      <c r="L13" s="91" t="s">
        <v>1534</v>
      </c>
      <c r="M13" s="98"/>
    </row>
    <row r="14" spans="1:36" s="107" customFormat="1" x14ac:dyDescent="0.3">
      <c r="A14" s="9"/>
      <c r="B14" s="9"/>
      <c r="C14" s="105" t="s">
        <v>1533</v>
      </c>
      <c r="D14" s="93" t="s">
        <v>1535</v>
      </c>
      <c r="E14" s="94" t="s">
        <v>1530</v>
      </c>
      <c r="F14" s="9"/>
      <c r="G14" s="105" t="s">
        <v>1533</v>
      </c>
      <c r="H14" s="93" t="s">
        <v>1536</v>
      </c>
      <c r="I14" s="94" t="s">
        <v>1532</v>
      </c>
      <c r="J14" s="9"/>
      <c r="K14" s="105" t="s">
        <v>1537</v>
      </c>
      <c r="L14" s="93" t="s">
        <v>1536</v>
      </c>
      <c r="M14" s="94" t="s">
        <v>1534</v>
      </c>
    </row>
    <row r="15" spans="1:36" x14ac:dyDescent="0.3">
      <c r="A15" s="4"/>
      <c r="C15" s="113"/>
      <c r="D15" s="93" t="s">
        <v>1538</v>
      </c>
      <c r="E15" s="94" t="s">
        <v>1535</v>
      </c>
      <c r="G15" s="105" t="s">
        <v>1537</v>
      </c>
      <c r="H15" s="93" t="s">
        <v>1538</v>
      </c>
      <c r="I15" s="94" t="s">
        <v>1536</v>
      </c>
      <c r="K15" s="105" t="s">
        <v>1539</v>
      </c>
      <c r="L15" s="93" t="s">
        <v>1344</v>
      </c>
      <c r="M15" s="94" t="s">
        <v>1536</v>
      </c>
    </row>
    <row r="16" spans="1:36" x14ac:dyDescent="0.3">
      <c r="A16" s="330"/>
      <c r="B16" s="331" t="s">
        <v>1346</v>
      </c>
      <c r="C16" s="332" t="s">
        <v>1733</v>
      </c>
      <c r="D16" s="333" t="s">
        <v>1540</v>
      </c>
      <c r="E16" s="334" t="s">
        <v>1397</v>
      </c>
      <c r="F16" s="107"/>
      <c r="G16" s="332" t="s">
        <v>1733</v>
      </c>
      <c r="H16" s="333" t="s">
        <v>1541</v>
      </c>
      <c r="I16" s="334" t="s">
        <v>1542</v>
      </c>
      <c r="J16" s="107"/>
      <c r="K16" s="332" t="s">
        <v>1733</v>
      </c>
      <c r="L16" s="333" t="s">
        <v>1543</v>
      </c>
      <c r="M16" s="334" t="s">
        <v>1544</v>
      </c>
    </row>
    <row r="17" spans="1:13" x14ac:dyDescent="0.3">
      <c r="A17" s="291" t="s">
        <v>1228</v>
      </c>
      <c r="B17" s="226"/>
      <c r="C17" s="335"/>
      <c r="D17" s="292"/>
      <c r="E17" s="329"/>
      <c r="G17" s="335"/>
      <c r="H17" s="292"/>
      <c r="I17" s="329"/>
      <c r="K17" s="335"/>
      <c r="L17" s="292"/>
      <c r="M17" s="329"/>
    </row>
    <row r="18" spans="1:13" x14ac:dyDescent="0.3">
      <c r="B18" s="207" t="str">
        <f>'5.2 Budgeted Enrollment YR2'!E9</f>
        <v>Carson City</v>
      </c>
      <c r="C18" s="363">
        <f>'5.2 Budgeted Enrollment YR2'!I9</f>
        <v>780</v>
      </c>
      <c r="D18" s="154">
        <f>$D$10</f>
        <v>4275.9000000000005</v>
      </c>
      <c r="E18" s="2011">
        <f>ROUND(C18*D18,0)</f>
        <v>3335202</v>
      </c>
      <c r="G18" s="363">
        <f>'5.2 Budgeted Enrollment YR2'!J9</f>
        <v>221</v>
      </c>
      <c r="H18" s="154">
        <f t="shared" ref="H18:H37" si="0">$H$10</f>
        <v>3325.7</v>
      </c>
      <c r="I18" s="2011">
        <f>ROUND(G18*H18,0)</f>
        <v>734980</v>
      </c>
      <c r="K18" s="363">
        <f>'5.2 Budgeted Enrollment YR2'!K9</f>
        <v>285</v>
      </c>
      <c r="L18" s="154">
        <f t="shared" ref="L18:L34" si="1">$L$10</f>
        <v>1140.24</v>
      </c>
      <c r="M18" s="2011">
        <f>ROUND(L18*K18,0)</f>
        <v>324968</v>
      </c>
    </row>
    <row r="19" spans="1:13" x14ac:dyDescent="0.3">
      <c r="B19" s="9" t="str">
        <f>'5.2 Budgeted Enrollment YR2'!E10</f>
        <v>Churchill</v>
      </c>
      <c r="C19" s="363">
        <f>'5.2 Budgeted Enrollment YR2'!I10</f>
        <v>114</v>
      </c>
      <c r="D19" s="154">
        <f>$D$10</f>
        <v>4275.9000000000005</v>
      </c>
      <c r="E19" s="375">
        <f t="shared" ref="E19:E33" si="2">ROUND(C19*D19,0)</f>
        <v>487453</v>
      </c>
      <c r="G19" s="363">
        <f>'5.2 Budgeted Enrollment YR2'!J10</f>
        <v>87</v>
      </c>
      <c r="H19" s="154">
        <f>$H$10</f>
        <v>3325.7</v>
      </c>
      <c r="I19" s="375">
        <f t="shared" ref="I19:I34" si="3">ROUND(G19*H19,0)</f>
        <v>289336</v>
      </c>
      <c r="K19" s="363">
        <f>'5.2 Budgeted Enrollment YR2'!K10</f>
        <v>0</v>
      </c>
      <c r="L19" s="154">
        <f>$L$10</f>
        <v>1140.24</v>
      </c>
      <c r="M19" s="375">
        <f t="shared" ref="M19:M34" si="4">ROUND(L19*K19,0)</f>
        <v>0</v>
      </c>
    </row>
    <row r="20" spans="1:13" x14ac:dyDescent="0.3">
      <c r="B20" s="9" t="str">
        <f>'5.2 Budgeted Enrollment YR2'!E11</f>
        <v>Clark</v>
      </c>
      <c r="C20" s="363">
        <f>'5.2 Budgeted Enrollment YR2'!I11</f>
        <v>38828</v>
      </c>
      <c r="D20" s="154">
        <f t="shared" ref="D20:D38" si="5">$D$10</f>
        <v>4275.9000000000005</v>
      </c>
      <c r="E20" s="375">
        <f t="shared" si="2"/>
        <v>166024645</v>
      </c>
      <c r="G20" s="363">
        <f>'5.2 Budgeted Enrollment YR2'!J11</f>
        <v>41674</v>
      </c>
      <c r="H20" s="154">
        <f t="shared" si="0"/>
        <v>3325.7</v>
      </c>
      <c r="I20" s="375">
        <f t="shared" si="3"/>
        <v>138595222</v>
      </c>
      <c r="K20" s="363">
        <f>'5.2 Budgeted Enrollment YR2'!K11</f>
        <v>5436</v>
      </c>
      <c r="L20" s="154">
        <f t="shared" si="1"/>
        <v>1140.24</v>
      </c>
      <c r="M20" s="375">
        <f t="shared" si="4"/>
        <v>6198345</v>
      </c>
    </row>
    <row r="21" spans="1:13" x14ac:dyDescent="0.3">
      <c r="B21" s="9" t="str">
        <f>'5.2 Budgeted Enrollment YR2'!E12</f>
        <v>Douglas</v>
      </c>
      <c r="C21" s="363">
        <f>'5.2 Budgeted Enrollment YR2'!I12</f>
        <v>161</v>
      </c>
      <c r="D21" s="154">
        <f t="shared" si="5"/>
        <v>4275.9000000000005</v>
      </c>
      <c r="E21" s="375">
        <f t="shared" si="2"/>
        <v>688420</v>
      </c>
      <c r="G21" s="363">
        <f>'5.2 Budgeted Enrollment YR2'!J12</f>
        <v>144</v>
      </c>
      <c r="H21" s="154">
        <f t="shared" si="0"/>
        <v>3325.7</v>
      </c>
      <c r="I21" s="375">
        <f t="shared" si="3"/>
        <v>478901</v>
      </c>
      <c r="K21" s="363">
        <f>'5.2 Budgeted Enrollment YR2'!K12</f>
        <v>118</v>
      </c>
      <c r="L21" s="154">
        <f t="shared" si="1"/>
        <v>1140.24</v>
      </c>
      <c r="M21" s="375">
        <f t="shared" si="4"/>
        <v>134548</v>
      </c>
    </row>
    <row r="22" spans="1:13" x14ac:dyDescent="0.3">
      <c r="B22" s="9" t="str">
        <f>'5.2 Budgeted Enrollment YR2'!E13</f>
        <v>Elko</v>
      </c>
      <c r="C22" s="363">
        <f>'5.2 Budgeted Enrollment YR2'!I13</f>
        <v>669</v>
      </c>
      <c r="D22" s="154">
        <f t="shared" si="5"/>
        <v>4275.9000000000005</v>
      </c>
      <c r="E22" s="375">
        <f t="shared" si="2"/>
        <v>2860577</v>
      </c>
      <c r="G22" s="363">
        <f>'5.2 Budgeted Enrollment YR2'!J13</f>
        <v>452</v>
      </c>
      <c r="H22" s="154">
        <f t="shared" si="0"/>
        <v>3325.7</v>
      </c>
      <c r="I22" s="375">
        <f t="shared" si="3"/>
        <v>1503216</v>
      </c>
      <c r="K22" s="363">
        <f>'5.2 Budgeted Enrollment YR2'!K13</f>
        <v>38</v>
      </c>
      <c r="L22" s="154">
        <f t="shared" si="1"/>
        <v>1140.24</v>
      </c>
      <c r="M22" s="375">
        <f t="shared" si="4"/>
        <v>43329</v>
      </c>
    </row>
    <row r="23" spans="1:13" x14ac:dyDescent="0.3">
      <c r="B23" s="9" t="str">
        <f>'5.2 Budgeted Enrollment YR2'!E14</f>
        <v>Esmeralda</v>
      </c>
      <c r="C23" s="363">
        <f>'5.2 Budgeted Enrollment YR2'!I14</f>
        <v>11</v>
      </c>
      <c r="D23" s="154">
        <f t="shared" si="5"/>
        <v>4275.9000000000005</v>
      </c>
      <c r="E23" s="375">
        <f t="shared" si="2"/>
        <v>47035</v>
      </c>
      <c r="G23" s="363">
        <f>'5.2 Budgeted Enrollment YR2'!J14</f>
        <v>1</v>
      </c>
      <c r="H23" s="154">
        <f t="shared" si="0"/>
        <v>3325.7</v>
      </c>
      <c r="I23" s="375">
        <f t="shared" si="3"/>
        <v>3326</v>
      </c>
      <c r="K23" s="363">
        <f>'5.2 Budgeted Enrollment YR2'!K14</f>
        <v>0</v>
      </c>
      <c r="L23" s="154">
        <f t="shared" si="1"/>
        <v>1140.24</v>
      </c>
      <c r="M23" s="375">
        <f t="shared" si="4"/>
        <v>0</v>
      </c>
    </row>
    <row r="24" spans="1:13" x14ac:dyDescent="0.3">
      <c r="B24" s="9" t="str">
        <f>'5.2 Budgeted Enrollment YR2'!E15</f>
        <v>Eureka</v>
      </c>
      <c r="C24" s="363">
        <f>'5.2 Budgeted Enrollment YR2'!I15</f>
        <v>4</v>
      </c>
      <c r="D24" s="154">
        <f t="shared" si="5"/>
        <v>4275.9000000000005</v>
      </c>
      <c r="E24" s="375">
        <f t="shared" si="2"/>
        <v>17104</v>
      </c>
      <c r="G24" s="363">
        <f>'5.2 Budgeted Enrollment YR2'!J15</f>
        <v>1</v>
      </c>
      <c r="H24" s="154">
        <f t="shared" si="0"/>
        <v>3325.7</v>
      </c>
      <c r="I24" s="375">
        <f t="shared" si="3"/>
        <v>3326</v>
      </c>
      <c r="K24" s="363">
        <f>'5.2 Budgeted Enrollment YR2'!K15</f>
        <v>0</v>
      </c>
      <c r="L24" s="154">
        <f t="shared" si="1"/>
        <v>1140.24</v>
      </c>
      <c r="M24" s="375">
        <f t="shared" si="4"/>
        <v>0</v>
      </c>
    </row>
    <row r="25" spans="1:13" x14ac:dyDescent="0.3">
      <c r="B25" s="9" t="str">
        <f>'5.2 Budgeted Enrollment YR2'!E16</f>
        <v>Humboldt</v>
      </c>
      <c r="C25" s="363">
        <f>'5.2 Budgeted Enrollment YR2'!I16</f>
        <v>197</v>
      </c>
      <c r="D25" s="154">
        <f t="shared" si="5"/>
        <v>4275.9000000000005</v>
      </c>
      <c r="E25" s="375">
        <f t="shared" si="2"/>
        <v>842352</v>
      </c>
      <c r="G25" s="363">
        <f>'5.2 Budgeted Enrollment YR2'!J16</f>
        <v>106</v>
      </c>
      <c r="H25" s="154">
        <f t="shared" si="0"/>
        <v>3325.7</v>
      </c>
      <c r="I25" s="375">
        <f t="shared" si="3"/>
        <v>352524</v>
      </c>
      <c r="K25" s="363">
        <f>'5.2 Budgeted Enrollment YR2'!K16</f>
        <v>0</v>
      </c>
      <c r="L25" s="154">
        <f t="shared" si="1"/>
        <v>1140.24</v>
      </c>
      <c r="M25" s="375">
        <f t="shared" si="4"/>
        <v>0</v>
      </c>
    </row>
    <row r="26" spans="1:13" x14ac:dyDescent="0.3">
      <c r="B26" s="9" t="str">
        <f>'5.2 Budgeted Enrollment YR2'!E17</f>
        <v>Lander</v>
      </c>
      <c r="C26" s="363">
        <f>'5.2 Budgeted Enrollment YR2'!I17</f>
        <v>39</v>
      </c>
      <c r="D26" s="154">
        <f t="shared" si="5"/>
        <v>4275.9000000000005</v>
      </c>
      <c r="E26" s="375">
        <f t="shared" si="2"/>
        <v>166760</v>
      </c>
      <c r="G26" s="363">
        <f>'5.2 Budgeted Enrollment YR2'!J17</f>
        <v>79</v>
      </c>
      <c r="H26" s="154">
        <f t="shared" si="0"/>
        <v>3325.7</v>
      </c>
      <c r="I26" s="375">
        <f t="shared" si="3"/>
        <v>262730</v>
      </c>
      <c r="K26" s="363">
        <f>'5.2 Budgeted Enrollment YR2'!K17</f>
        <v>0</v>
      </c>
      <c r="L26" s="154">
        <f t="shared" si="1"/>
        <v>1140.24</v>
      </c>
      <c r="M26" s="375">
        <f t="shared" si="4"/>
        <v>0</v>
      </c>
    </row>
    <row r="27" spans="1:13" x14ac:dyDescent="0.3">
      <c r="B27" s="9" t="str">
        <f>'5.2 Budgeted Enrollment YR2'!E18</f>
        <v>Lincoln</v>
      </c>
      <c r="C27" s="363">
        <f>'5.2 Budgeted Enrollment YR2'!I18</f>
        <v>8</v>
      </c>
      <c r="D27" s="154">
        <f t="shared" si="5"/>
        <v>4275.9000000000005</v>
      </c>
      <c r="E27" s="375">
        <f t="shared" si="2"/>
        <v>34207</v>
      </c>
      <c r="G27" s="363">
        <f>'5.2 Budgeted Enrollment YR2'!J18</f>
        <v>41</v>
      </c>
      <c r="H27" s="154">
        <f t="shared" si="0"/>
        <v>3325.7</v>
      </c>
      <c r="I27" s="375">
        <f t="shared" si="3"/>
        <v>136354</v>
      </c>
      <c r="K27" s="363">
        <f>'5.2 Budgeted Enrollment YR2'!K18</f>
        <v>0</v>
      </c>
      <c r="L27" s="154">
        <f t="shared" si="1"/>
        <v>1140.24</v>
      </c>
      <c r="M27" s="375">
        <f t="shared" si="4"/>
        <v>0</v>
      </c>
    </row>
    <row r="28" spans="1:13" x14ac:dyDescent="0.3">
      <c r="B28" s="9" t="str">
        <f>'5.2 Budgeted Enrollment YR2'!E19</f>
        <v>Lyon</v>
      </c>
      <c r="C28" s="363">
        <f>'5.2 Budgeted Enrollment YR2'!I19</f>
        <v>536</v>
      </c>
      <c r="D28" s="154">
        <f t="shared" si="5"/>
        <v>4275.9000000000005</v>
      </c>
      <c r="E28" s="375">
        <f t="shared" si="2"/>
        <v>2291882</v>
      </c>
      <c r="G28" s="363">
        <f>'5.2 Budgeted Enrollment YR2'!J19</f>
        <v>389</v>
      </c>
      <c r="H28" s="154">
        <f t="shared" si="0"/>
        <v>3325.7</v>
      </c>
      <c r="I28" s="375">
        <f t="shared" si="3"/>
        <v>1293697</v>
      </c>
      <c r="K28" s="363">
        <f>'5.2 Budgeted Enrollment YR2'!K19</f>
        <v>60</v>
      </c>
      <c r="L28" s="154">
        <f t="shared" si="1"/>
        <v>1140.24</v>
      </c>
      <c r="M28" s="375">
        <f t="shared" si="4"/>
        <v>68414</v>
      </c>
    </row>
    <row r="29" spans="1:13" x14ac:dyDescent="0.3">
      <c r="B29" s="9" t="str">
        <f>'5.2 Budgeted Enrollment YR2'!E20</f>
        <v>Mineral</v>
      </c>
      <c r="C29" s="363">
        <f>'5.2 Budgeted Enrollment YR2'!I20</f>
        <v>34</v>
      </c>
      <c r="D29" s="154">
        <f t="shared" si="5"/>
        <v>4275.9000000000005</v>
      </c>
      <c r="E29" s="375">
        <f t="shared" si="2"/>
        <v>145381</v>
      </c>
      <c r="G29" s="363">
        <f>'5.2 Budgeted Enrollment YR2'!J20</f>
        <v>43</v>
      </c>
      <c r="H29" s="154">
        <f t="shared" si="0"/>
        <v>3325.7</v>
      </c>
      <c r="I29" s="375">
        <f t="shared" si="3"/>
        <v>143005</v>
      </c>
      <c r="K29" s="363">
        <f>'5.2 Budgeted Enrollment YR2'!K20</f>
        <v>0</v>
      </c>
      <c r="L29" s="154">
        <f t="shared" si="1"/>
        <v>1140.24</v>
      </c>
      <c r="M29" s="375">
        <f t="shared" si="4"/>
        <v>0</v>
      </c>
    </row>
    <row r="30" spans="1:13" x14ac:dyDescent="0.3">
      <c r="B30" s="9" t="str">
        <f>'5.2 Budgeted Enrollment YR2'!E21</f>
        <v>Nye</v>
      </c>
      <c r="C30" s="363">
        <f>'5.2 Budgeted Enrollment YR2'!I21</f>
        <v>377</v>
      </c>
      <c r="D30" s="154">
        <f t="shared" si="5"/>
        <v>4275.9000000000005</v>
      </c>
      <c r="E30" s="375">
        <f t="shared" si="2"/>
        <v>1612014</v>
      </c>
      <c r="G30" s="363">
        <f>'5.2 Budgeted Enrollment YR2'!J21</f>
        <v>271</v>
      </c>
      <c r="H30" s="154">
        <f t="shared" si="0"/>
        <v>3325.7</v>
      </c>
      <c r="I30" s="375">
        <f t="shared" si="3"/>
        <v>901265</v>
      </c>
      <c r="K30" s="363">
        <f>'5.2 Budgeted Enrollment YR2'!K21</f>
        <v>0</v>
      </c>
      <c r="L30" s="154">
        <f t="shared" si="1"/>
        <v>1140.24</v>
      </c>
      <c r="M30" s="375">
        <f t="shared" si="4"/>
        <v>0</v>
      </c>
    </row>
    <row r="31" spans="1:13" x14ac:dyDescent="0.3">
      <c r="B31" s="9" t="str">
        <f>'5.2 Budgeted Enrollment YR2'!E22</f>
        <v>Pershing</v>
      </c>
      <c r="C31" s="363">
        <f>'5.2 Budgeted Enrollment YR2'!I22</f>
        <v>29</v>
      </c>
      <c r="D31" s="154">
        <f t="shared" si="5"/>
        <v>4275.9000000000005</v>
      </c>
      <c r="E31" s="375">
        <f t="shared" si="2"/>
        <v>124001</v>
      </c>
      <c r="G31" s="363">
        <f>'5.2 Budgeted Enrollment YR2'!J22</f>
        <v>28</v>
      </c>
      <c r="H31" s="154">
        <f t="shared" si="0"/>
        <v>3325.7</v>
      </c>
      <c r="I31" s="375">
        <f t="shared" si="3"/>
        <v>93120</v>
      </c>
      <c r="K31" s="363">
        <f>'5.2 Budgeted Enrollment YR2'!K22</f>
        <v>0</v>
      </c>
      <c r="L31" s="154">
        <f t="shared" si="1"/>
        <v>1140.24</v>
      </c>
      <c r="M31" s="375">
        <f t="shared" si="4"/>
        <v>0</v>
      </c>
    </row>
    <row r="32" spans="1:13" x14ac:dyDescent="0.3">
      <c r="B32" s="9" t="str">
        <f>'5.2 Budgeted Enrollment YR2'!E23</f>
        <v>Storey</v>
      </c>
      <c r="C32" s="363">
        <f>'5.2 Budgeted Enrollment YR2'!I23</f>
        <v>1</v>
      </c>
      <c r="D32" s="154">
        <f t="shared" si="5"/>
        <v>4275.9000000000005</v>
      </c>
      <c r="E32" s="375">
        <f t="shared" si="2"/>
        <v>4276</v>
      </c>
      <c r="G32" s="363">
        <f>'5.2 Budgeted Enrollment YR2'!J23</f>
        <v>9</v>
      </c>
      <c r="H32" s="154">
        <f t="shared" si="0"/>
        <v>3325.7</v>
      </c>
      <c r="I32" s="375">
        <f t="shared" si="3"/>
        <v>29931</v>
      </c>
      <c r="K32" s="363">
        <f>'5.2 Budgeted Enrollment YR2'!K23</f>
        <v>0</v>
      </c>
      <c r="L32" s="154">
        <f t="shared" si="1"/>
        <v>1140.24</v>
      </c>
      <c r="M32" s="375">
        <f t="shared" si="4"/>
        <v>0</v>
      </c>
    </row>
    <row r="33" spans="1:13" x14ac:dyDescent="0.3">
      <c r="B33" s="9" t="str">
        <f>'5.2 Budgeted Enrollment YR2'!E24</f>
        <v>Washoe</v>
      </c>
      <c r="C33" s="363">
        <f>'5.2 Budgeted Enrollment YR2'!I24</f>
        <v>6736</v>
      </c>
      <c r="D33" s="154">
        <f t="shared" si="5"/>
        <v>4275.9000000000005</v>
      </c>
      <c r="E33" s="375">
        <f t="shared" si="2"/>
        <v>28802462</v>
      </c>
      <c r="G33" s="363">
        <f>'5.2 Budgeted Enrollment YR2'!J24</f>
        <v>4401</v>
      </c>
      <c r="H33" s="154">
        <f t="shared" si="0"/>
        <v>3325.7</v>
      </c>
      <c r="I33" s="375">
        <f t="shared" si="3"/>
        <v>14636406</v>
      </c>
      <c r="K33" s="363">
        <f>'5.2 Budgeted Enrollment YR2'!K24</f>
        <v>1294</v>
      </c>
      <c r="L33" s="154">
        <f t="shared" si="1"/>
        <v>1140.24</v>
      </c>
      <c r="M33" s="375">
        <f t="shared" si="4"/>
        <v>1475471</v>
      </c>
    </row>
    <row r="34" spans="1:13" s="4" customFormat="1" x14ac:dyDescent="0.3">
      <c r="A34" s="137"/>
      <c r="B34" s="137" t="str">
        <f>'5.2 Budgeted Enrollment YR2'!E25</f>
        <v>White Pine</v>
      </c>
      <c r="C34" s="364">
        <f>'5.2 Budgeted Enrollment YR2'!I25</f>
        <v>15</v>
      </c>
      <c r="D34" s="148">
        <f>$D$10</f>
        <v>4275.9000000000005</v>
      </c>
      <c r="E34" s="376">
        <f>ROUND(C34*D34,0)</f>
        <v>64139</v>
      </c>
      <c r="F34" s="9"/>
      <c r="G34" s="364">
        <f>'5.2 Budgeted Enrollment YR2'!J25</f>
        <v>120</v>
      </c>
      <c r="H34" s="148">
        <f t="shared" si="0"/>
        <v>3325.7</v>
      </c>
      <c r="I34" s="376">
        <f t="shared" si="3"/>
        <v>399084</v>
      </c>
      <c r="J34" s="9"/>
      <c r="K34" s="364">
        <f>'5.2 Budgeted Enrollment YR2'!K25</f>
        <v>0</v>
      </c>
      <c r="L34" s="148">
        <f t="shared" si="1"/>
        <v>1140.24</v>
      </c>
      <c r="M34" s="376">
        <f t="shared" si="4"/>
        <v>0</v>
      </c>
    </row>
    <row r="35" spans="1:13" x14ac:dyDescent="0.3">
      <c r="B35" s="9" t="str">
        <f>'5.2 Budgeted Enrollment YR2'!E26</f>
        <v>Charter Schools</v>
      </c>
      <c r="C35" s="363">
        <f>C104</f>
        <v>6384</v>
      </c>
      <c r="D35" s="154">
        <f>$D$10</f>
        <v>4275.9000000000005</v>
      </c>
      <c r="E35" s="375">
        <f>E104</f>
        <v>27297350</v>
      </c>
      <c r="G35" s="363">
        <f>G104</f>
        <v>2007</v>
      </c>
      <c r="H35" s="154">
        <f>$H$10</f>
        <v>3325.7</v>
      </c>
      <c r="I35" s="375">
        <f>I104</f>
        <v>6674683</v>
      </c>
      <c r="K35" s="363">
        <f>K104</f>
        <v>1491</v>
      </c>
      <c r="L35" s="154">
        <v>1200.3599999999999</v>
      </c>
      <c r="M35" s="375">
        <f>M104</f>
        <v>1700097</v>
      </c>
    </row>
    <row r="36" spans="1:13" x14ac:dyDescent="0.3">
      <c r="B36" s="9" t="str">
        <f>'5.2 Budgeted Enrollment YR2'!E27</f>
        <v>University Schools</v>
      </c>
      <c r="C36" s="363">
        <f>C109</f>
        <v>0</v>
      </c>
      <c r="D36" s="154">
        <f t="shared" si="5"/>
        <v>4275.9000000000005</v>
      </c>
      <c r="E36" s="375">
        <f>E109</f>
        <v>0</v>
      </c>
      <c r="G36" s="363">
        <f>G109</f>
        <v>0</v>
      </c>
      <c r="H36" s="154">
        <f t="shared" si="0"/>
        <v>3325.7</v>
      </c>
      <c r="I36" s="375">
        <f>I109</f>
        <v>0</v>
      </c>
      <c r="K36" s="363">
        <f>K109</f>
        <v>0</v>
      </c>
      <c r="L36" s="154">
        <v>1200.3599999999999</v>
      </c>
      <c r="M36" s="375">
        <f>M109</f>
        <v>0</v>
      </c>
    </row>
    <row r="37" spans="1:13" x14ac:dyDescent="0.3">
      <c r="B37" s="9" t="str">
        <f>'5.2 Budgeted Enrollment YR2'!E28</f>
        <v>City of Henderson</v>
      </c>
      <c r="C37" s="363">
        <f>C114</f>
        <v>0</v>
      </c>
      <c r="D37" s="154">
        <f t="shared" si="5"/>
        <v>4275.9000000000005</v>
      </c>
      <c r="E37" s="375">
        <f>E114</f>
        <v>0</v>
      </c>
      <c r="G37" s="363">
        <f>G114</f>
        <v>0</v>
      </c>
      <c r="H37" s="154">
        <f t="shared" si="0"/>
        <v>3325.7</v>
      </c>
      <c r="I37" s="375">
        <f>I114</f>
        <v>0</v>
      </c>
      <c r="K37" s="363">
        <f>K114</f>
        <v>0</v>
      </c>
      <c r="L37" s="154">
        <v>1200.3599999999999</v>
      </c>
      <c r="M37" s="375">
        <f>M114</f>
        <v>0</v>
      </c>
    </row>
    <row r="38" spans="1:13" x14ac:dyDescent="0.3">
      <c r="B38" s="9" t="str">
        <f>'5.2 Budgeted Enrollment YR2'!E29</f>
        <v>City of North Las Vegas</v>
      </c>
      <c r="C38" s="363">
        <f>C119</f>
        <v>0</v>
      </c>
      <c r="D38" s="154">
        <f t="shared" si="5"/>
        <v>4275.9000000000005</v>
      </c>
      <c r="E38" s="375">
        <f>E119</f>
        <v>0</v>
      </c>
      <c r="G38" s="363">
        <f>G119</f>
        <v>0</v>
      </c>
      <c r="H38" s="154">
        <f>$H$10</f>
        <v>3325.7</v>
      </c>
      <c r="I38" s="375">
        <f>I119</f>
        <v>0</v>
      </c>
      <c r="K38" s="363">
        <f>K119</f>
        <v>0</v>
      </c>
      <c r="L38" s="154">
        <v>1200.3599999999999</v>
      </c>
      <c r="M38" s="375">
        <f>M119</f>
        <v>0</v>
      </c>
    </row>
    <row r="39" spans="1:13" x14ac:dyDescent="0.3">
      <c r="A39" s="289"/>
      <c r="B39" s="342" t="s">
        <v>1354</v>
      </c>
      <c r="C39" s="404">
        <f>SUM(C18:C36)</f>
        <v>54923</v>
      </c>
      <c r="D39" s="292"/>
      <c r="E39" s="1424">
        <f>SUM(E18:E36)</f>
        <v>234845260</v>
      </c>
      <c r="F39" s="4"/>
      <c r="G39" s="404">
        <f>SUM(G18:G36)</f>
        <v>50074</v>
      </c>
      <c r="H39" s="292"/>
      <c r="I39" s="1424">
        <f>SUM(I18:I36)</f>
        <v>166531106</v>
      </c>
      <c r="J39" s="4"/>
      <c r="K39" s="404">
        <f>SUM(K18:K36)</f>
        <v>8722</v>
      </c>
      <c r="L39" s="292"/>
      <c r="M39" s="1424">
        <f>ROUND(SUM(M18:M36),0)</f>
        <v>9945172</v>
      </c>
    </row>
    <row r="40" spans="1:13" x14ac:dyDescent="0.3">
      <c r="C40" s="673">
        <f>C39-'5.2 Budgeted Enrollment YR2'!I30</f>
        <v>0</v>
      </c>
      <c r="D40" s="108"/>
      <c r="E40" s="100"/>
      <c r="G40" s="840">
        <f>G39-'5.2 Budgeted Enrollment YR2'!J30</f>
        <v>0</v>
      </c>
      <c r="H40" s="498"/>
      <c r="I40" s="606"/>
      <c r="K40" s="673">
        <f>K39-'5.2 Budgeted Enrollment YR2'!K30</f>
        <v>0</v>
      </c>
      <c r="L40" s="108"/>
      <c r="M40" s="100"/>
    </row>
    <row r="41" spans="1:13" x14ac:dyDescent="0.3">
      <c r="A41" s="135" t="s">
        <v>305</v>
      </c>
      <c r="B41" s="137"/>
      <c r="C41" s="142"/>
      <c r="D41" s="137"/>
      <c r="E41" s="157"/>
      <c r="G41" s="142"/>
      <c r="H41" s="137"/>
      <c r="I41" s="157"/>
      <c r="K41" s="142"/>
      <c r="L41" s="137"/>
      <c r="M41" s="100"/>
    </row>
    <row r="42" spans="1:13" x14ac:dyDescent="0.3">
      <c r="B42" s="207" t="str">
        <f>'5.2 Budgeted Enrollment YR2'!E34</f>
        <v>FuturEdge (Formerly 100 Academy Of Excellence)</v>
      </c>
      <c r="C42" s="472">
        <f>'5.2 Budgeted Enrollment YR2'!I34</f>
        <v>27</v>
      </c>
      <c r="D42" s="154">
        <f t="shared" ref="D42:D103" si="6">$D$10</f>
        <v>4275.9000000000005</v>
      </c>
      <c r="E42" s="2011">
        <f>ROUND(C42*D42,0)</f>
        <v>115449</v>
      </c>
      <c r="G42" s="363">
        <f>'5.2 Budgeted Enrollment YR2'!J34</f>
        <v>79</v>
      </c>
      <c r="H42" s="154">
        <f>$H$10</f>
        <v>3325.7</v>
      </c>
      <c r="I42" s="2011">
        <f t="shared" ref="I42:I103" si="7">ROUND(G42*H42,0)</f>
        <v>262730</v>
      </c>
      <c r="K42" s="472">
        <f>'5.2 Budgeted Enrollment YR2'!K34</f>
        <v>0</v>
      </c>
      <c r="L42" s="475">
        <f t="shared" ref="L42:L103" si="8">$L$10</f>
        <v>1140.24</v>
      </c>
      <c r="M42" s="2011">
        <f>ROUND(L42*K42,0)</f>
        <v>0</v>
      </c>
    </row>
    <row r="43" spans="1:13" x14ac:dyDescent="0.3">
      <c r="B43" s="9" t="str">
        <f>'5.2 Budgeted Enrollment YR2'!E35</f>
        <v>Academy For Career Education</v>
      </c>
      <c r="C43" s="363">
        <f>'1.2 Budgeted Enrollment YR1'!I35</f>
        <v>27</v>
      </c>
      <c r="D43" s="154">
        <f t="shared" si="6"/>
        <v>4275.9000000000005</v>
      </c>
      <c r="E43" s="375">
        <f t="shared" ref="E43:E103" si="9">ROUND(C43*D43,0)</f>
        <v>115449</v>
      </c>
      <c r="G43" s="363">
        <f>'5.2 Budgeted Enrollment YR2'!J35</f>
        <v>4</v>
      </c>
      <c r="H43" s="154">
        <f t="shared" ref="H43:H103" si="10">$H$10</f>
        <v>3325.7</v>
      </c>
      <c r="I43" s="375">
        <f t="shared" si="7"/>
        <v>13303</v>
      </c>
      <c r="K43" s="363">
        <f>'5.2 Budgeted Enrollment YR2'!K35</f>
        <v>0</v>
      </c>
      <c r="L43" s="154">
        <f t="shared" si="8"/>
        <v>1140.24</v>
      </c>
      <c r="M43" s="375">
        <f t="shared" ref="M43:M103" si="11">ROUND(L43*K43,0)</f>
        <v>0</v>
      </c>
    </row>
    <row r="44" spans="1:13" x14ac:dyDescent="0.3">
      <c r="B44" s="9" t="str">
        <f>'5.2 Budgeted Enrollment YR2'!E36</f>
        <v xml:space="preserve">Alpine Academy </v>
      </c>
      <c r="C44" s="363">
        <f>'1.2 Budgeted Enrollment YR1'!I36</f>
        <v>5</v>
      </c>
      <c r="D44" s="154">
        <f t="shared" si="6"/>
        <v>4275.9000000000005</v>
      </c>
      <c r="E44" s="375">
        <f t="shared" si="9"/>
        <v>21380</v>
      </c>
      <c r="G44" s="363">
        <f>'5.2 Budgeted Enrollment YR2'!J36</f>
        <v>8</v>
      </c>
      <c r="H44" s="154">
        <f t="shared" si="10"/>
        <v>3325.7</v>
      </c>
      <c r="I44" s="375">
        <f t="shared" si="7"/>
        <v>26606</v>
      </c>
      <c r="K44" s="363">
        <f>'5.2 Budgeted Enrollment YR2'!K36</f>
        <v>0</v>
      </c>
      <c r="L44" s="154">
        <f t="shared" si="8"/>
        <v>1140.24</v>
      </c>
      <c r="M44" s="375">
        <f t="shared" si="11"/>
        <v>0</v>
      </c>
    </row>
    <row r="45" spans="1:13" x14ac:dyDescent="0.3">
      <c r="B45" s="9" t="str">
        <f>'5.2 Budgeted Enrollment YR2'!E37</f>
        <v xml:space="preserve">Amplus (Formerly American Preparatory Academy) </v>
      </c>
      <c r="C45" s="363">
        <f>'1.2 Budgeted Enrollment YR1'!I37</f>
        <v>149</v>
      </c>
      <c r="D45" s="154">
        <f t="shared" si="6"/>
        <v>4275.9000000000005</v>
      </c>
      <c r="E45" s="375">
        <f t="shared" si="9"/>
        <v>637109</v>
      </c>
      <c r="G45" s="363">
        <f>'5.2 Budgeted Enrollment YR2'!J37</f>
        <v>9</v>
      </c>
      <c r="H45" s="154">
        <f t="shared" si="10"/>
        <v>3325.7</v>
      </c>
      <c r="I45" s="375">
        <f t="shared" si="7"/>
        <v>29931</v>
      </c>
      <c r="K45" s="363">
        <f>'5.2 Budgeted Enrollment YR2'!K37</f>
        <v>59</v>
      </c>
      <c r="L45" s="154">
        <f t="shared" si="8"/>
        <v>1140.24</v>
      </c>
      <c r="M45" s="375">
        <f t="shared" si="11"/>
        <v>67274</v>
      </c>
    </row>
    <row r="46" spans="1:13" x14ac:dyDescent="0.3">
      <c r="B46" s="9" t="str">
        <f>'5.2 Budgeted Enrollment YR2'!E38</f>
        <v>Bailey Charter School</v>
      </c>
      <c r="C46" s="363">
        <f>'1.2 Budgeted Enrollment YR1'!I38</f>
        <v>65</v>
      </c>
      <c r="D46" s="154">
        <f t="shared" si="6"/>
        <v>4275.9000000000005</v>
      </c>
      <c r="E46" s="375">
        <f t="shared" si="9"/>
        <v>277934</v>
      </c>
      <c r="G46" s="363">
        <f>'5.2 Budgeted Enrollment YR2'!J38</f>
        <v>31</v>
      </c>
      <c r="H46" s="154">
        <f t="shared" si="10"/>
        <v>3325.7</v>
      </c>
      <c r="I46" s="375">
        <f t="shared" si="7"/>
        <v>103097</v>
      </c>
      <c r="K46" s="363">
        <f>'5.2 Budgeted Enrollment YR2'!K38</f>
        <v>0</v>
      </c>
      <c r="L46" s="154">
        <f t="shared" si="8"/>
        <v>1140.24</v>
      </c>
      <c r="M46" s="375">
        <f t="shared" si="11"/>
        <v>0</v>
      </c>
    </row>
    <row r="47" spans="1:13" x14ac:dyDescent="0.3">
      <c r="B47" s="9" t="str">
        <f>'5.2 Budgeted Enrollment YR2'!E39</f>
        <v>Battle Born Academy</v>
      </c>
      <c r="C47" s="363">
        <f>'1.2 Budgeted Enrollment YR1'!I39</f>
        <v>141</v>
      </c>
      <c r="D47" s="154">
        <f t="shared" si="6"/>
        <v>4275.9000000000005</v>
      </c>
      <c r="E47" s="375">
        <f t="shared" si="9"/>
        <v>602902</v>
      </c>
      <c r="G47" s="363">
        <f>'5.2 Budgeted Enrollment YR2'!J39</f>
        <v>0</v>
      </c>
      <c r="H47" s="154">
        <f t="shared" si="10"/>
        <v>3325.7</v>
      </c>
      <c r="I47" s="375">
        <f t="shared" si="7"/>
        <v>0</v>
      </c>
      <c r="K47" s="363">
        <f>'5.2 Budgeted Enrollment YR2'!K39</f>
        <v>0</v>
      </c>
      <c r="L47" s="154">
        <f t="shared" si="8"/>
        <v>1140.24</v>
      </c>
      <c r="M47" s="375">
        <f t="shared" si="11"/>
        <v>0</v>
      </c>
    </row>
    <row r="48" spans="1:13" x14ac:dyDescent="0.3">
      <c r="B48" s="9" t="str">
        <f>'5.2 Budgeted Enrollment YR2'!E40</f>
        <v>Beacon Academy</v>
      </c>
      <c r="C48" s="363">
        <f>'1.2 Budgeted Enrollment YR1'!I40</f>
        <v>123</v>
      </c>
      <c r="D48" s="154">
        <f t="shared" si="6"/>
        <v>4275.9000000000005</v>
      </c>
      <c r="E48" s="375">
        <f t="shared" si="9"/>
        <v>525936</v>
      </c>
      <c r="G48" s="363">
        <f>'5.2 Budgeted Enrollment YR2'!J40</f>
        <v>261</v>
      </c>
      <c r="H48" s="154">
        <f t="shared" si="10"/>
        <v>3325.7</v>
      </c>
      <c r="I48" s="375">
        <f t="shared" si="7"/>
        <v>868008</v>
      </c>
      <c r="K48" s="363">
        <f>'5.2 Budgeted Enrollment YR2'!K40</f>
        <v>0</v>
      </c>
      <c r="L48" s="154">
        <f t="shared" si="8"/>
        <v>1140.24</v>
      </c>
      <c r="M48" s="375">
        <f t="shared" si="11"/>
        <v>0</v>
      </c>
    </row>
    <row r="49" spans="1:14" x14ac:dyDescent="0.3">
      <c r="B49" s="9" t="str">
        <f>'5.2 Budgeted Enrollment YR2'!E41</f>
        <v>Cactus Park</v>
      </c>
      <c r="C49" s="363">
        <f>'1.2 Budgeted Enrollment YR1'!I41</f>
        <v>64</v>
      </c>
      <c r="D49" s="154">
        <f t="shared" si="6"/>
        <v>4275.9000000000005</v>
      </c>
      <c r="E49" s="375">
        <f t="shared" si="9"/>
        <v>273658</v>
      </c>
      <c r="G49" s="363">
        <f>'5.2 Budgeted Enrollment YR2'!J41</f>
        <v>0</v>
      </c>
      <c r="H49" s="154">
        <f t="shared" si="10"/>
        <v>3325.7</v>
      </c>
      <c r="I49" s="375">
        <f t="shared" si="7"/>
        <v>0</v>
      </c>
      <c r="K49" s="363">
        <f>'5.2 Budgeted Enrollment YR2'!K41</f>
        <v>0</v>
      </c>
      <c r="L49" s="154">
        <f t="shared" si="8"/>
        <v>1140.24</v>
      </c>
      <c r="M49" s="375">
        <f t="shared" si="11"/>
        <v>0</v>
      </c>
    </row>
    <row r="50" spans="1:14" x14ac:dyDescent="0.3">
      <c r="B50" s="9" t="str">
        <f>'5.2 Budgeted Enrollment YR2'!E42</f>
        <v>Carson Montessori</v>
      </c>
      <c r="C50" s="363">
        <f>'1.2 Budgeted Enrollment YR1'!I42</f>
        <v>5</v>
      </c>
      <c r="D50" s="154">
        <f t="shared" si="6"/>
        <v>4275.9000000000005</v>
      </c>
      <c r="E50" s="375">
        <f t="shared" si="9"/>
        <v>21380</v>
      </c>
      <c r="G50" s="363">
        <f>'5.2 Budgeted Enrollment YR2'!J42</f>
        <v>1</v>
      </c>
      <c r="H50" s="154">
        <f t="shared" si="10"/>
        <v>3325.7</v>
      </c>
      <c r="I50" s="375">
        <f t="shared" si="7"/>
        <v>3326</v>
      </c>
      <c r="K50" s="363">
        <f>'5.2 Budgeted Enrollment YR2'!K42</f>
        <v>1</v>
      </c>
      <c r="L50" s="154">
        <f t="shared" si="8"/>
        <v>1140.24</v>
      </c>
      <c r="M50" s="375">
        <f t="shared" si="11"/>
        <v>1140</v>
      </c>
    </row>
    <row r="51" spans="1:14" x14ac:dyDescent="0.3">
      <c r="B51" s="9" t="str">
        <f>'5.2 Budgeted Enrollment YR2'!E43</f>
        <v>CIVICA Nevada Career &amp; Collegiate Academy</v>
      </c>
      <c r="C51" s="363">
        <f>'1.2 Budgeted Enrollment YR1'!I43</f>
        <v>338</v>
      </c>
      <c r="D51" s="154">
        <f t="shared" si="6"/>
        <v>4275.9000000000005</v>
      </c>
      <c r="E51" s="375">
        <f t="shared" si="9"/>
        <v>1445254</v>
      </c>
      <c r="G51" s="363">
        <f>'5.2 Budgeted Enrollment YR2'!J43</f>
        <v>5</v>
      </c>
      <c r="H51" s="154">
        <f t="shared" si="10"/>
        <v>3325.7</v>
      </c>
      <c r="I51" s="375">
        <f t="shared" si="7"/>
        <v>16629</v>
      </c>
      <c r="K51" s="363">
        <f>'5.2 Budgeted Enrollment YR2'!K43</f>
        <v>0</v>
      </c>
      <c r="L51" s="154">
        <f t="shared" si="8"/>
        <v>1140.24</v>
      </c>
      <c r="M51" s="375">
        <f t="shared" si="11"/>
        <v>0</v>
      </c>
    </row>
    <row r="52" spans="1:14" x14ac:dyDescent="0.3">
      <c r="B52" s="9" t="str">
        <f>'5.2 Budgeted Enrollment YR2'!E44</f>
        <v>Coral Academy of Science Las Vegas</v>
      </c>
      <c r="C52" s="363">
        <f>'1.2 Budgeted Enrollment YR1'!I44</f>
        <v>264</v>
      </c>
      <c r="D52" s="154">
        <f t="shared" si="6"/>
        <v>4275.9000000000005</v>
      </c>
      <c r="E52" s="375">
        <f t="shared" si="9"/>
        <v>1128838</v>
      </c>
      <c r="G52" s="363">
        <f>'5.2 Budgeted Enrollment YR2'!J44</f>
        <v>17</v>
      </c>
      <c r="H52" s="154">
        <f t="shared" si="10"/>
        <v>3325.7</v>
      </c>
      <c r="I52" s="375">
        <f t="shared" si="7"/>
        <v>56537</v>
      </c>
      <c r="K52" s="363">
        <f>'5.2 Budgeted Enrollment YR2'!K44</f>
        <v>61</v>
      </c>
      <c r="L52" s="154">
        <f t="shared" si="8"/>
        <v>1140.24</v>
      </c>
      <c r="M52" s="375">
        <f t="shared" si="11"/>
        <v>69555</v>
      </c>
    </row>
    <row r="53" spans="1:14" x14ac:dyDescent="0.3">
      <c r="B53" s="9" t="str">
        <f>'5.2 Budgeted Enrollment YR2'!E45</f>
        <v>Coral Academy Washoe</v>
      </c>
      <c r="C53" s="363">
        <f>'1.2 Budgeted Enrollment YR1'!I45</f>
        <v>162</v>
      </c>
      <c r="D53" s="154">
        <f t="shared" si="6"/>
        <v>4275.9000000000005</v>
      </c>
      <c r="E53" s="375">
        <f t="shared" si="9"/>
        <v>692696</v>
      </c>
      <c r="G53" s="363">
        <f>'5.2 Budgeted Enrollment YR2'!J45</f>
        <v>42</v>
      </c>
      <c r="H53" s="154">
        <f t="shared" si="10"/>
        <v>3325.7</v>
      </c>
      <c r="I53" s="375">
        <f t="shared" si="7"/>
        <v>139679</v>
      </c>
      <c r="K53" s="363">
        <f>'5.2 Budgeted Enrollment YR2'!K45</f>
        <v>1</v>
      </c>
      <c r="L53" s="154">
        <f t="shared" si="8"/>
        <v>1140.24</v>
      </c>
      <c r="M53" s="375">
        <f t="shared" si="11"/>
        <v>1140</v>
      </c>
    </row>
    <row r="54" spans="1:14" x14ac:dyDescent="0.3">
      <c r="B54" s="9" t="str">
        <f>'5.2 Budgeted Enrollment YR2'!E46</f>
        <v>Delta Academy</v>
      </c>
      <c r="C54" s="363">
        <f>'1.2 Budgeted Enrollment YR1'!I46</f>
        <v>104</v>
      </c>
      <c r="D54" s="154">
        <f t="shared" si="6"/>
        <v>4275.9000000000005</v>
      </c>
      <c r="E54" s="375">
        <f t="shared" si="9"/>
        <v>444694</v>
      </c>
      <c r="G54" s="363">
        <f>'5.2 Budgeted Enrollment YR2'!J46</f>
        <v>315</v>
      </c>
      <c r="H54" s="154">
        <f t="shared" si="10"/>
        <v>3325.7</v>
      </c>
      <c r="I54" s="375">
        <f t="shared" si="7"/>
        <v>1047596</v>
      </c>
      <c r="K54" s="363">
        <f>'5.2 Budgeted Enrollment YR2'!K46</f>
        <v>0</v>
      </c>
      <c r="L54" s="154">
        <f t="shared" si="8"/>
        <v>1140.24</v>
      </c>
      <c r="M54" s="375">
        <f t="shared" si="11"/>
        <v>0</v>
      </c>
    </row>
    <row r="55" spans="1:14" s="19" customFormat="1" x14ac:dyDescent="0.3">
      <c r="A55" s="9"/>
      <c r="B55" s="9" t="str">
        <f>'5.2 Budgeted Enrollment YR2'!E47</f>
        <v>Democracy Prep</v>
      </c>
      <c r="C55" s="363">
        <f>'1.2 Budgeted Enrollment YR1'!I47</f>
        <v>104</v>
      </c>
      <c r="D55" s="154">
        <f t="shared" si="6"/>
        <v>4275.9000000000005</v>
      </c>
      <c r="E55" s="375">
        <f t="shared" si="9"/>
        <v>444694</v>
      </c>
      <c r="F55" s="9"/>
      <c r="G55" s="363">
        <f>'5.2 Budgeted Enrollment YR2'!J47</f>
        <v>177</v>
      </c>
      <c r="H55" s="154">
        <f t="shared" si="10"/>
        <v>3325.7</v>
      </c>
      <c r="I55" s="375">
        <f t="shared" si="7"/>
        <v>588649</v>
      </c>
      <c r="J55" s="9"/>
      <c r="K55" s="363">
        <f>'5.2 Budgeted Enrollment YR2'!K47</f>
        <v>0</v>
      </c>
      <c r="L55" s="154">
        <f t="shared" si="8"/>
        <v>1140.24</v>
      </c>
      <c r="M55" s="375">
        <f t="shared" si="11"/>
        <v>0</v>
      </c>
    </row>
    <row r="56" spans="1:14" x14ac:dyDescent="0.3">
      <c r="B56" s="9" t="str">
        <f>'5.2 Budgeted Enrollment YR2'!E48</f>
        <v>Discovery Charter</v>
      </c>
      <c r="C56" s="363">
        <f>'1.2 Budgeted Enrollment YR1'!I48</f>
        <v>55</v>
      </c>
      <c r="D56" s="154">
        <f t="shared" si="6"/>
        <v>4275.9000000000005</v>
      </c>
      <c r="E56" s="375">
        <f t="shared" si="9"/>
        <v>235175</v>
      </c>
      <c r="G56" s="363">
        <f>'5.2 Budgeted Enrollment YR2'!J48</f>
        <v>3</v>
      </c>
      <c r="H56" s="154">
        <f t="shared" si="10"/>
        <v>3325.7</v>
      </c>
      <c r="I56" s="375">
        <f t="shared" si="7"/>
        <v>9977</v>
      </c>
      <c r="K56" s="363">
        <f>'5.2 Budgeted Enrollment YR2'!K48</f>
        <v>0</v>
      </c>
      <c r="L56" s="154">
        <f t="shared" si="8"/>
        <v>1140.24</v>
      </c>
      <c r="M56" s="375">
        <f t="shared" si="11"/>
        <v>0</v>
      </c>
    </row>
    <row r="57" spans="1:14" x14ac:dyDescent="0.3">
      <c r="A57" s="19"/>
      <c r="B57" s="9" t="str">
        <f>'5.2 Budgeted Enrollment YR2'!E49</f>
        <v>Do and Be Academy of Excellence</v>
      </c>
      <c r="C57" s="363">
        <f>'1.2 Budgeted Enrollment YR1'!I49</f>
        <v>0</v>
      </c>
      <c r="D57" s="154">
        <f t="shared" si="6"/>
        <v>4275.9000000000005</v>
      </c>
      <c r="E57" s="375">
        <f t="shared" si="9"/>
        <v>0</v>
      </c>
      <c r="G57" s="363">
        <f>'5.2 Budgeted Enrollment YR2'!J49</f>
        <v>0</v>
      </c>
      <c r="H57" s="154">
        <f t="shared" si="10"/>
        <v>3325.7</v>
      </c>
      <c r="I57" s="375">
        <f t="shared" si="7"/>
        <v>0</v>
      </c>
      <c r="K57" s="363">
        <f>'5.2 Budgeted Enrollment YR2'!K49</f>
        <v>0</v>
      </c>
      <c r="L57" s="154">
        <f t="shared" si="8"/>
        <v>1140.24</v>
      </c>
      <c r="M57" s="375">
        <f t="shared" si="11"/>
        <v>0</v>
      </c>
      <c r="N57" s="9" t="s">
        <v>370</v>
      </c>
    </row>
    <row r="58" spans="1:14" x14ac:dyDescent="0.3">
      <c r="A58" s="19"/>
      <c r="B58" s="9" t="str">
        <f>'5.2 Budgeted Enrollment YR2'!E50</f>
        <v>Doral Academy</v>
      </c>
      <c r="C58" s="363">
        <f>'1.2 Budgeted Enrollment YR1'!I50</f>
        <v>232</v>
      </c>
      <c r="D58" s="154">
        <f t="shared" si="6"/>
        <v>4275.9000000000005</v>
      </c>
      <c r="E58" s="375">
        <f t="shared" si="9"/>
        <v>992009</v>
      </c>
      <c r="G58" s="363">
        <f>'5.2 Budgeted Enrollment YR2'!J50</f>
        <v>7</v>
      </c>
      <c r="H58" s="154">
        <f t="shared" si="10"/>
        <v>3325.7</v>
      </c>
      <c r="I58" s="375">
        <f t="shared" si="7"/>
        <v>23280</v>
      </c>
      <c r="K58" s="363">
        <f>'5.2 Budgeted Enrollment YR2'!K50</f>
        <v>330</v>
      </c>
      <c r="L58" s="154">
        <f t="shared" si="8"/>
        <v>1140.24</v>
      </c>
      <c r="M58" s="375">
        <f t="shared" si="11"/>
        <v>376279</v>
      </c>
    </row>
    <row r="59" spans="1:14" x14ac:dyDescent="0.3">
      <c r="B59" s="9" t="str">
        <f>'5.2 Budgeted Enrollment YR2'!E51</f>
        <v>Doral Academy of Northern Nevada</v>
      </c>
      <c r="C59" s="363">
        <f>'1.2 Budgeted Enrollment YR1'!I51</f>
        <v>10</v>
      </c>
      <c r="D59" s="154">
        <f t="shared" si="6"/>
        <v>4275.9000000000005</v>
      </c>
      <c r="E59" s="375">
        <f t="shared" si="9"/>
        <v>42759</v>
      </c>
      <c r="G59" s="363">
        <f>'5.2 Budgeted Enrollment YR2'!J51</f>
        <v>0</v>
      </c>
      <c r="H59" s="154">
        <f t="shared" si="10"/>
        <v>3325.7</v>
      </c>
      <c r="I59" s="375">
        <f t="shared" si="7"/>
        <v>0</v>
      </c>
      <c r="K59" s="363">
        <f>'5.2 Budgeted Enrollment YR2'!K51</f>
        <v>79</v>
      </c>
      <c r="L59" s="154">
        <f t="shared" si="8"/>
        <v>1140.24</v>
      </c>
      <c r="M59" s="375">
        <f t="shared" si="11"/>
        <v>90079</v>
      </c>
    </row>
    <row r="60" spans="1:14" x14ac:dyDescent="0.3">
      <c r="B60" s="9" t="str">
        <f>'5.2 Budgeted Enrollment YR2'!E52</f>
        <v>Eagle Charter School (CLOSED)</v>
      </c>
      <c r="C60" s="363">
        <f>'1.2 Budgeted Enrollment YR1'!I52</f>
        <v>0</v>
      </c>
      <c r="D60" s="154">
        <f t="shared" si="6"/>
        <v>4275.9000000000005</v>
      </c>
      <c r="E60" s="375">
        <f t="shared" si="9"/>
        <v>0</v>
      </c>
      <c r="G60" s="363">
        <f>'5.2 Budgeted Enrollment YR2'!J52</f>
        <v>0</v>
      </c>
      <c r="H60" s="154">
        <f t="shared" si="10"/>
        <v>3325.7</v>
      </c>
      <c r="I60" s="375">
        <f t="shared" si="7"/>
        <v>0</v>
      </c>
      <c r="K60" s="363">
        <f>'5.2 Budgeted Enrollment YR2'!K52</f>
        <v>0</v>
      </c>
      <c r="L60" s="154">
        <f t="shared" si="8"/>
        <v>1140.24</v>
      </c>
      <c r="M60" s="375">
        <f t="shared" si="11"/>
        <v>0</v>
      </c>
    </row>
    <row r="61" spans="1:14" x14ac:dyDescent="0.3">
      <c r="B61" s="9" t="str">
        <f>'5.2 Budgeted Enrollment YR2'!E53</f>
        <v>Elko Institute for Academic Achievement</v>
      </c>
      <c r="C61" s="363">
        <f>'1.2 Budgeted Enrollment YR1'!I53</f>
        <v>8</v>
      </c>
      <c r="D61" s="154">
        <f t="shared" si="6"/>
        <v>4275.9000000000005</v>
      </c>
      <c r="E61" s="375">
        <f t="shared" si="9"/>
        <v>34207</v>
      </c>
      <c r="G61" s="363">
        <f>'5.2 Budgeted Enrollment YR2'!J53</f>
        <v>8</v>
      </c>
      <c r="H61" s="154">
        <f t="shared" si="10"/>
        <v>3325.7</v>
      </c>
      <c r="I61" s="375">
        <f t="shared" si="7"/>
        <v>26606</v>
      </c>
      <c r="K61" s="363">
        <f>'5.2 Budgeted Enrollment YR2'!K53</f>
        <v>0</v>
      </c>
      <c r="L61" s="154">
        <f t="shared" si="8"/>
        <v>1140.24</v>
      </c>
      <c r="M61" s="375">
        <f t="shared" si="11"/>
        <v>0</v>
      </c>
    </row>
    <row r="62" spans="1:14" x14ac:dyDescent="0.3">
      <c r="B62" s="9" t="str">
        <f>'5.2 Budgeted Enrollment YR2'!E54</f>
        <v>enCompass Academy</v>
      </c>
      <c r="C62" s="363">
        <f>'1.2 Budgeted Enrollment YR1'!I54</f>
        <v>15</v>
      </c>
      <c r="D62" s="154">
        <f t="shared" si="6"/>
        <v>4275.9000000000005</v>
      </c>
      <c r="E62" s="375">
        <f t="shared" si="9"/>
        <v>64139</v>
      </c>
      <c r="G62" s="363">
        <f>'5.2 Budgeted Enrollment YR2'!J54</f>
        <v>10</v>
      </c>
      <c r="H62" s="154">
        <f t="shared" si="10"/>
        <v>3325.7</v>
      </c>
      <c r="I62" s="375">
        <f t="shared" si="7"/>
        <v>33257</v>
      </c>
      <c r="K62" s="363">
        <f>'5.2 Budgeted Enrollment YR2'!K54</f>
        <v>0</v>
      </c>
      <c r="L62" s="154">
        <f t="shared" si="8"/>
        <v>1140.24</v>
      </c>
      <c r="M62" s="375">
        <f t="shared" si="11"/>
        <v>0</v>
      </c>
    </row>
    <row r="63" spans="1:14" x14ac:dyDescent="0.3">
      <c r="B63" s="9" t="str">
        <f>'5.2 Budgeted Enrollment YR2'!E55</f>
        <v>Equipo Academy</v>
      </c>
      <c r="C63" s="363">
        <f>'1.2 Budgeted Enrollment YR1'!I55</f>
        <v>249</v>
      </c>
      <c r="D63" s="154">
        <f t="shared" si="6"/>
        <v>4275.9000000000005</v>
      </c>
      <c r="E63" s="375">
        <f t="shared" si="9"/>
        <v>1064699</v>
      </c>
      <c r="G63" s="363">
        <f>'5.2 Budgeted Enrollment YR2'!J55</f>
        <v>22</v>
      </c>
      <c r="H63" s="154">
        <f t="shared" si="10"/>
        <v>3325.7</v>
      </c>
      <c r="I63" s="375">
        <f t="shared" si="7"/>
        <v>73165</v>
      </c>
      <c r="K63" s="363">
        <f>'5.2 Budgeted Enrollment YR2'!K55</f>
        <v>0</v>
      </c>
      <c r="L63" s="154">
        <f t="shared" si="8"/>
        <v>1140.24</v>
      </c>
      <c r="M63" s="375">
        <f t="shared" si="11"/>
        <v>0</v>
      </c>
    </row>
    <row r="64" spans="1:14" x14ac:dyDescent="0.3">
      <c r="B64" s="9" t="str">
        <f>'5.2 Budgeted Enrollment YR2'!E56</f>
        <v>Explore Academy</v>
      </c>
      <c r="C64" s="363">
        <f>'1.2 Budgeted Enrollment YR1'!I56</f>
        <v>41</v>
      </c>
      <c r="D64" s="154">
        <f t="shared" si="6"/>
        <v>4275.9000000000005</v>
      </c>
      <c r="E64" s="375">
        <f t="shared" si="9"/>
        <v>175312</v>
      </c>
      <c r="G64" s="363">
        <f>'5.2 Budgeted Enrollment YR2'!J56</f>
        <v>3</v>
      </c>
      <c r="H64" s="154">
        <f t="shared" si="10"/>
        <v>3325.7</v>
      </c>
      <c r="I64" s="375">
        <f t="shared" si="7"/>
        <v>9977</v>
      </c>
      <c r="K64" s="363">
        <f>'5.2 Budgeted Enrollment YR2'!K56</f>
        <v>0</v>
      </c>
      <c r="L64" s="154">
        <f t="shared" si="8"/>
        <v>1140.24</v>
      </c>
      <c r="M64" s="375">
        <f t="shared" si="11"/>
        <v>0</v>
      </c>
    </row>
    <row r="65" spans="2:13" x14ac:dyDescent="0.3">
      <c r="B65" s="9" t="str">
        <f>'5.2 Budgeted Enrollment YR2'!E57</f>
        <v>Explore Knowledge Academy</v>
      </c>
      <c r="C65" s="363">
        <f>'1.2 Budgeted Enrollment YR1'!I57</f>
        <v>47</v>
      </c>
      <c r="D65" s="154">
        <f t="shared" si="6"/>
        <v>4275.9000000000005</v>
      </c>
      <c r="E65" s="375">
        <f t="shared" si="9"/>
        <v>200967</v>
      </c>
      <c r="G65" s="363">
        <f>'5.2 Budgeted Enrollment YR2'!J57</f>
        <v>21</v>
      </c>
      <c r="H65" s="154">
        <f t="shared" si="10"/>
        <v>3325.7</v>
      </c>
      <c r="I65" s="375">
        <f t="shared" si="7"/>
        <v>69840</v>
      </c>
      <c r="K65" s="363">
        <f>'5.2 Budgeted Enrollment YR2'!K57</f>
        <v>0</v>
      </c>
      <c r="L65" s="154">
        <f t="shared" si="8"/>
        <v>1140.24</v>
      </c>
      <c r="M65" s="375">
        <f t="shared" si="11"/>
        <v>0</v>
      </c>
    </row>
    <row r="66" spans="2:13" x14ac:dyDescent="0.3">
      <c r="B66" s="9" t="str">
        <f>'5.2 Budgeted Enrollment YR2'!E58</f>
        <v>Founders Academy of Las Vegas</v>
      </c>
      <c r="C66" s="363">
        <f>'1.2 Budgeted Enrollment YR1'!I58</f>
        <v>86</v>
      </c>
      <c r="D66" s="154">
        <f t="shared" si="6"/>
        <v>4275.9000000000005</v>
      </c>
      <c r="E66" s="375">
        <f t="shared" si="9"/>
        <v>367727</v>
      </c>
      <c r="G66" s="363">
        <f>'5.2 Budgeted Enrollment YR2'!J58</f>
        <v>8</v>
      </c>
      <c r="H66" s="154">
        <f t="shared" si="10"/>
        <v>3325.7</v>
      </c>
      <c r="I66" s="375">
        <f t="shared" si="7"/>
        <v>26606</v>
      </c>
      <c r="K66" s="363">
        <f>'5.2 Budgeted Enrollment YR2'!K58</f>
        <v>0</v>
      </c>
      <c r="L66" s="154">
        <f t="shared" si="8"/>
        <v>1140.24</v>
      </c>
      <c r="M66" s="375">
        <f t="shared" si="11"/>
        <v>0</v>
      </c>
    </row>
    <row r="67" spans="2:13" x14ac:dyDescent="0.3">
      <c r="B67" s="9" t="str">
        <f>'5.2 Budgeted Enrollment YR2'!E59</f>
        <v>Freedom Classical Academy</v>
      </c>
      <c r="C67" s="363">
        <f>'1.2 Budgeted Enrollment YR1'!I59</f>
        <v>137</v>
      </c>
      <c r="D67" s="154">
        <f t="shared" si="6"/>
        <v>4275.9000000000005</v>
      </c>
      <c r="E67" s="375">
        <f t="shared" si="9"/>
        <v>585798</v>
      </c>
      <c r="G67" s="363">
        <f>'5.2 Budgeted Enrollment YR2'!J59</f>
        <v>21</v>
      </c>
      <c r="H67" s="154">
        <f t="shared" si="10"/>
        <v>3325.7</v>
      </c>
      <c r="I67" s="375">
        <f t="shared" si="7"/>
        <v>69840</v>
      </c>
      <c r="K67" s="363">
        <f>'5.2 Budgeted Enrollment YR2'!K59</f>
        <v>48</v>
      </c>
      <c r="L67" s="154">
        <f t="shared" si="8"/>
        <v>1140.24</v>
      </c>
      <c r="M67" s="375">
        <f t="shared" si="11"/>
        <v>54732</v>
      </c>
    </row>
    <row r="68" spans="2:13" x14ac:dyDescent="0.3">
      <c r="B68" s="9" t="str">
        <f>'5.2 Budgeted Enrollment YR2'!E60</f>
        <v>Futuro Academy Elementary</v>
      </c>
      <c r="C68" s="363">
        <f>'1.2 Budgeted Enrollment YR1'!I60</f>
        <v>173</v>
      </c>
      <c r="D68" s="154">
        <f t="shared" si="6"/>
        <v>4275.9000000000005</v>
      </c>
      <c r="E68" s="375">
        <f t="shared" si="9"/>
        <v>739731</v>
      </c>
      <c r="G68" s="363">
        <f>'5.2 Budgeted Enrollment YR2'!J60</f>
        <v>0</v>
      </c>
      <c r="H68" s="154">
        <f t="shared" si="10"/>
        <v>3325.7</v>
      </c>
      <c r="I68" s="375">
        <f t="shared" si="7"/>
        <v>0</v>
      </c>
      <c r="K68" s="363">
        <f>'5.2 Budgeted Enrollment YR2'!K60</f>
        <v>0</v>
      </c>
      <c r="L68" s="154">
        <f t="shared" si="8"/>
        <v>1140.24</v>
      </c>
      <c r="M68" s="375">
        <f t="shared" si="11"/>
        <v>0</v>
      </c>
    </row>
    <row r="69" spans="2:13" x14ac:dyDescent="0.3">
      <c r="B69" s="9" t="str">
        <f>'5.2 Budgeted Enrollment YR2'!E61</f>
        <v>High Desert Montessori</v>
      </c>
      <c r="C69" s="363">
        <f>'1.2 Budgeted Enrollment YR1'!I61</f>
        <v>18</v>
      </c>
      <c r="D69" s="154">
        <f t="shared" si="6"/>
        <v>4275.9000000000005</v>
      </c>
      <c r="E69" s="375">
        <f t="shared" si="9"/>
        <v>76966</v>
      </c>
      <c r="G69" s="363">
        <f>'5.2 Budgeted Enrollment YR2'!J61</f>
        <v>16</v>
      </c>
      <c r="H69" s="154">
        <f t="shared" si="10"/>
        <v>3325.7</v>
      </c>
      <c r="I69" s="375">
        <f t="shared" si="7"/>
        <v>53211</v>
      </c>
      <c r="K69" s="363">
        <f>'5.2 Budgeted Enrollment YR2'!K61</f>
        <v>0</v>
      </c>
      <c r="L69" s="154">
        <f t="shared" si="8"/>
        <v>1140.24</v>
      </c>
      <c r="M69" s="375">
        <f t="shared" si="11"/>
        <v>0</v>
      </c>
    </row>
    <row r="70" spans="2:13" x14ac:dyDescent="0.3">
      <c r="B70" s="9" t="str">
        <f>'5.2 Budgeted Enrollment YR2'!E62</f>
        <v>Honors Academy of Literature</v>
      </c>
      <c r="C70" s="363">
        <f>'1.2 Budgeted Enrollment YR1'!I62</f>
        <v>2</v>
      </c>
      <c r="D70" s="154">
        <f t="shared" si="6"/>
        <v>4275.9000000000005</v>
      </c>
      <c r="E70" s="375">
        <f t="shared" si="9"/>
        <v>8552</v>
      </c>
      <c r="G70" s="363">
        <f>'5.2 Budgeted Enrollment YR2'!J62</f>
        <v>0</v>
      </c>
      <c r="H70" s="154">
        <f t="shared" si="10"/>
        <v>3325.7</v>
      </c>
      <c r="I70" s="375">
        <f t="shared" si="7"/>
        <v>0</v>
      </c>
      <c r="K70" s="363">
        <f>'5.2 Budgeted Enrollment YR2'!K62</f>
        <v>2</v>
      </c>
      <c r="L70" s="154">
        <f t="shared" si="8"/>
        <v>1140.24</v>
      </c>
      <c r="M70" s="375">
        <f t="shared" si="11"/>
        <v>2280</v>
      </c>
    </row>
    <row r="71" spans="2:13" x14ac:dyDescent="0.3">
      <c r="B71" s="9" t="str">
        <f>'5.2 Budgeted Enrollment YR2'!E63</f>
        <v>Imagine School Mountain View</v>
      </c>
      <c r="C71" s="363">
        <f>'1.2 Budgeted Enrollment YR1'!I63</f>
        <v>82</v>
      </c>
      <c r="D71" s="154">
        <f t="shared" si="6"/>
        <v>4275.9000000000005</v>
      </c>
      <c r="E71" s="375">
        <f t="shared" si="9"/>
        <v>350624</v>
      </c>
      <c r="G71" s="363">
        <f>'5.2 Budgeted Enrollment YR2'!J63</f>
        <v>0</v>
      </c>
      <c r="H71" s="154">
        <f t="shared" si="10"/>
        <v>3325.7</v>
      </c>
      <c r="I71" s="375">
        <f t="shared" si="7"/>
        <v>0</v>
      </c>
      <c r="K71" s="363">
        <f>'5.2 Budgeted Enrollment YR2'!K63</f>
        <v>0</v>
      </c>
      <c r="L71" s="154">
        <f t="shared" si="8"/>
        <v>1140.24</v>
      </c>
      <c r="M71" s="375">
        <f t="shared" si="11"/>
        <v>0</v>
      </c>
    </row>
    <row r="72" spans="2:13" x14ac:dyDescent="0.3">
      <c r="B72" s="9" t="str">
        <f>'5.2 Budgeted Enrollment YR2'!E64</f>
        <v>Innovations Int'l Charter</v>
      </c>
      <c r="C72" s="363">
        <f>'1.2 Budgeted Enrollment YR1'!I64</f>
        <v>180</v>
      </c>
      <c r="D72" s="154">
        <f t="shared" si="6"/>
        <v>4275.9000000000005</v>
      </c>
      <c r="E72" s="375">
        <f t="shared" si="9"/>
        <v>769662</v>
      </c>
      <c r="G72" s="363">
        <f>'5.2 Budgeted Enrollment YR2'!J64</f>
        <v>61</v>
      </c>
      <c r="H72" s="154">
        <f t="shared" si="10"/>
        <v>3325.7</v>
      </c>
      <c r="I72" s="375">
        <f t="shared" si="7"/>
        <v>202868</v>
      </c>
      <c r="K72" s="363">
        <f>'5.2 Budgeted Enrollment YR2'!K64</f>
        <v>0</v>
      </c>
      <c r="L72" s="154">
        <f t="shared" si="8"/>
        <v>1140.24</v>
      </c>
      <c r="M72" s="375">
        <f t="shared" si="11"/>
        <v>0</v>
      </c>
    </row>
    <row r="73" spans="2:13" x14ac:dyDescent="0.3">
      <c r="B73" s="9" t="str">
        <f>'5.2 Budgeted Enrollment YR2'!E65</f>
        <v>Leadership Academy of Nevada</v>
      </c>
      <c r="C73" s="363">
        <f>'1.2 Budgeted Enrollment YR1'!I65</f>
        <v>5</v>
      </c>
      <c r="D73" s="154">
        <f t="shared" si="6"/>
        <v>4275.9000000000005</v>
      </c>
      <c r="E73" s="375">
        <f t="shared" si="9"/>
        <v>21380</v>
      </c>
      <c r="G73" s="363">
        <f>'5.2 Budgeted Enrollment YR2'!J65</f>
        <v>7</v>
      </c>
      <c r="H73" s="154">
        <f t="shared" si="10"/>
        <v>3325.7</v>
      </c>
      <c r="I73" s="375">
        <f t="shared" si="7"/>
        <v>23280</v>
      </c>
      <c r="K73" s="363">
        <f>'5.2 Budgeted Enrollment YR2'!K65</f>
        <v>0</v>
      </c>
      <c r="L73" s="154">
        <f t="shared" si="8"/>
        <v>1140.24</v>
      </c>
      <c r="M73" s="375">
        <f t="shared" si="11"/>
        <v>0</v>
      </c>
    </row>
    <row r="74" spans="2:13" x14ac:dyDescent="0.3">
      <c r="B74" s="9" t="str">
        <f>'5.2 Budgeted Enrollment YR2'!E66</f>
        <v>Learning Bridge</v>
      </c>
      <c r="C74" s="363">
        <f>'1.2 Budgeted Enrollment YR1'!I66</f>
        <v>0</v>
      </c>
      <c r="D74" s="154">
        <f t="shared" si="6"/>
        <v>4275.9000000000005</v>
      </c>
      <c r="E74" s="375">
        <f t="shared" si="9"/>
        <v>0</v>
      </c>
      <c r="G74" s="363">
        <f>'5.2 Budgeted Enrollment YR2'!J66</f>
        <v>0</v>
      </c>
      <c r="H74" s="154">
        <f t="shared" si="10"/>
        <v>3325.7</v>
      </c>
      <c r="I74" s="375">
        <f t="shared" si="7"/>
        <v>0</v>
      </c>
      <c r="K74" s="363">
        <f>'5.2 Budgeted Enrollment YR2'!K66</f>
        <v>0</v>
      </c>
      <c r="L74" s="154">
        <f t="shared" si="8"/>
        <v>1140.24</v>
      </c>
      <c r="M74" s="375">
        <f t="shared" si="11"/>
        <v>0</v>
      </c>
    </row>
    <row r="75" spans="2:13" x14ac:dyDescent="0.3">
      <c r="B75" s="9" t="str">
        <f>'5.2 Budgeted Enrollment YR2'!E67</f>
        <v>Legacy Traditional Schools</v>
      </c>
      <c r="C75" s="363">
        <f>'1.2 Budgeted Enrollment YR1'!I67</f>
        <v>280</v>
      </c>
      <c r="D75" s="154">
        <f t="shared" si="6"/>
        <v>4275.9000000000005</v>
      </c>
      <c r="E75" s="375">
        <f t="shared" si="9"/>
        <v>1197252</v>
      </c>
      <c r="G75" s="363">
        <f>'5.2 Budgeted Enrollment YR2'!J67</f>
        <v>36</v>
      </c>
      <c r="H75" s="154">
        <f t="shared" si="10"/>
        <v>3325.7</v>
      </c>
      <c r="I75" s="375">
        <f t="shared" si="7"/>
        <v>119725</v>
      </c>
      <c r="K75" s="363">
        <f>'5.2 Budgeted Enrollment YR2'!K67</f>
        <v>209</v>
      </c>
      <c r="L75" s="154">
        <f t="shared" si="8"/>
        <v>1140.24</v>
      </c>
      <c r="M75" s="375">
        <f t="shared" si="11"/>
        <v>238310</v>
      </c>
    </row>
    <row r="76" spans="2:13" x14ac:dyDescent="0.3">
      <c r="B76" s="9" t="str">
        <f>'5.2 Budgeted Enrollment YR2'!E68</f>
        <v xml:space="preserve">Mariposa Language and Learning Academy </v>
      </c>
      <c r="C76" s="363">
        <f>'1.2 Budgeted Enrollment YR1'!I68</f>
        <v>46</v>
      </c>
      <c r="D76" s="154">
        <f t="shared" si="6"/>
        <v>4275.9000000000005</v>
      </c>
      <c r="E76" s="375">
        <f t="shared" si="9"/>
        <v>196691</v>
      </c>
      <c r="G76" s="363">
        <f>'5.2 Budgeted Enrollment YR2'!J68</f>
        <v>0</v>
      </c>
      <c r="H76" s="154">
        <f t="shared" si="10"/>
        <v>3325.7</v>
      </c>
      <c r="I76" s="375">
        <f t="shared" si="7"/>
        <v>0</v>
      </c>
      <c r="K76" s="363">
        <f>'5.2 Budgeted Enrollment YR2'!K68</f>
        <v>0</v>
      </c>
      <c r="L76" s="154">
        <f t="shared" si="8"/>
        <v>1140.24</v>
      </c>
      <c r="M76" s="375">
        <f t="shared" si="11"/>
        <v>0</v>
      </c>
    </row>
    <row r="77" spans="2:13" x14ac:dyDescent="0.3">
      <c r="B77" s="9" t="str">
        <f>'5.2 Budgeted Enrollment YR2'!E69</f>
        <v>Mater Academy</v>
      </c>
      <c r="C77" s="363">
        <f>'1.2 Budgeted Enrollment YR1'!I69</f>
        <v>1459</v>
      </c>
      <c r="D77" s="154">
        <f t="shared" si="6"/>
        <v>4275.9000000000005</v>
      </c>
      <c r="E77" s="375">
        <f t="shared" si="9"/>
        <v>6238538</v>
      </c>
      <c r="G77" s="363">
        <f>'5.2 Budgeted Enrollment YR2'!J69</f>
        <v>5</v>
      </c>
      <c r="H77" s="154">
        <f t="shared" si="10"/>
        <v>3325.7</v>
      </c>
      <c r="I77" s="375">
        <f t="shared" si="7"/>
        <v>16629</v>
      </c>
      <c r="K77" s="363">
        <f>'5.2 Budgeted Enrollment YR2'!K69</f>
        <v>0</v>
      </c>
      <c r="L77" s="154">
        <f t="shared" si="8"/>
        <v>1140.24</v>
      </c>
      <c r="M77" s="375">
        <f t="shared" si="11"/>
        <v>0</v>
      </c>
    </row>
    <row r="78" spans="2:13" x14ac:dyDescent="0.3">
      <c r="B78" s="9" t="str">
        <f>'5.2 Budgeted Enrollment YR2'!E70</f>
        <v>Mater Academy of Northern Nevada</v>
      </c>
      <c r="C78" s="363">
        <f>'1.2 Budgeted Enrollment YR1'!I70</f>
        <v>133</v>
      </c>
      <c r="D78" s="154">
        <f t="shared" si="6"/>
        <v>4275.9000000000005</v>
      </c>
      <c r="E78" s="375">
        <f t="shared" si="9"/>
        <v>568695</v>
      </c>
      <c r="G78" s="363">
        <f>'5.2 Budgeted Enrollment YR2'!J70</f>
        <v>2</v>
      </c>
      <c r="H78" s="154">
        <f t="shared" si="10"/>
        <v>3325.7</v>
      </c>
      <c r="I78" s="375">
        <f t="shared" si="7"/>
        <v>6651</v>
      </c>
      <c r="K78" s="363">
        <f>'5.2 Budgeted Enrollment YR2'!K70</f>
        <v>0</v>
      </c>
      <c r="L78" s="154">
        <f t="shared" si="8"/>
        <v>1140.24</v>
      </c>
      <c r="M78" s="375">
        <f t="shared" si="11"/>
        <v>0</v>
      </c>
    </row>
    <row r="79" spans="2:13" x14ac:dyDescent="0.3">
      <c r="B79" s="9" t="str">
        <f>'5.2 Budgeted Enrollment YR2'!E71</f>
        <v>Nevada Connections Academy</v>
      </c>
      <c r="C79" s="363">
        <f>'1.2 Budgeted Enrollment YR1'!I71</f>
        <v>38</v>
      </c>
      <c r="D79" s="154">
        <f t="shared" si="6"/>
        <v>4275.9000000000005</v>
      </c>
      <c r="E79" s="375">
        <f t="shared" si="9"/>
        <v>162484</v>
      </c>
      <c r="G79" s="363">
        <f>'5.2 Budgeted Enrollment YR2'!J71</f>
        <v>30</v>
      </c>
      <c r="H79" s="154">
        <f t="shared" si="10"/>
        <v>3325.7</v>
      </c>
      <c r="I79" s="375">
        <f t="shared" si="7"/>
        <v>99771</v>
      </c>
      <c r="K79" s="363">
        <f>'5.2 Budgeted Enrollment YR2'!K71</f>
        <v>0</v>
      </c>
      <c r="L79" s="154">
        <f t="shared" si="8"/>
        <v>1140.24</v>
      </c>
      <c r="M79" s="375">
        <f t="shared" si="11"/>
        <v>0</v>
      </c>
    </row>
    <row r="80" spans="2:13" x14ac:dyDescent="0.3">
      <c r="B80" s="9" t="str">
        <f>'5.2 Budgeted Enrollment YR2'!E72</f>
        <v>Nevada Prep</v>
      </c>
      <c r="C80" s="363">
        <f>'1.2 Budgeted Enrollment YR1'!I72</f>
        <v>74</v>
      </c>
      <c r="D80" s="154">
        <f t="shared" si="6"/>
        <v>4275.9000000000005</v>
      </c>
      <c r="E80" s="375">
        <f t="shared" si="9"/>
        <v>316417</v>
      </c>
      <c r="G80" s="363">
        <f>'5.2 Budgeted Enrollment YR2'!J72</f>
        <v>28</v>
      </c>
      <c r="H80" s="154">
        <f t="shared" si="10"/>
        <v>3325.7</v>
      </c>
      <c r="I80" s="375">
        <f t="shared" si="7"/>
        <v>93120</v>
      </c>
      <c r="K80" s="363">
        <f>'5.2 Budgeted Enrollment YR2'!K72</f>
        <v>0</v>
      </c>
      <c r="L80" s="154">
        <f t="shared" si="8"/>
        <v>1140.24</v>
      </c>
      <c r="M80" s="375">
        <f t="shared" si="11"/>
        <v>0</v>
      </c>
    </row>
    <row r="81" spans="2:14" x14ac:dyDescent="0.3">
      <c r="B81" s="9" t="str">
        <f>'5.2 Budgeted Enrollment YR2'!E73</f>
        <v xml:space="preserve">Nevada Rise </v>
      </c>
      <c r="C81" s="363">
        <f>'1.2 Budgeted Enrollment YR1'!I73</f>
        <v>35</v>
      </c>
      <c r="D81" s="154">
        <f t="shared" si="6"/>
        <v>4275.9000000000005</v>
      </c>
      <c r="E81" s="375">
        <f t="shared" si="9"/>
        <v>149657</v>
      </c>
      <c r="G81" s="363">
        <f>'5.2 Budgeted Enrollment YR2'!J73</f>
        <v>1</v>
      </c>
      <c r="H81" s="154">
        <f t="shared" si="10"/>
        <v>3325.7</v>
      </c>
      <c r="I81" s="375">
        <f t="shared" si="7"/>
        <v>3326</v>
      </c>
      <c r="K81" s="363">
        <f>'5.2 Budgeted Enrollment YR2'!K73</f>
        <v>0</v>
      </c>
      <c r="L81" s="154">
        <f t="shared" si="8"/>
        <v>1140.24</v>
      </c>
      <c r="M81" s="375">
        <f t="shared" si="11"/>
        <v>0</v>
      </c>
    </row>
    <row r="82" spans="2:14" x14ac:dyDescent="0.3">
      <c r="B82" s="9" t="str">
        <f>'5.2 Budgeted Enrollment YR2'!E74</f>
        <v>Nevada State High School</v>
      </c>
      <c r="C82" s="363">
        <f>'1.2 Budgeted Enrollment YR1'!I74</f>
        <v>24</v>
      </c>
      <c r="D82" s="154">
        <f t="shared" si="6"/>
        <v>4275.9000000000005</v>
      </c>
      <c r="E82" s="375">
        <f t="shared" si="9"/>
        <v>102622</v>
      </c>
      <c r="G82" s="363">
        <f>'5.2 Budgeted Enrollment YR2'!J74</f>
        <v>1</v>
      </c>
      <c r="H82" s="154">
        <f t="shared" si="10"/>
        <v>3325.7</v>
      </c>
      <c r="I82" s="375">
        <f t="shared" si="7"/>
        <v>3326</v>
      </c>
      <c r="K82" s="363">
        <f>'5.2 Budgeted Enrollment YR2'!K74</f>
        <v>0</v>
      </c>
      <c r="L82" s="154">
        <f t="shared" si="8"/>
        <v>1140.24</v>
      </c>
      <c r="M82" s="375">
        <f t="shared" si="11"/>
        <v>0</v>
      </c>
    </row>
    <row r="83" spans="2:14" x14ac:dyDescent="0.3">
      <c r="B83" s="9" t="str">
        <f>'5.2 Budgeted Enrollment YR2'!E75</f>
        <v>Nevada State High School-Meadowwood</v>
      </c>
      <c r="C83" s="363">
        <f>'1.2 Budgeted Enrollment YR1'!I75</f>
        <v>0</v>
      </c>
      <c r="D83" s="154">
        <f t="shared" si="6"/>
        <v>4275.9000000000005</v>
      </c>
      <c r="E83" s="375">
        <f t="shared" si="9"/>
        <v>0</v>
      </c>
      <c r="G83" s="363">
        <f>'5.2 Budgeted Enrollment YR2'!J75</f>
        <v>0</v>
      </c>
      <c r="H83" s="154">
        <f t="shared" si="10"/>
        <v>3325.7</v>
      </c>
      <c r="I83" s="375">
        <f t="shared" si="7"/>
        <v>0</v>
      </c>
      <c r="K83" s="363">
        <f>'5.2 Budgeted Enrollment YR2'!K75</f>
        <v>0</v>
      </c>
      <c r="L83" s="154">
        <f t="shared" si="8"/>
        <v>1140.24</v>
      </c>
      <c r="M83" s="375">
        <f t="shared" si="11"/>
        <v>0</v>
      </c>
    </row>
    <row r="84" spans="2:14" x14ac:dyDescent="0.3">
      <c r="B84" s="9" t="str">
        <f>'5.2 Budgeted Enrollment YR2'!E76</f>
        <v>Nevada Virtual Academy</v>
      </c>
      <c r="C84" s="363">
        <f>'1.2 Budgeted Enrollment YR1'!I76</f>
        <v>79</v>
      </c>
      <c r="D84" s="154">
        <f t="shared" si="6"/>
        <v>4275.9000000000005</v>
      </c>
      <c r="E84" s="375">
        <f t="shared" si="9"/>
        <v>337796</v>
      </c>
      <c r="G84" s="363">
        <f>'5.2 Budgeted Enrollment YR2'!J76</f>
        <v>78</v>
      </c>
      <c r="H84" s="154">
        <f t="shared" si="10"/>
        <v>3325.7</v>
      </c>
      <c r="I84" s="375">
        <f t="shared" si="7"/>
        <v>259405</v>
      </c>
      <c r="K84" s="363">
        <f>'5.2 Budgeted Enrollment YR2'!K76</f>
        <v>0</v>
      </c>
      <c r="L84" s="154">
        <f t="shared" si="8"/>
        <v>1140.24</v>
      </c>
      <c r="M84" s="375">
        <f t="shared" si="11"/>
        <v>0</v>
      </c>
    </row>
    <row r="85" spans="2:14" x14ac:dyDescent="0.3">
      <c r="B85" s="9" t="str">
        <f>'5.2 Budgeted Enrollment YR2'!E77</f>
        <v>Oasis Academy</v>
      </c>
      <c r="C85" s="363">
        <f>'1.2 Budgeted Enrollment YR1'!I77</f>
        <v>20</v>
      </c>
      <c r="D85" s="154">
        <f t="shared" si="6"/>
        <v>4275.9000000000005</v>
      </c>
      <c r="E85" s="375">
        <f t="shared" si="9"/>
        <v>85518</v>
      </c>
      <c r="G85" s="363">
        <f>'5.2 Budgeted Enrollment YR2'!J77</f>
        <v>0</v>
      </c>
      <c r="H85" s="154">
        <f t="shared" si="10"/>
        <v>3325.7</v>
      </c>
      <c r="I85" s="375">
        <f t="shared" si="7"/>
        <v>0</v>
      </c>
      <c r="K85" s="363">
        <f>'5.2 Budgeted Enrollment YR2'!K77</f>
        <v>0</v>
      </c>
      <c r="L85" s="154">
        <f t="shared" si="8"/>
        <v>1140.24</v>
      </c>
      <c r="M85" s="375">
        <f t="shared" si="11"/>
        <v>0</v>
      </c>
    </row>
    <row r="86" spans="2:14" x14ac:dyDescent="0.3">
      <c r="B86" s="9" t="str">
        <f>'5.2 Budgeted Enrollment YR2'!E78</f>
        <v>Odyssey Charter Schools</v>
      </c>
      <c r="C86" s="363">
        <f>'1.2 Budgeted Enrollment YR1'!I78</f>
        <v>111</v>
      </c>
      <c r="D86" s="154">
        <f t="shared" si="6"/>
        <v>4275.9000000000005</v>
      </c>
      <c r="E86" s="375">
        <f t="shared" si="9"/>
        <v>474625</v>
      </c>
      <c r="G86" s="363">
        <f>'5.2 Budgeted Enrollment YR2'!J78</f>
        <v>281</v>
      </c>
      <c r="H86" s="154">
        <f t="shared" si="10"/>
        <v>3325.7</v>
      </c>
      <c r="I86" s="375">
        <f t="shared" si="7"/>
        <v>934522</v>
      </c>
      <c r="K86" s="363">
        <f>'5.2 Budgeted Enrollment YR2'!K78</f>
        <v>0</v>
      </c>
      <c r="L86" s="154">
        <f t="shared" si="8"/>
        <v>1140.24</v>
      </c>
      <c r="M86" s="375">
        <f t="shared" si="11"/>
        <v>0</v>
      </c>
    </row>
    <row r="87" spans="2:14" x14ac:dyDescent="0.3">
      <c r="B87" s="9" t="str">
        <f>'5.2 Budgeted Enrollment YR2'!E79</f>
        <v>Pinecrest Academy of Northern Nevada</v>
      </c>
      <c r="C87" s="363">
        <f>'1.2 Budgeted Enrollment YR1'!I79</f>
        <v>18</v>
      </c>
      <c r="D87" s="154">
        <f t="shared" si="6"/>
        <v>4275.9000000000005</v>
      </c>
      <c r="E87" s="375">
        <f t="shared" si="9"/>
        <v>76966</v>
      </c>
      <c r="G87" s="363">
        <f>'5.2 Budgeted Enrollment YR2'!J79</f>
        <v>0</v>
      </c>
      <c r="H87" s="154">
        <f t="shared" si="10"/>
        <v>3325.7</v>
      </c>
      <c r="I87" s="375">
        <f t="shared" si="7"/>
        <v>0</v>
      </c>
      <c r="K87" s="363">
        <f>'5.2 Budgeted Enrollment YR2'!K79</f>
        <v>62</v>
      </c>
      <c r="L87" s="154">
        <f t="shared" si="8"/>
        <v>1140.24</v>
      </c>
      <c r="M87" s="375">
        <f t="shared" si="11"/>
        <v>70695</v>
      </c>
    </row>
    <row r="88" spans="2:14" x14ac:dyDescent="0.3">
      <c r="B88" s="9" t="str">
        <f>'5.2 Budgeted Enrollment YR2'!E80</f>
        <v>Pinecrest Academy of Nevada</v>
      </c>
      <c r="C88" s="363">
        <f>'1.2 Budgeted Enrollment YR1'!I80</f>
        <v>195</v>
      </c>
      <c r="D88" s="154">
        <f t="shared" si="6"/>
        <v>4275.9000000000005</v>
      </c>
      <c r="E88" s="375">
        <f t="shared" si="9"/>
        <v>833801</v>
      </c>
      <c r="G88" s="363">
        <f>'5.2 Budgeted Enrollment YR2'!J80</f>
        <v>127</v>
      </c>
      <c r="H88" s="154">
        <f t="shared" si="10"/>
        <v>3325.7</v>
      </c>
      <c r="I88" s="375">
        <f t="shared" si="7"/>
        <v>422364</v>
      </c>
      <c r="K88" s="363">
        <f>'5.2 Budgeted Enrollment YR2'!K80</f>
        <v>396</v>
      </c>
      <c r="L88" s="154">
        <f t="shared" si="8"/>
        <v>1140.24</v>
      </c>
      <c r="M88" s="375">
        <f t="shared" si="11"/>
        <v>451535</v>
      </c>
    </row>
    <row r="89" spans="2:14" x14ac:dyDescent="0.3">
      <c r="B89" s="9" t="str">
        <f>'5.2 Budgeted Enrollment YR2'!E81</f>
        <v>Pioneer Technical Arts Academy</v>
      </c>
      <c r="C89" s="363">
        <f>'1.2 Budgeted Enrollment YR1'!I81</f>
        <v>0</v>
      </c>
      <c r="D89" s="154">
        <f t="shared" si="6"/>
        <v>4275.9000000000005</v>
      </c>
      <c r="E89" s="375">
        <f t="shared" si="9"/>
        <v>0</v>
      </c>
      <c r="G89" s="363">
        <f>'5.2 Budgeted Enrollment YR2'!J81</f>
        <v>0</v>
      </c>
      <c r="H89" s="154">
        <f t="shared" si="10"/>
        <v>3325.7</v>
      </c>
      <c r="I89" s="375">
        <f t="shared" si="7"/>
        <v>0</v>
      </c>
      <c r="K89" s="363">
        <f>'5.2 Budgeted Enrollment YR2'!K81</f>
        <v>0</v>
      </c>
      <c r="L89" s="154">
        <f t="shared" si="8"/>
        <v>1140.24</v>
      </c>
      <c r="M89" s="375">
        <f t="shared" si="11"/>
        <v>0</v>
      </c>
      <c r="N89" s="9" t="s">
        <v>370</v>
      </c>
    </row>
    <row r="90" spans="2:14" x14ac:dyDescent="0.3">
      <c r="B90" s="9" t="str">
        <f>'5.2 Budgeted Enrollment YR2'!E82</f>
        <v>Quest Academy</v>
      </c>
      <c r="C90" s="363">
        <f>'1.2 Budgeted Enrollment YR1'!I82</f>
        <v>48</v>
      </c>
      <c r="D90" s="154">
        <f t="shared" si="6"/>
        <v>4275.9000000000005</v>
      </c>
      <c r="E90" s="375">
        <f t="shared" si="9"/>
        <v>205243</v>
      </c>
      <c r="G90" s="363">
        <f>'5.2 Budgeted Enrollment YR2'!J82</f>
        <v>16</v>
      </c>
      <c r="H90" s="154">
        <f t="shared" si="10"/>
        <v>3325.7</v>
      </c>
      <c r="I90" s="375">
        <f t="shared" si="7"/>
        <v>53211</v>
      </c>
      <c r="K90" s="363">
        <f>'5.2 Budgeted Enrollment YR2'!K82</f>
        <v>0</v>
      </c>
      <c r="L90" s="154">
        <f t="shared" si="8"/>
        <v>1140.24</v>
      </c>
      <c r="M90" s="375">
        <f t="shared" si="11"/>
        <v>0</v>
      </c>
    </row>
    <row r="91" spans="2:14" x14ac:dyDescent="0.3">
      <c r="B91" s="9" t="str">
        <f>'5.2 Budgeted Enrollment YR2'!E83</f>
        <v>Rainbow Dreams Academy</v>
      </c>
      <c r="C91" s="363">
        <f>'1.2 Budgeted Enrollment YR1'!I83</f>
        <v>6</v>
      </c>
      <c r="D91" s="154">
        <f t="shared" si="6"/>
        <v>4275.9000000000005</v>
      </c>
      <c r="E91" s="375">
        <f t="shared" si="9"/>
        <v>25655</v>
      </c>
      <c r="G91" s="363">
        <f>'5.2 Budgeted Enrollment YR2'!J83</f>
        <v>5</v>
      </c>
      <c r="H91" s="154">
        <f t="shared" si="10"/>
        <v>3325.7</v>
      </c>
      <c r="I91" s="375">
        <f t="shared" si="7"/>
        <v>16629</v>
      </c>
      <c r="K91" s="363">
        <f>'5.2 Budgeted Enrollment YR2'!K83</f>
        <v>0</v>
      </c>
      <c r="L91" s="154">
        <f t="shared" si="8"/>
        <v>1140.24</v>
      </c>
      <c r="M91" s="375">
        <f t="shared" si="11"/>
        <v>0</v>
      </c>
    </row>
    <row r="92" spans="2:14" x14ac:dyDescent="0.3">
      <c r="B92" s="9" t="str">
        <f>'5.2 Budgeted Enrollment YR2'!E84</f>
        <v>Rooted Charter School</v>
      </c>
      <c r="C92" s="363">
        <f>'1.2 Budgeted Enrollment YR1'!I84</f>
        <v>0</v>
      </c>
      <c r="D92" s="154">
        <f t="shared" si="6"/>
        <v>4275.9000000000005</v>
      </c>
      <c r="E92" s="375">
        <f t="shared" si="9"/>
        <v>0</v>
      </c>
      <c r="G92" s="363">
        <f>'5.2 Budgeted Enrollment YR2'!J84</f>
        <v>0</v>
      </c>
      <c r="H92" s="154">
        <f t="shared" si="10"/>
        <v>3325.7</v>
      </c>
      <c r="I92" s="375">
        <f t="shared" si="7"/>
        <v>0</v>
      </c>
      <c r="K92" s="363">
        <f>'5.2 Budgeted Enrollment YR2'!K84</f>
        <v>0</v>
      </c>
      <c r="L92" s="154">
        <f t="shared" si="8"/>
        <v>1140.24</v>
      </c>
      <c r="M92" s="375">
        <f t="shared" si="11"/>
        <v>0</v>
      </c>
    </row>
    <row r="93" spans="2:14" x14ac:dyDescent="0.3">
      <c r="B93" s="9" t="str">
        <f>'5.2 Budgeted Enrollment YR2'!E85</f>
        <v>Sage Collegiate Academy</v>
      </c>
      <c r="C93" s="363">
        <f>'1.2 Budgeted Enrollment YR1'!I85</f>
        <v>69</v>
      </c>
      <c r="D93" s="154">
        <f t="shared" si="6"/>
        <v>4275.9000000000005</v>
      </c>
      <c r="E93" s="375">
        <f t="shared" si="9"/>
        <v>295037</v>
      </c>
      <c r="G93" s="363">
        <f>'5.2 Budgeted Enrollment YR2'!J85</f>
        <v>0</v>
      </c>
      <c r="H93" s="154">
        <f t="shared" si="10"/>
        <v>3325.7</v>
      </c>
      <c r="I93" s="375">
        <f t="shared" si="7"/>
        <v>0</v>
      </c>
      <c r="K93" s="363">
        <f>'5.2 Budgeted Enrollment YR2'!K85</f>
        <v>0</v>
      </c>
      <c r="L93" s="154">
        <f t="shared" si="8"/>
        <v>1140.24</v>
      </c>
      <c r="M93" s="375">
        <f t="shared" si="11"/>
        <v>0</v>
      </c>
    </row>
    <row r="94" spans="2:14" x14ac:dyDescent="0.3">
      <c r="B94" s="9" t="str">
        <f>'5.2 Budgeted Enrollment YR2'!E86</f>
        <v>Sierra Nevada Academy Charter</v>
      </c>
      <c r="C94" s="363">
        <f>'1.2 Budgeted Enrollment YR1'!I86</f>
        <v>22</v>
      </c>
      <c r="D94" s="154">
        <f t="shared" si="6"/>
        <v>4275.9000000000005</v>
      </c>
      <c r="E94" s="375">
        <f t="shared" si="9"/>
        <v>94070</v>
      </c>
      <c r="G94" s="363">
        <f>'5.2 Budgeted Enrollment YR2'!J86</f>
        <v>30</v>
      </c>
      <c r="H94" s="154">
        <f t="shared" si="10"/>
        <v>3325.7</v>
      </c>
      <c r="I94" s="375">
        <f t="shared" si="7"/>
        <v>99771</v>
      </c>
      <c r="K94" s="363">
        <f>'5.2 Budgeted Enrollment YR2'!K86</f>
        <v>0</v>
      </c>
      <c r="L94" s="154">
        <f t="shared" si="8"/>
        <v>1140.24</v>
      </c>
      <c r="M94" s="375">
        <f t="shared" si="11"/>
        <v>0</v>
      </c>
    </row>
    <row r="95" spans="2:14" x14ac:dyDescent="0.3">
      <c r="B95" s="9" t="str">
        <f>'5.2 Budgeted Enrollment YR2'!E87</f>
        <v>Signature Preparatory</v>
      </c>
      <c r="C95" s="363">
        <f>'1.2 Budgeted Enrollment YR1'!I87</f>
        <v>67</v>
      </c>
      <c r="D95" s="154">
        <f t="shared" si="6"/>
        <v>4275.9000000000005</v>
      </c>
      <c r="E95" s="375">
        <f t="shared" si="9"/>
        <v>286485</v>
      </c>
      <c r="G95" s="363">
        <f>'5.2 Budgeted Enrollment YR2'!J87</f>
        <v>17</v>
      </c>
      <c r="H95" s="154">
        <f t="shared" si="10"/>
        <v>3325.7</v>
      </c>
      <c r="I95" s="375">
        <f t="shared" si="7"/>
        <v>56537</v>
      </c>
      <c r="K95" s="363">
        <f>'5.2 Budgeted Enrollment YR2'!K87</f>
        <v>0</v>
      </c>
      <c r="L95" s="154">
        <f t="shared" si="8"/>
        <v>1140.24</v>
      </c>
      <c r="M95" s="375">
        <f t="shared" si="11"/>
        <v>0</v>
      </c>
    </row>
    <row r="96" spans="2:14" x14ac:dyDescent="0.3">
      <c r="B96" s="9" t="str">
        <f>'5.2 Budgeted Enrollment YR2'!E88</f>
        <v>Silver Sands Montessori</v>
      </c>
      <c r="C96" s="363">
        <f>'1.2 Budgeted Enrollment YR1'!I88</f>
        <v>24</v>
      </c>
      <c r="D96" s="154">
        <f t="shared" si="6"/>
        <v>4275.9000000000005</v>
      </c>
      <c r="E96" s="375">
        <f t="shared" si="9"/>
        <v>102622</v>
      </c>
      <c r="G96" s="363">
        <f>'5.2 Budgeted Enrollment YR2'!J88</f>
        <v>0</v>
      </c>
      <c r="H96" s="154">
        <f t="shared" si="10"/>
        <v>3325.7</v>
      </c>
      <c r="I96" s="375">
        <f t="shared" si="7"/>
        <v>0</v>
      </c>
      <c r="K96" s="363">
        <f>'5.2 Budgeted Enrollment YR2'!K88</f>
        <v>0</v>
      </c>
      <c r="L96" s="154">
        <f t="shared" si="8"/>
        <v>1140.24</v>
      </c>
      <c r="M96" s="375">
        <f t="shared" si="11"/>
        <v>0</v>
      </c>
    </row>
    <row r="97" spans="1:14" x14ac:dyDescent="0.3">
      <c r="B97" s="9" t="str">
        <f>'5.2 Budgeted Enrollment YR2'!E89</f>
        <v>Somerset Academy</v>
      </c>
      <c r="C97" s="363">
        <f>'1.2 Budgeted Enrollment YR1'!I89</f>
        <v>346</v>
      </c>
      <c r="D97" s="154">
        <f t="shared" si="6"/>
        <v>4275.9000000000005</v>
      </c>
      <c r="E97" s="375">
        <f t="shared" si="9"/>
        <v>1479461</v>
      </c>
      <c r="G97" s="363">
        <f>'5.2 Budgeted Enrollment YR2'!J89</f>
        <v>109</v>
      </c>
      <c r="H97" s="154">
        <f t="shared" si="10"/>
        <v>3325.7</v>
      </c>
      <c r="I97" s="375">
        <f t="shared" si="7"/>
        <v>362501</v>
      </c>
      <c r="K97" s="363">
        <f>'5.2 Budgeted Enrollment YR2'!K89</f>
        <v>243</v>
      </c>
      <c r="L97" s="154">
        <f t="shared" si="8"/>
        <v>1140.24</v>
      </c>
      <c r="M97" s="375">
        <f t="shared" si="11"/>
        <v>277078</v>
      </c>
    </row>
    <row r="98" spans="1:14" x14ac:dyDescent="0.3">
      <c r="B98" s="9" t="str">
        <f>'5.2 Budgeted Enrollment YR2'!E90</f>
        <v>Southern Nevada Trade High School</v>
      </c>
      <c r="C98" s="363">
        <f>'1.2 Budgeted Enrollment YR1'!I90</f>
        <v>25</v>
      </c>
      <c r="D98" s="154">
        <f t="shared" si="6"/>
        <v>4275.9000000000005</v>
      </c>
      <c r="E98" s="375">
        <f t="shared" si="9"/>
        <v>106898</v>
      </c>
      <c r="G98" s="363">
        <f>'5.2 Budgeted Enrollment YR2'!J90</f>
        <v>32</v>
      </c>
      <c r="H98" s="154">
        <f t="shared" si="10"/>
        <v>3325.7</v>
      </c>
      <c r="I98" s="375">
        <f t="shared" si="7"/>
        <v>106422</v>
      </c>
      <c r="K98" s="363">
        <f>'5.2 Budgeted Enrollment YR2'!K90</f>
        <v>0</v>
      </c>
      <c r="L98" s="154">
        <f t="shared" si="8"/>
        <v>1140.24</v>
      </c>
      <c r="M98" s="375">
        <f t="shared" si="11"/>
        <v>0</v>
      </c>
    </row>
    <row r="99" spans="1:14" x14ac:dyDescent="0.3">
      <c r="B99" s="9" t="str">
        <f>'5.2 Budgeted Enrollment YR2'!E91</f>
        <v>Sports Leadership and Management Academy</v>
      </c>
      <c r="C99" s="363">
        <f>'1.2 Budgeted Enrollment YR1'!I91</f>
        <v>194</v>
      </c>
      <c r="D99" s="154">
        <f t="shared" si="6"/>
        <v>4275.9000000000005</v>
      </c>
      <c r="E99" s="375">
        <f t="shared" si="9"/>
        <v>829525</v>
      </c>
      <c r="G99" s="363">
        <f>'5.2 Budgeted Enrollment YR2'!J91</f>
        <v>22</v>
      </c>
      <c r="H99" s="154">
        <f t="shared" si="10"/>
        <v>3325.7</v>
      </c>
      <c r="I99" s="375">
        <f t="shared" si="7"/>
        <v>73165</v>
      </c>
      <c r="K99" s="363">
        <f>'5.2 Budgeted Enrollment YR2'!K91</f>
        <v>0</v>
      </c>
      <c r="L99" s="154">
        <f t="shared" si="8"/>
        <v>1140.24</v>
      </c>
      <c r="M99" s="375">
        <f t="shared" si="11"/>
        <v>0</v>
      </c>
    </row>
    <row r="100" spans="1:14" x14ac:dyDescent="0.3">
      <c r="B100" s="9" t="str">
        <f>'5.2 Budgeted Enrollment YR2'!E92</f>
        <v>Strong Start Academy</v>
      </c>
      <c r="C100" s="363">
        <f>'1.2 Budgeted Enrollment YR1'!I92</f>
        <v>56</v>
      </c>
      <c r="D100" s="154">
        <f t="shared" si="6"/>
        <v>4275.9000000000005</v>
      </c>
      <c r="E100" s="375">
        <f t="shared" si="9"/>
        <v>239450</v>
      </c>
      <c r="G100" s="363">
        <f>'5.2 Budgeted Enrollment YR2'!J92</f>
        <v>0</v>
      </c>
      <c r="H100" s="154">
        <f t="shared" si="10"/>
        <v>3325.7</v>
      </c>
      <c r="I100" s="375">
        <f t="shared" si="7"/>
        <v>0</v>
      </c>
      <c r="K100" s="363">
        <f>'5.2 Budgeted Enrollment YR2'!K92</f>
        <v>0</v>
      </c>
      <c r="L100" s="154">
        <f t="shared" si="8"/>
        <v>1140.24</v>
      </c>
      <c r="M100" s="375">
        <f t="shared" si="11"/>
        <v>0</v>
      </c>
    </row>
    <row r="101" spans="1:14" s="4" customFormat="1" x14ac:dyDescent="0.3">
      <c r="A101" s="9"/>
      <c r="B101" s="9" t="str">
        <f>'5.2 Budgeted Enrollment YR2'!E93</f>
        <v>ThrivePoint</v>
      </c>
      <c r="C101" s="363">
        <f>'1.2 Budgeted Enrollment YR1'!I93</f>
        <v>42</v>
      </c>
      <c r="D101" s="154">
        <f t="shared" si="6"/>
        <v>4275.9000000000005</v>
      </c>
      <c r="E101" s="375">
        <f t="shared" si="9"/>
        <v>179588</v>
      </c>
      <c r="F101" s="9"/>
      <c r="G101" s="363">
        <f>'5.2 Budgeted Enrollment YR2'!J93</f>
        <v>49</v>
      </c>
      <c r="H101" s="154">
        <f t="shared" si="10"/>
        <v>3325.7</v>
      </c>
      <c r="I101" s="375">
        <f t="shared" si="7"/>
        <v>162959</v>
      </c>
      <c r="J101" s="9"/>
      <c r="K101" s="363">
        <f>'5.2 Budgeted Enrollment YR2'!K93</f>
        <v>0</v>
      </c>
      <c r="L101" s="154">
        <f t="shared" si="8"/>
        <v>1140.24</v>
      </c>
      <c r="M101" s="375">
        <f t="shared" si="11"/>
        <v>0</v>
      </c>
      <c r="N101" s="4" t="s">
        <v>370</v>
      </c>
    </row>
    <row r="102" spans="1:14" s="4" customFormat="1" x14ac:dyDescent="0.3">
      <c r="A102" s="9"/>
      <c r="B102" s="9" t="str">
        <f>'5.2 Budgeted Enrollment YR2'!E94</f>
        <v>Vegas Vista Academy</v>
      </c>
      <c r="C102" s="363">
        <f>'1.2 Budgeted Enrollment YR1'!I94</f>
        <v>36</v>
      </c>
      <c r="D102" s="154">
        <f t="shared" si="6"/>
        <v>4275.9000000000005</v>
      </c>
      <c r="E102" s="375">
        <f t="shared" si="9"/>
        <v>153932</v>
      </c>
      <c r="F102" s="9"/>
      <c r="G102" s="363">
        <f>'5.2 Budgeted Enrollment YR2'!J94</f>
        <v>0</v>
      </c>
      <c r="H102" s="154">
        <f t="shared" si="10"/>
        <v>3325.7</v>
      </c>
      <c r="I102" s="375">
        <f t="shared" si="7"/>
        <v>0</v>
      </c>
      <c r="J102" s="9"/>
      <c r="K102" s="363">
        <f>'5.2 Budgeted Enrollment YR2'!K94</f>
        <v>0</v>
      </c>
      <c r="L102" s="154">
        <f t="shared" si="8"/>
        <v>1140.24</v>
      </c>
      <c r="M102" s="375">
        <f t="shared" si="11"/>
        <v>0</v>
      </c>
      <c r="N102" s="4" t="s">
        <v>370</v>
      </c>
    </row>
    <row r="103" spans="1:14" s="4" customFormat="1" x14ac:dyDescent="0.3">
      <c r="A103" s="9"/>
      <c r="B103" s="137" t="str">
        <f>'5.2 Budgeted Enrollment YR2'!E95</f>
        <v>Young Women's Leadership Academy</v>
      </c>
      <c r="C103" s="364">
        <f>'1.2 Budgeted Enrollment YR1'!I95</f>
        <v>19</v>
      </c>
      <c r="D103" s="154">
        <f t="shared" si="6"/>
        <v>4275.9000000000005</v>
      </c>
      <c r="E103" s="376">
        <f t="shared" si="9"/>
        <v>81242</v>
      </c>
      <c r="F103" s="9"/>
      <c r="G103" s="364">
        <f>'5.2 Budgeted Enrollment YR2'!J95</f>
        <v>2</v>
      </c>
      <c r="H103" s="154">
        <f t="shared" si="10"/>
        <v>3325.7</v>
      </c>
      <c r="I103" s="376">
        <f t="shared" si="7"/>
        <v>6651</v>
      </c>
      <c r="J103" s="9"/>
      <c r="K103" s="364">
        <f>'5.2 Budgeted Enrollment YR2'!K95</f>
        <v>0</v>
      </c>
      <c r="L103" s="148">
        <f t="shared" si="8"/>
        <v>1140.24</v>
      </c>
      <c r="M103" s="376">
        <f t="shared" si="11"/>
        <v>0</v>
      </c>
    </row>
    <row r="104" spans="1:14" x14ac:dyDescent="0.3">
      <c r="A104" s="4"/>
      <c r="B104" s="135" t="s">
        <v>1398</v>
      </c>
      <c r="C104" s="405">
        <f>SUM(C42:C103)</f>
        <v>6384</v>
      </c>
      <c r="D104" s="308"/>
      <c r="E104" s="852">
        <f>SUM(E42:E103)</f>
        <v>27297350</v>
      </c>
      <c r="F104" s="4"/>
      <c r="G104" s="405">
        <f>SUM(G42:G103)</f>
        <v>2007</v>
      </c>
      <c r="H104" s="308"/>
      <c r="I104" s="852">
        <f>SUM(I42:I103)</f>
        <v>6674683</v>
      </c>
      <c r="J104" s="4"/>
      <c r="K104" s="405">
        <f>SUM(K42:K103)</f>
        <v>1491</v>
      </c>
      <c r="L104" s="96"/>
      <c r="M104" s="379">
        <f>SUM(M42:M103)</f>
        <v>1700097</v>
      </c>
    </row>
    <row r="105" spans="1:14" x14ac:dyDescent="0.3">
      <c r="C105" s="113">
        <f>C104-C35</f>
        <v>0</v>
      </c>
      <c r="E105" s="112"/>
      <c r="G105" s="113">
        <f>G104-G35</f>
        <v>0</v>
      </c>
      <c r="I105" s="112"/>
      <c r="K105" s="1421">
        <f>K104-K35</f>
        <v>0</v>
      </c>
      <c r="L105" s="797"/>
      <c r="M105" s="445"/>
    </row>
    <row r="106" spans="1:14" s="4" customFormat="1" x14ac:dyDescent="0.3">
      <c r="A106" s="4" t="s">
        <v>306</v>
      </c>
      <c r="C106" s="444"/>
      <c r="E106" s="456"/>
      <c r="F106" s="9"/>
      <c r="G106" s="444"/>
      <c r="I106" s="456"/>
      <c r="K106" s="1422"/>
      <c r="L106" s="95"/>
      <c r="M106" s="456"/>
    </row>
    <row r="107" spans="1:14" x14ac:dyDescent="0.3">
      <c r="B107" s="455" t="str">
        <f>'5.2 Budgeted Enrollment YR2'!E100</f>
        <v>Davidson Academy</v>
      </c>
      <c r="C107" s="472">
        <f>'5.2 Budgeted Enrollment YR2'!I100</f>
        <v>0</v>
      </c>
      <c r="D107" s="475">
        <f>$D$10</f>
        <v>4275.9000000000005</v>
      </c>
      <c r="E107" s="2011">
        <f t="shared" ref="E107:E108" si="12">ROUND(C107*D107,0)</f>
        <v>0</v>
      </c>
      <c r="G107" s="472">
        <f>'5.2 Budgeted Enrollment YR2'!J100</f>
        <v>0</v>
      </c>
      <c r="H107" s="475">
        <f>$H$10</f>
        <v>3325.7</v>
      </c>
      <c r="I107" s="2011">
        <f t="shared" ref="I107:I108" si="13">ROUND(G107*H107,0)</f>
        <v>0</v>
      </c>
      <c r="J107" s="4"/>
      <c r="K107" s="472">
        <f>'5.2 Budgeted Enrollment YR2'!K100</f>
        <v>0</v>
      </c>
      <c r="L107" s="475">
        <f>$L$10</f>
        <v>1140.24</v>
      </c>
      <c r="M107" s="2011">
        <f t="shared" ref="M107:M108" si="14">ROUND(L107*K107,0)</f>
        <v>0</v>
      </c>
    </row>
    <row r="108" spans="1:14" s="4" customFormat="1" x14ac:dyDescent="0.3">
      <c r="A108" s="9"/>
      <c r="B108" s="142" t="str">
        <f>'5.2 Budgeted Enrollment YR2'!E101</f>
        <v>TBD</v>
      </c>
      <c r="C108" s="364">
        <f>'5.2 Budgeted Enrollment YR2'!I101</f>
        <v>0</v>
      </c>
      <c r="D108" s="148">
        <f>$D$10</f>
        <v>4275.9000000000005</v>
      </c>
      <c r="E108" s="376">
        <f t="shared" si="12"/>
        <v>0</v>
      </c>
      <c r="F108" s="9"/>
      <c r="G108" s="364">
        <f>'5.2 Budgeted Enrollment YR2'!J101</f>
        <v>0</v>
      </c>
      <c r="H108" s="148">
        <f>$H$10</f>
        <v>3325.7</v>
      </c>
      <c r="I108" s="376">
        <f t="shared" si="13"/>
        <v>0</v>
      </c>
      <c r="K108" s="364">
        <f>'5.2 Budgeted Enrollment YR2'!K101</f>
        <v>0</v>
      </c>
      <c r="L108" s="148">
        <f>$L$10</f>
        <v>1140.24</v>
      </c>
      <c r="M108" s="376">
        <f t="shared" si="14"/>
        <v>0</v>
      </c>
    </row>
    <row r="109" spans="1:14" x14ac:dyDescent="0.3">
      <c r="A109" s="4"/>
      <c r="B109" s="204" t="s">
        <v>156</v>
      </c>
      <c r="C109" s="405">
        <f>SUM(C107:C108)</f>
        <v>0</v>
      </c>
      <c r="D109" s="473"/>
      <c r="E109" s="853">
        <f>SUM(E107:E108)</f>
        <v>0</v>
      </c>
      <c r="G109" s="405">
        <f>SUM(G107:G108)</f>
        <v>0</v>
      </c>
      <c r="H109" s="473"/>
      <c r="I109" s="853">
        <f>SUM(I107:I108)</f>
        <v>0</v>
      </c>
      <c r="J109" s="4"/>
      <c r="K109" s="405">
        <f>SUM(K107:K108)</f>
        <v>0</v>
      </c>
      <c r="L109" s="96"/>
      <c r="M109" s="388">
        <f>SUM(M107:M108)</f>
        <v>0</v>
      </c>
    </row>
    <row r="110" spans="1:14" x14ac:dyDescent="0.3">
      <c r="C110" s="113"/>
      <c r="E110" s="112"/>
      <c r="G110" s="113"/>
      <c r="I110" s="112"/>
      <c r="J110" s="4"/>
      <c r="K110" s="1423"/>
      <c r="L110" s="89"/>
      <c r="M110" s="112"/>
    </row>
    <row r="111" spans="1:14" s="4" customFormat="1" x14ac:dyDescent="0.3">
      <c r="A111" s="4" t="s">
        <v>306</v>
      </c>
      <c r="C111" s="444"/>
      <c r="E111" s="456"/>
      <c r="F111" s="9"/>
      <c r="G111" s="444"/>
      <c r="I111" s="456"/>
      <c r="K111" s="1422"/>
      <c r="L111" s="95"/>
      <c r="M111" s="456"/>
    </row>
    <row r="112" spans="1:14" x14ac:dyDescent="0.3">
      <c r="B112" s="455" t="str">
        <f>'5.2 Budgeted Enrollment YR2'!E107</f>
        <v>TBD</v>
      </c>
      <c r="C112" s="472">
        <f>'5.2 Budgeted Enrollment YR2'!I107</f>
        <v>0</v>
      </c>
      <c r="D112" s="475">
        <f>$D$10</f>
        <v>4275.9000000000005</v>
      </c>
      <c r="E112" s="2011">
        <f t="shared" ref="E112:E113" si="15">ROUND(C112*D112,0)</f>
        <v>0</v>
      </c>
      <c r="G112" s="472">
        <f>'5.2 Budgeted Enrollment YR2'!J107</f>
        <v>0</v>
      </c>
      <c r="H112" s="475">
        <f>$H$10</f>
        <v>3325.7</v>
      </c>
      <c r="I112" s="2011">
        <f t="shared" ref="I112:I113" si="16">ROUND(G112*H112,0)</f>
        <v>0</v>
      </c>
      <c r="J112" s="4"/>
      <c r="K112" s="472">
        <f>'5.2 Budgeted Enrollment YR2'!K107</f>
        <v>0</v>
      </c>
      <c r="L112" s="475">
        <f>$L$10</f>
        <v>1140.24</v>
      </c>
      <c r="M112" s="2011">
        <f t="shared" ref="M112:M113" si="17">ROUND(L112*K112,0)</f>
        <v>0</v>
      </c>
    </row>
    <row r="113" spans="1:13" s="4" customFormat="1" x14ac:dyDescent="0.3">
      <c r="A113" s="9"/>
      <c r="B113" s="142" t="str">
        <f>'5.2 Budgeted Enrollment YR2'!E108</f>
        <v>TBD</v>
      </c>
      <c r="C113" s="364">
        <f>'5.2 Budgeted Enrollment YR2'!I108</f>
        <v>0</v>
      </c>
      <c r="D113" s="148">
        <f>$D$10</f>
        <v>4275.9000000000005</v>
      </c>
      <c r="E113" s="376">
        <f t="shared" si="15"/>
        <v>0</v>
      </c>
      <c r="F113" s="9"/>
      <c r="G113" s="364">
        <f>'5.2 Budgeted Enrollment YR2'!J108</f>
        <v>0</v>
      </c>
      <c r="H113" s="148">
        <f>$H$10</f>
        <v>3325.7</v>
      </c>
      <c r="I113" s="376">
        <f t="shared" si="16"/>
        <v>0</v>
      </c>
      <c r="K113" s="364">
        <f>'5.2 Budgeted Enrollment YR2'!K108</f>
        <v>0</v>
      </c>
      <c r="L113" s="148">
        <f>$L$10</f>
        <v>1140.24</v>
      </c>
      <c r="M113" s="376">
        <f t="shared" si="17"/>
        <v>0</v>
      </c>
    </row>
    <row r="114" spans="1:13" x14ac:dyDescent="0.3">
      <c r="A114" s="4"/>
      <c r="B114" s="204" t="s">
        <v>156</v>
      </c>
      <c r="C114" s="405">
        <f>SUM(C112:C113)</f>
        <v>0</v>
      </c>
      <c r="D114" s="473"/>
      <c r="E114" s="853">
        <f>SUM(E112:E113)</f>
        <v>0</v>
      </c>
      <c r="G114" s="405">
        <f>SUM(G112:G113)</f>
        <v>0</v>
      </c>
      <c r="H114" s="473"/>
      <c r="I114" s="853">
        <f>SUM(I112:I113)</f>
        <v>0</v>
      </c>
      <c r="J114" s="4"/>
      <c r="K114" s="405">
        <f>SUM(K112:K113)</f>
        <v>0</v>
      </c>
      <c r="L114" s="96"/>
      <c r="M114" s="388">
        <f>SUM(M112:M113)</f>
        <v>0</v>
      </c>
    </row>
    <row r="115" spans="1:13" x14ac:dyDescent="0.3">
      <c r="C115" s="113"/>
      <c r="E115" s="112"/>
      <c r="G115" s="113"/>
      <c r="I115" s="112"/>
      <c r="J115" s="4"/>
      <c r="K115" s="1423"/>
      <c r="L115" s="89"/>
      <c r="M115" s="112"/>
    </row>
    <row r="116" spans="1:13" s="4" customFormat="1" x14ac:dyDescent="0.3">
      <c r="A116" s="4" t="s">
        <v>306</v>
      </c>
      <c r="C116" s="444"/>
      <c r="E116" s="456"/>
      <c r="F116" s="9"/>
      <c r="G116" s="444"/>
      <c r="I116" s="456"/>
      <c r="K116" s="1422"/>
      <c r="L116" s="95"/>
      <c r="M116" s="456"/>
    </row>
    <row r="117" spans="1:13" x14ac:dyDescent="0.3">
      <c r="B117" s="455" t="str">
        <f>'5.2 Budgeted Enrollment YR2'!E113</f>
        <v>TBD</v>
      </c>
      <c r="C117" s="472">
        <f>'5.2 Budgeted Enrollment YR2'!I113</f>
        <v>0</v>
      </c>
      <c r="D117" s="475">
        <f>$D$10</f>
        <v>4275.9000000000005</v>
      </c>
      <c r="E117" s="2011">
        <f t="shared" ref="E117:E118" si="18">ROUND(C117*D117,0)</f>
        <v>0</v>
      </c>
      <c r="G117" s="472">
        <f>'5.2 Budgeted Enrollment YR2'!J113</f>
        <v>0</v>
      </c>
      <c r="H117" s="475">
        <f>$H$10</f>
        <v>3325.7</v>
      </c>
      <c r="I117" s="2011">
        <f t="shared" ref="I117:I118" si="19">ROUND(G117*H117,0)</f>
        <v>0</v>
      </c>
      <c r="J117" s="4"/>
      <c r="K117" s="472">
        <f>'5.2 Budgeted Enrollment YR2'!K113</f>
        <v>0</v>
      </c>
      <c r="L117" s="475">
        <f>$L$10</f>
        <v>1140.24</v>
      </c>
      <c r="M117" s="2011">
        <f t="shared" ref="M117:M118" si="20">ROUND(L117*K117,0)</f>
        <v>0</v>
      </c>
    </row>
    <row r="118" spans="1:13" s="4" customFormat="1" x14ac:dyDescent="0.3">
      <c r="A118" s="9"/>
      <c r="B118" s="142" t="str">
        <f>'5.2 Budgeted Enrollment YR2'!E114</f>
        <v>TBD</v>
      </c>
      <c r="C118" s="364">
        <f>'5.2 Budgeted Enrollment YR2'!I114</f>
        <v>0</v>
      </c>
      <c r="D118" s="148">
        <f>$D$10</f>
        <v>4275.9000000000005</v>
      </c>
      <c r="E118" s="376">
        <f t="shared" si="18"/>
        <v>0</v>
      </c>
      <c r="F118" s="9"/>
      <c r="G118" s="364">
        <f>'5.2 Budgeted Enrollment YR2'!J114</f>
        <v>0</v>
      </c>
      <c r="H118" s="148">
        <f>$H$10</f>
        <v>3325.7</v>
      </c>
      <c r="I118" s="376">
        <f t="shared" si="19"/>
        <v>0</v>
      </c>
      <c r="K118" s="364">
        <f>'5.2 Budgeted Enrollment YR2'!K114</f>
        <v>0</v>
      </c>
      <c r="L118" s="148">
        <f>$L$10</f>
        <v>1140.24</v>
      </c>
      <c r="M118" s="376">
        <f t="shared" si="20"/>
        <v>0</v>
      </c>
    </row>
    <row r="119" spans="1:13" x14ac:dyDescent="0.3">
      <c r="A119" s="4"/>
      <c r="B119" s="204" t="s">
        <v>156</v>
      </c>
      <c r="C119" s="405">
        <f>SUM(C117:C118)</f>
        <v>0</v>
      </c>
      <c r="D119" s="473"/>
      <c r="E119" s="853">
        <f>SUM(E117:E118)</f>
        <v>0</v>
      </c>
      <c r="G119" s="405">
        <f>SUM(G117:G118)</f>
        <v>0</v>
      </c>
      <c r="H119" s="473"/>
      <c r="I119" s="853">
        <f>SUM(I117:I118)</f>
        <v>0</v>
      </c>
      <c r="J119" s="4"/>
      <c r="K119" s="405">
        <f>SUM(K117:K118)</f>
        <v>0</v>
      </c>
      <c r="L119" s="96"/>
      <c r="M119" s="388">
        <f>SUM(M117:M118)</f>
        <v>0</v>
      </c>
    </row>
    <row r="120" spans="1:13" x14ac:dyDescent="0.3">
      <c r="J120" s="4"/>
    </row>
  </sheetData>
  <phoneticPr fontId="74" type="noConversion"/>
  <pageMargins left="0.45" right="0" top="0.75" bottom="0.75" header="0.3" footer="0.3"/>
  <pageSetup paperSize="3" scale="43" fitToWidth="0" fitToHeight="2" orientation="portrait" r:id="rId1"/>
  <headerFooter>
    <oddHeader>&amp;R&amp;"Arial Narrow,Regular"&amp;10&amp;A
&amp;P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D9BED-7CAC-407A-80B7-B0EF4D847BCF}">
  <sheetPr>
    <tabColor theme="6" tint="-0.499984740745262"/>
    <pageSetUpPr autoPageBreaks="0"/>
  </sheetPr>
  <dimension ref="A1:N115"/>
  <sheetViews>
    <sheetView topLeftCell="A70" zoomScale="85" zoomScaleNormal="85" workbookViewId="0">
      <selection activeCell="K121" sqref="K121"/>
    </sheetView>
  </sheetViews>
  <sheetFormatPr defaultColWidth="8.7109375" defaultRowHeight="16.5" x14ac:dyDescent="0.3"/>
  <cols>
    <col min="1" max="1" width="7.42578125" style="9" customWidth="1"/>
    <col min="2" max="2" width="38.42578125" style="9" bestFit="1" customWidth="1"/>
    <col min="3" max="3" width="16.140625" style="10" bestFit="1" customWidth="1"/>
    <col min="4" max="4" width="17.140625" style="10" bestFit="1" customWidth="1"/>
    <col min="5" max="5" width="16.140625" style="10" bestFit="1" customWidth="1"/>
    <col min="6" max="6" width="2" style="4" customWidth="1"/>
    <col min="7" max="7" width="19.5703125" style="10" customWidth="1"/>
    <col min="8" max="9" width="15.5703125" style="10" bestFit="1" customWidth="1"/>
    <col min="10" max="11" width="15.5703125" style="9" bestFit="1" customWidth="1"/>
    <col min="12" max="12" width="15.140625" style="10" bestFit="1" customWidth="1"/>
    <col min="13" max="13" width="17.140625" style="10" bestFit="1" customWidth="1"/>
    <col min="14" max="14" width="15.7109375" style="10" bestFit="1" customWidth="1"/>
    <col min="15" max="15" width="3.140625" style="9" customWidth="1"/>
    <col min="16" max="16" width="1.7109375" style="9" customWidth="1"/>
    <col min="17" max="16384" width="8.7109375" style="9"/>
  </cols>
  <sheetData>
    <row r="1" spans="1:14" s="4" customFormat="1" x14ac:dyDescent="0.3">
      <c r="A1" s="4" t="s">
        <v>15</v>
      </c>
    </row>
    <row r="2" spans="1:14" x14ac:dyDescent="0.3">
      <c r="A2" s="9" t="str">
        <f>CONCATENATE("Pupil Center Funding Plan | FY",'5.1 Assumption Control YR2'!D5)</f>
        <v>Pupil Center Funding Plan | FY2027</v>
      </c>
      <c r="C2" s="9"/>
      <c r="D2" s="9"/>
      <c r="E2" s="9"/>
      <c r="G2" s="9"/>
      <c r="H2" s="9"/>
      <c r="I2" s="9"/>
      <c r="L2" s="9"/>
      <c r="M2" s="9"/>
      <c r="N2" s="9"/>
    </row>
    <row r="3" spans="1:14" x14ac:dyDescent="0.3">
      <c r="A3" s="9" t="s">
        <v>1773</v>
      </c>
      <c r="C3" s="9"/>
      <c r="D3" s="9"/>
      <c r="E3" s="9"/>
      <c r="I3" s="9"/>
      <c r="L3" s="9"/>
      <c r="M3" s="9"/>
      <c r="N3" s="9"/>
    </row>
    <row r="4" spans="1:14" x14ac:dyDescent="0.3">
      <c r="C4" s="9"/>
      <c r="D4" s="9"/>
      <c r="E4" s="9"/>
      <c r="I4" s="9"/>
      <c r="L4" s="9"/>
      <c r="M4" s="9"/>
      <c r="N4" s="9"/>
    </row>
    <row r="5" spans="1:14" s="4" customFormat="1" ht="17.25" thickBot="1" x14ac:dyDescent="0.35">
      <c r="C5" s="17" t="s">
        <v>1331</v>
      </c>
      <c r="D5" s="17" t="s">
        <v>1332</v>
      </c>
      <c r="E5" s="18" t="s">
        <v>1333</v>
      </c>
      <c r="G5" s="4" t="str">
        <f>'2.8 Alloc of Residual Rev. YR1'!G4</f>
        <v>Manual redistribution of residual revenue back into the Statewide Base (SWB).</v>
      </c>
      <c r="H5" s="9"/>
      <c r="I5" s="6"/>
      <c r="L5" s="6"/>
      <c r="M5" s="6"/>
      <c r="N5" s="6"/>
    </row>
    <row r="6" spans="1:14" ht="15.75" customHeight="1" thickTop="1" thickBot="1" x14ac:dyDescent="0.35">
      <c r="B6" s="17" t="s">
        <v>1336</v>
      </c>
      <c r="C6" s="849">
        <f>'6.7 Weighted Funding YR2'!E6</f>
        <v>0</v>
      </c>
      <c r="D6" s="850">
        <f>E35</f>
        <v>0</v>
      </c>
      <c r="E6" s="851">
        <f>MAX(C6-D6,0)</f>
        <v>0</v>
      </c>
      <c r="G6" s="4" t="str">
        <f>'2.8 Alloc of Residual Rev. YR1'!G6</f>
        <v>Increase SWB by:</v>
      </c>
      <c r="H6" s="651">
        <f>'2.8 Alloc of Residual Rev. YR1'!N6</f>
        <v>-442</v>
      </c>
      <c r="I6" s="6"/>
      <c r="L6" s="6"/>
      <c r="M6" s="9"/>
      <c r="N6" s="9"/>
    </row>
    <row r="7" spans="1:14" ht="14.65" customHeight="1" thickTop="1" x14ac:dyDescent="0.3">
      <c r="B7" s="17"/>
      <c r="K7" s="10"/>
      <c r="N7" s="9"/>
    </row>
    <row r="8" spans="1:14" x14ac:dyDescent="0.3">
      <c r="B8" s="17"/>
      <c r="C8" s="2016"/>
      <c r="D8" s="2016"/>
      <c r="E8" s="2017" t="s">
        <v>1573</v>
      </c>
      <c r="G8" s="273" t="s">
        <v>1574</v>
      </c>
      <c r="H8" s="274"/>
      <c r="I8" s="274"/>
      <c r="J8" s="226"/>
      <c r="K8" s="274"/>
      <c r="L8" s="274"/>
      <c r="M8" s="275"/>
      <c r="N8" s="9"/>
    </row>
    <row r="9" spans="1:14" x14ac:dyDescent="0.3">
      <c r="C9" s="118" t="s">
        <v>1575</v>
      </c>
      <c r="D9" s="118" t="s">
        <v>1576</v>
      </c>
      <c r="E9" s="118" t="s">
        <v>1575</v>
      </c>
      <c r="G9" s="97" t="s">
        <v>1575</v>
      </c>
      <c r="H9" s="2018"/>
      <c r="I9" s="17" t="s">
        <v>1577</v>
      </c>
      <c r="J9" s="2018"/>
      <c r="K9" s="202"/>
      <c r="L9" s="2018"/>
      <c r="M9" s="112"/>
      <c r="N9" s="9"/>
    </row>
    <row r="10" spans="1:14" x14ac:dyDescent="0.3">
      <c r="C10" s="101" t="s">
        <v>1578</v>
      </c>
      <c r="D10" s="101" t="s">
        <v>1578</v>
      </c>
      <c r="E10" s="101" t="s">
        <v>1578</v>
      </c>
      <c r="G10" s="90" t="s">
        <v>1578</v>
      </c>
      <c r="H10" s="101" t="s">
        <v>1579</v>
      </c>
      <c r="I10" s="91" t="s">
        <v>1580</v>
      </c>
      <c r="J10" s="101" t="s">
        <v>1581</v>
      </c>
      <c r="K10" s="91"/>
      <c r="L10" s="101" t="s">
        <v>1582</v>
      </c>
      <c r="M10" s="92" t="s">
        <v>156</v>
      </c>
      <c r="N10" s="9"/>
    </row>
    <row r="11" spans="1:14" x14ac:dyDescent="0.3">
      <c r="A11" s="4"/>
      <c r="C11" s="101" t="s">
        <v>1470</v>
      </c>
      <c r="D11" s="101" t="s">
        <v>1470</v>
      </c>
      <c r="E11" s="101" t="s">
        <v>1470</v>
      </c>
      <c r="G11" s="90" t="s">
        <v>1470</v>
      </c>
      <c r="H11" s="101" t="s">
        <v>1583</v>
      </c>
      <c r="I11" s="91" t="s">
        <v>1584</v>
      </c>
      <c r="J11" s="101" t="s">
        <v>1585</v>
      </c>
      <c r="K11" s="91" t="s">
        <v>1586</v>
      </c>
      <c r="L11" s="101" t="s">
        <v>1587</v>
      </c>
      <c r="M11" s="92" t="s">
        <v>1470</v>
      </c>
      <c r="N11" s="9"/>
    </row>
    <row r="12" spans="1:14" s="84" customFormat="1" ht="14.65" customHeight="1" x14ac:dyDescent="0.3">
      <c r="A12" s="336"/>
      <c r="B12" s="203" t="s">
        <v>1346</v>
      </c>
      <c r="C12" s="337" t="s">
        <v>1774</v>
      </c>
      <c r="D12" s="338" t="s">
        <v>1589</v>
      </c>
      <c r="E12" s="338" t="s">
        <v>1590</v>
      </c>
      <c r="F12" s="4"/>
      <c r="G12" s="339" t="s">
        <v>1775</v>
      </c>
      <c r="H12" s="337" t="s">
        <v>1776</v>
      </c>
      <c r="I12" s="340" t="s">
        <v>1777</v>
      </c>
      <c r="J12" s="337" t="s">
        <v>1728</v>
      </c>
      <c r="K12" s="340" t="s">
        <v>1728</v>
      </c>
      <c r="L12" s="337" t="s">
        <v>1728</v>
      </c>
      <c r="M12" s="341" t="s">
        <v>1593</v>
      </c>
    </row>
    <row r="13" spans="1:14" x14ac:dyDescent="0.3">
      <c r="A13" s="4" t="s">
        <v>1228</v>
      </c>
      <c r="C13" s="104"/>
      <c r="D13" s="104"/>
      <c r="E13" s="104"/>
      <c r="G13" s="813"/>
      <c r="H13" s="2013"/>
      <c r="I13" s="797"/>
      <c r="J13" s="2013"/>
      <c r="K13" s="797"/>
      <c r="L13" s="2013"/>
      <c r="M13" s="606"/>
      <c r="N13" s="9"/>
    </row>
    <row r="14" spans="1:14" x14ac:dyDescent="0.3">
      <c r="B14" s="9" t="str">
        <f>'5.2 Budgeted Enrollment YR2'!E9</f>
        <v>Carson City</v>
      </c>
      <c r="C14" s="354">
        <f>'6.6 Adj. Base Summary YR2'!G15</f>
        <v>71181617</v>
      </c>
      <c r="D14" s="479">
        <f>C14/SUM($C$14:$C$34)</f>
        <v>1.5623923146300895E-2</v>
      </c>
      <c r="E14" s="430">
        <f>ROUND(D14*$C$6,0)</f>
        <v>0</v>
      </c>
      <c r="F14" s="467"/>
      <c r="G14" s="380">
        <f>ROUND(C14+E14,2)</f>
        <v>71181617</v>
      </c>
      <c r="H14" s="354">
        <f>ROUND('6.1 Auxiliary Services YR2'!J12,2)</f>
        <v>3203204</v>
      </c>
      <c r="I14" s="154">
        <f>ROUND('6.2 Spec Ed Local YR2'!L9,2)</f>
        <v>6741119</v>
      </c>
      <c r="J14" s="354">
        <f>ROUND('6.7 Weighted Funding YR2'!E18,2)</f>
        <v>3335202</v>
      </c>
      <c r="K14" s="154">
        <f>ROUND('6.7 Weighted Funding YR2'!I18,2)</f>
        <v>734980</v>
      </c>
      <c r="L14" s="159">
        <f>ROUND('6.7 Weighted Funding YR2'!M18,2)</f>
        <v>324968</v>
      </c>
      <c r="M14" s="2011">
        <f>ROUND(SUM(G14:L14),4)</f>
        <v>85521090</v>
      </c>
      <c r="N14" s="9"/>
    </row>
    <row r="15" spans="1:14" x14ac:dyDescent="0.3">
      <c r="B15" s="9" t="str">
        <f>'5.2 Budgeted Enrollment YR2'!E10</f>
        <v>Churchill</v>
      </c>
      <c r="C15" s="354">
        <f>'6.6 Adj. Base Summary YR2'!G16</f>
        <v>33397868</v>
      </c>
      <c r="D15" s="479">
        <f t="shared" ref="D15:D30" si="0">C15/SUM($C$14:$C$34)</f>
        <v>7.3306247437776237E-3</v>
      </c>
      <c r="E15" s="430">
        <f t="shared" ref="E15:E30" si="1">ROUND(D15*$C$6,0)</f>
        <v>0</v>
      </c>
      <c r="F15" s="467"/>
      <c r="G15" s="380">
        <f t="shared" ref="G15:G30" si="2">ROUND(C15+E15,2)</f>
        <v>33397868</v>
      </c>
      <c r="H15" s="354">
        <f>ROUND('6.1 Auxiliary Services YR2'!J13,2)</f>
        <v>1665797</v>
      </c>
      <c r="I15" s="154">
        <f>ROUND('6.2 Spec Ed Local YR2'!L10,2)</f>
        <v>2215685</v>
      </c>
      <c r="J15" s="354">
        <f>ROUND('6.7 Weighted Funding YR2'!E19,2)</f>
        <v>487453</v>
      </c>
      <c r="K15" s="154">
        <f>ROUND('6.7 Weighted Funding YR2'!I19,2)</f>
        <v>289336</v>
      </c>
      <c r="L15" s="159">
        <f>ROUND('6.7 Weighted Funding YR2'!M19,2)</f>
        <v>0</v>
      </c>
      <c r="M15" s="2011">
        <f t="shared" ref="M15:M34" si="3">ROUND(SUM(G15:L15),4)</f>
        <v>38056139</v>
      </c>
      <c r="N15" s="9"/>
    </row>
    <row r="16" spans="1:14" x14ac:dyDescent="0.3">
      <c r="B16" s="9" t="str">
        <f>'5.2 Budgeted Enrollment YR2'!E11</f>
        <v>Clark</v>
      </c>
      <c r="C16" s="354">
        <f>'6.6 Adj. Base Summary YR2'!G17</f>
        <v>2740858113</v>
      </c>
      <c r="D16" s="479">
        <f t="shared" si="0"/>
        <v>0.60160134480265171</v>
      </c>
      <c r="E16" s="430">
        <f t="shared" si="1"/>
        <v>0</v>
      </c>
      <c r="F16" s="467"/>
      <c r="G16" s="380">
        <f t="shared" si="2"/>
        <v>2740858113</v>
      </c>
      <c r="H16" s="354">
        <f>ROUND('6.1 Auxiliary Services YR2'!J14,2)</f>
        <v>135130854</v>
      </c>
      <c r="I16" s="154">
        <f>ROUND('6.2 Spec Ed Local YR2'!L11,2)</f>
        <v>453025801</v>
      </c>
      <c r="J16" s="354">
        <f>ROUND('6.7 Weighted Funding YR2'!E20,2)</f>
        <v>166024645</v>
      </c>
      <c r="K16" s="154">
        <f>ROUND('6.7 Weighted Funding YR2'!I20,2)</f>
        <v>138595222</v>
      </c>
      <c r="L16" s="159">
        <f>ROUND('6.7 Weighted Funding YR2'!M20,2)</f>
        <v>6198345</v>
      </c>
      <c r="M16" s="2011">
        <f t="shared" si="3"/>
        <v>3639832980</v>
      </c>
      <c r="N16" s="9"/>
    </row>
    <row r="17" spans="1:14" x14ac:dyDescent="0.3">
      <c r="B17" s="9" t="str">
        <f>'5.2 Budgeted Enrollment YR2'!E12</f>
        <v>Douglas</v>
      </c>
      <c r="C17" s="354">
        <f>'6.6 Adj. Base Summary YR2'!G18</f>
        <v>51347997</v>
      </c>
      <c r="D17" s="479">
        <f t="shared" si="0"/>
        <v>1.1270566652686309E-2</v>
      </c>
      <c r="E17" s="430">
        <f t="shared" si="1"/>
        <v>0</v>
      </c>
      <c r="F17" s="467"/>
      <c r="G17" s="380">
        <f t="shared" si="2"/>
        <v>51347997</v>
      </c>
      <c r="H17" s="354">
        <f>ROUND('6.1 Auxiliary Services YR2'!J15,2)</f>
        <v>3977265</v>
      </c>
      <c r="I17" s="154">
        <f>ROUND('6.2 Spec Ed Local YR2'!L12,2)</f>
        <v>5428400</v>
      </c>
      <c r="J17" s="354">
        <f>ROUND('6.7 Weighted Funding YR2'!E21,2)</f>
        <v>688420</v>
      </c>
      <c r="K17" s="154">
        <f>ROUND('6.7 Weighted Funding YR2'!I21,2)</f>
        <v>478901</v>
      </c>
      <c r="L17" s="159">
        <f>ROUND('6.7 Weighted Funding YR2'!M21,2)</f>
        <v>134548</v>
      </c>
      <c r="M17" s="2011">
        <f t="shared" si="3"/>
        <v>62055531</v>
      </c>
      <c r="N17" s="9"/>
    </row>
    <row r="18" spans="1:14" x14ac:dyDescent="0.3">
      <c r="B18" s="9" t="str">
        <f>'5.2 Budgeted Enrollment YR2'!E13</f>
        <v>Elko</v>
      </c>
      <c r="C18" s="354">
        <f>'6.6 Adj. Base Summary YR2'!G19</f>
        <v>108638031</v>
      </c>
      <c r="D18" s="479">
        <f t="shared" si="0"/>
        <v>2.3845373547912715E-2</v>
      </c>
      <c r="E18" s="430">
        <f t="shared" si="1"/>
        <v>0</v>
      </c>
      <c r="F18" s="467"/>
      <c r="G18" s="380">
        <f t="shared" si="2"/>
        <v>108638031</v>
      </c>
      <c r="H18" s="354">
        <f>ROUND('6.1 Auxiliary Services YR2'!J16,2)</f>
        <v>5952147</v>
      </c>
      <c r="I18" s="154">
        <f>ROUND('6.2 Spec Ed Local YR2'!L13,2)</f>
        <v>6815778</v>
      </c>
      <c r="J18" s="354">
        <f>ROUND('6.7 Weighted Funding YR2'!E22,2)</f>
        <v>2860577</v>
      </c>
      <c r="K18" s="154">
        <f>ROUND('6.7 Weighted Funding YR2'!I22,2)</f>
        <v>1503216</v>
      </c>
      <c r="L18" s="159">
        <f>ROUND('6.7 Weighted Funding YR2'!M22,2)</f>
        <v>43329</v>
      </c>
      <c r="M18" s="2011">
        <f t="shared" si="3"/>
        <v>125813078</v>
      </c>
      <c r="N18" s="9"/>
    </row>
    <row r="19" spans="1:14" x14ac:dyDescent="0.3">
      <c r="B19" s="9" t="str">
        <f>'5.2 Budgeted Enrollment YR2'!E14</f>
        <v>Esmeralda</v>
      </c>
      <c r="C19" s="354">
        <f>'6.6 Adj. Base Summary YR2'!G20</f>
        <v>2007377</v>
      </c>
      <c r="D19" s="479">
        <f t="shared" si="0"/>
        <v>4.4060679281354416E-4</v>
      </c>
      <c r="E19" s="430">
        <f t="shared" si="1"/>
        <v>0</v>
      </c>
      <c r="F19" s="467"/>
      <c r="G19" s="380">
        <f t="shared" si="2"/>
        <v>2007377</v>
      </c>
      <c r="H19" s="354">
        <f>ROUND('6.1 Auxiliary Services YR2'!J17,2)</f>
        <v>463206</v>
      </c>
      <c r="I19" s="154">
        <f>ROUND('6.2 Spec Ed Local YR2'!L14,2)</f>
        <v>38569</v>
      </c>
      <c r="J19" s="354">
        <f>ROUND('6.7 Weighted Funding YR2'!E23,2)</f>
        <v>47035</v>
      </c>
      <c r="K19" s="154">
        <f>ROUND('6.7 Weighted Funding YR2'!I23,2)</f>
        <v>3326</v>
      </c>
      <c r="L19" s="159">
        <f>ROUND('6.7 Weighted Funding YR2'!M23,2)</f>
        <v>0</v>
      </c>
      <c r="M19" s="2011">
        <f t="shared" si="3"/>
        <v>2559513</v>
      </c>
      <c r="N19" s="9"/>
    </row>
    <row r="20" spans="1:14" x14ac:dyDescent="0.3">
      <c r="B20" s="9" t="str">
        <f>'5.2 Budgeted Enrollment YR2'!E15</f>
        <v>Eureka</v>
      </c>
      <c r="C20" s="354">
        <f>'6.6 Adj. Base Summary YR2'!G21</f>
        <v>5326359</v>
      </c>
      <c r="D20" s="479">
        <f t="shared" si="0"/>
        <v>1.1691027427152727E-3</v>
      </c>
      <c r="E20" s="430">
        <f t="shared" si="1"/>
        <v>0</v>
      </c>
      <c r="F20" s="467"/>
      <c r="G20" s="380">
        <f t="shared" si="2"/>
        <v>5326359</v>
      </c>
      <c r="H20" s="354">
        <f>ROUND('6.1 Auxiliary Services YR2'!J18,2)</f>
        <v>1123640</v>
      </c>
      <c r="I20" s="154">
        <f>ROUND('6.2 Spec Ed Local YR2'!L15,2)</f>
        <v>0</v>
      </c>
      <c r="J20" s="354">
        <f>ROUND('6.7 Weighted Funding YR2'!E24,2)</f>
        <v>17104</v>
      </c>
      <c r="K20" s="154">
        <f>ROUND('6.7 Weighted Funding YR2'!I24,2)</f>
        <v>3326</v>
      </c>
      <c r="L20" s="159">
        <f>ROUND('6.7 Weighted Funding YR2'!M24,2)</f>
        <v>0</v>
      </c>
      <c r="M20" s="2011">
        <f t="shared" si="3"/>
        <v>6470429</v>
      </c>
      <c r="N20" s="9"/>
    </row>
    <row r="21" spans="1:14" x14ac:dyDescent="0.3">
      <c r="B21" s="9" t="str">
        <f>'5.2 Budgeted Enrollment YR2'!E16</f>
        <v>Humboldt</v>
      </c>
      <c r="C21" s="354">
        <f>'6.6 Adj. Base Summary YR2'!G22</f>
        <v>36695447</v>
      </c>
      <c r="D21" s="479">
        <f t="shared" si="0"/>
        <v>8.054422868016017E-3</v>
      </c>
      <c r="E21" s="430">
        <f t="shared" si="1"/>
        <v>0</v>
      </c>
      <c r="F21" s="467"/>
      <c r="G21" s="380">
        <f t="shared" si="2"/>
        <v>36695447</v>
      </c>
      <c r="H21" s="354">
        <f>ROUND('6.1 Auxiliary Services YR2'!J19,2)</f>
        <v>2021109</v>
      </c>
      <c r="I21" s="154">
        <f>ROUND('6.2 Spec Ed Local YR2'!L16,2)</f>
        <v>3147883</v>
      </c>
      <c r="J21" s="354">
        <f>ROUND('6.7 Weighted Funding YR2'!E25,2)</f>
        <v>842352</v>
      </c>
      <c r="K21" s="154">
        <f>ROUND('6.7 Weighted Funding YR2'!I25,2)</f>
        <v>352524</v>
      </c>
      <c r="L21" s="159">
        <f>ROUND('6.7 Weighted Funding YR2'!M25,2)</f>
        <v>0</v>
      </c>
      <c r="M21" s="2011">
        <f t="shared" si="3"/>
        <v>43059315</v>
      </c>
      <c r="N21" s="9"/>
    </row>
    <row r="22" spans="1:14" x14ac:dyDescent="0.3">
      <c r="B22" s="9" t="str">
        <f>'5.2 Budgeted Enrollment YR2'!E17</f>
        <v>Lander</v>
      </c>
      <c r="C22" s="354">
        <f>'6.6 Adj. Base Summary YR2'!G23</f>
        <v>13806091</v>
      </c>
      <c r="D22" s="479">
        <f t="shared" si="0"/>
        <v>3.0303512876763737E-3</v>
      </c>
      <c r="E22" s="430">
        <f t="shared" si="1"/>
        <v>0</v>
      </c>
      <c r="F22" s="467"/>
      <c r="G22" s="380">
        <f t="shared" si="2"/>
        <v>13806091</v>
      </c>
      <c r="H22" s="354">
        <f>ROUND('6.1 Auxiliary Services YR2'!J20,2)</f>
        <v>416029</v>
      </c>
      <c r="I22" s="154">
        <f>ROUND('6.2 Spec Ed Local YR2'!L17,2)</f>
        <v>828068</v>
      </c>
      <c r="J22" s="354">
        <f>ROUND('6.7 Weighted Funding YR2'!E26,2)</f>
        <v>166760</v>
      </c>
      <c r="K22" s="154">
        <f>ROUND('6.7 Weighted Funding YR2'!I26,2)</f>
        <v>262730</v>
      </c>
      <c r="L22" s="159">
        <f>ROUND('6.7 Weighted Funding YR2'!M26,2)</f>
        <v>0</v>
      </c>
      <c r="M22" s="2011">
        <f t="shared" si="3"/>
        <v>15479678</v>
      </c>
      <c r="N22" s="9"/>
    </row>
    <row r="23" spans="1:14" x14ac:dyDescent="0.3">
      <c r="B23" s="9" t="str">
        <f>'5.2 Budgeted Enrollment YR2'!E18</f>
        <v>Lincoln</v>
      </c>
      <c r="C23" s="354">
        <f>'6.6 Adj. Base Summary YR2'!G24</f>
        <v>15071361</v>
      </c>
      <c r="D23" s="479">
        <f t="shared" si="0"/>
        <v>3.308070199840453E-3</v>
      </c>
      <c r="E23" s="430">
        <f t="shared" si="1"/>
        <v>0</v>
      </c>
      <c r="F23" s="467"/>
      <c r="G23" s="380">
        <f t="shared" si="2"/>
        <v>15071361</v>
      </c>
      <c r="H23" s="354">
        <f>ROUND('6.1 Auxiliary Services YR2'!J21,2)</f>
        <v>702311</v>
      </c>
      <c r="I23" s="154">
        <f>ROUND('6.2 Spec Ed Local YR2'!L18,2)</f>
        <v>0</v>
      </c>
      <c r="J23" s="354">
        <f>ROUND('6.7 Weighted Funding YR2'!E27,2)</f>
        <v>34207</v>
      </c>
      <c r="K23" s="154">
        <f>ROUND('6.7 Weighted Funding YR2'!I27,2)</f>
        <v>136354</v>
      </c>
      <c r="L23" s="159">
        <f>ROUND('6.7 Weighted Funding YR2'!M27,2)</f>
        <v>0</v>
      </c>
      <c r="M23" s="2011">
        <f t="shared" si="3"/>
        <v>15944233</v>
      </c>
      <c r="N23" s="9"/>
    </row>
    <row r="24" spans="1:14" x14ac:dyDescent="0.3">
      <c r="B24" s="9" t="str">
        <f>'5.2 Budgeted Enrollment YR2'!E19</f>
        <v>Lyon</v>
      </c>
      <c r="C24" s="354">
        <f>'6.6 Adj. Base Summary YR2'!G25</f>
        <v>103598250</v>
      </c>
      <c r="D24" s="479">
        <f t="shared" si="0"/>
        <v>2.2739172897565205E-2</v>
      </c>
      <c r="E24" s="430">
        <f t="shared" si="1"/>
        <v>0</v>
      </c>
      <c r="F24" s="467"/>
      <c r="G24" s="380">
        <f t="shared" si="2"/>
        <v>103598250</v>
      </c>
      <c r="H24" s="354">
        <f>ROUND('6.1 Auxiliary Services YR2'!J22,2)</f>
        <v>5367830</v>
      </c>
      <c r="I24" s="154">
        <f>ROUND('6.2 Spec Ed Local YR2'!L19,2)</f>
        <v>11959030</v>
      </c>
      <c r="J24" s="354">
        <f>ROUND('6.7 Weighted Funding YR2'!E28,2)</f>
        <v>2291882</v>
      </c>
      <c r="K24" s="154">
        <f>ROUND('6.7 Weighted Funding YR2'!I28,2)</f>
        <v>1293697</v>
      </c>
      <c r="L24" s="159">
        <f>ROUND('6.7 Weighted Funding YR2'!M28,2)</f>
        <v>68414</v>
      </c>
      <c r="M24" s="2011">
        <f t="shared" si="3"/>
        <v>124579103</v>
      </c>
      <c r="N24" s="9"/>
    </row>
    <row r="25" spans="1:14" x14ac:dyDescent="0.3">
      <c r="B25" s="9" t="str">
        <f>'5.2 Budgeted Enrollment YR2'!E20</f>
        <v>Mineral</v>
      </c>
      <c r="C25" s="354">
        <f>'6.6 Adj. Base Summary YR2'!G26</f>
        <v>8475441</v>
      </c>
      <c r="D25" s="479">
        <f t="shared" si="0"/>
        <v>1.8603066970929812E-3</v>
      </c>
      <c r="E25" s="430">
        <f t="shared" si="1"/>
        <v>0</v>
      </c>
      <c r="F25" s="467"/>
      <c r="G25" s="380">
        <f t="shared" si="2"/>
        <v>8475441</v>
      </c>
      <c r="H25" s="354">
        <f>ROUND('6.1 Auxiliary Services YR2'!J23,2)</f>
        <v>588327</v>
      </c>
      <c r="I25" s="154">
        <f>ROUND('6.2 Spec Ed Local YR2'!L20,2)</f>
        <v>110574</v>
      </c>
      <c r="J25" s="354">
        <f>ROUND('6.7 Weighted Funding YR2'!E29,2)</f>
        <v>145381</v>
      </c>
      <c r="K25" s="154">
        <f>ROUND('6.7 Weighted Funding YR2'!I29,2)</f>
        <v>143005</v>
      </c>
      <c r="L25" s="159">
        <f>ROUND('6.7 Weighted Funding YR2'!M29,2)</f>
        <v>0</v>
      </c>
      <c r="M25" s="2011">
        <f t="shared" si="3"/>
        <v>9462728</v>
      </c>
      <c r="N25" s="9"/>
    </row>
    <row r="26" spans="1:14" x14ac:dyDescent="0.3">
      <c r="B26" s="9" t="str">
        <f>'5.2 Budgeted Enrollment YR2'!E21</f>
        <v>Nye</v>
      </c>
      <c r="C26" s="354">
        <f>'6.6 Adj. Base Summary YR2'!G27</f>
        <v>62908384</v>
      </c>
      <c r="D26" s="479">
        <f t="shared" si="0"/>
        <v>1.3807999850213923E-2</v>
      </c>
      <c r="E26" s="430">
        <f t="shared" si="1"/>
        <v>0</v>
      </c>
      <c r="F26" s="467"/>
      <c r="G26" s="380">
        <f t="shared" si="2"/>
        <v>62908384</v>
      </c>
      <c r="H26" s="354">
        <f>ROUND('6.1 Auxiliary Services YR2'!J24,2)</f>
        <v>4888451</v>
      </c>
      <c r="I26" s="154">
        <f>ROUND('6.2 Spec Ed Local YR2'!L21,2)</f>
        <v>12987281</v>
      </c>
      <c r="J26" s="354">
        <f>ROUND('6.7 Weighted Funding YR2'!E30,2)</f>
        <v>1612014</v>
      </c>
      <c r="K26" s="154">
        <f>ROUND('6.7 Weighted Funding YR2'!I30,2)</f>
        <v>901265</v>
      </c>
      <c r="L26" s="159">
        <f>ROUND('6.7 Weighted Funding YR2'!M30,2)</f>
        <v>0</v>
      </c>
      <c r="M26" s="2011">
        <f t="shared" si="3"/>
        <v>83297395</v>
      </c>
      <c r="N26" s="9"/>
    </row>
    <row r="27" spans="1:14" x14ac:dyDescent="0.3">
      <c r="B27" s="9" t="str">
        <f>'5.2 Budgeted Enrollment YR2'!E22</f>
        <v>Pershing</v>
      </c>
      <c r="C27" s="354">
        <f>'6.6 Adj. Base Summary YR2'!G28</f>
        <v>9813139</v>
      </c>
      <c r="D27" s="479">
        <f t="shared" si="0"/>
        <v>2.1539231057362469E-3</v>
      </c>
      <c r="E27" s="430">
        <f t="shared" si="1"/>
        <v>0</v>
      </c>
      <c r="F27" s="467"/>
      <c r="G27" s="380">
        <f t="shared" si="2"/>
        <v>9813139</v>
      </c>
      <c r="H27" s="354">
        <f>ROUND('6.1 Auxiliary Services YR2'!J25,2)</f>
        <v>944477</v>
      </c>
      <c r="I27" s="154">
        <f>ROUND('6.2 Spec Ed Local YR2'!L22,2)</f>
        <v>0</v>
      </c>
      <c r="J27" s="354">
        <f>ROUND('6.7 Weighted Funding YR2'!E31,2)</f>
        <v>124001</v>
      </c>
      <c r="K27" s="154">
        <f>ROUND('6.7 Weighted Funding YR2'!I31,2)</f>
        <v>93120</v>
      </c>
      <c r="L27" s="159">
        <f>ROUND('6.7 Weighted Funding YR2'!M31,2)</f>
        <v>0</v>
      </c>
      <c r="M27" s="2011">
        <f t="shared" si="3"/>
        <v>10974737</v>
      </c>
      <c r="N27" s="9"/>
    </row>
    <row r="28" spans="1:14" x14ac:dyDescent="0.3">
      <c r="B28" s="9" t="str">
        <f>'5.2 Budgeted Enrollment YR2'!E23</f>
        <v>Storey</v>
      </c>
      <c r="C28" s="354">
        <f>'6.6 Adj. Base Summary YR2'!G29</f>
        <v>6822368</v>
      </c>
      <c r="D28" s="479">
        <f t="shared" si="0"/>
        <v>1.497467433309116E-3</v>
      </c>
      <c r="E28" s="430">
        <f t="shared" si="1"/>
        <v>0</v>
      </c>
      <c r="F28" s="467"/>
      <c r="G28" s="380">
        <f t="shared" si="2"/>
        <v>6822368</v>
      </c>
      <c r="H28" s="354">
        <f>ROUND('6.1 Auxiliary Services YR2'!J26,2)</f>
        <v>839127</v>
      </c>
      <c r="I28" s="154">
        <f>ROUND('6.2 Spec Ed Local YR2'!L23,2)</f>
        <v>0</v>
      </c>
      <c r="J28" s="354">
        <f>ROUND('6.7 Weighted Funding YR2'!E32,2)</f>
        <v>4276</v>
      </c>
      <c r="K28" s="154">
        <f>ROUND('6.7 Weighted Funding YR2'!I32,2)</f>
        <v>29931</v>
      </c>
      <c r="L28" s="159">
        <f>ROUND('6.7 Weighted Funding YR2'!M32,2)</f>
        <v>0</v>
      </c>
      <c r="M28" s="2011">
        <f t="shared" si="3"/>
        <v>7695702</v>
      </c>
      <c r="N28" s="9"/>
    </row>
    <row r="29" spans="1:14" x14ac:dyDescent="0.3">
      <c r="B29" s="9" t="str">
        <f>'5.2 Budgeted Enrollment YR2'!E24</f>
        <v>Washoe</v>
      </c>
      <c r="C29" s="354">
        <f>'6.6 Adj. Base Summary YR2'!G30</f>
        <v>576216093</v>
      </c>
      <c r="D29" s="479">
        <f t="shared" si="0"/>
        <v>0.12647585615670642</v>
      </c>
      <c r="E29" s="430">
        <f t="shared" si="1"/>
        <v>0</v>
      </c>
      <c r="F29" s="467"/>
      <c r="G29" s="380">
        <f t="shared" si="2"/>
        <v>576216093</v>
      </c>
      <c r="H29" s="354">
        <f>ROUND('6.1 Auxiliary Services YR2'!J27,2)</f>
        <v>25630842</v>
      </c>
      <c r="I29" s="154">
        <f>ROUND('6.2 Spec Ed Local YR2'!L24,2)</f>
        <v>70479875</v>
      </c>
      <c r="J29" s="354">
        <f>ROUND('6.7 Weighted Funding YR2'!E33,2)</f>
        <v>28802462</v>
      </c>
      <c r="K29" s="154">
        <f>ROUND('6.7 Weighted Funding YR2'!I33,2)</f>
        <v>14636406</v>
      </c>
      <c r="L29" s="159">
        <f>ROUND('6.7 Weighted Funding YR2'!M33,2)</f>
        <v>1475471</v>
      </c>
      <c r="M29" s="2011">
        <f t="shared" si="3"/>
        <v>717241149</v>
      </c>
      <c r="N29" s="9"/>
    </row>
    <row r="30" spans="1:14" x14ac:dyDescent="0.3">
      <c r="A30" s="137"/>
      <c r="B30" s="137" t="str">
        <f>'5.2 Budgeted Enrollment YR2'!E25</f>
        <v>White Pine</v>
      </c>
      <c r="C30" s="365">
        <f>'6.6 Adj. Base Summary YR2'!G31</f>
        <v>18701836</v>
      </c>
      <c r="D30" s="480">
        <f t="shared" si="0"/>
        <v>4.1049369299762228E-3</v>
      </c>
      <c r="E30" s="856">
        <f t="shared" si="1"/>
        <v>0</v>
      </c>
      <c r="F30" s="467"/>
      <c r="G30" s="381">
        <f t="shared" si="2"/>
        <v>18701836</v>
      </c>
      <c r="H30" s="365">
        <f>ROUND('6.1 Auxiliary Services YR2'!J28,2)</f>
        <v>1342342</v>
      </c>
      <c r="I30" s="148">
        <f>ROUND('6.2 Spec Ed Local YR2'!L25,2)</f>
        <v>1129956</v>
      </c>
      <c r="J30" s="365">
        <f>ROUND('6.7 Weighted Funding YR2'!E34,2)</f>
        <v>64139</v>
      </c>
      <c r="K30" s="148">
        <f>ROUND('6.7 Weighted Funding YR2'!I34,2)</f>
        <v>399084</v>
      </c>
      <c r="L30" s="366">
        <f>ROUND('6.7 Weighted Funding YR2'!M34,2)</f>
        <v>0</v>
      </c>
      <c r="M30" s="2328">
        <f t="shared" si="3"/>
        <v>21637357</v>
      </c>
      <c r="N30" s="9"/>
    </row>
    <row r="31" spans="1:14" x14ac:dyDescent="0.3">
      <c r="B31" s="9" t="str">
        <f>'5.2 Budgeted Enrollment YR2'!E26</f>
        <v>Charter Schools</v>
      </c>
      <c r="C31" s="354">
        <f>C100</f>
        <v>689476468</v>
      </c>
      <c r="D31" s="479">
        <f>D100</f>
        <v>0.15133580552426884</v>
      </c>
      <c r="E31" s="430">
        <f>E100</f>
        <v>0</v>
      </c>
      <c r="F31" s="467"/>
      <c r="G31" s="380">
        <f t="shared" ref="G31:L31" si="4">G100</f>
        <v>689476468</v>
      </c>
      <c r="H31" s="375">
        <f t="shared" si="4"/>
        <v>28000000</v>
      </c>
      <c r="I31" s="385">
        <f t="shared" si="4"/>
        <v>24608056</v>
      </c>
      <c r="J31" s="375">
        <f t="shared" si="4"/>
        <v>27297350</v>
      </c>
      <c r="K31" s="385">
        <f t="shared" si="4"/>
        <v>6674683</v>
      </c>
      <c r="L31" s="380">
        <f t="shared" si="4"/>
        <v>1700097</v>
      </c>
      <c r="M31" s="375">
        <f t="shared" si="3"/>
        <v>777756654</v>
      </c>
      <c r="N31" s="9"/>
    </row>
    <row r="32" spans="1:14" x14ac:dyDescent="0.3">
      <c r="B32" s="9" t="str">
        <f>'5.2 Budgeted Enrollment YR2'!E27</f>
        <v>University Schools</v>
      </c>
      <c r="C32" s="354">
        <f>C105</f>
        <v>1595237</v>
      </c>
      <c r="D32" s="479">
        <f>D105</f>
        <v>3.5014462074014981E-4</v>
      </c>
      <c r="E32" s="430">
        <f>E105</f>
        <v>0</v>
      </c>
      <c r="F32" s="467"/>
      <c r="G32" s="380">
        <f t="shared" ref="G32:L32" si="5">G105</f>
        <v>1595237</v>
      </c>
      <c r="H32" s="375">
        <f t="shared" si="5"/>
        <v>0</v>
      </c>
      <c r="I32" s="385">
        <f t="shared" si="5"/>
        <v>52268</v>
      </c>
      <c r="J32" s="375">
        <f t="shared" si="5"/>
        <v>0</v>
      </c>
      <c r="K32" s="385">
        <f t="shared" si="5"/>
        <v>0</v>
      </c>
      <c r="L32" s="380">
        <f t="shared" si="5"/>
        <v>0</v>
      </c>
      <c r="M32" s="375">
        <f t="shared" si="3"/>
        <v>1647505</v>
      </c>
      <c r="N32" s="9"/>
    </row>
    <row r="33" spans="1:14" x14ac:dyDescent="0.3">
      <c r="B33" s="9" t="str">
        <f>'5.2 Budgeted Enrollment YR2'!E28</f>
        <v>City of Henderson</v>
      </c>
      <c r="C33" s="354">
        <f>C110</f>
        <v>0</v>
      </c>
      <c r="D33" s="479">
        <f>D110</f>
        <v>0</v>
      </c>
      <c r="E33" s="430">
        <f>E110</f>
        <v>0</v>
      </c>
      <c r="F33" s="467"/>
      <c r="G33" s="380">
        <f t="shared" ref="G33:L33" si="6">G110</f>
        <v>0</v>
      </c>
      <c r="H33" s="375">
        <f t="shared" si="6"/>
        <v>0</v>
      </c>
      <c r="I33" s="385">
        <f t="shared" si="6"/>
        <v>0</v>
      </c>
      <c r="J33" s="375">
        <f t="shared" si="6"/>
        <v>0</v>
      </c>
      <c r="K33" s="385">
        <f t="shared" si="6"/>
        <v>0</v>
      </c>
      <c r="L33" s="380">
        <f t="shared" si="6"/>
        <v>0</v>
      </c>
      <c r="M33" s="375">
        <f t="shared" si="3"/>
        <v>0</v>
      </c>
      <c r="N33" s="9"/>
    </row>
    <row r="34" spans="1:14" x14ac:dyDescent="0.3">
      <c r="A34" s="137"/>
      <c r="B34" s="137" t="str">
        <f>'5.2 Budgeted Enrollment YR2'!E29</f>
        <v>City of North Las Vegas</v>
      </c>
      <c r="C34" s="365">
        <f>C115</f>
        <v>0</v>
      </c>
      <c r="D34" s="480">
        <f>D115</f>
        <v>0</v>
      </c>
      <c r="E34" s="856">
        <f>E115</f>
        <v>0</v>
      </c>
      <c r="F34" s="467"/>
      <c r="G34" s="381">
        <f t="shared" ref="G34:L34" si="7">G115</f>
        <v>0</v>
      </c>
      <c r="H34" s="376">
        <f t="shared" si="7"/>
        <v>0</v>
      </c>
      <c r="I34" s="391">
        <f t="shared" si="7"/>
        <v>0</v>
      </c>
      <c r="J34" s="376">
        <f t="shared" si="7"/>
        <v>0</v>
      </c>
      <c r="K34" s="391">
        <f t="shared" si="7"/>
        <v>0</v>
      </c>
      <c r="L34" s="381">
        <f t="shared" si="7"/>
        <v>0</v>
      </c>
      <c r="M34" s="376">
        <f t="shared" si="3"/>
        <v>0</v>
      </c>
      <c r="N34" s="9"/>
    </row>
    <row r="35" spans="1:14" s="4" customFormat="1" x14ac:dyDescent="0.3">
      <c r="A35" s="204"/>
      <c r="B35" s="135" t="s">
        <v>1354</v>
      </c>
      <c r="C35" s="1426">
        <f>SUM(C14:C34)</f>
        <v>4555937477</v>
      </c>
      <c r="D35" s="401">
        <f>SUM(D14:D34)</f>
        <v>1.0000000000000004</v>
      </c>
      <c r="E35" s="1425">
        <f>SUM(E14:E34)</f>
        <v>0</v>
      </c>
      <c r="F35" s="467"/>
      <c r="G35" s="400">
        <f t="shared" ref="G35:M35" si="8">SUM(G14:G34)</f>
        <v>4555937477</v>
      </c>
      <c r="H35" s="388">
        <f t="shared" si="8"/>
        <v>222256958</v>
      </c>
      <c r="I35" s="1726">
        <f t="shared" si="8"/>
        <v>599568343</v>
      </c>
      <c r="J35" s="388">
        <f t="shared" si="8"/>
        <v>234845260</v>
      </c>
      <c r="K35" s="1726">
        <f t="shared" si="8"/>
        <v>166531106</v>
      </c>
      <c r="L35" s="388">
        <f t="shared" si="8"/>
        <v>9945172</v>
      </c>
      <c r="M35" s="388">
        <f t="shared" si="8"/>
        <v>5789084316</v>
      </c>
      <c r="N35" s="467"/>
    </row>
    <row r="36" spans="1:14" x14ac:dyDescent="0.3">
      <c r="C36" s="813">
        <f>C35-'6.6 Adj. Base Summary YR2'!G36</f>
        <v>0</v>
      </c>
      <c r="D36" s="813"/>
      <c r="E36" s="2059"/>
      <c r="F36" s="467"/>
      <c r="G36" s="813"/>
      <c r="H36" s="2013">
        <f>H35-'6.1 Auxiliary Services YR2'!J33</f>
        <v>28000000</v>
      </c>
      <c r="I36" s="797">
        <f>I35-'6.2 Spec Ed Local YR2'!L30</f>
        <v>0</v>
      </c>
      <c r="J36" s="2013"/>
      <c r="K36" s="797"/>
      <c r="L36" s="2013"/>
      <c r="M36" s="606">
        <f>M35-'5.3 Budgeted Revenues YR2'!C40</f>
        <v>28000000</v>
      </c>
      <c r="N36" s="9"/>
    </row>
    <row r="37" spans="1:14" x14ac:dyDescent="0.3">
      <c r="A37" s="4" t="s">
        <v>305</v>
      </c>
      <c r="C37" s="99"/>
      <c r="D37" s="99"/>
      <c r="E37" s="141"/>
      <c r="F37" s="467"/>
      <c r="G37" s="99"/>
      <c r="H37" s="104"/>
      <c r="I37" s="89"/>
      <c r="J37" s="104"/>
      <c r="K37" s="89"/>
      <c r="L37" s="104"/>
      <c r="M37" s="100"/>
      <c r="N37" s="9"/>
    </row>
    <row r="38" spans="1:14" x14ac:dyDescent="0.3">
      <c r="B38" s="9" t="str">
        <f>'5.2 Budgeted Enrollment YR2'!E34</f>
        <v>FuturEdge (Formerly 100 Academy Of Excellence)</v>
      </c>
      <c r="C38" s="354">
        <f>'6.6 Adj. Base Summary YR2'!G39</f>
        <v>2288665</v>
      </c>
      <c r="D38" s="607">
        <f>C38/$C$35</f>
        <v>5.0234776301342999E-4</v>
      </c>
      <c r="E38" s="430">
        <f>ROUND(D38*$C$6,0)</f>
        <v>0</v>
      </c>
      <c r="F38" s="467"/>
      <c r="G38" s="380">
        <f>ROUND(C38+E38,2)</f>
        <v>2288665</v>
      </c>
      <c r="H38" s="354">
        <f>ROUND('6.1 Auxiliary Services YR2'!G83,2)</f>
        <v>0</v>
      </c>
      <c r="I38" s="154">
        <f>ROUND('6.2 Spec Ed Local YR2'!L34,2)</f>
        <v>190820</v>
      </c>
      <c r="J38" s="354">
        <f>ROUND('6.7 Weighted Funding YR2'!E42,2)</f>
        <v>115449</v>
      </c>
      <c r="K38" s="154">
        <f>ROUND('6.7 Weighted Funding YR2'!I42,2)</f>
        <v>262730</v>
      </c>
      <c r="L38" s="354">
        <f>ROUND('6.7 Weighted Funding YR2'!M42,2)</f>
        <v>0</v>
      </c>
      <c r="M38" s="402">
        <f>SUM(G38:L38)</f>
        <v>2857664</v>
      </c>
      <c r="N38" s="9"/>
    </row>
    <row r="39" spans="1:14" x14ac:dyDescent="0.3">
      <c r="B39" s="9" t="str">
        <f>'5.2 Budgeted Enrollment YR2'!E35</f>
        <v>Academy For Career Education</v>
      </c>
      <c r="C39" s="354">
        <f>'6.6 Adj. Base Summary YR2'!G40</f>
        <v>2409504</v>
      </c>
      <c r="D39" s="607">
        <f t="shared" ref="D39:D99" si="9">C39/$C$35</f>
        <v>5.2887117353212962E-4</v>
      </c>
      <c r="E39" s="430">
        <f t="shared" ref="E39:E99" si="10">ROUND(D39*$C$6,0)</f>
        <v>0</v>
      </c>
      <c r="F39" s="467"/>
      <c r="G39" s="380">
        <f t="shared" ref="G39:G99" si="11">ROUND(C39+E39,2)</f>
        <v>2409504</v>
      </c>
      <c r="H39" s="354">
        <f>ROUND('6.1 Auxiliary Services YR2'!G84,2)</f>
        <v>0</v>
      </c>
      <c r="I39" s="154">
        <f>ROUND('6.2 Spec Ed Local YR2'!L35,2)</f>
        <v>0</v>
      </c>
      <c r="J39" s="354">
        <f>ROUND('6.7 Weighted Funding YR2'!E43,2)</f>
        <v>115449</v>
      </c>
      <c r="K39" s="154">
        <f>ROUND('6.7 Weighted Funding YR2'!I43,2)</f>
        <v>13303</v>
      </c>
      <c r="L39" s="354">
        <f>ROUND('6.7 Weighted Funding YR2'!M43,2)</f>
        <v>0</v>
      </c>
      <c r="M39" s="402">
        <f t="shared" ref="M39:M100" si="12">SUM(G39:L39)</f>
        <v>2538256</v>
      </c>
      <c r="N39" s="9"/>
    </row>
    <row r="40" spans="1:14" x14ac:dyDescent="0.3">
      <c r="B40" s="9" t="str">
        <f>'5.2 Budgeted Enrollment YR2'!E36</f>
        <v xml:space="preserve">Alpine Academy </v>
      </c>
      <c r="C40" s="354">
        <f>'6.6 Adj. Base Summary YR2'!G41</f>
        <v>1561354</v>
      </c>
      <c r="D40" s="607">
        <f t="shared" si="9"/>
        <v>3.4270751253332002E-4</v>
      </c>
      <c r="E40" s="430">
        <f t="shared" si="10"/>
        <v>0</v>
      </c>
      <c r="F40" s="467"/>
      <c r="G40" s="380">
        <f t="shared" si="11"/>
        <v>1561354</v>
      </c>
      <c r="H40" s="354">
        <f>ROUND('6.1 Auxiliary Services YR2'!G85,2)</f>
        <v>0</v>
      </c>
      <c r="I40" s="154">
        <f>ROUND('6.2 Spec Ed Local YR2'!L36,2)</f>
        <v>30681</v>
      </c>
      <c r="J40" s="354">
        <f>ROUND('6.7 Weighted Funding YR2'!E44,2)</f>
        <v>21380</v>
      </c>
      <c r="K40" s="154">
        <f>ROUND('6.7 Weighted Funding YR2'!I44,2)</f>
        <v>26606</v>
      </c>
      <c r="L40" s="354">
        <f>ROUND('6.7 Weighted Funding YR2'!M44,2)</f>
        <v>0</v>
      </c>
      <c r="M40" s="402">
        <f t="shared" si="12"/>
        <v>1640021</v>
      </c>
      <c r="N40" s="9"/>
    </row>
    <row r="41" spans="1:14" x14ac:dyDescent="0.3">
      <c r="B41" s="9" t="str">
        <f>'5.2 Budgeted Enrollment YR2'!E37</f>
        <v xml:space="preserve">Amplus (Formerly American Preparatory Academy) </v>
      </c>
      <c r="C41" s="354">
        <f>'6.6 Adj. Base Summary YR2'!G42</f>
        <v>22509299</v>
      </c>
      <c r="D41" s="607">
        <f t="shared" si="9"/>
        <v>4.9406514276446904E-3</v>
      </c>
      <c r="E41" s="430">
        <f t="shared" si="10"/>
        <v>0</v>
      </c>
      <c r="F41" s="467"/>
      <c r="G41" s="380">
        <f t="shared" si="11"/>
        <v>22509299</v>
      </c>
      <c r="H41" s="354">
        <f>ROUND('6.1 Auxiliary Services YR2'!G86,2)</f>
        <v>0</v>
      </c>
      <c r="I41" s="154">
        <f>ROUND('6.2 Spec Ed Local YR2'!L37,2)</f>
        <v>419964</v>
      </c>
      <c r="J41" s="354">
        <f>ROUND('6.7 Weighted Funding YR2'!E45,2)</f>
        <v>637109</v>
      </c>
      <c r="K41" s="154">
        <f>ROUND('6.7 Weighted Funding YR2'!I45,2)</f>
        <v>29931</v>
      </c>
      <c r="L41" s="354">
        <f>ROUND('6.7 Weighted Funding YR2'!M45,2)</f>
        <v>67274</v>
      </c>
      <c r="M41" s="402">
        <f t="shared" si="12"/>
        <v>23663577</v>
      </c>
      <c r="N41" s="9"/>
    </row>
    <row r="42" spans="1:14" x14ac:dyDescent="0.3">
      <c r="B42" s="9" t="str">
        <f>'5.2 Budgeted Enrollment YR2'!E38</f>
        <v>Bailey Charter School</v>
      </c>
      <c r="C42" s="354">
        <f>'6.6 Adj. Base Summary YR2'!G43</f>
        <v>1582456</v>
      </c>
      <c r="D42" s="607">
        <f t="shared" si="9"/>
        <v>3.4733927056479664E-4</v>
      </c>
      <c r="E42" s="430">
        <f t="shared" si="10"/>
        <v>0</v>
      </c>
      <c r="F42" s="467"/>
      <c r="G42" s="380">
        <f t="shared" si="11"/>
        <v>1582456</v>
      </c>
      <c r="H42" s="354">
        <f>ROUND('6.1 Auxiliary Services YR2'!G87,2)</f>
        <v>0</v>
      </c>
      <c r="I42" s="154">
        <f>ROUND('6.2 Spec Ed Local YR2'!L38,2)</f>
        <v>33894</v>
      </c>
      <c r="J42" s="354">
        <f>ROUND('6.7 Weighted Funding YR2'!E46,2)</f>
        <v>277934</v>
      </c>
      <c r="K42" s="154">
        <f>ROUND('6.7 Weighted Funding YR2'!I46,2)</f>
        <v>103097</v>
      </c>
      <c r="L42" s="354">
        <f>ROUND('6.7 Weighted Funding YR2'!M46,2)</f>
        <v>0</v>
      </c>
      <c r="M42" s="402">
        <f t="shared" si="12"/>
        <v>1997381</v>
      </c>
      <c r="N42" s="9"/>
    </row>
    <row r="43" spans="1:14" x14ac:dyDescent="0.3">
      <c r="B43" s="9" t="str">
        <f>'5.2 Budgeted Enrollment YR2'!E39</f>
        <v>Battle Born Academy</v>
      </c>
      <c r="C43" s="354">
        <f>'6.6 Adj. Base Summary YR2'!G44</f>
        <v>2570608</v>
      </c>
      <c r="D43" s="607">
        <f t="shared" si="9"/>
        <v>5.642325016480906E-4</v>
      </c>
      <c r="E43" s="430">
        <f t="shared" si="10"/>
        <v>0</v>
      </c>
      <c r="F43" s="467"/>
      <c r="G43" s="380">
        <f t="shared" si="11"/>
        <v>2570608</v>
      </c>
      <c r="H43" s="354">
        <f>ROUND('6.1 Auxiliary Services YR2'!G88,2)</f>
        <v>0</v>
      </c>
      <c r="I43" s="154">
        <f>ROUND('6.2 Spec Ed Local YR2'!L39,2)</f>
        <v>153810</v>
      </c>
      <c r="J43" s="354">
        <f>ROUND('6.7 Weighted Funding YR2'!E47,2)</f>
        <v>602902</v>
      </c>
      <c r="K43" s="154">
        <f>ROUND('6.7 Weighted Funding YR2'!I47,2)</f>
        <v>0</v>
      </c>
      <c r="L43" s="354">
        <f>ROUND('6.7 Weighted Funding YR2'!M47,2)</f>
        <v>0</v>
      </c>
      <c r="M43" s="402">
        <f t="shared" si="12"/>
        <v>3327320</v>
      </c>
      <c r="N43" s="9"/>
    </row>
    <row r="44" spans="1:14" x14ac:dyDescent="0.3">
      <c r="B44" s="9" t="str">
        <f>'5.2 Budgeted Enrollment YR2'!E40</f>
        <v>Beacon Academy</v>
      </c>
      <c r="C44" s="354">
        <f>'6.6 Adj. Base Summary YR2'!G45</f>
        <v>8148147</v>
      </c>
      <c r="D44" s="607">
        <f t="shared" si="9"/>
        <v>1.7884676954270679E-3</v>
      </c>
      <c r="E44" s="430">
        <f t="shared" si="10"/>
        <v>0</v>
      </c>
      <c r="F44" s="467"/>
      <c r="G44" s="380">
        <f t="shared" si="11"/>
        <v>8148147</v>
      </c>
      <c r="H44" s="354">
        <f>ROUND('6.1 Auxiliary Services YR2'!G89,2)</f>
        <v>0</v>
      </c>
      <c r="I44" s="154">
        <f>ROUND('6.2 Spec Ed Local YR2'!L40,2)</f>
        <v>801317</v>
      </c>
      <c r="J44" s="354">
        <f>ROUND('6.7 Weighted Funding YR2'!E48,2)</f>
        <v>525936</v>
      </c>
      <c r="K44" s="154">
        <f>ROUND('6.7 Weighted Funding YR2'!I48,2)</f>
        <v>868008</v>
      </c>
      <c r="L44" s="354">
        <f>ROUND('6.7 Weighted Funding YR2'!M48,2)</f>
        <v>0</v>
      </c>
      <c r="M44" s="402">
        <f t="shared" si="12"/>
        <v>10343408</v>
      </c>
      <c r="N44" s="9"/>
    </row>
    <row r="45" spans="1:14" x14ac:dyDescent="0.3">
      <c r="B45" s="9" t="str">
        <f>'5.2 Budgeted Enrollment YR2'!E41</f>
        <v>Cactus Park</v>
      </c>
      <c r="C45" s="354">
        <f>'6.6 Adj. Base Summary YR2'!G46</f>
        <v>2865731</v>
      </c>
      <c r="D45" s="607">
        <f t="shared" si="9"/>
        <v>6.2901016848173046E-4</v>
      </c>
      <c r="E45" s="430">
        <f t="shared" si="10"/>
        <v>0</v>
      </c>
      <c r="F45" s="467"/>
      <c r="G45" s="380">
        <f t="shared" si="11"/>
        <v>2865731</v>
      </c>
      <c r="H45" s="354">
        <f>ROUND('6.1 Auxiliary Services YR2'!G90,2)</f>
        <v>0</v>
      </c>
      <c r="I45" s="154">
        <f>ROUND('6.2 Spec Ed Local YR2'!L41,2)</f>
        <v>31624</v>
      </c>
      <c r="J45" s="354">
        <f>ROUND('6.7 Weighted Funding YR2'!E49,2)</f>
        <v>273658</v>
      </c>
      <c r="K45" s="154">
        <f>ROUND('6.7 Weighted Funding YR2'!I49,2)</f>
        <v>0</v>
      </c>
      <c r="L45" s="354">
        <f>ROUND('6.7 Weighted Funding YR2'!M49,2)</f>
        <v>0</v>
      </c>
      <c r="M45" s="402">
        <f t="shared" si="12"/>
        <v>3171013</v>
      </c>
      <c r="N45" s="9"/>
    </row>
    <row r="46" spans="1:14" x14ac:dyDescent="0.3">
      <c r="B46" s="9" t="str">
        <f>'5.2 Budgeted Enrollment YR2'!E42</f>
        <v>Carson Montessori</v>
      </c>
      <c r="C46" s="354">
        <f>'6.6 Adj. Base Summary YR2'!G47</f>
        <v>3028401</v>
      </c>
      <c r="D46" s="607">
        <f t="shared" si="9"/>
        <v>6.6471522387838954E-4</v>
      </c>
      <c r="E46" s="430">
        <f t="shared" si="10"/>
        <v>0</v>
      </c>
      <c r="F46" s="467"/>
      <c r="G46" s="380">
        <f t="shared" si="11"/>
        <v>3028401</v>
      </c>
      <c r="H46" s="354">
        <f>ROUND('6.1 Auxiliary Services YR2'!G91,2)</f>
        <v>0</v>
      </c>
      <c r="I46" s="154">
        <f>ROUND('6.2 Spec Ed Local YR2'!L42,2)</f>
        <v>67318</v>
      </c>
      <c r="J46" s="354">
        <f>ROUND('6.7 Weighted Funding YR2'!E50,2)</f>
        <v>21380</v>
      </c>
      <c r="K46" s="154">
        <f>ROUND('6.7 Weighted Funding YR2'!I50,2)</f>
        <v>3326</v>
      </c>
      <c r="L46" s="354">
        <f>ROUND('6.7 Weighted Funding YR2'!M50,2)</f>
        <v>1140</v>
      </c>
      <c r="M46" s="402">
        <f t="shared" si="12"/>
        <v>3121565</v>
      </c>
      <c r="N46" s="9"/>
    </row>
    <row r="47" spans="1:14" x14ac:dyDescent="0.3">
      <c r="B47" s="9" t="str">
        <f>'5.2 Budgeted Enrollment YR2'!E43</f>
        <v>CIVICA Nevada Career &amp; Collegiate Academy</v>
      </c>
      <c r="C47" s="354">
        <f>'6.6 Adj. Base Summary YR2'!G48</f>
        <v>8707057</v>
      </c>
      <c r="D47" s="607">
        <f t="shared" si="9"/>
        <v>1.9111449715796878E-3</v>
      </c>
      <c r="E47" s="430">
        <f t="shared" si="10"/>
        <v>0</v>
      </c>
      <c r="F47" s="467"/>
      <c r="G47" s="380">
        <f t="shared" si="11"/>
        <v>8707057</v>
      </c>
      <c r="H47" s="354">
        <f>ROUND('6.1 Auxiliary Services YR2'!G92,2)</f>
        <v>0</v>
      </c>
      <c r="I47" s="154">
        <f>ROUND('6.2 Spec Ed Local YR2'!L43,2)</f>
        <v>257639</v>
      </c>
      <c r="J47" s="354">
        <f>ROUND('6.7 Weighted Funding YR2'!E51,2)</f>
        <v>1445254</v>
      </c>
      <c r="K47" s="154">
        <f>ROUND('6.7 Weighted Funding YR2'!I51,2)</f>
        <v>16629</v>
      </c>
      <c r="L47" s="354">
        <f>ROUND('6.7 Weighted Funding YR2'!M51,2)</f>
        <v>0</v>
      </c>
      <c r="M47" s="402">
        <f t="shared" si="12"/>
        <v>10426579</v>
      </c>
      <c r="N47" s="9"/>
    </row>
    <row r="48" spans="1:14" x14ac:dyDescent="0.3">
      <c r="B48" s="9" t="str">
        <f>'5.2 Budgeted Enrollment YR2'!E44</f>
        <v>Coral Academy of Science Las Vegas</v>
      </c>
      <c r="C48" s="354">
        <f>'6.6 Adj. Base Summary YR2'!G49</f>
        <v>52073871</v>
      </c>
      <c r="D48" s="607">
        <f t="shared" si="9"/>
        <v>1.1429891490585089E-2</v>
      </c>
      <c r="E48" s="430">
        <f t="shared" si="10"/>
        <v>0</v>
      </c>
      <c r="F48" s="467"/>
      <c r="G48" s="380">
        <f t="shared" si="11"/>
        <v>52073871</v>
      </c>
      <c r="H48" s="354">
        <f>ROUND('6.1 Auxiliary Services YR2'!G93,2)</f>
        <v>0</v>
      </c>
      <c r="I48" s="154">
        <f>ROUND('6.2 Spec Ed Local YR2'!L44,2)</f>
        <v>620880</v>
      </c>
      <c r="J48" s="354">
        <f>ROUND('6.7 Weighted Funding YR2'!E52,2)</f>
        <v>1128838</v>
      </c>
      <c r="K48" s="154">
        <f>ROUND('6.7 Weighted Funding YR2'!I52,2)</f>
        <v>56537</v>
      </c>
      <c r="L48" s="354">
        <f>ROUND('6.7 Weighted Funding YR2'!M52,2)</f>
        <v>69555</v>
      </c>
      <c r="M48" s="402">
        <f t="shared" si="12"/>
        <v>53949681</v>
      </c>
      <c r="N48" s="9"/>
    </row>
    <row r="49" spans="2:14" x14ac:dyDescent="0.3">
      <c r="B49" s="9" t="str">
        <f>'5.2 Budgeted Enrollment YR2'!E45</f>
        <v>Coral Academy Washoe</v>
      </c>
      <c r="C49" s="354">
        <f>'6.6 Adj. Base Summary YR2'!G50</f>
        <v>19270054</v>
      </c>
      <c r="D49" s="607">
        <f t="shared" si="9"/>
        <v>4.2296572543591999E-3</v>
      </c>
      <c r="E49" s="430">
        <f t="shared" si="10"/>
        <v>0</v>
      </c>
      <c r="F49" s="467"/>
      <c r="G49" s="380">
        <f t="shared" si="11"/>
        <v>19270054</v>
      </c>
      <c r="H49" s="354">
        <f>ROUND('6.1 Auxiliary Services YR2'!G94,2)</f>
        <v>0</v>
      </c>
      <c r="I49" s="154">
        <f>ROUND('6.2 Spec Ed Local YR2'!L45,2)</f>
        <v>342530</v>
      </c>
      <c r="J49" s="354">
        <f>ROUND('6.7 Weighted Funding YR2'!E53,2)</f>
        <v>692696</v>
      </c>
      <c r="K49" s="154">
        <f>ROUND('6.7 Weighted Funding YR2'!I53,2)</f>
        <v>139679</v>
      </c>
      <c r="L49" s="354">
        <f>ROUND('6.7 Weighted Funding YR2'!M53,2)</f>
        <v>1140</v>
      </c>
      <c r="M49" s="402">
        <f t="shared" si="12"/>
        <v>20446099</v>
      </c>
      <c r="N49" s="9"/>
    </row>
    <row r="50" spans="2:14" x14ac:dyDescent="0.3">
      <c r="B50" s="9" t="str">
        <f>'5.2 Budgeted Enrollment YR2'!E46</f>
        <v>Delta Academy</v>
      </c>
      <c r="C50" s="354">
        <f>'6.6 Adj. Base Summary YR2'!G51</f>
        <v>13350386</v>
      </c>
      <c r="D50" s="607">
        <f t="shared" si="9"/>
        <v>2.9303268684870059E-3</v>
      </c>
      <c r="E50" s="430">
        <f t="shared" si="10"/>
        <v>0</v>
      </c>
      <c r="F50" s="467"/>
      <c r="G50" s="380">
        <f t="shared" si="11"/>
        <v>13350386</v>
      </c>
      <c r="H50" s="354">
        <f>ROUND('6.1 Auxiliary Services YR2'!G95,2)</f>
        <v>0</v>
      </c>
      <c r="I50" s="154">
        <f>ROUND('6.2 Spec Ed Local YR2'!L46,2)</f>
        <v>423899</v>
      </c>
      <c r="J50" s="354">
        <f>ROUND('6.7 Weighted Funding YR2'!E54,2)</f>
        <v>444694</v>
      </c>
      <c r="K50" s="154">
        <f>ROUND('6.7 Weighted Funding YR2'!I54,2)</f>
        <v>1047596</v>
      </c>
      <c r="L50" s="354">
        <f>ROUND('6.7 Weighted Funding YR2'!M54,2)</f>
        <v>0</v>
      </c>
      <c r="M50" s="402">
        <f t="shared" si="12"/>
        <v>15266575</v>
      </c>
      <c r="N50" s="9"/>
    </row>
    <row r="51" spans="2:14" x14ac:dyDescent="0.3">
      <c r="B51" s="9" t="str">
        <f>'5.2 Budgeted Enrollment YR2'!E47</f>
        <v>Democracy Prep</v>
      </c>
      <c r="C51" s="354">
        <f>'6.6 Adj. Base Summary YR2'!G52</f>
        <v>12153103</v>
      </c>
      <c r="D51" s="607">
        <f t="shared" si="9"/>
        <v>2.6675306808649603E-3</v>
      </c>
      <c r="E51" s="430">
        <f t="shared" si="10"/>
        <v>0</v>
      </c>
      <c r="F51" s="467"/>
      <c r="G51" s="380">
        <f t="shared" si="11"/>
        <v>12153103</v>
      </c>
      <c r="H51" s="354">
        <f>ROUND('6.1 Auxiliary Services YR2'!G96,2)</f>
        <v>0</v>
      </c>
      <c r="I51" s="154">
        <f>ROUND('6.2 Spec Ed Local YR2'!L47,2)</f>
        <v>0</v>
      </c>
      <c r="J51" s="354">
        <f>ROUND('6.7 Weighted Funding YR2'!E55,2)</f>
        <v>444694</v>
      </c>
      <c r="K51" s="154">
        <f>ROUND('6.7 Weighted Funding YR2'!I55,2)</f>
        <v>588649</v>
      </c>
      <c r="L51" s="354">
        <f>ROUND('6.7 Weighted Funding YR2'!M55,2)</f>
        <v>0</v>
      </c>
      <c r="M51" s="402">
        <f t="shared" si="12"/>
        <v>13186446</v>
      </c>
      <c r="N51" s="9"/>
    </row>
    <row r="52" spans="2:14" x14ac:dyDescent="0.3">
      <c r="B52" s="9" t="str">
        <f>'5.2 Budgeted Enrollment YR2'!E48</f>
        <v>Discovery Charter</v>
      </c>
      <c r="C52" s="354">
        <f>'6.6 Adj. Base Summary YR2'!G53</f>
        <v>4749096</v>
      </c>
      <c r="D52" s="607">
        <f t="shared" si="9"/>
        <v>1.0423970969696431E-3</v>
      </c>
      <c r="E52" s="430">
        <f t="shared" si="10"/>
        <v>0</v>
      </c>
      <c r="F52" s="467"/>
      <c r="G52" s="380">
        <f t="shared" si="11"/>
        <v>4749096</v>
      </c>
      <c r="H52" s="354">
        <f>ROUND('6.1 Auxiliary Services YR2'!G97,2)</f>
        <v>0</v>
      </c>
      <c r="I52" s="154">
        <f>ROUND('6.2 Spec Ed Local YR2'!L48,2)</f>
        <v>130158</v>
      </c>
      <c r="J52" s="354">
        <f>ROUND('6.7 Weighted Funding YR2'!E56,2)</f>
        <v>235175</v>
      </c>
      <c r="K52" s="154">
        <f>ROUND('6.7 Weighted Funding YR2'!I56,2)</f>
        <v>9977</v>
      </c>
      <c r="L52" s="354">
        <f>ROUND('6.7 Weighted Funding YR2'!M56,2)</f>
        <v>0</v>
      </c>
      <c r="M52" s="402">
        <f t="shared" si="12"/>
        <v>5124406</v>
      </c>
      <c r="N52" s="9"/>
    </row>
    <row r="53" spans="2:14" x14ac:dyDescent="0.3">
      <c r="B53" s="9" t="str">
        <f>'5.2 Budgeted Enrollment YR2'!E49</f>
        <v>Do and Be Academy of Excellence</v>
      </c>
      <c r="C53" s="354">
        <f>'6.6 Adj. Base Summary YR2'!G54</f>
        <v>526832</v>
      </c>
      <c r="D53" s="607">
        <f t="shared" si="9"/>
        <v>1.156363542431467E-4</v>
      </c>
      <c r="E53" s="430">
        <f t="shared" si="10"/>
        <v>0</v>
      </c>
      <c r="F53" s="467"/>
      <c r="G53" s="380">
        <f t="shared" ref="G53" si="13">ROUND(C53+E53,2)</f>
        <v>526832</v>
      </c>
      <c r="H53" s="354">
        <f>ROUND('6.1 Auxiliary Services YR2'!G98,2)</f>
        <v>0</v>
      </c>
      <c r="I53" s="154">
        <f>ROUND('6.2 Spec Ed Local YR2'!L49,2)</f>
        <v>0</v>
      </c>
      <c r="J53" s="354">
        <f>ROUND('6.7 Weighted Funding YR2'!E57,2)</f>
        <v>0</v>
      </c>
      <c r="K53" s="154">
        <f>ROUND('6.7 Weighted Funding YR2'!I57,2)</f>
        <v>0</v>
      </c>
      <c r="L53" s="354">
        <f>ROUND('6.7 Weighted Funding YR2'!M57,2)</f>
        <v>0</v>
      </c>
      <c r="M53" s="402">
        <f t="shared" si="12"/>
        <v>526832</v>
      </c>
      <c r="N53" s="9" t="s">
        <v>370</v>
      </c>
    </row>
    <row r="54" spans="2:14" x14ac:dyDescent="0.3">
      <c r="B54" s="9" t="str">
        <f>'5.2 Budgeted Enrollment YR2'!E50</f>
        <v>Doral Academy</v>
      </c>
      <c r="C54" s="354">
        <f>'6.6 Adj. Base Summary YR2'!G55</f>
        <v>61418346</v>
      </c>
      <c r="D54" s="607">
        <f t="shared" si="9"/>
        <v>1.3480945757061363E-2</v>
      </c>
      <c r="E54" s="430">
        <f t="shared" si="10"/>
        <v>0</v>
      </c>
      <c r="F54" s="467"/>
      <c r="G54" s="380">
        <f t="shared" si="11"/>
        <v>61418346</v>
      </c>
      <c r="H54" s="354">
        <f>ROUND('6.1 Auxiliary Services YR2'!G99,2)</f>
        <v>0</v>
      </c>
      <c r="I54" s="154">
        <f>ROUND('6.2 Spec Ed Local YR2'!L50,2)</f>
        <v>2791360</v>
      </c>
      <c r="J54" s="354">
        <f>ROUND('6.7 Weighted Funding YR2'!E58,2)</f>
        <v>992009</v>
      </c>
      <c r="K54" s="154">
        <f>ROUND('6.7 Weighted Funding YR2'!I58,2)</f>
        <v>23280</v>
      </c>
      <c r="L54" s="354">
        <f>ROUND('6.7 Weighted Funding YR2'!M58,2)</f>
        <v>376279</v>
      </c>
      <c r="M54" s="402">
        <f t="shared" si="12"/>
        <v>65601274</v>
      </c>
      <c r="N54" s="9"/>
    </row>
    <row r="55" spans="2:14" x14ac:dyDescent="0.3">
      <c r="B55" s="9" t="str">
        <f>'5.2 Budgeted Enrollment YR2'!E51</f>
        <v>Doral Academy of Northern Nevada</v>
      </c>
      <c r="C55" s="354">
        <f>'6.6 Adj. Base Summary YR2'!G56</f>
        <v>9680427</v>
      </c>
      <c r="D55" s="607">
        <f t="shared" si="9"/>
        <v>2.1247936454067366E-3</v>
      </c>
      <c r="E55" s="430">
        <f t="shared" si="10"/>
        <v>0</v>
      </c>
      <c r="F55" s="467"/>
      <c r="G55" s="380">
        <f t="shared" si="11"/>
        <v>9680427</v>
      </c>
      <c r="H55" s="354">
        <f>ROUND('6.1 Auxiliary Services YR2'!G100,2)</f>
        <v>0</v>
      </c>
      <c r="I55" s="154">
        <f>ROUND('6.2 Spec Ed Local YR2'!L51,2)</f>
        <v>85050</v>
      </c>
      <c r="J55" s="354">
        <f>ROUND('6.7 Weighted Funding YR2'!E59,2)</f>
        <v>42759</v>
      </c>
      <c r="K55" s="154">
        <f>ROUND('6.7 Weighted Funding YR2'!I59,2)</f>
        <v>0</v>
      </c>
      <c r="L55" s="354">
        <f>ROUND('6.7 Weighted Funding YR2'!M59,2)</f>
        <v>90079</v>
      </c>
      <c r="M55" s="402">
        <f t="shared" si="12"/>
        <v>9898315</v>
      </c>
      <c r="N55" s="9"/>
    </row>
    <row r="56" spans="2:14" x14ac:dyDescent="0.3">
      <c r="B56" s="9" t="str">
        <f>'5.2 Budgeted Enrollment YR2'!E52</f>
        <v>Eagle Charter School (CLOSED)</v>
      </c>
      <c r="C56" s="354">
        <f>'6.6 Adj. Base Summary YR2'!G57</f>
        <v>0</v>
      </c>
      <c r="D56" s="607">
        <f t="shared" si="9"/>
        <v>0</v>
      </c>
      <c r="E56" s="430">
        <f t="shared" si="10"/>
        <v>0</v>
      </c>
      <c r="F56" s="467"/>
      <c r="G56" s="380">
        <f t="shared" si="11"/>
        <v>0</v>
      </c>
      <c r="H56" s="354">
        <f>ROUND('6.1 Auxiliary Services YR2'!G101,2)</f>
        <v>0</v>
      </c>
      <c r="I56" s="154">
        <f>ROUND('6.2 Spec Ed Local YR2'!L52,2)</f>
        <v>0</v>
      </c>
      <c r="J56" s="354">
        <f>ROUND('6.7 Weighted Funding YR2'!E60,2)</f>
        <v>0</v>
      </c>
      <c r="K56" s="154">
        <f>ROUND('6.7 Weighted Funding YR2'!I60,2)</f>
        <v>0</v>
      </c>
      <c r="L56" s="354">
        <f>ROUND('6.7 Weighted Funding YR2'!M60,2)</f>
        <v>0</v>
      </c>
      <c r="M56" s="402">
        <f t="shared" si="12"/>
        <v>0</v>
      </c>
      <c r="N56" s="9"/>
    </row>
    <row r="57" spans="2:14" x14ac:dyDescent="0.3">
      <c r="B57" s="9" t="str">
        <f>'5.2 Budgeted Enrollment YR2'!E53</f>
        <v>Elko Institute for Academic Achievement</v>
      </c>
      <c r="C57" s="354">
        <f>'6.6 Adj. Base Summary YR2'!G58</f>
        <v>3237656</v>
      </c>
      <c r="D57" s="607">
        <f t="shared" si="9"/>
        <v>7.1064539764754107E-4</v>
      </c>
      <c r="E57" s="430">
        <f t="shared" si="10"/>
        <v>0</v>
      </c>
      <c r="F57" s="467"/>
      <c r="G57" s="380">
        <f t="shared" si="11"/>
        <v>3237656</v>
      </c>
      <c r="H57" s="354">
        <f>ROUND('6.1 Auxiliary Services YR2'!G102,2)</f>
        <v>0</v>
      </c>
      <c r="I57" s="154">
        <f>ROUND('6.2 Spec Ed Local YR2'!L53,2)</f>
        <v>140428</v>
      </c>
      <c r="J57" s="354">
        <f>ROUND('6.7 Weighted Funding YR2'!E61,2)</f>
        <v>34207</v>
      </c>
      <c r="K57" s="154">
        <f>ROUND('6.7 Weighted Funding YR2'!I61,2)</f>
        <v>26606</v>
      </c>
      <c r="L57" s="354">
        <f>ROUND('6.7 Weighted Funding YR2'!M61,2)</f>
        <v>0</v>
      </c>
      <c r="M57" s="402">
        <f t="shared" si="12"/>
        <v>3438897</v>
      </c>
      <c r="N57" s="9"/>
    </row>
    <row r="58" spans="2:14" x14ac:dyDescent="0.3">
      <c r="B58" s="9" t="str">
        <f>'5.2 Budgeted Enrollment YR2'!E54</f>
        <v>enCompass Academy</v>
      </c>
      <c r="C58" s="354">
        <f>'6.6 Adj. Base Summary YR2'!G59</f>
        <v>1233996</v>
      </c>
      <c r="D58" s="607">
        <f t="shared" si="9"/>
        <v>2.7085446326461954E-4</v>
      </c>
      <c r="E58" s="430">
        <f t="shared" si="10"/>
        <v>0</v>
      </c>
      <c r="F58" s="467"/>
      <c r="G58" s="380">
        <f t="shared" si="11"/>
        <v>1233996</v>
      </c>
      <c r="H58" s="354">
        <f>ROUND('6.1 Auxiliary Services YR2'!G103,2)</f>
        <v>0</v>
      </c>
      <c r="I58" s="154">
        <f>ROUND('6.2 Spec Ed Local YR2'!L54,2)</f>
        <v>0</v>
      </c>
      <c r="J58" s="354">
        <f>ROUND('6.7 Weighted Funding YR2'!E62,2)</f>
        <v>64139</v>
      </c>
      <c r="K58" s="154">
        <f>ROUND('6.7 Weighted Funding YR2'!I62,2)</f>
        <v>33257</v>
      </c>
      <c r="L58" s="354">
        <f>ROUND('6.7 Weighted Funding YR2'!M62,2)</f>
        <v>0</v>
      </c>
      <c r="M58" s="402">
        <f t="shared" si="12"/>
        <v>1331392</v>
      </c>
      <c r="N58" s="9"/>
    </row>
    <row r="59" spans="2:14" x14ac:dyDescent="0.3">
      <c r="B59" s="9" t="str">
        <f>'5.2 Budgeted Enrollment YR2'!E55</f>
        <v>Equipo Academy</v>
      </c>
      <c r="C59" s="354">
        <f>'6.6 Adj. Base Summary YR2'!G60</f>
        <v>8559085</v>
      </c>
      <c r="D59" s="607">
        <f t="shared" si="9"/>
        <v>1.878666035960616E-3</v>
      </c>
      <c r="E59" s="430">
        <f t="shared" si="10"/>
        <v>0</v>
      </c>
      <c r="F59" s="467"/>
      <c r="G59" s="380">
        <f t="shared" si="11"/>
        <v>8559085</v>
      </c>
      <c r="H59" s="354">
        <f>ROUND('6.1 Auxiliary Services YR2'!G104,2)</f>
        <v>0</v>
      </c>
      <c r="I59" s="154">
        <f>ROUND('6.2 Spec Ed Local YR2'!L55,2)</f>
        <v>349906</v>
      </c>
      <c r="J59" s="354">
        <f>ROUND('6.7 Weighted Funding YR2'!E63,2)</f>
        <v>1064699</v>
      </c>
      <c r="K59" s="154">
        <f>ROUND('6.7 Weighted Funding YR2'!I63,2)</f>
        <v>73165</v>
      </c>
      <c r="L59" s="354">
        <f>ROUND('6.7 Weighted Funding YR2'!M63,2)</f>
        <v>0</v>
      </c>
      <c r="M59" s="402">
        <f t="shared" si="12"/>
        <v>10046855</v>
      </c>
      <c r="N59" s="9"/>
    </row>
    <row r="60" spans="2:14" x14ac:dyDescent="0.3">
      <c r="B60" s="9" t="str">
        <f>'5.2 Budgeted Enrollment YR2'!E56</f>
        <v>Explore Academy</v>
      </c>
      <c r="C60" s="354">
        <f>'6.6 Adj. Base Summary YR2'!G61</f>
        <v>2716764</v>
      </c>
      <c r="D60" s="607">
        <f t="shared" si="9"/>
        <v>5.9631283653807697E-4</v>
      </c>
      <c r="E60" s="430">
        <f t="shared" si="10"/>
        <v>0</v>
      </c>
      <c r="F60" s="467"/>
      <c r="G60" s="380">
        <f t="shared" si="11"/>
        <v>2716764</v>
      </c>
      <c r="H60" s="354">
        <f>ROUND('6.1 Auxiliary Services YR2'!G105,2)</f>
        <v>0</v>
      </c>
      <c r="I60" s="154">
        <f>ROUND('6.2 Spec Ed Local YR2'!L56,2)</f>
        <v>0</v>
      </c>
      <c r="J60" s="354">
        <f>ROUND('6.7 Weighted Funding YR2'!E64,2)</f>
        <v>175312</v>
      </c>
      <c r="K60" s="154">
        <f>ROUND('6.7 Weighted Funding YR2'!I64,2)</f>
        <v>9977</v>
      </c>
      <c r="L60" s="354">
        <f>ROUND('6.7 Weighted Funding YR2'!M64,2)</f>
        <v>0</v>
      </c>
      <c r="M60" s="402">
        <f t="shared" si="12"/>
        <v>2902053</v>
      </c>
      <c r="N60" s="9"/>
    </row>
    <row r="61" spans="2:14" x14ac:dyDescent="0.3">
      <c r="B61" s="9" t="str">
        <f>'5.2 Budgeted Enrollment YR2'!E57</f>
        <v>Explore Knowledge Academy</v>
      </c>
      <c r="C61" s="354">
        <f>'6.6 Adj. Base Summary YR2'!G62</f>
        <v>6314938</v>
      </c>
      <c r="D61" s="607">
        <f t="shared" si="9"/>
        <v>1.3860896976484122E-3</v>
      </c>
      <c r="E61" s="430">
        <f t="shared" si="10"/>
        <v>0</v>
      </c>
      <c r="F61" s="467"/>
      <c r="G61" s="380">
        <f t="shared" si="11"/>
        <v>6314938</v>
      </c>
      <c r="H61" s="354">
        <f>ROUND('6.1 Auxiliary Services YR2'!G106,2)</f>
        <v>0</v>
      </c>
      <c r="I61" s="154">
        <f>ROUND('6.2 Spec Ed Local YR2'!L57,2)</f>
        <v>27133</v>
      </c>
      <c r="J61" s="354">
        <f>ROUND('6.7 Weighted Funding YR2'!E65,2)</f>
        <v>200967</v>
      </c>
      <c r="K61" s="154">
        <f>ROUND('6.7 Weighted Funding YR2'!I65,2)</f>
        <v>69840</v>
      </c>
      <c r="L61" s="354">
        <f>ROUND('6.7 Weighted Funding YR2'!M65,2)</f>
        <v>0</v>
      </c>
      <c r="M61" s="402">
        <f t="shared" si="12"/>
        <v>6612878</v>
      </c>
      <c r="N61" s="9"/>
    </row>
    <row r="62" spans="2:14" x14ac:dyDescent="0.3">
      <c r="B62" s="9" t="str">
        <f>'5.2 Budgeted Enrollment YR2'!E58</f>
        <v>Founders Academy of Las Vegas</v>
      </c>
      <c r="C62" s="354">
        <f>'6.6 Adj. Base Summary YR2'!G63</f>
        <v>10549944</v>
      </c>
      <c r="D62" s="607">
        <f t="shared" si="9"/>
        <v>2.3156472302923135E-3</v>
      </c>
      <c r="E62" s="430">
        <f t="shared" si="10"/>
        <v>0</v>
      </c>
      <c r="F62" s="467"/>
      <c r="G62" s="380">
        <f t="shared" si="11"/>
        <v>10549944</v>
      </c>
      <c r="H62" s="354">
        <f>ROUND('6.1 Auxiliary Services YR2'!G107,2)</f>
        <v>0</v>
      </c>
      <c r="I62" s="154">
        <f>ROUND('6.2 Spec Ed Local YR2'!L58,2)</f>
        <v>168554</v>
      </c>
      <c r="J62" s="354">
        <f>ROUND('6.7 Weighted Funding YR2'!E66,2)</f>
        <v>367727</v>
      </c>
      <c r="K62" s="154">
        <f>ROUND('6.7 Weighted Funding YR2'!I66,2)</f>
        <v>26606</v>
      </c>
      <c r="L62" s="354">
        <f>ROUND('6.7 Weighted Funding YR2'!M66,2)</f>
        <v>0</v>
      </c>
      <c r="M62" s="402">
        <f t="shared" si="12"/>
        <v>11112831</v>
      </c>
      <c r="N62" s="9"/>
    </row>
    <row r="63" spans="2:14" s="19" customFormat="1" x14ac:dyDescent="0.3">
      <c r="B63" s="9" t="str">
        <f>'5.2 Budgeted Enrollment YR2'!E59</f>
        <v>Freedom Classical Academy</v>
      </c>
      <c r="C63" s="354">
        <f>'6.6 Adj. Base Summary YR2'!G64</f>
        <v>10212020</v>
      </c>
      <c r="D63" s="607">
        <f t="shared" si="9"/>
        <v>2.2414750096009712E-3</v>
      </c>
      <c r="E63" s="430">
        <f t="shared" si="10"/>
        <v>0</v>
      </c>
      <c r="F63" s="467"/>
      <c r="G63" s="380">
        <f t="shared" si="11"/>
        <v>10212020</v>
      </c>
      <c r="H63" s="354">
        <f>ROUND('6.1 Auxiliary Services YR2'!G108,2)</f>
        <v>0</v>
      </c>
      <c r="I63" s="154">
        <f>ROUND('6.2 Spec Ed Local YR2'!L59,2)</f>
        <v>545399</v>
      </c>
      <c r="J63" s="354">
        <f>ROUND('6.7 Weighted Funding YR2'!E67,2)</f>
        <v>585798</v>
      </c>
      <c r="K63" s="154">
        <f>ROUND('6.7 Weighted Funding YR2'!I67,2)</f>
        <v>69840</v>
      </c>
      <c r="L63" s="354">
        <f>ROUND('6.7 Weighted Funding YR2'!M67,2)</f>
        <v>54732</v>
      </c>
      <c r="M63" s="402">
        <f t="shared" si="12"/>
        <v>11467789</v>
      </c>
    </row>
    <row r="64" spans="2:14" x14ac:dyDescent="0.3">
      <c r="B64" s="9" t="str">
        <f>'5.2 Budgeted Enrollment YR2'!E60</f>
        <v>Futuro Academy Elementary</v>
      </c>
      <c r="C64" s="354">
        <f>'6.6 Adj. Base Summary YR2'!G65</f>
        <v>4445817</v>
      </c>
      <c r="D64" s="607">
        <f t="shared" si="9"/>
        <v>9.7582923875581535E-4</v>
      </c>
      <c r="E64" s="430">
        <f t="shared" si="10"/>
        <v>0</v>
      </c>
      <c r="F64" s="467"/>
      <c r="G64" s="380">
        <f t="shared" si="11"/>
        <v>4445817</v>
      </c>
      <c r="H64" s="354">
        <f>ROUND('6.1 Auxiliary Services YR2'!G109,2)</f>
        <v>0</v>
      </c>
      <c r="I64" s="154">
        <f>ROUND('6.2 Spec Ed Local YR2'!L60,2)</f>
        <v>332462</v>
      </c>
      <c r="J64" s="354">
        <f>ROUND('6.7 Weighted Funding YR2'!E68,2)</f>
        <v>739731</v>
      </c>
      <c r="K64" s="154">
        <f>ROUND('6.7 Weighted Funding YR2'!I68,2)</f>
        <v>0</v>
      </c>
      <c r="L64" s="354">
        <f>ROUND('6.7 Weighted Funding YR2'!M68,2)</f>
        <v>0</v>
      </c>
      <c r="M64" s="402">
        <f t="shared" si="12"/>
        <v>5518010</v>
      </c>
      <c r="N64" s="9"/>
    </row>
    <row r="65" spans="2:14" x14ac:dyDescent="0.3">
      <c r="B65" s="9" t="str">
        <f>'5.2 Budgeted Enrollment YR2'!E61</f>
        <v>High Desert Montessori</v>
      </c>
      <c r="C65" s="354">
        <f>'6.6 Adj. Base Summary YR2'!G66</f>
        <v>3914302</v>
      </c>
      <c r="D65" s="607">
        <f t="shared" si="9"/>
        <v>8.5916499507747749E-4</v>
      </c>
      <c r="E65" s="430">
        <f t="shared" si="10"/>
        <v>0</v>
      </c>
      <c r="F65" s="467"/>
      <c r="G65" s="380">
        <f t="shared" si="11"/>
        <v>3914302</v>
      </c>
      <c r="H65" s="354">
        <f>ROUND('6.1 Auxiliary Services YR2'!G110,2)</f>
        <v>0</v>
      </c>
      <c r="I65" s="154">
        <f>ROUND('6.2 Spec Ed Local YR2'!L61,2)</f>
        <v>0</v>
      </c>
      <c r="J65" s="354">
        <f>ROUND('6.7 Weighted Funding YR2'!E69,2)</f>
        <v>76966</v>
      </c>
      <c r="K65" s="154">
        <f>ROUND('6.7 Weighted Funding YR2'!I69,2)</f>
        <v>53211</v>
      </c>
      <c r="L65" s="354">
        <f>ROUND('6.7 Weighted Funding YR2'!M69,2)</f>
        <v>0</v>
      </c>
      <c r="M65" s="402">
        <f t="shared" si="12"/>
        <v>4044479</v>
      </c>
      <c r="N65" s="9"/>
    </row>
    <row r="66" spans="2:14" x14ac:dyDescent="0.3">
      <c r="B66" s="9" t="str">
        <f>'5.2 Budgeted Enrollment YR2'!E62</f>
        <v>Honors Academy of Literature</v>
      </c>
      <c r="C66" s="354">
        <f>'6.6 Adj. Base Summary YR2'!G67</f>
        <v>2082869</v>
      </c>
      <c r="D66" s="607">
        <f t="shared" si="9"/>
        <v>4.5717681827616531E-4</v>
      </c>
      <c r="E66" s="430">
        <f t="shared" si="10"/>
        <v>0</v>
      </c>
      <c r="F66" s="467"/>
      <c r="G66" s="380">
        <f t="shared" si="11"/>
        <v>2082869</v>
      </c>
      <c r="H66" s="354">
        <f>ROUND('6.1 Auxiliary Services YR2'!G111,2)</f>
        <v>0</v>
      </c>
      <c r="I66" s="154">
        <f>ROUND('6.2 Spec Ed Local YR2'!L62,2)</f>
        <v>231070</v>
      </c>
      <c r="J66" s="354">
        <f>ROUND('6.7 Weighted Funding YR2'!E70,2)</f>
        <v>8552</v>
      </c>
      <c r="K66" s="154">
        <f>ROUND('6.7 Weighted Funding YR2'!I70,2)</f>
        <v>0</v>
      </c>
      <c r="L66" s="354">
        <f>ROUND('6.7 Weighted Funding YR2'!M70,2)</f>
        <v>2280</v>
      </c>
      <c r="M66" s="402">
        <f t="shared" si="12"/>
        <v>2324771</v>
      </c>
      <c r="N66" s="9"/>
    </row>
    <row r="67" spans="2:14" x14ac:dyDescent="0.3">
      <c r="B67" s="9" t="str">
        <f>'5.2 Budgeted Enrollment YR2'!E63</f>
        <v>Imagine School Mountain View</v>
      </c>
      <c r="C67" s="354">
        <f>'6.6 Adj. Base Summary YR2'!G68</f>
        <v>6612920</v>
      </c>
      <c r="D67" s="607">
        <f t="shared" si="9"/>
        <v>1.4514948972378094E-3</v>
      </c>
      <c r="E67" s="430">
        <f t="shared" si="10"/>
        <v>0</v>
      </c>
      <c r="F67" s="467"/>
      <c r="G67" s="380">
        <f t="shared" si="11"/>
        <v>6612920</v>
      </c>
      <c r="H67" s="354">
        <f>ROUND('6.1 Auxiliary Services YR2'!G112,2)</f>
        <v>0</v>
      </c>
      <c r="I67" s="154">
        <f>ROUND('6.2 Spec Ed Local YR2'!L63,2)</f>
        <v>271262</v>
      </c>
      <c r="J67" s="354">
        <f>ROUND('6.7 Weighted Funding YR2'!E71,2)</f>
        <v>350624</v>
      </c>
      <c r="K67" s="154">
        <f>ROUND('6.7 Weighted Funding YR2'!I71,2)</f>
        <v>0</v>
      </c>
      <c r="L67" s="354">
        <f>ROUND('6.7 Weighted Funding YR2'!M71,2)</f>
        <v>0</v>
      </c>
      <c r="M67" s="402">
        <f t="shared" si="12"/>
        <v>7234806</v>
      </c>
      <c r="N67" s="9"/>
    </row>
    <row r="68" spans="2:14" x14ac:dyDescent="0.3">
      <c r="B68" s="9" t="str">
        <f>'5.2 Budgeted Enrollment YR2'!E64</f>
        <v>Innovations Int'l Charter</v>
      </c>
      <c r="C68" s="354">
        <f>'6.6 Adj. Base Summary YR2'!G69</f>
        <v>6481739</v>
      </c>
      <c r="D68" s="607">
        <f t="shared" si="9"/>
        <v>1.4227014819062232E-3</v>
      </c>
      <c r="E68" s="430">
        <f t="shared" si="10"/>
        <v>0</v>
      </c>
      <c r="F68" s="467"/>
      <c r="G68" s="380">
        <f t="shared" si="11"/>
        <v>6481739</v>
      </c>
      <c r="H68" s="354">
        <f>ROUND('6.1 Auxiliary Services YR2'!G113,2)</f>
        <v>0</v>
      </c>
      <c r="I68" s="154">
        <f>ROUND('6.2 Spec Ed Local YR2'!L64,2)</f>
        <v>73393</v>
      </c>
      <c r="J68" s="354">
        <f>ROUND('6.7 Weighted Funding YR2'!E72,2)</f>
        <v>769662</v>
      </c>
      <c r="K68" s="154">
        <f>ROUND('6.7 Weighted Funding YR2'!I72,2)</f>
        <v>202868</v>
      </c>
      <c r="L68" s="354">
        <f>ROUND('6.7 Weighted Funding YR2'!M72,2)</f>
        <v>0</v>
      </c>
      <c r="M68" s="402">
        <f t="shared" si="12"/>
        <v>7527662</v>
      </c>
      <c r="N68" s="9"/>
    </row>
    <row r="69" spans="2:14" x14ac:dyDescent="0.3">
      <c r="B69" s="9" t="str">
        <f>'5.2 Budgeted Enrollment YR2'!E65</f>
        <v>Leadership Academy of Nevada</v>
      </c>
      <c r="C69" s="354">
        <f>'6.6 Adj. Base Summary YR2'!G70</f>
        <v>2730940</v>
      </c>
      <c r="D69" s="607">
        <f t="shared" si="9"/>
        <v>5.9942438055543145E-4</v>
      </c>
      <c r="E69" s="430">
        <f t="shared" si="10"/>
        <v>0</v>
      </c>
      <c r="F69" s="467"/>
      <c r="G69" s="380">
        <f t="shared" si="11"/>
        <v>2730940</v>
      </c>
      <c r="H69" s="354">
        <f>ROUND('6.1 Auxiliary Services YR2'!G114,2)</f>
        <v>0</v>
      </c>
      <c r="I69" s="154">
        <f>ROUND('6.2 Spec Ed Local YR2'!L65,2)</f>
        <v>210794</v>
      </c>
      <c r="J69" s="354">
        <f>ROUND('6.7 Weighted Funding YR2'!E73,2)</f>
        <v>21380</v>
      </c>
      <c r="K69" s="154">
        <f>ROUND('6.7 Weighted Funding YR2'!I73,2)</f>
        <v>23280</v>
      </c>
      <c r="L69" s="354">
        <f>ROUND('6.7 Weighted Funding YR2'!M73,2)</f>
        <v>0</v>
      </c>
      <c r="M69" s="402">
        <f t="shared" si="12"/>
        <v>2986394</v>
      </c>
      <c r="N69" s="9"/>
    </row>
    <row r="70" spans="2:14" x14ac:dyDescent="0.3">
      <c r="B70" s="9" t="str">
        <f>'5.2 Budgeted Enrollment YR2'!E66</f>
        <v>Learning Bridge</v>
      </c>
      <c r="C70" s="354">
        <f>'6.6 Adj. Base Summary YR2'!G71</f>
        <v>2369194</v>
      </c>
      <c r="D70" s="607">
        <f t="shared" si="9"/>
        <v>5.2002337871415877E-4</v>
      </c>
      <c r="E70" s="430">
        <f t="shared" si="10"/>
        <v>0</v>
      </c>
      <c r="F70" s="467"/>
      <c r="G70" s="380">
        <f t="shared" si="11"/>
        <v>2369194</v>
      </c>
      <c r="H70" s="354">
        <f>ROUND('6.1 Auxiliary Services YR2'!G115,2)</f>
        <v>0</v>
      </c>
      <c r="I70" s="154">
        <f>ROUND('6.2 Spec Ed Local YR2'!L66,2)</f>
        <v>0</v>
      </c>
      <c r="J70" s="354">
        <f>ROUND('6.7 Weighted Funding YR2'!E74,2)</f>
        <v>0</v>
      </c>
      <c r="K70" s="154">
        <f>ROUND('6.7 Weighted Funding YR2'!I74,2)</f>
        <v>0</v>
      </c>
      <c r="L70" s="354">
        <f>ROUND('6.7 Weighted Funding YR2'!M74,2)</f>
        <v>0</v>
      </c>
      <c r="M70" s="402">
        <f t="shared" si="12"/>
        <v>2369194</v>
      </c>
      <c r="N70" s="9"/>
    </row>
    <row r="71" spans="2:14" x14ac:dyDescent="0.3">
      <c r="B71" s="9" t="str">
        <f>'5.2 Budgeted Enrollment YR2'!E67</f>
        <v>Legacy Traditional Schools</v>
      </c>
      <c r="C71" s="354">
        <f>'6.6 Adj. Base Summary YR2'!G72</f>
        <v>39197155</v>
      </c>
      <c r="D71" s="607">
        <f t="shared" si="9"/>
        <v>8.6035322472885634E-3</v>
      </c>
      <c r="E71" s="430">
        <f t="shared" si="10"/>
        <v>0</v>
      </c>
      <c r="F71" s="467"/>
      <c r="G71" s="380">
        <f t="shared" si="11"/>
        <v>39197155</v>
      </c>
      <c r="H71" s="354">
        <f>ROUND('6.1 Auxiliary Services YR2'!G116,2)</f>
        <v>0</v>
      </c>
      <c r="I71" s="154">
        <f>ROUND('6.2 Spec Ed Local YR2'!L67,2)</f>
        <v>1929178</v>
      </c>
      <c r="J71" s="354">
        <f>ROUND('6.7 Weighted Funding YR2'!E75,2)</f>
        <v>1197252</v>
      </c>
      <c r="K71" s="154">
        <f>ROUND('6.7 Weighted Funding YR2'!I75,2)</f>
        <v>119725</v>
      </c>
      <c r="L71" s="354">
        <f>ROUND('6.7 Weighted Funding YR2'!M75,2)</f>
        <v>238310</v>
      </c>
      <c r="M71" s="402">
        <f t="shared" si="12"/>
        <v>42681620</v>
      </c>
      <c r="N71" s="9"/>
    </row>
    <row r="72" spans="2:14" x14ac:dyDescent="0.3">
      <c r="B72" s="9" t="str">
        <f>'5.2 Budgeted Enrollment YR2'!E68</f>
        <v xml:space="preserve">Mariposa Language and Learning Academy </v>
      </c>
      <c r="C72" s="354">
        <f>'6.6 Adj. Base Summary YR2'!G73</f>
        <v>1562076</v>
      </c>
      <c r="D72" s="607">
        <f t="shared" si="9"/>
        <v>3.428659870522626E-4</v>
      </c>
      <c r="E72" s="430">
        <f t="shared" si="10"/>
        <v>0</v>
      </c>
      <c r="F72" s="467"/>
      <c r="G72" s="380">
        <f t="shared" si="11"/>
        <v>1562076</v>
      </c>
      <c r="H72" s="354">
        <f>ROUND('6.1 Auxiliary Services YR2'!G117,2)</f>
        <v>0</v>
      </c>
      <c r="I72" s="154">
        <f>ROUND('6.2 Spec Ed Local YR2'!L68,2)</f>
        <v>60742</v>
      </c>
      <c r="J72" s="354">
        <f>ROUND('6.7 Weighted Funding YR2'!E76,2)</f>
        <v>196691</v>
      </c>
      <c r="K72" s="154">
        <f>ROUND('6.7 Weighted Funding YR2'!I76,2)</f>
        <v>0</v>
      </c>
      <c r="L72" s="354">
        <f>ROUND('6.7 Weighted Funding YR2'!M76,2)</f>
        <v>0</v>
      </c>
      <c r="M72" s="402">
        <f t="shared" si="12"/>
        <v>1819509</v>
      </c>
      <c r="N72" s="9"/>
    </row>
    <row r="73" spans="2:14" x14ac:dyDescent="0.3">
      <c r="B73" s="9" t="str">
        <f>'5.2 Budgeted Enrollment YR2'!E69</f>
        <v>Mater Academy</v>
      </c>
      <c r="C73" s="354">
        <f>'6.6 Adj. Base Summary YR2'!G74</f>
        <v>42663367</v>
      </c>
      <c r="D73" s="607">
        <f t="shared" si="9"/>
        <v>9.3643442684145511E-3</v>
      </c>
      <c r="E73" s="430">
        <f t="shared" si="10"/>
        <v>0</v>
      </c>
      <c r="F73" s="467"/>
      <c r="G73" s="380">
        <f t="shared" si="11"/>
        <v>42663367</v>
      </c>
      <c r="H73" s="354">
        <f>ROUND('6.1 Auxiliary Services YR2'!G118,2)</f>
        <v>0</v>
      </c>
      <c r="I73" s="154">
        <f>ROUND('6.2 Spec Ed Local YR2'!L69,2)</f>
        <v>1865315</v>
      </c>
      <c r="J73" s="354">
        <f>ROUND('6.7 Weighted Funding YR2'!E77,2)</f>
        <v>6238538</v>
      </c>
      <c r="K73" s="154">
        <f>ROUND('6.7 Weighted Funding YR2'!I77,2)</f>
        <v>16629</v>
      </c>
      <c r="L73" s="354">
        <f>ROUND('6.7 Weighted Funding YR2'!M77,2)</f>
        <v>0</v>
      </c>
      <c r="M73" s="402">
        <f t="shared" si="12"/>
        <v>50783849</v>
      </c>
      <c r="N73" s="9"/>
    </row>
    <row r="74" spans="2:14" x14ac:dyDescent="0.3">
      <c r="B74" s="9" t="str">
        <f>'5.2 Budgeted Enrollment YR2'!E70</f>
        <v>Mater Academy of Northern Nevada</v>
      </c>
      <c r="C74" s="354">
        <f>'6.6 Adj. Base Summary YR2'!G75</f>
        <v>4778111</v>
      </c>
      <c r="D74" s="607">
        <f t="shared" si="9"/>
        <v>1.048765709389475E-3</v>
      </c>
      <c r="E74" s="430">
        <f t="shared" si="10"/>
        <v>0</v>
      </c>
      <c r="F74" s="467"/>
      <c r="G74" s="380">
        <f t="shared" si="11"/>
        <v>4778111</v>
      </c>
      <c r="H74" s="354">
        <f>ROUND('6.1 Auxiliary Services YR2'!G119,2)</f>
        <v>0</v>
      </c>
      <c r="I74" s="154">
        <f>ROUND('6.2 Spec Ed Local YR2'!L70,2)</f>
        <v>53862</v>
      </c>
      <c r="J74" s="354">
        <f>ROUND('6.7 Weighted Funding YR2'!E78,2)</f>
        <v>568695</v>
      </c>
      <c r="K74" s="154">
        <f>ROUND('6.7 Weighted Funding YR2'!I78,2)</f>
        <v>6651</v>
      </c>
      <c r="L74" s="354">
        <f>ROUND('6.7 Weighted Funding YR2'!M78,2)</f>
        <v>0</v>
      </c>
      <c r="M74" s="402">
        <f t="shared" si="12"/>
        <v>5407319</v>
      </c>
      <c r="N74" s="9"/>
    </row>
    <row r="75" spans="2:14" x14ac:dyDescent="0.3">
      <c r="B75" s="9" t="str">
        <f>'5.2 Budgeted Enrollment YR2'!E71</f>
        <v>Nevada Connections Academy</v>
      </c>
      <c r="C75" s="354">
        <f>'6.6 Adj. Base Summary YR2'!G76</f>
        <v>11410065</v>
      </c>
      <c r="D75" s="607">
        <f t="shared" si="9"/>
        <v>2.5044384514937013E-3</v>
      </c>
      <c r="E75" s="430">
        <f t="shared" si="10"/>
        <v>0</v>
      </c>
      <c r="F75" s="467"/>
      <c r="G75" s="380">
        <f t="shared" si="11"/>
        <v>11410065</v>
      </c>
      <c r="H75" s="354">
        <f>ROUND('6.1 Auxiliary Services YR2'!G120,2)</f>
        <v>0</v>
      </c>
      <c r="I75" s="154">
        <f>ROUND('6.2 Spec Ed Local YR2'!L71,2)</f>
        <v>0</v>
      </c>
      <c r="J75" s="354">
        <f>ROUND('6.7 Weighted Funding YR2'!E79,2)</f>
        <v>162484</v>
      </c>
      <c r="K75" s="154">
        <f>ROUND('6.7 Weighted Funding YR2'!I79,2)</f>
        <v>99771</v>
      </c>
      <c r="L75" s="354">
        <f>ROUND('6.7 Weighted Funding YR2'!M79,2)</f>
        <v>0</v>
      </c>
      <c r="M75" s="402">
        <f t="shared" si="12"/>
        <v>11672320</v>
      </c>
      <c r="N75" s="9"/>
    </row>
    <row r="76" spans="2:14" x14ac:dyDescent="0.3">
      <c r="B76" s="9" t="str">
        <f>'5.2 Budgeted Enrollment YR2'!E72</f>
        <v>Nevada Prep</v>
      </c>
      <c r="C76" s="354">
        <f>'6.6 Adj. Base Summary YR2'!G77</f>
        <v>2900375</v>
      </c>
      <c r="D76" s="607">
        <f t="shared" si="9"/>
        <v>6.3661431146545117E-4</v>
      </c>
      <c r="E76" s="430">
        <f t="shared" si="10"/>
        <v>0</v>
      </c>
      <c r="F76" s="467"/>
      <c r="G76" s="380">
        <f t="shared" si="11"/>
        <v>2900375</v>
      </c>
      <c r="H76" s="354">
        <f>ROUND('6.1 Auxiliary Services YR2'!G121,2)</f>
        <v>0</v>
      </c>
      <c r="I76" s="154">
        <f>ROUND('6.2 Spec Ed Local YR2'!L72,2)</f>
        <v>180975</v>
      </c>
      <c r="J76" s="354">
        <f>ROUND('6.7 Weighted Funding YR2'!E80,2)</f>
        <v>316417</v>
      </c>
      <c r="K76" s="154">
        <f>ROUND('6.7 Weighted Funding YR2'!I80,2)</f>
        <v>93120</v>
      </c>
      <c r="L76" s="354">
        <f>ROUND('6.7 Weighted Funding YR2'!M80,2)</f>
        <v>0</v>
      </c>
      <c r="M76" s="402">
        <f t="shared" si="12"/>
        <v>3490887</v>
      </c>
      <c r="N76" s="9"/>
    </row>
    <row r="77" spans="2:14" x14ac:dyDescent="0.3">
      <c r="B77" s="9" t="str">
        <f>'5.2 Budgeted Enrollment YR2'!E73</f>
        <v xml:space="preserve">Nevada Rise </v>
      </c>
      <c r="C77" s="354">
        <f>'6.6 Adj. Base Summary YR2'!G78</f>
        <v>3540212</v>
      </c>
      <c r="D77" s="607">
        <f t="shared" si="9"/>
        <v>7.7705456184863273E-4</v>
      </c>
      <c r="E77" s="430">
        <f t="shared" si="10"/>
        <v>0</v>
      </c>
      <c r="F77" s="467"/>
      <c r="G77" s="380">
        <f t="shared" si="11"/>
        <v>3540212</v>
      </c>
      <c r="H77" s="354">
        <f>ROUND('6.1 Auxiliary Services YR2'!G122,2)</f>
        <v>0</v>
      </c>
      <c r="I77" s="154">
        <f>ROUND('6.2 Spec Ed Local YR2'!L73,2)</f>
        <v>334053</v>
      </c>
      <c r="J77" s="354">
        <f>ROUND('6.7 Weighted Funding YR2'!E81,2)</f>
        <v>149657</v>
      </c>
      <c r="K77" s="154">
        <f>ROUND('6.7 Weighted Funding YR2'!I81,2)</f>
        <v>3326</v>
      </c>
      <c r="L77" s="354">
        <f>ROUND('6.7 Weighted Funding YR2'!M81,2)</f>
        <v>0</v>
      </c>
      <c r="M77" s="402">
        <f t="shared" si="12"/>
        <v>4027248</v>
      </c>
      <c r="N77" s="9"/>
    </row>
    <row r="78" spans="2:14" x14ac:dyDescent="0.3">
      <c r="B78" s="9" t="str">
        <f>'5.2 Budgeted Enrollment YR2'!E74</f>
        <v>Nevada State High School</v>
      </c>
      <c r="C78" s="354">
        <f>'6.6 Adj. Base Summary YR2'!G79</f>
        <v>8677915</v>
      </c>
      <c r="D78" s="607">
        <f t="shared" si="9"/>
        <v>1.9047484834480751E-3</v>
      </c>
      <c r="E78" s="430">
        <f t="shared" si="10"/>
        <v>0</v>
      </c>
      <c r="F78" s="467"/>
      <c r="G78" s="380">
        <f t="shared" si="11"/>
        <v>8677915</v>
      </c>
      <c r="H78" s="354">
        <f>ROUND('6.1 Auxiliary Services YR2'!G123,2)</f>
        <v>0</v>
      </c>
      <c r="I78" s="154">
        <f>ROUND('6.2 Spec Ed Local YR2'!L74,2)</f>
        <v>9728</v>
      </c>
      <c r="J78" s="354">
        <f>ROUND('6.7 Weighted Funding YR2'!E82,2)</f>
        <v>102622</v>
      </c>
      <c r="K78" s="154">
        <f>ROUND('6.7 Weighted Funding YR2'!I82,2)</f>
        <v>3326</v>
      </c>
      <c r="L78" s="354">
        <f>ROUND('6.7 Weighted Funding YR2'!M82,2)</f>
        <v>0</v>
      </c>
      <c r="M78" s="402">
        <f t="shared" si="12"/>
        <v>8793591</v>
      </c>
      <c r="N78" s="9"/>
    </row>
    <row r="79" spans="2:14" x14ac:dyDescent="0.3">
      <c r="B79" s="9" t="str">
        <f>'5.2 Budgeted Enrollment YR2'!E75</f>
        <v>Nevada State High School-Meadowwood</v>
      </c>
      <c r="C79" s="354">
        <f>'6.6 Adj. Base Summary YR2'!G80</f>
        <v>286928</v>
      </c>
      <c r="D79" s="607">
        <f t="shared" si="9"/>
        <v>6.2978915195503683E-5</v>
      </c>
      <c r="E79" s="430">
        <f t="shared" si="10"/>
        <v>0</v>
      </c>
      <c r="F79" s="467"/>
      <c r="G79" s="380">
        <f t="shared" si="11"/>
        <v>286928</v>
      </c>
      <c r="H79" s="354">
        <f>ROUND('6.1 Auxiliary Services YR2'!G124,2)</f>
        <v>0</v>
      </c>
      <c r="I79" s="154">
        <f>ROUND('6.2 Spec Ed Local YR2'!L75,2)</f>
        <v>0</v>
      </c>
      <c r="J79" s="354">
        <f>ROUND('6.7 Weighted Funding YR2'!E83,2)</f>
        <v>0</v>
      </c>
      <c r="K79" s="154">
        <f>ROUND('6.7 Weighted Funding YR2'!I83,2)</f>
        <v>0</v>
      </c>
      <c r="L79" s="354">
        <f>ROUND('6.7 Weighted Funding YR2'!M83,2)</f>
        <v>0</v>
      </c>
      <c r="M79" s="402">
        <f t="shared" si="12"/>
        <v>286928</v>
      </c>
      <c r="N79" s="9"/>
    </row>
    <row r="80" spans="2:14" x14ac:dyDescent="0.3">
      <c r="B80" s="9" t="str">
        <f>'5.2 Budgeted Enrollment YR2'!E76</f>
        <v>Nevada Virtual Academy</v>
      </c>
      <c r="C80" s="354">
        <f>'6.6 Adj. Base Summary YR2'!G81</f>
        <v>17293362</v>
      </c>
      <c r="D80" s="607">
        <f t="shared" si="9"/>
        <v>3.7957856286007148E-3</v>
      </c>
      <c r="E80" s="430">
        <f t="shared" si="10"/>
        <v>0</v>
      </c>
      <c r="F80" s="467"/>
      <c r="G80" s="380">
        <f t="shared" si="11"/>
        <v>17293362</v>
      </c>
      <c r="H80" s="354">
        <f>ROUND('6.1 Auxiliary Services YR2'!G125,2)</f>
        <v>0</v>
      </c>
      <c r="I80" s="154">
        <f>ROUND('6.2 Spec Ed Local YR2'!L76,2)</f>
        <v>513939</v>
      </c>
      <c r="J80" s="354">
        <f>ROUND('6.7 Weighted Funding YR2'!E84,2)</f>
        <v>337796</v>
      </c>
      <c r="K80" s="154">
        <f>ROUND('6.7 Weighted Funding YR2'!I84,2)</f>
        <v>259405</v>
      </c>
      <c r="L80" s="354">
        <f>ROUND('6.7 Weighted Funding YR2'!M84,2)</f>
        <v>0</v>
      </c>
      <c r="M80" s="402">
        <f t="shared" si="12"/>
        <v>18404502</v>
      </c>
      <c r="N80" s="9"/>
    </row>
    <row r="81" spans="2:14" x14ac:dyDescent="0.3">
      <c r="B81" s="9" t="str">
        <f>'5.2 Budgeted Enrollment YR2'!E77</f>
        <v>Oasis Academy</v>
      </c>
      <c r="C81" s="354">
        <f>'6.6 Adj. Base Summary YR2'!G82</f>
        <v>8535245</v>
      </c>
      <c r="D81" s="607">
        <f t="shared" si="9"/>
        <v>1.8734333039224014E-3</v>
      </c>
      <c r="E81" s="430">
        <f t="shared" si="10"/>
        <v>0</v>
      </c>
      <c r="F81" s="467"/>
      <c r="G81" s="380">
        <f t="shared" si="11"/>
        <v>8535245</v>
      </c>
      <c r="H81" s="354">
        <f>ROUND('6.1 Auxiliary Services YR2'!G126,2)</f>
        <v>0</v>
      </c>
      <c r="I81" s="154">
        <f>ROUND('6.2 Spec Ed Local YR2'!L77,2)</f>
        <v>573004</v>
      </c>
      <c r="J81" s="354">
        <f>ROUND('6.7 Weighted Funding YR2'!E85,2)</f>
        <v>85518</v>
      </c>
      <c r="K81" s="154">
        <f>ROUND('6.7 Weighted Funding YR2'!I85,2)</f>
        <v>0</v>
      </c>
      <c r="L81" s="354">
        <f>ROUND('6.7 Weighted Funding YR2'!M85,2)</f>
        <v>0</v>
      </c>
      <c r="M81" s="402">
        <f t="shared" si="12"/>
        <v>9193767</v>
      </c>
      <c r="N81" s="9"/>
    </row>
    <row r="82" spans="2:14" x14ac:dyDescent="0.3">
      <c r="B82" s="9" t="str">
        <f>'5.2 Budgeted Enrollment YR2'!E78</f>
        <v>Odyssey Charter Schools</v>
      </c>
      <c r="C82" s="354">
        <f>'6.6 Adj. Base Summary YR2'!G83</f>
        <v>22812305</v>
      </c>
      <c r="D82" s="607">
        <f t="shared" si="9"/>
        <v>5.0071593640528796E-3</v>
      </c>
      <c r="E82" s="430">
        <f t="shared" si="10"/>
        <v>0</v>
      </c>
      <c r="F82" s="467"/>
      <c r="G82" s="380">
        <f t="shared" si="11"/>
        <v>22812305</v>
      </c>
      <c r="H82" s="354">
        <f>ROUND('6.1 Auxiliary Services YR2'!G127,2)</f>
        <v>0</v>
      </c>
      <c r="I82" s="154">
        <f>ROUND('6.2 Spec Ed Local YR2'!L78,2)</f>
        <v>2396373</v>
      </c>
      <c r="J82" s="354">
        <f>ROUND('6.7 Weighted Funding YR2'!E86,2)</f>
        <v>474625</v>
      </c>
      <c r="K82" s="154">
        <f>ROUND('6.7 Weighted Funding YR2'!I86,2)</f>
        <v>934522</v>
      </c>
      <c r="L82" s="354">
        <f>ROUND('6.7 Weighted Funding YR2'!M86,2)</f>
        <v>0</v>
      </c>
      <c r="M82" s="402">
        <f t="shared" si="12"/>
        <v>26617825</v>
      </c>
      <c r="N82" s="9"/>
    </row>
    <row r="83" spans="2:14" x14ac:dyDescent="0.3">
      <c r="B83" s="9" t="str">
        <f>'5.2 Budgeted Enrollment YR2'!E79</f>
        <v>Pinecrest Academy of Northern Nevada</v>
      </c>
      <c r="C83" s="354">
        <f>'6.6 Adj. Base Summary YR2'!G84</f>
        <v>9714769</v>
      </c>
      <c r="D83" s="607">
        <f t="shared" si="9"/>
        <v>2.1323315012648056E-3</v>
      </c>
      <c r="E83" s="430">
        <f t="shared" si="10"/>
        <v>0</v>
      </c>
      <c r="F83" s="467"/>
      <c r="G83" s="380">
        <f t="shared" si="11"/>
        <v>9714769</v>
      </c>
      <c r="H83" s="354">
        <f>ROUND('6.1 Auxiliary Services YR2'!G128,2)</f>
        <v>0</v>
      </c>
      <c r="I83" s="154">
        <f>ROUND('6.2 Spec Ed Local YR2'!L79,2)</f>
        <v>1248935</v>
      </c>
      <c r="J83" s="354">
        <f>ROUND('6.7 Weighted Funding YR2'!E87,2)</f>
        <v>76966</v>
      </c>
      <c r="K83" s="154">
        <f>ROUND('6.7 Weighted Funding YR2'!I87,2)</f>
        <v>0</v>
      </c>
      <c r="L83" s="354">
        <f>ROUND('6.7 Weighted Funding YR2'!M87,2)</f>
        <v>70695</v>
      </c>
      <c r="M83" s="402">
        <f t="shared" si="12"/>
        <v>11111365</v>
      </c>
      <c r="N83" s="9"/>
    </row>
    <row r="84" spans="2:14" x14ac:dyDescent="0.3">
      <c r="B84" s="9" t="str">
        <f>'5.2 Budgeted Enrollment YR2'!E80</f>
        <v>Pinecrest Academy of Nevada</v>
      </c>
      <c r="C84" s="354">
        <f>'6.6 Adj. Base Summary YR2'!G85</f>
        <v>76537199</v>
      </c>
      <c r="D84" s="607">
        <f t="shared" si="9"/>
        <v>1.6799440156145058E-2</v>
      </c>
      <c r="E84" s="430">
        <f t="shared" si="10"/>
        <v>0</v>
      </c>
      <c r="F84" s="467"/>
      <c r="G84" s="380">
        <f t="shared" si="11"/>
        <v>76537199</v>
      </c>
      <c r="H84" s="354">
        <f>ROUND('6.1 Auxiliary Services YR2'!G129,2)</f>
        <v>0</v>
      </c>
      <c r="I84" s="154">
        <f>ROUND('6.2 Spec Ed Local YR2'!L80,2)</f>
        <v>143895</v>
      </c>
      <c r="J84" s="354">
        <f>ROUND('6.7 Weighted Funding YR2'!E88,2)</f>
        <v>833801</v>
      </c>
      <c r="K84" s="154">
        <f>ROUND('6.7 Weighted Funding YR2'!I88,2)</f>
        <v>422364</v>
      </c>
      <c r="L84" s="354">
        <f>ROUND('6.7 Weighted Funding YR2'!M88,2)</f>
        <v>451535</v>
      </c>
      <c r="M84" s="402">
        <f t="shared" si="12"/>
        <v>78388794</v>
      </c>
      <c r="N84" s="9"/>
    </row>
    <row r="85" spans="2:14" x14ac:dyDescent="0.3">
      <c r="B85" s="9" t="str">
        <f>'5.2 Budgeted Enrollment YR2'!E81</f>
        <v>Pioneer Technical Arts Academy</v>
      </c>
      <c r="C85" s="354">
        <f>'6.6 Adj. Base Summary YR2'!G86</f>
        <v>2507329</v>
      </c>
      <c r="D85" s="607">
        <f t="shared" si="9"/>
        <v>5.5034315388608661E-4</v>
      </c>
      <c r="E85" s="430">
        <f t="shared" si="10"/>
        <v>0</v>
      </c>
      <c r="F85" s="467"/>
      <c r="G85" s="380">
        <f t="shared" ref="G85" si="14">ROUND(C85+E85,2)</f>
        <v>2507329</v>
      </c>
      <c r="H85" s="354">
        <f>ROUND('6.1 Auxiliary Services YR2'!G130,2)</f>
        <v>0</v>
      </c>
      <c r="I85" s="154">
        <f>ROUND('6.2 Spec Ed Local YR2'!L81,2)</f>
        <v>0</v>
      </c>
      <c r="J85" s="354">
        <f>ROUND('6.7 Weighted Funding YR2'!E89,2)</f>
        <v>0</v>
      </c>
      <c r="K85" s="154">
        <f>ROUND('6.7 Weighted Funding YR2'!I89,2)</f>
        <v>0</v>
      </c>
      <c r="L85" s="354">
        <f>ROUND('6.7 Weighted Funding YR2'!M89,2)</f>
        <v>0</v>
      </c>
      <c r="M85" s="402">
        <f t="shared" si="12"/>
        <v>2507329</v>
      </c>
      <c r="N85" s="9" t="s">
        <v>370</v>
      </c>
    </row>
    <row r="86" spans="2:14" x14ac:dyDescent="0.3">
      <c r="B86" s="9" t="str">
        <f>'5.2 Budgeted Enrollment YR2'!E82</f>
        <v>Quest Academy</v>
      </c>
      <c r="C86" s="354">
        <f>'6.6 Adj. Base Summary YR2'!G87</f>
        <v>4328860</v>
      </c>
      <c r="D86" s="607">
        <f t="shared" si="9"/>
        <v>9.5015790314367386E-4</v>
      </c>
      <c r="E86" s="430">
        <f t="shared" si="10"/>
        <v>0</v>
      </c>
      <c r="F86" s="467"/>
      <c r="G86" s="380">
        <f t="shared" si="11"/>
        <v>4328860</v>
      </c>
      <c r="H86" s="354">
        <f>ROUND('6.1 Auxiliary Services YR2'!G131,2)</f>
        <v>0</v>
      </c>
      <c r="I86" s="154">
        <f>ROUND('6.2 Spec Ed Local YR2'!L82,2)</f>
        <v>46203</v>
      </c>
      <c r="J86" s="354">
        <f>ROUND('6.7 Weighted Funding YR2'!E90,2)</f>
        <v>205243</v>
      </c>
      <c r="K86" s="154">
        <f>ROUND('6.7 Weighted Funding YR2'!I90,2)</f>
        <v>53211</v>
      </c>
      <c r="L86" s="354">
        <f>ROUND('6.7 Weighted Funding YR2'!M90,2)</f>
        <v>0</v>
      </c>
      <c r="M86" s="402">
        <f t="shared" si="12"/>
        <v>4633517</v>
      </c>
      <c r="N86" s="9"/>
    </row>
    <row r="87" spans="2:14" x14ac:dyDescent="0.3">
      <c r="B87" s="9" t="str">
        <f>'5.2 Budgeted Enrollment YR2'!E83</f>
        <v>Rainbow Dreams Academy</v>
      </c>
      <c r="C87" s="354">
        <f>'6.6 Adj. Base Summary YR2'!G88</f>
        <v>602266</v>
      </c>
      <c r="D87" s="607">
        <f t="shared" si="9"/>
        <v>1.32193649065742E-4</v>
      </c>
      <c r="E87" s="430">
        <f t="shared" si="10"/>
        <v>0</v>
      </c>
      <c r="F87" s="467"/>
      <c r="G87" s="380">
        <f t="shared" si="11"/>
        <v>602266</v>
      </c>
      <c r="H87" s="354">
        <f>ROUND('6.1 Auxiliary Services YR2'!G132,2)</f>
        <v>0</v>
      </c>
      <c r="I87" s="154">
        <f>ROUND('6.2 Spec Ed Local YR2'!L83,2)</f>
        <v>40634</v>
      </c>
      <c r="J87" s="354">
        <f>ROUND('6.7 Weighted Funding YR2'!E91,2)</f>
        <v>25655</v>
      </c>
      <c r="K87" s="154">
        <f>ROUND('6.7 Weighted Funding YR2'!I91,2)</f>
        <v>16629</v>
      </c>
      <c r="L87" s="354">
        <f>ROUND('6.7 Weighted Funding YR2'!M91,2)</f>
        <v>0</v>
      </c>
      <c r="M87" s="402">
        <f t="shared" si="12"/>
        <v>685184</v>
      </c>
      <c r="N87" s="9"/>
    </row>
    <row r="88" spans="2:14" x14ac:dyDescent="0.3">
      <c r="B88" s="9" t="str">
        <f>'5.2 Budgeted Enrollment YR2'!E84</f>
        <v>Rooted Charter School</v>
      </c>
      <c r="C88" s="354">
        <f>'6.6 Adj. Base Summary YR2'!G89</f>
        <v>224391</v>
      </c>
      <c r="D88" s="607">
        <f t="shared" si="9"/>
        <v>4.9252431828313256E-5</v>
      </c>
      <c r="E88" s="430">
        <f t="shared" si="10"/>
        <v>0</v>
      </c>
      <c r="F88" s="467"/>
      <c r="G88" s="380">
        <f t="shared" si="11"/>
        <v>224391</v>
      </c>
      <c r="H88" s="354">
        <f>ROUND('6.1 Auxiliary Services YR2'!G133,2)</f>
        <v>0</v>
      </c>
      <c r="I88" s="154">
        <f>ROUND('6.2 Spec Ed Local YR2'!L84,2)</f>
        <v>0</v>
      </c>
      <c r="J88" s="354">
        <f>ROUND('6.7 Weighted Funding YR2'!E92,2)</f>
        <v>0</v>
      </c>
      <c r="K88" s="154">
        <f>ROUND('6.7 Weighted Funding YR2'!I92,2)</f>
        <v>0</v>
      </c>
      <c r="L88" s="354">
        <f>ROUND('6.7 Weighted Funding YR2'!M92,2)</f>
        <v>0</v>
      </c>
      <c r="M88" s="402">
        <f t="shared" si="12"/>
        <v>224391</v>
      </c>
      <c r="N88" s="9"/>
    </row>
    <row r="89" spans="2:14" x14ac:dyDescent="0.3">
      <c r="B89" s="9" t="str">
        <f>'5.2 Budgeted Enrollment YR2'!E85</f>
        <v>Sage Collegiate Academy</v>
      </c>
      <c r="C89" s="354">
        <f>'6.6 Adj. Base Summary YR2'!G90</f>
        <v>2243718</v>
      </c>
      <c r="D89" s="607">
        <f t="shared" si="9"/>
        <v>4.9248217547477114E-4</v>
      </c>
      <c r="E89" s="430">
        <f t="shared" si="10"/>
        <v>0</v>
      </c>
      <c r="F89" s="467"/>
      <c r="G89" s="380">
        <f t="shared" si="11"/>
        <v>2243718</v>
      </c>
      <c r="H89" s="354">
        <f>ROUND('6.1 Auxiliary Services YR2'!G134,2)</f>
        <v>0</v>
      </c>
      <c r="I89" s="154">
        <f>ROUND('6.2 Spec Ed Local YR2'!L85,2)</f>
        <v>93023</v>
      </c>
      <c r="J89" s="354">
        <f>ROUND('6.7 Weighted Funding YR2'!E93,2)</f>
        <v>295037</v>
      </c>
      <c r="K89" s="154">
        <f>ROUND('6.7 Weighted Funding YR2'!I93,2)</f>
        <v>0</v>
      </c>
      <c r="L89" s="354">
        <f>ROUND('6.7 Weighted Funding YR2'!M93,2)</f>
        <v>0</v>
      </c>
      <c r="M89" s="402">
        <f t="shared" si="12"/>
        <v>2631778</v>
      </c>
      <c r="N89" s="9"/>
    </row>
    <row r="90" spans="2:14" x14ac:dyDescent="0.3">
      <c r="B90" s="9" t="str">
        <f>'5.2 Budgeted Enrollment YR2'!E86</f>
        <v>Sierra Nevada Academy Charter</v>
      </c>
      <c r="C90" s="354">
        <f>'6.6 Adj. Base Summary YR2'!G91</f>
        <v>2718316</v>
      </c>
      <c r="D90" s="607">
        <f t="shared" si="9"/>
        <v>5.9665349090566545E-4</v>
      </c>
      <c r="E90" s="430">
        <f t="shared" si="10"/>
        <v>0</v>
      </c>
      <c r="F90" s="467"/>
      <c r="G90" s="380">
        <f t="shared" si="11"/>
        <v>2718316</v>
      </c>
      <c r="H90" s="354">
        <f>ROUND('6.1 Auxiliary Services YR2'!G135,2)</f>
        <v>0</v>
      </c>
      <c r="I90" s="154">
        <f>ROUND('6.2 Spec Ed Local YR2'!L86,2)</f>
        <v>265057</v>
      </c>
      <c r="J90" s="354">
        <f>ROUND('6.7 Weighted Funding YR2'!E94,2)</f>
        <v>94070</v>
      </c>
      <c r="K90" s="154">
        <f>ROUND('6.7 Weighted Funding YR2'!I94,2)</f>
        <v>99771</v>
      </c>
      <c r="L90" s="354">
        <f>ROUND('6.7 Weighted Funding YR2'!M94,2)</f>
        <v>0</v>
      </c>
      <c r="M90" s="402">
        <f t="shared" si="12"/>
        <v>3177214</v>
      </c>
      <c r="N90" s="9"/>
    </row>
    <row r="91" spans="2:14" x14ac:dyDescent="0.3">
      <c r="B91" s="9" t="str">
        <f>'5.2 Budgeted Enrollment YR2'!E87</f>
        <v>Signature Preparatory</v>
      </c>
      <c r="C91" s="354">
        <f>'6.6 Adj. Base Summary YR2'!G92</f>
        <v>9458231</v>
      </c>
      <c r="D91" s="607">
        <f t="shared" si="9"/>
        <v>2.076023002455264E-3</v>
      </c>
      <c r="E91" s="430">
        <f t="shared" si="10"/>
        <v>0</v>
      </c>
      <c r="F91" s="467"/>
      <c r="G91" s="380">
        <f t="shared" si="11"/>
        <v>9458231</v>
      </c>
      <c r="H91" s="354">
        <f>ROUND('6.1 Auxiliary Services YR2'!G136,2)</f>
        <v>0</v>
      </c>
      <c r="I91" s="154">
        <f>ROUND('6.2 Spec Ed Local YR2'!L87,2)</f>
        <v>281852</v>
      </c>
      <c r="J91" s="354">
        <f>ROUND('6.7 Weighted Funding YR2'!E95,2)</f>
        <v>286485</v>
      </c>
      <c r="K91" s="154">
        <f>ROUND('6.7 Weighted Funding YR2'!I95,2)</f>
        <v>56537</v>
      </c>
      <c r="L91" s="354">
        <f>ROUND('6.7 Weighted Funding YR2'!M95,2)</f>
        <v>0</v>
      </c>
      <c r="M91" s="402">
        <f t="shared" si="12"/>
        <v>10083105</v>
      </c>
      <c r="N91" s="9"/>
    </row>
    <row r="92" spans="2:14" x14ac:dyDescent="0.3">
      <c r="B92" s="9" t="str">
        <f>'5.2 Budgeted Enrollment YR2'!E88</f>
        <v>Silver Sands Montessori</v>
      </c>
      <c r="C92" s="354">
        <f>'6.6 Adj. Base Summary YR2'!G93</f>
        <v>2278235</v>
      </c>
      <c r="D92" s="607">
        <f t="shared" si="9"/>
        <v>5.0005844274671109E-4</v>
      </c>
      <c r="E92" s="430">
        <f t="shared" si="10"/>
        <v>0</v>
      </c>
      <c r="F92" s="467"/>
      <c r="G92" s="380">
        <f t="shared" si="11"/>
        <v>2278235</v>
      </c>
      <c r="H92" s="354">
        <f>ROUND('6.1 Auxiliary Services YR2'!G137,2)</f>
        <v>0</v>
      </c>
      <c r="I92" s="154">
        <f>ROUND('6.2 Spec Ed Local YR2'!L88,2)</f>
        <v>0</v>
      </c>
      <c r="J92" s="354">
        <f>ROUND('6.7 Weighted Funding YR2'!E96,2)</f>
        <v>102622</v>
      </c>
      <c r="K92" s="154">
        <f>ROUND('6.7 Weighted Funding YR2'!I96,2)</f>
        <v>0</v>
      </c>
      <c r="L92" s="354">
        <f>ROUND('6.7 Weighted Funding YR2'!M96,2)</f>
        <v>0</v>
      </c>
      <c r="M92" s="402">
        <f t="shared" si="12"/>
        <v>2380857</v>
      </c>
      <c r="N92" s="9"/>
    </row>
    <row r="93" spans="2:14" x14ac:dyDescent="0.3">
      <c r="B93" s="9" t="str">
        <f>'5.2 Budgeted Enrollment YR2'!E89</f>
        <v>Somerset Academy</v>
      </c>
      <c r="C93" s="354">
        <f>'6.6 Adj. Base Summary YR2'!G94</f>
        <v>91343134</v>
      </c>
      <c r="D93" s="607">
        <f t="shared" si="9"/>
        <v>2.0049250996338905E-2</v>
      </c>
      <c r="E93" s="430">
        <f t="shared" si="10"/>
        <v>0</v>
      </c>
      <c r="F93" s="467"/>
      <c r="G93" s="380">
        <f t="shared" si="11"/>
        <v>91343134</v>
      </c>
      <c r="H93" s="354">
        <f>ROUND('6.1 Auxiliary Services YR2'!G138,2)</f>
        <v>0</v>
      </c>
      <c r="I93" s="154">
        <f>ROUND('6.2 Spec Ed Local YR2'!L89,2)</f>
        <v>4081801</v>
      </c>
      <c r="J93" s="354">
        <f>ROUND('6.7 Weighted Funding YR2'!E97,2)</f>
        <v>1479461</v>
      </c>
      <c r="K93" s="154">
        <f>ROUND('6.7 Weighted Funding YR2'!I97,2)</f>
        <v>362501</v>
      </c>
      <c r="L93" s="354">
        <f>ROUND('6.7 Weighted Funding YR2'!M97,2)</f>
        <v>277078</v>
      </c>
      <c r="M93" s="402">
        <f t="shared" si="12"/>
        <v>97543975</v>
      </c>
      <c r="N93" s="9"/>
    </row>
    <row r="94" spans="2:14" x14ac:dyDescent="0.3">
      <c r="B94" s="9" t="str">
        <f>'5.2 Budgeted Enrollment YR2'!E90</f>
        <v>Southern Nevada Trade High School</v>
      </c>
      <c r="C94" s="354">
        <f>'6.6 Adj. Base Summary YR2'!G95</f>
        <v>770453</v>
      </c>
      <c r="D94" s="607">
        <f t="shared" si="9"/>
        <v>1.6910965172141232E-4</v>
      </c>
      <c r="E94" s="430">
        <f t="shared" si="10"/>
        <v>0</v>
      </c>
      <c r="F94" s="467"/>
      <c r="G94" s="380">
        <f t="shared" si="11"/>
        <v>770453</v>
      </c>
      <c r="H94" s="354">
        <f>ROUND('6.1 Auxiliary Services YR2'!G139,2)</f>
        <v>0</v>
      </c>
      <c r="I94" s="154">
        <f>ROUND('6.2 Spec Ed Local YR2'!L90,2)</f>
        <v>0</v>
      </c>
      <c r="J94" s="354">
        <f>ROUND('6.7 Weighted Funding YR2'!E98,2)</f>
        <v>106898</v>
      </c>
      <c r="K94" s="154">
        <f>ROUND('6.7 Weighted Funding YR2'!I98,2)</f>
        <v>106422</v>
      </c>
      <c r="L94" s="354">
        <f>ROUND('6.7 Weighted Funding YR2'!M98,2)</f>
        <v>0</v>
      </c>
      <c r="M94" s="402">
        <f t="shared" si="12"/>
        <v>983773</v>
      </c>
      <c r="N94" s="9"/>
    </row>
    <row r="95" spans="2:14" x14ac:dyDescent="0.3">
      <c r="B95" s="9" t="str">
        <f>'5.2 Budgeted Enrollment YR2'!E91</f>
        <v>Sports Leadership and Management Academy</v>
      </c>
      <c r="C95" s="354">
        <f>'6.6 Adj. Base Summary YR2'!G96</f>
        <v>17756944</v>
      </c>
      <c r="D95" s="607">
        <f t="shared" si="9"/>
        <v>3.8975390004018706E-3</v>
      </c>
      <c r="E95" s="430">
        <f t="shared" si="10"/>
        <v>0</v>
      </c>
      <c r="F95" s="467"/>
      <c r="G95" s="380">
        <f t="shared" si="11"/>
        <v>17756944</v>
      </c>
      <c r="H95" s="354">
        <f>ROUND('6.1 Auxiliary Services YR2'!G140,2)</f>
        <v>0</v>
      </c>
      <c r="I95" s="154">
        <f>ROUND('6.2 Spec Ed Local YR2'!L91,2)</f>
        <v>1415450</v>
      </c>
      <c r="J95" s="354">
        <f>ROUND('6.7 Weighted Funding YR2'!E99,2)</f>
        <v>829525</v>
      </c>
      <c r="K95" s="154">
        <f>ROUND('6.7 Weighted Funding YR2'!I99,2)</f>
        <v>73165</v>
      </c>
      <c r="L95" s="354">
        <f>ROUND('6.7 Weighted Funding YR2'!M99,2)</f>
        <v>0</v>
      </c>
      <c r="M95" s="402">
        <f t="shared" si="12"/>
        <v>20075084</v>
      </c>
      <c r="N95" s="9"/>
    </row>
    <row r="96" spans="2:14" x14ac:dyDescent="0.3">
      <c r="B96" s="9" t="str">
        <f>'5.2 Budgeted Enrollment YR2'!E92</f>
        <v>Strong Start Academy</v>
      </c>
      <c r="C96" s="354">
        <f>'6.6 Adj. Base Summary YR2'!G97</f>
        <v>1401763</v>
      </c>
      <c r="D96" s="607">
        <f t="shared" si="9"/>
        <v>3.0767827852699918E-4</v>
      </c>
      <c r="E96" s="430">
        <f t="shared" si="10"/>
        <v>0</v>
      </c>
      <c r="F96" s="467"/>
      <c r="G96" s="380">
        <f t="shared" si="11"/>
        <v>1401763</v>
      </c>
      <c r="H96" s="354">
        <f>ROUND('6.1 Auxiliary Services YR2'!G141,2)</f>
        <v>0</v>
      </c>
      <c r="I96" s="154">
        <f>ROUND('6.2 Spec Ed Local YR2'!L92,2)</f>
        <v>219797</v>
      </c>
      <c r="J96" s="354">
        <f>ROUND('6.7 Weighted Funding YR2'!E100,2)</f>
        <v>239450</v>
      </c>
      <c r="K96" s="154">
        <f>ROUND('6.7 Weighted Funding YR2'!I100,2)</f>
        <v>0</v>
      </c>
      <c r="L96" s="354">
        <f>ROUND('6.7 Weighted Funding YR2'!M100,2)</f>
        <v>0</v>
      </c>
      <c r="M96" s="402">
        <f t="shared" si="12"/>
        <v>1861010</v>
      </c>
      <c r="N96" s="9"/>
    </row>
    <row r="97" spans="1:14" x14ac:dyDescent="0.3">
      <c r="B97" s="9" t="str">
        <f>'5.2 Budgeted Enrollment YR2'!E93</f>
        <v>ThrivePoint</v>
      </c>
      <c r="C97" s="354">
        <f>'6.6 Adj. Base Summary YR2'!G98</f>
        <v>1453666</v>
      </c>
      <c r="D97" s="607">
        <f t="shared" si="9"/>
        <v>3.1907066489358671E-4</v>
      </c>
      <c r="E97" s="430">
        <f t="shared" si="10"/>
        <v>0</v>
      </c>
      <c r="F97" s="467"/>
      <c r="G97" s="380">
        <f t="shared" si="11"/>
        <v>1453666</v>
      </c>
      <c r="H97" s="354">
        <f>ROUND('6.1 Auxiliary Services YR2'!G142,2)</f>
        <v>0</v>
      </c>
      <c r="I97" s="154">
        <f>ROUND('6.2 Spec Ed Local YR2'!L93,2)</f>
        <v>0</v>
      </c>
      <c r="J97" s="354">
        <f>ROUND('6.7 Weighted Funding YR2'!E101,2)</f>
        <v>179588</v>
      </c>
      <c r="K97" s="154">
        <f>ROUND('6.7 Weighted Funding YR2'!I101,2)</f>
        <v>162959</v>
      </c>
      <c r="L97" s="354">
        <f>ROUND('6.7 Weighted Funding YR2'!M101,2)</f>
        <v>0</v>
      </c>
      <c r="M97" s="402">
        <f t="shared" si="12"/>
        <v>1796213</v>
      </c>
      <c r="N97" s="9" t="s">
        <v>370</v>
      </c>
    </row>
    <row r="98" spans="1:14" x14ac:dyDescent="0.3">
      <c r="B98" s="9" t="str">
        <f>'5.2 Budgeted Enrollment YR2'!E94</f>
        <v>Vegas Vista Academy</v>
      </c>
      <c r="C98" s="159">
        <f>'6.6 Adj. Base Summary YR2'!G99</f>
        <v>995127</v>
      </c>
      <c r="D98" s="607">
        <f t="shared" si="9"/>
        <v>2.1842420029330003E-4</v>
      </c>
      <c r="E98" s="430">
        <f t="shared" si="10"/>
        <v>0</v>
      </c>
      <c r="F98" s="467"/>
      <c r="G98" s="380">
        <f t="shared" ref="G98" si="15">ROUND(C98+E98,2)</f>
        <v>995127</v>
      </c>
      <c r="H98" s="354">
        <f>ROUND('6.1 Auxiliary Services YR2'!G143,2)</f>
        <v>0</v>
      </c>
      <c r="I98" s="154">
        <f>ROUND('6.2 Spec Ed Local YR2'!L94,2)</f>
        <v>0</v>
      </c>
      <c r="J98" s="354">
        <f>ROUND('6.7 Weighted Funding YR2'!E102,2)</f>
        <v>153932</v>
      </c>
      <c r="K98" s="154">
        <f>ROUND('6.7 Weighted Funding YR2'!I102,2)</f>
        <v>0</v>
      </c>
      <c r="L98" s="354">
        <f>ROUND('6.7 Weighted Funding YR2'!M102,2)</f>
        <v>0</v>
      </c>
      <c r="M98" s="402">
        <f t="shared" si="12"/>
        <v>1149059</v>
      </c>
      <c r="N98" s="9" t="s">
        <v>370</v>
      </c>
    </row>
    <row r="99" spans="1:14" x14ac:dyDescent="0.3">
      <c r="B99" s="9" t="str">
        <f>'5.2 Budgeted Enrollment YR2'!E95</f>
        <v>Young Women's Leadership Academy</v>
      </c>
      <c r="C99" s="365">
        <f>'6.6 Adj. Base Summary YR2'!G100</f>
        <v>1129430</v>
      </c>
      <c r="D99" s="480">
        <f t="shared" si="9"/>
        <v>2.4790287524834704E-4</v>
      </c>
      <c r="E99" s="856">
        <f t="shared" si="10"/>
        <v>0</v>
      </c>
      <c r="F99" s="467"/>
      <c r="G99" s="381">
        <f t="shared" si="11"/>
        <v>1129430</v>
      </c>
      <c r="H99" s="354">
        <f>ROUND('6.1 Auxiliary Services YR2'!G144,2)</f>
        <v>0</v>
      </c>
      <c r="I99" s="148">
        <f>ROUND('6.2 Spec Ed Local YR2'!L95,2)</f>
        <v>122895</v>
      </c>
      <c r="J99" s="365">
        <f>ROUND('6.7 Weighted Funding YR2'!E103,2)</f>
        <v>81242</v>
      </c>
      <c r="K99" s="148">
        <f>ROUND('6.7 Weighted Funding YR2'!I103,2)</f>
        <v>6651</v>
      </c>
      <c r="L99" s="365">
        <f>ROUND('6.7 Weighted Funding YR2'!M103,2)</f>
        <v>0</v>
      </c>
      <c r="M99" s="376">
        <f t="shared" si="12"/>
        <v>1340218</v>
      </c>
      <c r="N99" s="9"/>
    </row>
    <row r="100" spans="1:14" s="4" customFormat="1" x14ac:dyDescent="0.3">
      <c r="A100" s="291"/>
      <c r="B100" s="291" t="s">
        <v>1398</v>
      </c>
      <c r="C100" s="400">
        <f>SUM(C38:C99)</f>
        <v>689476468</v>
      </c>
      <c r="D100" s="613">
        <f>C100/$C$35</f>
        <v>0.15133580552426884</v>
      </c>
      <c r="E100" s="858">
        <f>SUM(E38:E99)</f>
        <v>0</v>
      </c>
      <c r="F100" s="467"/>
      <c r="G100" s="400">
        <f t="shared" ref="G100:L100" si="16">SUM(G38:G99)</f>
        <v>689476468</v>
      </c>
      <c r="H100" s="379">
        <v>28000000</v>
      </c>
      <c r="I100" s="1726">
        <f t="shared" si="16"/>
        <v>24608056</v>
      </c>
      <c r="J100" s="388">
        <f t="shared" si="16"/>
        <v>27297350</v>
      </c>
      <c r="K100" s="1726">
        <f t="shared" si="16"/>
        <v>6674683</v>
      </c>
      <c r="L100" s="388">
        <f t="shared" si="16"/>
        <v>1700097</v>
      </c>
      <c r="M100" s="376">
        <f t="shared" si="12"/>
        <v>777756654</v>
      </c>
    </row>
    <row r="101" spans="1:14" x14ac:dyDescent="0.3">
      <c r="D101" s="614"/>
      <c r="E101" s="15"/>
      <c r="F101" s="467"/>
      <c r="G101" s="12"/>
      <c r="J101" s="10"/>
      <c r="K101" s="12"/>
      <c r="M101" s="10">
        <f>SUM(G100:L100)-M100</f>
        <v>0</v>
      </c>
    </row>
    <row r="102" spans="1:14" x14ac:dyDescent="0.3">
      <c r="A102" s="4" t="str">
        <f>B32</f>
        <v>University Schools</v>
      </c>
      <c r="D102" s="614"/>
      <c r="E102" s="162"/>
      <c r="F102" s="467"/>
      <c r="J102" s="12"/>
      <c r="K102" s="12"/>
    </row>
    <row r="103" spans="1:14" x14ac:dyDescent="0.3">
      <c r="A103" s="455"/>
      <c r="B103" s="207" t="str">
        <f>'5.2 Budgeted Enrollment YR2'!E100</f>
        <v>Davidson Academy</v>
      </c>
      <c r="C103" s="2015">
        <f>'6.6 Adj. Base Summary YR2'!G104</f>
        <v>1595237</v>
      </c>
      <c r="D103" s="1254">
        <f>C103/$C$35</f>
        <v>3.5014462074014981E-4</v>
      </c>
      <c r="E103" s="1250">
        <f t="shared" ref="E103:E104" si="17">ROUND(D103*$C$6,0)</f>
        <v>0</v>
      </c>
      <c r="F103" s="467"/>
      <c r="G103" s="481">
        <f>ROUND(C103+E103,0)</f>
        <v>1595237</v>
      </c>
      <c r="H103" s="2015">
        <v>0</v>
      </c>
      <c r="I103" s="475">
        <f>'6.2 Spec Ed Local YR2'!L99</f>
        <v>52268</v>
      </c>
      <c r="J103" s="2015">
        <f>'6.7 Weighted Funding YR2'!E107</f>
        <v>0</v>
      </c>
      <c r="K103" s="475">
        <f>'6.7 Weighted Funding YR2'!I107</f>
        <v>0</v>
      </c>
      <c r="L103" s="2015">
        <f>'6.7 Weighted Funding YR2'!M107</f>
        <v>0</v>
      </c>
      <c r="M103" s="476">
        <f t="shared" ref="M103:M104" si="18">SUM(G103:L103)</f>
        <v>1647505</v>
      </c>
      <c r="N103" s="9"/>
    </row>
    <row r="104" spans="1:14" x14ac:dyDescent="0.3">
      <c r="A104" s="142"/>
      <c r="B104" s="137" t="str">
        <f>'5.2 Budgeted Enrollment YR2'!E101</f>
        <v>TBD</v>
      </c>
      <c r="C104" s="365">
        <f>'6.6 Adj. Base Summary YR2'!G105</f>
        <v>0</v>
      </c>
      <c r="D104" s="1255">
        <f>C104/$C$35</f>
        <v>0</v>
      </c>
      <c r="E104" s="1252">
        <f t="shared" si="17"/>
        <v>0</v>
      </c>
      <c r="F104" s="467"/>
      <c r="G104" s="381">
        <f>C104+E104</f>
        <v>0</v>
      </c>
      <c r="H104" s="365">
        <v>0</v>
      </c>
      <c r="I104" s="148">
        <f>'6.2 Spec Ed Local YR2'!L100</f>
        <v>0</v>
      </c>
      <c r="J104" s="365">
        <f>'6.7 Weighted Funding YR2'!E108</f>
        <v>0</v>
      </c>
      <c r="K104" s="148">
        <f>'6.7 Weighted Funding YR2'!I108</f>
        <v>0</v>
      </c>
      <c r="L104" s="365">
        <f>'6.7 Weighted Funding YR2'!M108</f>
        <v>0</v>
      </c>
      <c r="M104" s="403">
        <f t="shared" si="18"/>
        <v>0</v>
      </c>
      <c r="N104" s="9"/>
    </row>
    <row r="105" spans="1:14" s="4" customFormat="1" x14ac:dyDescent="0.3">
      <c r="A105" s="204"/>
      <c r="B105" s="135" t="s">
        <v>1778</v>
      </c>
      <c r="C105" s="388">
        <f>SUM(C103:C104)</f>
        <v>1595237</v>
      </c>
      <c r="D105" s="1435">
        <f>C105/$C$35</f>
        <v>3.5014462074014981E-4</v>
      </c>
      <c r="E105" s="1253">
        <f>SUM(E103:E104)</f>
        <v>0</v>
      </c>
      <c r="F105" s="467"/>
      <c r="G105" s="400">
        <f>SUM(G103:G104)</f>
        <v>1595237</v>
      </c>
      <c r="H105" s="388">
        <f t="shared" ref="H105:L105" si="19">SUM(H103:H104)</f>
        <v>0</v>
      </c>
      <c r="I105" s="1726">
        <f t="shared" si="19"/>
        <v>52268</v>
      </c>
      <c r="J105" s="388">
        <f t="shared" si="19"/>
        <v>0</v>
      </c>
      <c r="K105" s="1726">
        <f t="shared" si="19"/>
        <v>0</v>
      </c>
      <c r="L105" s="388">
        <f t="shared" si="19"/>
        <v>0</v>
      </c>
      <c r="M105" s="1745">
        <f>SUM(M103:M104)</f>
        <v>1647505</v>
      </c>
    </row>
    <row r="106" spans="1:14" x14ac:dyDescent="0.3">
      <c r="J106" s="12"/>
      <c r="K106" s="12"/>
    </row>
    <row r="107" spans="1:14" x14ac:dyDescent="0.3">
      <c r="A107" s="4" t="str">
        <f>B33</f>
        <v>City of Henderson</v>
      </c>
      <c r="D107" s="614"/>
      <c r="E107" s="162"/>
      <c r="F107" s="467"/>
      <c r="J107" s="12"/>
      <c r="K107" s="12"/>
    </row>
    <row r="108" spans="1:14" x14ac:dyDescent="0.3">
      <c r="A108" s="455"/>
      <c r="B108" s="207" t="str">
        <f>'1.2 Budgeted Enrollment YR1'!E107</f>
        <v>TBD</v>
      </c>
      <c r="C108" s="2015">
        <f>'6.6 Adj. Base Summary YR2'!D109</f>
        <v>0</v>
      </c>
      <c r="D108" s="1433">
        <f>C108/$C$35</f>
        <v>0</v>
      </c>
      <c r="E108" s="1250">
        <f t="shared" ref="E108:E109" si="20">ROUND(D108*$C$6,0)</f>
        <v>0</v>
      </c>
      <c r="F108" s="467"/>
      <c r="G108" s="481">
        <f>ROUND(C108+E108,0)</f>
        <v>0</v>
      </c>
      <c r="H108" s="2015">
        <v>0</v>
      </c>
      <c r="I108" s="475">
        <f>'6.2 Spec Ed Local YR2'!L104</f>
        <v>0</v>
      </c>
      <c r="J108" s="2015">
        <f>'6.7 Weighted Funding YR2'!E112</f>
        <v>0</v>
      </c>
      <c r="K108" s="475">
        <f>'6.7 Weighted Funding YR2'!I112</f>
        <v>0</v>
      </c>
      <c r="L108" s="2015">
        <f>'6.7 Weighted Funding YR2'!M112</f>
        <v>0</v>
      </c>
      <c r="M108" s="476">
        <f t="shared" ref="M108:M109" si="21">SUM(G108:L108)</f>
        <v>0</v>
      </c>
      <c r="N108" s="9"/>
    </row>
    <row r="109" spans="1:14" x14ac:dyDescent="0.3">
      <c r="A109" s="142"/>
      <c r="B109" s="137" t="str">
        <f>'1.2 Budgeted Enrollment YR1'!E108</f>
        <v>TBD</v>
      </c>
      <c r="C109" s="365">
        <f>'6.6 Adj. Base Summary YR2'!G110</f>
        <v>0</v>
      </c>
      <c r="D109" s="1434">
        <f>C109/$C$35</f>
        <v>0</v>
      </c>
      <c r="E109" s="1252">
        <f t="shared" si="20"/>
        <v>0</v>
      </c>
      <c r="F109" s="467"/>
      <c r="G109" s="381">
        <f>C109+E109</f>
        <v>0</v>
      </c>
      <c r="H109" s="365">
        <v>0</v>
      </c>
      <c r="I109" s="148">
        <f>'6.2 Spec Ed Local YR2'!L105</f>
        <v>0</v>
      </c>
      <c r="J109" s="365">
        <f>'6.7 Weighted Funding YR2'!E113</f>
        <v>0</v>
      </c>
      <c r="K109" s="148">
        <f>'6.7 Weighted Funding YR2'!I113</f>
        <v>0</v>
      </c>
      <c r="L109" s="365">
        <f>'6.7 Weighted Funding YR2'!M113</f>
        <v>0</v>
      </c>
      <c r="M109" s="403">
        <f t="shared" si="21"/>
        <v>0</v>
      </c>
      <c r="N109" s="9"/>
    </row>
    <row r="110" spans="1:14" s="4" customFormat="1" x14ac:dyDescent="0.3">
      <c r="A110" s="204"/>
      <c r="B110" s="135" t="s">
        <v>1778</v>
      </c>
      <c r="C110" s="388">
        <f>SUM(C108:C109)</f>
        <v>0</v>
      </c>
      <c r="D110" s="1435">
        <f>C110/$C$35</f>
        <v>0</v>
      </c>
      <c r="E110" s="1253">
        <f>SUM(E108:E109)</f>
        <v>0</v>
      </c>
      <c r="F110" s="467"/>
      <c r="G110" s="400">
        <f t="shared" ref="G110:M110" si="22">SUM(G108:G109)</f>
        <v>0</v>
      </c>
      <c r="H110" s="388">
        <f t="shared" si="22"/>
        <v>0</v>
      </c>
      <c r="I110" s="1726">
        <f t="shared" si="22"/>
        <v>0</v>
      </c>
      <c r="J110" s="388">
        <f t="shared" si="22"/>
        <v>0</v>
      </c>
      <c r="K110" s="1726">
        <f t="shared" si="22"/>
        <v>0</v>
      </c>
      <c r="L110" s="388">
        <f t="shared" si="22"/>
        <v>0</v>
      </c>
      <c r="M110" s="1745">
        <f t="shared" si="22"/>
        <v>0</v>
      </c>
    </row>
    <row r="112" spans="1:14" x14ac:dyDescent="0.3">
      <c r="A112" s="4" t="str">
        <f>B34</f>
        <v>City of North Las Vegas</v>
      </c>
      <c r="D112" s="614"/>
      <c r="E112" s="162"/>
      <c r="F112" s="467"/>
      <c r="G112" s="162"/>
      <c r="H112" s="162"/>
      <c r="I112" s="162"/>
      <c r="J112" s="15"/>
      <c r="K112" s="15"/>
      <c r="L112" s="162"/>
      <c r="M112" s="162"/>
    </row>
    <row r="113" spans="1:14" x14ac:dyDescent="0.3">
      <c r="A113" s="455"/>
      <c r="B113" s="207" t="str">
        <f>'1.2 Budgeted Enrollment YR1'!E113</f>
        <v>TBD</v>
      </c>
      <c r="C113" s="2015">
        <f>'6.6 Adj. Base Summary YR2'!G114</f>
        <v>0</v>
      </c>
      <c r="D113" s="1433">
        <f>C113/$C$35</f>
        <v>0</v>
      </c>
      <c r="E113" s="1250">
        <f t="shared" ref="E113:E114" si="23">ROUND(D113*$C$6,0)</f>
        <v>0</v>
      </c>
      <c r="F113" s="467"/>
      <c r="G113" s="1249">
        <f>ROUND(C113+E113,0)</f>
        <v>0</v>
      </c>
      <c r="H113" s="2060">
        <v>0</v>
      </c>
      <c r="I113" s="862">
        <f>'6.2 Spec Ed Local YR2'!L109</f>
        <v>0</v>
      </c>
      <c r="J113" s="2060">
        <f>'6.7 Weighted Funding YR2'!E117</f>
        <v>0</v>
      </c>
      <c r="K113" s="862">
        <f>'6.7 Weighted Funding YR2'!I117</f>
        <v>0</v>
      </c>
      <c r="L113" s="2060">
        <f>'6.7 Weighted Funding YR2'!M117</f>
        <v>0</v>
      </c>
      <c r="M113" s="1250">
        <f t="shared" ref="M113:M114" si="24">SUM(G113:L113)</f>
        <v>0</v>
      </c>
      <c r="N113" s="9"/>
    </row>
    <row r="114" spans="1:14" x14ac:dyDescent="0.3">
      <c r="A114" s="142"/>
      <c r="B114" s="137" t="str">
        <f>'1.2 Budgeted Enrollment YR1'!E114</f>
        <v>TBD</v>
      </c>
      <c r="C114" s="365">
        <f>'6.6 Adj. Base Summary YR2'!G115</f>
        <v>0</v>
      </c>
      <c r="D114" s="1434">
        <f>C114/$C$35</f>
        <v>0</v>
      </c>
      <c r="E114" s="1252">
        <f t="shared" si="23"/>
        <v>0</v>
      </c>
      <c r="F114" s="467"/>
      <c r="G114" s="1251">
        <f>C114+E114</f>
        <v>0</v>
      </c>
      <c r="H114" s="855">
        <v>0</v>
      </c>
      <c r="I114" s="860">
        <f>'6.2 Spec Ed Local YR2'!L110</f>
        <v>0</v>
      </c>
      <c r="J114" s="855">
        <f>'6.7 Weighted Funding YR2'!E118</f>
        <v>0</v>
      </c>
      <c r="K114" s="860">
        <f>'6.7 Weighted Funding YR2'!I118</f>
        <v>0</v>
      </c>
      <c r="L114" s="855">
        <f>'6.7 Weighted Funding YR2'!M118</f>
        <v>0</v>
      </c>
      <c r="M114" s="1252">
        <f t="shared" si="24"/>
        <v>0</v>
      </c>
      <c r="N114" s="9"/>
    </row>
    <row r="115" spans="1:14" s="4" customFormat="1" x14ac:dyDescent="0.3">
      <c r="A115" s="204"/>
      <c r="B115" s="135" t="s">
        <v>1778</v>
      </c>
      <c r="C115" s="388">
        <f>SUM(C113:C114)</f>
        <v>0</v>
      </c>
      <c r="D115" s="1435">
        <f>C115/$C$35</f>
        <v>0</v>
      </c>
      <c r="E115" s="1253">
        <f>SUM(E113:E114)</f>
        <v>0</v>
      </c>
      <c r="F115" s="467"/>
      <c r="G115" s="857">
        <f t="shared" ref="G115:M115" si="25">SUM(G113:G114)</f>
        <v>0</v>
      </c>
      <c r="H115" s="858">
        <f t="shared" si="25"/>
        <v>0</v>
      </c>
      <c r="I115" s="861">
        <f t="shared" si="25"/>
        <v>0</v>
      </c>
      <c r="J115" s="858">
        <f t="shared" si="25"/>
        <v>0</v>
      </c>
      <c r="K115" s="861">
        <f t="shared" si="25"/>
        <v>0</v>
      </c>
      <c r="L115" s="858">
        <f t="shared" si="25"/>
        <v>0</v>
      </c>
      <c r="M115" s="1253">
        <f t="shared" si="25"/>
        <v>0</v>
      </c>
    </row>
  </sheetData>
  <pageMargins left="0.7" right="0.7" top="0.75" bottom="0.75" header="0.3" footer="0.3"/>
  <pageSetup paperSize="3" scale="72" fitToWidth="0" orientation="landscape" r:id="rId1"/>
  <headerFooter>
    <oddHeader>&amp;R&amp;"Arial Narrow,Regular"&amp;10&amp;A
&amp;P</oddHeader>
  </headerFooter>
  <rowBreaks count="2" manualBreakCount="2">
    <brk id="63" max="16383" man="1"/>
    <brk id="89" max="16383"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51184-1A2A-459B-9CE6-3717A9F390F3}">
  <sheetPr>
    <tabColor theme="6" tint="-0.499984740745262"/>
    <pageSetUpPr autoPageBreaks="0" fitToPage="1"/>
  </sheetPr>
  <dimension ref="A1:W112"/>
  <sheetViews>
    <sheetView topLeftCell="A54" zoomScale="70" zoomScaleNormal="70" workbookViewId="0">
      <selection activeCell="X31" sqref="X31"/>
    </sheetView>
  </sheetViews>
  <sheetFormatPr defaultColWidth="8.7109375" defaultRowHeight="16.5" x14ac:dyDescent="0.3"/>
  <cols>
    <col min="1" max="1" width="39" style="9" customWidth="1"/>
    <col min="2" max="2" width="14.140625" style="35" bestFit="1" customWidth="1"/>
    <col min="3" max="3" width="17" style="9" bestFit="1" customWidth="1"/>
    <col min="4" max="4" width="18.140625" style="9" customWidth="1"/>
    <col min="5" max="5" width="22.5703125" style="9" bestFit="1" customWidth="1"/>
    <col min="6" max="6" width="11.7109375" style="9" customWidth="1"/>
    <col min="7" max="7" width="2.7109375" style="9" customWidth="1"/>
    <col min="8" max="8" width="23.5703125" style="9" bestFit="1" customWidth="1"/>
    <col min="9" max="9" width="12.85546875" style="9" bestFit="1" customWidth="1"/>
    <col min="10" max="10" width="3.7109375" style="9" bestFit="1" customWidth="1"/>
    <col min="11" max="11" width="16.5703125" style="9" bestFit="1" customWidth="1"/>
    <col min="12" max="12" width="2.7109375" style="9" customWidth="1"/>
    <col min="13" max="13" width="19.140625" style="9" customWidth="1"/>
    <col min="14" max="14" width="2.7109375" style="9" customWidth="1"/>
    <col min="15" max="15" width="19.7109375" style="35" customWidth="1"/>
    <col min="16" max="16" width="2.7109375" style="35" customWidth="1"/>
    <col min="17" max="17" width="21" style="35" customWidth="1"/>
    <col min="18" max="18" width="3.140625" style="35" customWidth="1"/>
    <col min="19" max="19" width="27.140625" style="35" bestFit="1" customWidth="1"/>
    <col min="20" max="20" width="29.42578125" style="35" bestFit="1" customWidth="1"/>
    <col min="21" max="21" width="2.7109375" style="35" customWidth="1"/>
    <col min="22" max="22" width="20.42578125" style="35" bestFit="1" customWidth="1"/>
    <col min="23" max="23" width="8.7109375" style="9" customWidth="1"/>
    <col min="24" max="24" width="17.5703125" style="9" bestFit="1" customWidth="1"/>
    <col min="25" max="16384" width="8.7109375" style="9"/>
  </cols>
  <sheetData>
    <row r="1" spans="1:23" s="4" customFormat="1" x14ac:dyDescent="0.3">
      <c r="A1" s="4" t="s">
        <v>15</v>
      </c>
      <c r="B1" s="5"/>
    </row>
    <row r="2" spans="1:23" x14ac:dyDescent="0.3">
      <c r="A2" s="9" t="str">
        <f>CONCATENATE("Pupil Center Funding Model | FY",'5.1 Assumption Control YR2'!D5)</f>
        <v>Pupil Center Funding Model | FY2027</v>
      </c>
      <c r="O2" s="9"/>
      <c r="P2" s="9"/>
      <c r="Q2" s="9"/>
      <c r="R2" s="9"/>
      <c r="S2" s="9"/>
      <c r="T2" s="9"/>
      <c r="U2" s="9"/>
      <c r="V2" s="9"/>
    </row>
    <row r="3" spans="1:23" x14ac:dyDescent="0.3">
      <c r="A3" s="9" t="s">
        <v>1779</v>
      </c>
      <c r="O3" s="9"/>
      <c r="P3" s="9"/>
      <c r="Q3" s="9"/>
      <c r="R3" s="9"/>
      <c r="S3" s="9"/>
      <c r="T3" s="9"/>
      <c r="U3" s="9"/>
      <c r="V3" s="9"/>
    </row>
    <row r="4" spans="1:23" x14ac:dyDescent="0.3">
      <c r="H4" s="17"/>
      <c r="I4" s="17"/>
      <c r="J4" s="17"/>
      <c r="K4" s="17"/>
      <c r="L4" s="17"/>
      <c r="M4" s="17"/>
      <c r="N4" s="17"/>
      <c r="O4" s="5"/>
      <c r="P4" s="5"/>
      <c r="Q4" s="5"/>
      <c r="R4" s="5"/>
      <c r="S4" s="5"/>
      <c r="T4" s="5"/>
      <c r="U4" s="5"/>
      <c r="V4" s="5"/>
    </row>
    <row r="5" spans="1:23" x14ac:dyDescent="0.3">
      <c r="E5" s="2385" t="s">
        <v>1596</v>
      </c>
      <c r="F5" s="2386"/>
      <c r="G5" s="2371"/>
      <c r="H5" s="2371"/>
      <c r="I5" s="2371"/>
      <c r="J5" s="2371"/>
      <c r="K5" s="2372"/>
      <c r="L5" s="17"/>
      <c r="M5" s="2370" t="s">
        <v>1597</v>
      </c>
      <c r="N5" s="2371"/>
      <c r="O5" s="2371"/>
      <c r="P5" s="2371"/>
      <c r="Q5" s="2372"/>
      <c r="R5" s="5"/>
      <c r="S5" s="227"/>
      <c r="T5" s="635"/>
      <c r="U5" s="5"/>
      <c r="V5" s="1996"/>
    </row>
    <row r="6" spans="1:23" s="13" customFormat="1" ht="69" customHeight="1" x14ac:dyDescent="0.3">
      <c r="A6" s="465" t="s">
        <v>1598</v>
      </c>
      <c r="B6" s="528"/>
      <c r="C6" s="466" t="s">
        <v>1599</v>
      </c>
      <c r="D6" s="466" t="s">
        <v>1780</v>
      </c>
      <c r="E6" s="549" t="s">
        <v>1600</v>
      </c>
      <c r="F6" s="466" t="s">
        <v>1781</v>
      </c>
      <c r="G6" s="466"/>
      <c r="H6" s="466" t="s">
        <v>1782</v>
      </c>
      <c r="I6" s="466" t="s">
        <v>1783</v>
      </c>
      <c r="J6" s="466"/>
      <c r="K6" s="550" t="s">
        <v>1604</v>
      </c>
      <c r="L6" s="466"/>
      <c r="M6" s="549" t="s">
        <v>1605</v>
      </c>
      <c r="N6" s="466"/>
      <c r="O6" s="466" t="s">
        <v>1784</v>
      </c>
      <c r="P6" s="466"/>
      <c r="Q6" s="550" t="s">
        <v>1607</v>
      </c>
      <c r="R6" s="466"/>
      <c r="S6" s="549" t="s">
        <v>1785</v>
      </c>
      <c r="T6" s="550" t="s">
        <v>1786</v>
      </c>
      <c r="U6" s="466"/>
      <c r="V6" s="551" t="s">
        <v>1610</v>
      </c>
    </row>
    <row r="7" spans="1:23" x14ac:dyDescent="0.3">
      <c r="E7" s="106"/>
      <c r="I7" s="35"/>
      <c r="K7" s="112"/>
      <c r="M7" s="106"/>
      <c r="Q7" s="176"/>
      <c r="S7" s="146"/>
      <c r="T7" s="176"/>
      <c r="V7" s="145"/>
    </row>
    <row r="8" spans="1:23" x14ac:dyDescent="0.3">
      <c r="A8" s="36" t="str">
        <f>'5.2 Budgeted Enrollment YR2'!E9</f>
        <v>Carson City</v>
      </c>
      <c r="C8" s="108">
        <f>'1.4 FY 2020 Revenue Received'!J8</f>
        <v>7703.8062179500002</v>
      </c>
      <c r="D8" s="519">
        <f>'5.2 Budgeted Enrollment YR2'!G9</f>
        <v>6970.4860982512937</v>
      </c>
      <c r="E8" s="159">
        <f>ROUND('6.8 Alloc of Residual Rev. YR2'!M14,2)</f>
        <v>85521090</v>
      </c>
      <c r="F8" s="385">
        <f>E8/D8</f>
        <v>12269.028127242795</v>
      </c>
      <c r="H8" s="154">
        <f>ROUND('1.4 FY 2020 Revenue Received'!H8,0)</f>
        <v>72834177</v>
      </c>
      <c r="I8" s="385">
        <f>H8/C8</f>
        <v>9454.3106276862363</v>
      </c>
      <c r="J8" s="796">
        <f>I8-'1.4 FY 2020 Revenue Received'!K8</f>
        <v>0</v>
      </c>
      <c r="K8" s="175" t="str">
        <f>IF(F8&gt;I8,"Yes",IF(V8="PCFP","Yes","No"))</f>
        <v>Yes</v>
      </c>
      <c r="L8" s="10"/>
      <c r="M8" s="314">
        <f>'5.3 Budgeted Revenues YR2'!G12</f>
        <v>0</v>
      </c>
      <c r="N8" s="89"/>
      <c r="O8" s="177" t="str">
        <f>IF(M8&gt;H8,"Yes","No")</f>
        <v>No</v>
      </c>
      <c r="P8" s="177"/>
      <c r="Q8" s="175" t="str">
        <f>IF(M8&gt;E8,"Yes","No")</f>
        <v>No</v>
      </c>
      <c r="R8" s="177"/>
      <c r="S8" s="1274">
        <f>IF(K8="Yes",ROUND(F8*D8,0),"")</f>
        <v>85521090</v>
      </c>
      <c r="T8" s="1429" t="str">
        <f>IF(K8="No",ROUND((I8*D8),0),"")</f>
        <v/>
      </c>
      <c r="U8" s="177"/>
      <c r="V8" s="367" t="str">
        <f>'5.1 Assumption Control YR2'!I35</f>
        <v>PCFP</v>
      </c>
      <c r="W8" s="12"/>
    </row>
    <row r="9" spans="1:23" x14ac:dyDescent="0.3">
      <c r="A9" s="36" t="str">
        <f>'5.2 Budgeted Enrollment YR2'!E10</f>
        <v>Churchill</v>
      </c>
      <c r="C9" s="108">
        <f>'1.4 FY 2020 Revenue Received'!J9</f>
        <v>3244.6133332499999</v>
      </c>
      <c r="D9" s="519">
        <f>'5.2 Budgeted Enrollment YR2'!G10</f>
        <v>3074.1458778318033</v>
      </c>
      <c r="E9" s="159">
        <f>ROUND('6.8 Alloc of Residual Rev. YR2'!M15,2)</f>
        <v>38056139</v>
      </c>
      <c r="F9" s="385">
        <f t="shared" ref="F9:F24" si="0">E9/D9</f>
        <v>12379.418710878163</v>
      </c>
      <c r="H9" s="154">
        <f>ROUND('1.4 FY 2020 Revenue Received'!H9,0)</f>
        <v>29392879</v>
      </c>
      <c r="I9" s="385">
        <f t="shared" ref="I9:I24" si="1">H9/C9</f>
        <v>9058.9774438725872</v>
      </c>
      <c r="J9" s="796">
        <f>I9-'1.4 FY 2020 Revenue Received'!K9</f>
        <v>0</v>
      </c>
      <c r="K9" s="175" t="str">
        <f t="shared" ref="K9:K24" si="2">IF(F9&gt;I9,"Yes",IF(V9="PCFP","Yes","No"))</f>
        <v>Yes</v>
      </c>
      <c r="L9" s="10"/>
      <c r="M9" s="314">
        <f>'5.3 Budgeted Revenues YR2'!G13</f>
        <v>354742.3</v>
      </c>
      <c r="N9" s="89"/>
      <c r="O9" s="177" t="str">
        <f>IF(M9&gt;H9,"Yes","No")</f>
        <v>No</v>
      </c>
      <c r="P9" s="177"/>
      <c r="Q9" s="175" t="str">
        <f>IF(M9&gt;E9,"Yes","No")</f>
        <v>No</v>
      </c>
      <c r="R9" s="177"/>
      <c r="S9" s="1274">
        <f t="shared" ref="S9:S24" si="3">IF(K9="Yes",ROUND(F9*D9,0),"")</f>
        <v>38056139</v>
      </c>
      <c r="T9" s="1429" t="str">
        <f t="shared" ref="T9:T25" si="4">IF(K9="No",ROUND((I9*D9),0),"")</f>
        <v/>
      </c>
      <c r="U9" s="177"/>
      <c r="V9" s="367" t="str">
        <f>'5.1 Assumption Control YR2'!I36</f>
        <v>PCFP</v>
      </c>
      <c r="W9" s="12"/>
    </row>
    <row r="10" spans="1:23" x14ac:dyDescent="0.3">
      <c r="A10" s="36" t="str">
        <f>'5.2 Budgeted Enrollment YR2'!E11</f>
        <v>Clark</v>
      </c>
      <c r="C10" s="108">
        <f>'1.4 FY 2020 Revenue Received'!J10</f>
        <v>314756.71407050022</v>
      </c>
      <c r="D10" s="519">
        <f>'5.2 Budgeted Enrollment YR2'!G11</f>
        <v>285878.81775061262</v>
      </c>
      <c r="E10" s="159">
        <f>ROUND('6.8 Alloc of Residual Rev. YR2'!M16,2)</f>
        <v>3639832980</v>
      </c>
      <c r="F10" s="385">
        <f t="shared" si="0"/>
        <v>12732.083505309654</v>
      </c>
      <c r="H10" s="154">
        <f>ROUND('1.4 FY 2020 Revenue Received'!H10,0)</f>
        <v>2584487500</v>
      </c>
      <c r="I10" s="385">
        <f t="shared" si="1"/>
        <v>8211.0639248226435</v>
      </c>
      <c r="J10" s="796">
        <f>I10-'1.4 FY 2020 Revenue Received'!K10</f>
        <v>0</v>
      </c>
      <c r="K10" s="175" t="str">
        <f t="shared" si="2"/>
        <v>Yes</v>
      </c>
      <c r="L10" s="10"/>
      <c r="M10" s="314">
        <f>'5.3 Budgeted Revenues YR2'!G14</f>
        <v>87168.9</v>
      </c>
      <c r="N10" s="89"/>
      <c r="O10" s="177" t="str">
        <f t="shared" ref="O10:O24" si="5">IF(M10&gt;H10,"Yes","No")</f>
        <v>No</v>
      </c>
      <c r="P10" s="177"/>
      <c r="Q10" s="175" t="str">
        <f t="shared" ref="Q10:Q24" si="6">IF(M10&gt;E10,"Yes","No")</f>
        <v>No</v>
      </c>
      <c r="R10" s="177"/>
      <c r="S10" s="1274">
        <f t="shared" si="3"/>
        <v>3639832980</v>
      </c>
      <c r="T10" s="1429" t="str">
        <f t="shared" si="4"/>
        <v/>
      </c>
      <c r="U10" s="177"/>
      <c r="V10" s="367" t="str">
        <f>'5.1 Assumption Control YR2'!I37</f>
        <v>PCFP</v>
      </c>
      <c r="W10" s="12"/>
    </row>
    <row r="11" spans="1:23" x14ac:dyDescent="0.3">
      <c r="A11" s="36" t="str">
        <f>'5.2 Budgeted Enrollment YR2'!E12</f>
        <v>Douglas</v>
      </c>
      <c r="C11" s="108">
        <f>'1.4 FY 2020 Revenue Received'!J11</f>
        <v>5629.4090109500003</v>
      </c>
      <c r="D11" s="519">
        <f>'5.2 Budgeted Enrollment YR2'!G12</f>
        <v>4790.5859463145525</v>
      </c>
      <c r="E11" s="159">
        <f>ROUND('6.8 Alloc of Residual Rev. YR2'!M17,2)</f>
        <v>62055531</v>
      </c>
      <c r="F11" s="385">
        <f t="shared" si="0"/>
        <v>12953.641098483989</v>
      </c>
      <c r="H11" s="154">
        <f>ROUND('1.4 FY 2020 Revenue Received'!H11,0)</f>
        <v>56746026</v>
      </c>
      <c r="I11" s="385">
        <f t="shared" si="1"/>
        <v>10080.281231941208</v>
      </c>
      <c r="J11" s="796">
        <f>I11-'1.4 FY 2020 Revenue Received'!K11</f>
        <v>0</v>
      </c>
      <c r="K11" s="175" t="str">
        <f t="shared" si="2"/>
        <v>Yes</v>
      </c>
      <c r="L11" s="10"/>
      <c r="M11" s="314">
        <f>'5.3 Budgeted Revenues YR2'!G15</f>
        <v>0</v>
      </c>
      <c r="N11" s="89"/>
      <c r="O11" s="177" t="str">
        <f t="shared" si="5"/>
        <v>No</v>
      </c>
      <c r="P11" s="177"/>
      <c r="Q11" s="175" t="str">
        <f t="shared" si="6"/>
        <v>No</v>
      </c>
      <c r="R11" s="177"/>
      <c r="S11" s="1274">
        <f t="shared" si="3"/>
        <v>62055531</v>
      </c>
      <c r="T11" s="1429" t="str">
        <f t="shared" si="4"/>
        <v/>
      </c>
      <c r="U11" s="177"/>
      <c r="V11" s="367" t="str">
        <f>'5.1 Assumption Control YR2'!I38</f>
        <v>PCFP</v>
      </c>
      <c r="W11" s="12"/>
    </row>
    <row r="12" spans="1:23" x14ac:dyDescent="0.3">
      <c r="A12" s="36" t="str">
        <f>'5.2 Budgeted Enrollment YR2'!E13</f>
        <v>Elko</v>
      </c>
      <c r="C12" s="108">
        <f>'1.4 FY 2020 Revenue Received'!J12</f>
        <v>9933.4221988000008</v>
      </c>
      <c r="D12" s="519">
        <f>'5.2 Budgeted Enrollment YR2'!G13</f>
        <v>9234.4483500865917</v>
      </c>
      <c r="E12" s="159">
        <f>ROUND('6.8 Alloc of Residual Rev. YR2'!M18,2)</f>
        <v>125813078</v>
      </c>
      <c r="F12" s="385">
        <f t="shared" si="0"/>
        <v>13624.319854344114</v>
      </c>
      <c r="H12" s="154">
        <f>ROUND('1.4 FY 2020 Revenue Received'!H12,0)</f>
        <v>102333946</v>
      </c>
      <c r="I12" s="385">
        <f t="shared" si="1"/>
        <v>10301.98293719584</v>
      </c>
      <c r="J12" s="796">
        <f>I12-'1.4 FY 2020 Revenue Received'!K12</f>
        <v>0</v>
      </c>
      <c r="K12" s="175" t="str">
        <f t="shared" si="2"/>
        <v>Yes</v>
      </c>
      <c r="L12" s="10"/>
      <c r="M12" s="314">
        <f>'5.3 Budgeted Revenues YR2'!G16</f>
        <v>941296.4</v>
      </c>
      <c r="N12" s="89"/>
      <c r="O12" s="177" t="str">
        <f t="shared" si="5"/>
        <v>No</v>
      </c>
      <c r="P12" s="177"/>
      <c r="Q12" s="175" t="str">
        <f t="shared" si="6"/>
        <v>No</v>
      </c>
      <c r="R12" s="177"/>
      <c r="S12" s="1274">
        <f t="shared" si="3"/>
        <v>125813078</v>
      </c>
      <c r="T12" s="1429" t="str">
        <f t="shared" si="4"/>
        <v/>
      </c>
      <c r="U12" s="177"/>
      <c r="V12" s="367" t="str">
        <f>'5.1 Assumption Control YR2'!I39</f>
        <v>PCFP</v>
      </c>
      <c r="W12" s="12"/>
    </row>
    <row r="13" spans="1:23" x14ac:dyDescent="0.3">
      <c r="A13" s="36" t="str">
        <f>'5.2 Budgeted Enrollment YR2'!E14</f>
        <v>Esmeralda</v>
      </c>
      <c r="C13" s="108">
        <f>'1.4 FY 2020 Revenue Received'!J13</f>
        <v>70.707003950000001</v>
      </c>
      <c r="D13" s="519">
        <f>'5.2 Budgeted Enrollment YR2'!G14</f>
        <v>80.635895560117746</v>
      </c>
      <c r="E13" s="159">
        <f>ROUND('6.8 Alloc of Residual Rev. YR2'!M19,2)</f>
        <v>2559513</v>
      </c>
      <c r="F13" s="385">
        <f>E13/D13</f>
        <v>31741.608153800018</v>
      </c>
      <c r="H13" s="154">
        <f>ROUND('1.4 FY 2020 Revenue Received'!H13,0)</f>
        <v>2619928</v>
      </c>
      <c r="I13" s="385">
        <f t="shared" si="1"/>
        <v>37053.302411917568</v>
      </c>
      <c r="J13" s="796">
        <f>I13-'1.4 FY 2020 Revenue Received'!K13</f>
        <v>0</v>
      </c>
      <c r="K13" s="175" t="str">
        <f>IF(F13&gt;I13,"Yes",IF(V13="PCFP","Yes","No"))</f>
        <v>No</v>
      </c>
      <c r="L13" s="10"/>
      <c r="M13" s="314">
        <f>'5.3 Budgeted Revenues YR2'!G17</f>
        <v>1478678.2999999998</v>
      </c>
      <c r="N13" s="89"/>
      <c r="O13" s="177" t="str">
        <f t="shared" si="5"/>
        <v>No</v>
      </c>
      <c r="P13" s="177"/>
      <c r="Q13" s="175" t="str">
        <f t="shared" si="6"/>
        <v>No</v>
      </c>
      <c r="R13" s="177"/>
      <c r="S13" s="1274" t="str">
        <f t="shared" si="3"/>
        <v/>
      </c>
      <c r="T13" s="1429">
        <f t="shared" si="4"/>
        <v>2987826</v>
      </c>
      <c r="U13" s="177"/>
      <c r="V13" s="367" t="str">
        <f>'5.1 Assumption Control YR2'!I40</f>
        <v>FY 2020 Baseline</v>
      </c>
      <c r="W13" s="12"/>
    </row>
    <row r="14" spans="1:23" x14ac:dyDescent="0.3">
      <c r="A14" s="36" t="str">
        <f>'5.2 Budgeted Enrollment YR2'!E15</f>
        <v>Eureka</v>
      </c>
      <c r="C14" s="108">
        <f>'1.4 FY 2020 Revenue Received'!J14</f>
        <v>306.2</v>
      </c>
      <c r="D14" s="519">
        <f>'5.2 Budgeted Enrollment YR2'!G15</f>
        <v>297.58201989503061</v>
      </c>
      <c r="E14" s="159">
        <f>ROUND('6.8 Alloc of Residual Rev. YR2'!M20,2)</f>
        <v>6470429</v>
      </c>
      <c r="F14" s="385">
        <f t="shared" si="0"/>
        <v>21743.346598300483</v>
      </c>
      <c r="H14" s="154">
        <f>ROUND('1.4 FY 2020 Revenue Received'!H14,0)</f>
        <v>12044695</v>
      </c>
      <c r="I14" s="385">
        <f t="shared" si="1"/>
        <v>39336.038536903987</v>
      </c>
      <c r="J14" s="796">
        <f>I14-'1.4 FY 2020 Revenue Received'!K14</f>
        <v>0</v>
      </c>
      <c r="K14" s="175" t="str">
        <f t="shared" si="2"/>
        <v>No</v>
      </c>
      <c r="L14" s="10"/>
      <c r="M14" s="314">
        <f>'5.3 Budgeted Revenues YR2'!G18</f>
        <v>9246289.4000000004</v>
      </c>
      <c r="N14" s="89"/>
      <c r="O14" s="177" t="str">
        <f t="shared" si="5"/>
        <v>No</v>
      </c>
      <c r="P14" s="177"/>
      <c r="Q14" s="175" t="str">
        <f t="shared" si="6"/>
        <v>Yes</v>
      </c>
      <c r="R14" s="177"/>
      <c r="S14" s="1274" t="str">
        <f t="shared" si="3"/>
        <v/>
      </c>
      <c r="T14" s="1429">
        <f t="shared" si="4"/>
        <v>11705698</v>
      </c>
      <c r="U14" s="177"/>
      <c r="V14" s="367" t="str">
        <f>'5.1 Assumption Control YR2'!I41</f>
        <v>FY 2020 Baseline</v>
      </c>
      <c r="W14" s="12"/>
    </row>
    <row r="15" spans="1:23" x14ac:dyDescent="0.3">
      <c r="A15" s="36" t="str">
        <f>'5.2 Budgeted Enrollment YR2'!E16</f>
        <v>Humboldt</v>
      </c>
      <c r="C15" s="108">
        <f>'1.4 FY 2020 Revenue Received'!J15</f>
        <v>3383.7675731499999</v>
      </c>
      <c r="D15" s="519">
        <f>'5.2 Budgeted Enrollment YR2'!G16</f>
        <v>3135.8857800940204</v>
      </c>
      <c r="E15" s="159">
        <f>ROUND('6.8 Alloc of Residual Rev. YR2'!M21,2)</f>
        <v>43059315</v>
      </c>
      <c r="F15" s="385">
        <f t="shared" si="0"/>
        <v>13731.14903397693</v>
      </c>
      <c r="H15" s="154">
        <f>ROUND('1.4 FY 2020 Revenue Received'!H15,0)</f>
        <v>38103491</v>
      </c>
      <c r="I15" s="385">
        <f t="shared" si="1"/>
        <v>11260.670296136472</v>
      </c>
      <c r="J15" s="796">
        <f>I15-'1.4 FY 2020 Revenue Received'!K15</f>
        <v>0</v>
      </c>
      <c r="K15" s="175" t="str">
        <f t="shared" si="2"/>
        <v>Yes</v>
      </c>
      <c r="L15" s="10"/>
      <c r="M15" s="314">
        <f>'5.3 Budgeted Revenues YR2'!G19</f>
        <v>7280678.5999999996</v>
      </c>
      <c r="N15" s="89"/>
      <c r="O15" s="177" t="str">
        <f t="shared" si="5"/>
        <v>No</v>
      </c>
      <c r="P15" s="177"/>
      <c r="Q15" s="175" t="str">
        <f t="shared" si="6"/>
        <v>No</v>
      </c>
      <c r="R15" s="177"/>
      <c r="S15" s="1274">
        <f t="shared" si="3"/>
        <v>43059315</v>
      </c>
      <c r="T15" s="1429" t="str">
        <f t="shared" si="4"/>
        <v/>
      </c>
      <c r="U15" s="177"/>
      <c r="V15" s="367" t="str">
        <f>'5.1 Assumption Control YR2'!I42</f>
        <v>PCFP</v>
      </c>
      <c r="W15" s="12"/>
    </row>
    <row r="16" spans="1:23" x14ac:dyDescent="0.3">
      <c r="A16" s="36" t="str">
        <f>'5.2 Budgeted Enrollment YR2'!E17</f>
        <v>Lander</v>
      </c>
      <c r="C16" s="108">
        <f>'1.4 FY 2020 Revenue Received'!J16</f>
        <v>982.91822275000004</v>
      </c>
      <c r="D16" s="519">
        <f>'5.2 Budgeted Enrollment YR2'!G17</f>
        <v>970.28169719049401</v>
      </c>
      <c r="E16" s="159">
        <f>ROUND('6.8 Alloc of Residual Rev. YR2'!M22,2)</f>
        <v>15479678</v>
      </c>
      <c r="F16" s="385">
        <f t="shared" si="0"/>
        <v>15953.797793797708</v>
      </c>
      <c r="H16" s="154">
        <f>ROUND('1.4 FY 2020 Revenue Received'!H16,0)</f>
        <v>11828220</v>
      </c>
      <c r="I16" s="385">
        <f t="shared" si="1"/>
        <v>12033.778320750946</v>
      </c>
      <c r="J16" s="796">
        <f>I16-'1.4 FY 2020 Revenue Received'!K16</f>
        <v>0</v>
      </c>
      <c r="K16" s="175" t="str">
        <f t="shared" si="2"/>
        <v>Yes</v>
      </c>
      <c r="L16" s="10"/>
      <c r="M16" s="314">
        <f>'5.3 Budgeted Revenues YR2'!G20</f>
        <v>10108399.399999999</v>
      </c>
      <c r="N16" s="89"/>
      <c r="O16" s="177" t="str">
        <f t="shared" si="5"/>
        <v>No</v>
      </c>
      <c r="P16" s="177"/>
      <c r="Q16" s="175" t="str">
        <f t="shared" si="6"/>
        <v>No</v>
      </c>
      <c r="R16" s="177"/>
      <c r="S16" s="1274">
        <f t="shared" si="3"/>
        <v>15479678</v>
      </c>
      <c r="T16" s="1429" t="str">
        <f t="shared" si="4"/>
        <v/>
      </c>
      <c r="U16" s="177"/>
      <c r="V16" s="367" t="str">
        <f>'5.1 Assumption Control YR2'!I43</f>
        <v>PCFP</v>
      </c>
      <c r="W16" s="12"/>
    </row>
    <row r="17" spans="1:23" x14ac:dyDescent="0.3">
      <c r="A17" s="36" t="str">
        <f>'5.2 Budgeted Enrollment YR2'!E18</f>
        <v>Lincoln</v>
      </c>
      <c r="C17" s="108">
        <f>'1.4 FY 2020 Revenue Received'!J17</f>
        <v>855.1576710999999</v>
      </c>
      <c r="D17" s="519">
        <f>'5.2 Budgeted Enrollment YR2'!G18</f>
        <v>870.02699048734246</v>
      </c>
      <c r="E17" s="159">
        <f>ROUND('6.8 Alloc of Residual Rev. YR2'!M23,2)</f>
        <v>15944233</v>
      </c>
      <c r="F17" s="385">
        <f t="shared" si="0"/>
        <v>18326.136055927294</v>
      </c>
      <c r="H17" s="154">
        <f>ROUND('1.4 FY 2020 Revenue Received'!H17,0)</f>
        <v>12721738</v>
      </c>
      <c r="I17" s="385">
        <f t="shared" si="1"/>
        <v>14876.48234931445</v>
      </c>
      <c r="J17" s="796">
        <f>I17-'1.4 FY 2020 Revenue Received'!K17</f>
        <v>0</v>
      </c>
      <c r="K17" s="175" t="str">
        <f t="shared" si="2"/>
        <v>Yes</v>
      </c>
      <c r="L17" s="10"/>
      <c r="M17" s="314">
        <f>'5.3 Budgeted Revenues YR2'!G21</f>
        <v>0</v>
      </c>
      <c r="N17" s="89"/>
      <c r="O17" s="177" t="str">
        <f t="shared" si="5"/>
        <v>No</v>
      </c>
      <c r="P17" s="177"/>
      <c r="Q17" s="175" t="str">
        <f t="shared" si="6"/>
        <v>No</v>
      </c>
      <c r="R17" s="177"/>
      <c r="S17" s="1274">
        <f t="shared" si="3"/>
        <v>15944233</v>
      </c>
      <c r="T17" s="1429" t="str">
        <f t="shared" si="4"/>
        <v/>
      </c>
      <c r="U17" s="177"/>
      <c r="V17" s="367" t="str">
        <f>'5.1 Assumption Control YR2'!I44</f>
        <v>PCFP</v>
      </c>
      <c r="W17" s="12"/>
    </row>
    <row r="18" spans="1:23" x14ac:dyDescent="0.3">
      <c r="A18" s="36" t="str">
        <f>'5.2 Budgeted Enrollment YR2'!E19</f>
        <v>Lyon</v>
      </c>
      <c r="C18" s="108">
        <f>'1.4 FY 2020 Revenue Received'!J18</f>
        <v>8845.8018661500009</v>
      </c>
      <c r="D18" s="519">
        <f>'5.2 Budgeted Enrollment YR2'!G19</f>
        <v>8933.9764767711295</v>
      </c>
      <c r="E18" s="159">
        <f>ROUND('6.8 Alloc of Residual Rev. YR2'!M24,2)</f>
        <v>124579103</v>
      </c>
      <c r="F18" s="385">
        <f t="shared" si="0"/>
        <v>13944.418067801396</v>
      </c>
      <c r="H18" s="154">
        <f>ROUND('1.4 FY 2020 Revenue Received'!H18,0)</f>
        <v>84376123</v>
      </c>
      <c r="I18" s="385">
        <f t="shared" si="1"/>
        <v>9538.5499558700158</v>
      </c>
      <c r="J18" s="796">
        <f>I18-'1.4 FY 2020 Revenue Received'!K18</f>
        <v>0</v>
      </c>
      <c r="K18" s="175" t="str">
        <f t="shared" si="2"/>
        <v>Yes</v>
      </c>
      <c r="L18" s="10"/>
      <c r="M18" s="314">
        <f>'5.3 Budgeted Revenues YR2'!G22</f>
        <v>3512.3</v>
      </c>
      <c r="N18" s="89"/>
      <c r="O18" s="177" t="str">
        <f t="shared" si="5"/>
        <v>No</v>
      </c>
      <c r="P18" s="177"/>
      <c r="Q18" s="175" t="str">
        <f t="shared" si="6"/>
        <v>No</v>
      </c>
      <c r="R18" s="177"/>
      <c r="S18" s="1274">
        <f t="shared" si="3"/>
        <v>124579103</v>
      </c>
      <c r="T18" s="1429" t="str">
        <f t="shared" si="4"/>
        <v/>
      </c>
      <c r="U18" s="177"/>
      <c r="V18" s="367" t="str">
        <f>'5.1 Assumption Control YR2'!I45</f>
        <v>PCFP</v>
      </c>
      <c r="W18" s="12"/>
    </row>
    <row r="19" spans="1:23" x14ac:dyDescent="0.3">
      <c r="A19" s="36" t="str">
        <f>'5.2 Budgeted Enrollment YR2'!E20</f>
        <v>Mineral</v>
      </c>
      <c r="C19" s="108">
        <f>'1.4 FY 2020 Revenue Received'!J19</f>
        <v>541.82059757121215</v>
      </c>
      <c r="D19" s="519">
        <f>'5.2 Budgeted Enrollment YR2'!G20</f>
        <v>509.60323278309136</v>
      </c>
      <c r="E19" s="159">
        <f>ROUND('6.8 Alloc of Residual Rev. YR2'!M25,2)</f>
        <v>9462728</v>
      </c>
      <c r="F19" s="385">
        <f t="shared" si="0"/>
        <v>18568.814699862269</v>
      </c>
      <c r="H19" s="154">
        <f>ROUND('1.4 FY 2020 Revenue Received'!H19,0)</f>
        <v>7521260</v>
      </c>
      <c r="I19" s="385">
        <f t="shared" si="1"/>
        <v>13881.458242294806</v>
      </c>
      <c r="J19" s="796">
        <f>I19-'1.4 FY 2020 Revenue Received'!K19</f>
        <v>0</v>
      </c>
      <c r="K19" s="175" t="str">
        <f t="shared" si="2"/>
        <v>Yes</v>
      </c>
      <c r="L19" s="10"/>
      <c r="M19" s="314">
        <f>'5.3 Budgeted Revenues YR2'!G23</f>
        <v>518543.2</v>
      </c>
      <c r="N19" s="89"/>
      <c r="O19" s="177" t="str">
        <f t="shared" si="5"/>
        <v>No</v>
      </c>
      <c r="P19" s="177"/>
      <c r="Q19" s="175" t="str">
        <f t="shared" si="6"/>
        <v>No</v>
      </c>
      <c r="R19" s="177"/>
      <c r="S19" s="1274">
        <f t="shared" si="3"/>
        <v>9462728</v>
      </c>
      <c r="T19" s="1429" t="str">
        <f t="shared" si="4"/>
        <v/>
      </c>
      <c r="U19" s="177"/>
      <c r="V19" s="367" t="str">
        <f>'5.1 Assumption Control YR2'!I46</f>
        <v>PCFP</v>
      </c>
      <c r="W19" s="12"/>
    </row>
    <row r="20" spans="1:23" x14ac:dyDescent="0.3">
      <c r="A20" s="36" t="str">
        <f>'5.2 Budgeted Enrollment YR2'!E21</f>
        <v>Nye</v>
      </c>
      <c r="C20" s="108">
        <f>'1.4 FY 2020 Revenue Received'!J20</f>
        <v>5385.5136149795999</v>
      </c>
      <c r="D20" s="519">
        <f>'5.2 Budgeted Enrollment YR2'!G21</f>
        <v>5457.0457625112185</v>
      </c>
      <c r="E20" s="159">
        <f>ROUND('6.8 Alloc of Residual Rev. YR2'!M26,2)</f>
        <v>83297395</v>
      </c>
      <c r="F20" s="385">
        <f t="shared" si="0"/>
        <v>15264.192133449927</v>
      </c>
      <c r="H20" s="154">
        <f>ROUND('1.4 FY 2020 Revenue Received'!H20,0)</f>
        <v>57608701</v>
      </c>
      <c r="I20" s="385">
        <f t="shared" si="1"/>
        <v>10696.974349811986</v>
      </c>
      <c r="J20" s="796">
        <f>I20-'1.4 FY 2020 Revenue Received'!K20</f>
        <v>0</v>
      </c>
      <c r="K20" s="175" t="str">
        <f t="shared" si="2"/>
        <v>Yes</v>
      </c>
      <c r="L20" s="10"/>
      <c r="M20" s="314">
        <f>'5.3 Budgeted Revenues YR2'!G24</f>
        <v>664782.60000000009</v>
      </c>
      <c r="N20" s="89"/>
      <c r="O20" s="177" t="str">
        <f t="shared" si="5"/>
        <v>No</v>
      </c>
      <c r="P20" s="177"/>
      <c r="Q20" s="175" t="str">
        <f t="shared" si="6"/>
        <v>No</v>
      </c>
      <c r="R20" s="177"/>
      <c r="S20" s="1274">
        <f t="shared" si="3"/>
        <v>83297395</v>
      </c>
      <c r="T20" s="1429" t="str">
        <f t="shared" si="4"/>
        <v/>
      </c>
      <c r="U20" s="177"/>
      <c r="V20" s="367" t="str">
        <f>'5.1 Assumption Control YR2'!I47</f>
        <v>PCFP</v>
      </c>
      <c r="W20" s="12"/>
    </row>
    <row r="21" spans="1:23" x14ac:dyDescent="0.3">
      <c r="A21" s="36" t="str">
        <f>'5.2 Budgeted Enrollment YR2'!E22</f>
        <v>Pershing</v>
      </c>
      <c r="C21" s="108">
        <f>'1.4 FY 2020 Revenue Received'!J21</f>
        <v>665.11446960000001</v>
      </c>
      <c r="D21" s="519">
        <f>'5.2 Budgeted Enrollment YR2'!G22</f>
        <v>635.8592256998902</v>
      </c>
      <c r="E21" s="159">
        <f>ROUND('6.8 Alloc of Residual Rev. YR2'!M27,2)</f>
        <v>10974737</v>
      </c>
      <c r="F21" s="385">
        <f t="shared" si="0"/>
        <v>17259.696103206032</v>
      </c>
      <c r="H21" s="154">
        <f>ROUND('1.4 FY 2020 Revenue Received'!H21,0)</f>
        <v>9061410</v>
      </c>
      <c r="I21" s="385">
        <f t="shared" si="1"/>
        <v>13623.83531582095</v>
      </c>
      <c r="J21" s="796">
        <f>I21-'1.4 FY 2020 Revenue Received'!K21</f>
        <v>0</v>
      </c>
      <c r="K21" s="175" t="str">
        <f t="shared" si="2"/>
        <v>Yes</v>
      </c>
      <c r="L21" s="10"/>
      <c r="M21" s="314">
        <f>'5.3 Budgeted Revenues YR2'!G25</f>
        <v>121972.6</v>
      </c>
      <c r="N21" s="89"/>
      <c r="O21" s="177" t="str">
        <f t="shared" si="5"/>
        <v>No</v>
      </c>
      <c r="P21" s="177"/>
      <c r="Q21" s="175" t="str">
        <f t="shared" si="6"/>
        <v>No</v>
      </c>
      <c r="R21" s="177"/>
      <c r="S21" s="1274">
        <f t="shared" si="3"/>
        <v>10974737</v>
      </c>
      <c r="T21" s="1429" t="str">
        <f t="shared" si="4"/>
        <v/>
      </c>
      <c r="U21" s="177"/>
      <c r="V21" s="367" t="str">
        <f>'5.1 Assumption Control YR2'!I48</f>
        <v>PCFP</v>
      </c>
      <c r="W21" s="12"/>
    </row>
    <row r="22" spans="1:23" x14ac:dyDescent="0.3">
      <c r="A22" s="36" t="str">
        <f>'5.2 Budgeted Enrollment YR2'!E23</f>
        <v>Storey</v>
      </c>
      <c r="C22" s="108">
        <f>'1.4 FY 2020 Revenue Received'!J22</f>
        <v>437.81518235000004</v>
      </c>
      <c r="D22" s="519">
        <f>'5.2 Budgeted Enrollment YR2'!G23</f>
        <v>395.34078642383383</v>
      </c>
      <c r="E22" s="159">
        <f>ROUND('6.8 Alloc of Residual Rev. YR2'!M28,2)</f>
        <v>7695702</v>
      </c>
      <c r="F22" s="385">
        <f t="shared" si="0"/>
        <v>19465.995577166814</v>
      </c>
      <c r="H22" s="154">
        <f>ROUND('1.4 FY 2020 Revenue Received'!H22,0)</f>
        <v>11383223</v>
      </c>
      <c r="I22" s="385">
        <f t="shared" si="1"/>
        <v>26000.064545271929</v>
      </c>
      <c r="J22" s="796">
        <f>I22-'1.4 FY 2020 Revenue Received'!K22</f>
        <v>0</v>
      </c>
      <c r="K22" s="175" t="str">
        <f t="shared" si="2"/>
        <v>No</v>
      </c>
      <c r="L22" s="10"/>
      <c r="M22" s="314">
        <f>'5.3 Budgeted Revenues YR2'!G26</f>
        <v>0</v>
      </c>
      <c r="N22" s="89"/>
      <c r="O22" s="177" t="str">
        <f t="shared" si="5"/>
        <v>No</v>
      </c>
      <c r="P22" s="177"/>
      <c r="Q22" s="175" t="str">
        <f t="shared" si="6"/>
        <v>No</v>
      </c>
      <c r="R22" s="177"/>
      <c r="S22" s="1274" t="str">
        <f t="shared" si="3"/>
        <v/>
      </c>
      <c r="T22" s="1429">
        <f t="shared" si="4"/>
        <v>10278886</v>
      </c>
      <c r="U22" s="177"/>
      <c r="V22" s="367" t="str">
        <f>'5.1 Assumption Control YR2'!I49</f>
        <v>FY 2020 Baseline</v>
      </c>
      <c r="W22" s="12"/>
    </row>
    <row r="23" spans="1:23" x14ac:dyDescent="0.3">
      <c r="A23" s="36" t="str">
        <f>'5.2 Budgeted Enrollment YR2'!E24</f>
        <v>Washoe</v>
      </c>
      <c r="C23" s="108">
        <f>'1.4 FY 2020 Revenue Received'!J23</f>
        <v>63659.88216394998</v>
      </c>
      <c r="D23" s="519">
        <f>'5.2 Budgeted Enrollment YR2'!G24</f>
        <v>58816.718998091914</v>
      </c>
      <c r="E23" s="159">
        <f>ROUND('6.8 Alloc of Residual Rev. YR2'!M29,2)</f>
        <v>717241149</v>
      </c>
      <c r="F23" s="385">
        <f t="shared" si="0"/>
        <v>12194.511377339293</v>
      </c>
      <c r="H23" s="154">
        <f>ROUND('1.4 FY 2020 Revenue Received'!H23,0)</f>
        <v>533886901</v>
      </c>
      <c r="I23" s="385">
        <f t="shared" si="1"/>
        <v>8386.5518259211512</v>
      </c>
      <c r="J23" s="796">
        <f>I23-'1.4 FY 2020 Revenue Received'!K23</f>
        <v>0</v>
      </c>
      <c r="K23" s="175" t="str">
        <f t="shared" si="2"/>
        <v>Yes</v>
      </c>
      <c r="L23" s="10"/>
      <c r="M23" s="314">
        <f>'5.3 Budgeted Revenues YR2'!G27</f>
        <v>81102.200000000012</v>
      </c>
      <c r="N23" s="89"/>
      <c r="O23" s="177" t="str">
        <f t="shared" si="5"/>
        <v>No</v>
      </c>
      <c r="P23" s="177"/>
      <c r="Q23" s="175" t="str">
        <f t="shared" si="6"/>
        <v>No</v>
      </c>
      <c r="R23" s="177"/>
      <c r="S23" s="1274">
        <f t="shared" si="3"/>
        <v>717241149</v>
      </c>
      <c r="T23" s="1429" t="str">
        <f t="shared" si="4"/>
        <v/>
      </c>
      <c r="U23" s="177"/>
      <c r="V23" s="367" t="str">
        <f>'5.1 Assumption Control YR2'!I50</f>
        <v>PCFP</v>
      </c>
      <c r="W23" s="12"/>
    </row>
    <row r="24" spans="1:23" x14ac:dyDescent="0.3">
      <c r="A24" s="459" t="str">
        <f>'5.2 Budgeted Enrollment YR2'!E25</f>
        <v>White Pine</v>
      </c>
      <c r="B24" s="304"/>
      <c r="C24" s="490">
        <f>'1.4 FY 2020 Revenue Received'!J24</f>
        <v>1248.6201723000001</v>
      </c>
      <c r="D24" s="1436">
        <f>'5.2 Budgeted Enrollment YR2'!G25</f>
        <v>1231.0239819599622</v>
      </c>
      <c r="E24" s="366">
        <f>ROUND('6.8 Alloc of Residual Rev. YR2'!M30,2)</f>
        <v>21637357</v>
      </c>
      <c r="F24" s="391">
        <f t="shared" si="0"/>
        <v>17576.714440242104</v>
      </c>
      <c r="G24" s="137"/>
      <c r="H24" s="148">
        <f>ROUND('1.4 FY 2020 Revenue Received'!H24,0)</f>
        <v>15230573</v>
      </c>
      <c r="I24" s="391">
        <f t="shared" si="1"/>
        <v>12197.923225879633</v>
      </c>
      <c r="J24" s="1262">
        <f>I24-'1.4 FY 2020 Revenue Received'!K24</f>
        <v>0</v>
      </c>
      <c r="K24" s="184" t="str">
        <f t="shared" si="2"/>
        <v>Yes</v>
      </c>
      <c r="L24" s="29"/>
      <c r="M24" s="1263">
        <f>'5.3 Budgeted Revenues YR2'!G28</f>
        <v>1042833.8</v>
      </c>
      <c r="N24" s="148"/>
      <c r="O24" s="183" t="str">
        <f t="shared" si="5"/>
        <v>No</v>
      </c>
      <c r="P24" s="484"/>
      <c r="Q24" s="184" t="str">
        <f t="shared" si="6"/>
        <v>No</v>
      </c>
      <c r="R24" s="177"/>
      <c r="S24" s="1275">
        <f t="shared" si="3"/>
        <v>21637357</v>
      </c>
      <c r="T24" s="1437" t="str">
        <f t="shared" si="4"/>
        <v/>
      </c>
      <c r="U24" s="177"/>
      <c r="V24" s="367" t="str">
        <f>'5.1 Assumption Control YR2'!I51</f>
        <v>PCFP</v>
      </c>
      <c r="W24" s="12"/>
    </row>
    <row r="25" spans="1:23" ht="18.75" x14ac:dyDescent="0.45">
      <c r="A25" s="36" t="str">
        <f>'5.2 Budgeted Enrollment YR2'!E26</f>
        <v>Charter Schools</v>
      </c>
      <c r="C25" s="108">
        <f>C96</f>
        <v>57012.474131748568</v>
      </c>
      <c r="D25" s="519">
        <f>D96</f>
        <v>72301.606666666703</v>
      </c>
      <c r="E25" s="159">
        <f>E96</f>
        <v>777756654</v>
      </c>
      <c r="F25" s="385">
        <f>E25/D25</f>
        <v>10757.114396996798</v>
      </c>
      <c r="H25" s="154">
        <f>H96</f>
        <v>433806524</v>
      </c>
      <c r="I25" s="385">
        <f>H25/C25</f>
        <v>7608.9755901055678</v>
      </c>
      <c r="J25" s="796">
        <f>I25-'1.4 FY 2020 Revenue Received'!K25</f>
        <v>0</v>
      </c>
      <c r="K25" s="175" t="str">
        <f>IF(F25&gt;I25,"Yes",IF(V25="PCFP","Yes","No"))</f>
        <v>Yes</v>
      </c>
      <c r="L25" s="344"/>
      <c r="M25" s="488"/>
      <c r="N25" s="209"/>
      <c r="O25" s="181" t="str">
        <f>IF(M25&gt;H25,"Yes","Does Not Apply")</f>
        <v>Does Not Apply</v>
      </c>
      <c r="P25" s="209"/>
      <c r="Q25" s="182" t="str">
        <f>IF(O25&gt;K25,"Yes","Does Not Apply")</f>
        <v>Does Not Apply</v>
      </c>
      <c r="R25" s="209"/>
      <c r="S25" s="1274">
        <f>IF(K25="Yes",ROUND(F25*D25,0),"")</f>
        <v>777756654</v>
      </c>
      <c r="T25" s="1429" t="str">
        <f t="shared" si="4"/>
        <v/>
      </c>
      <c r="U25" s="209"/>
      <c r="V25" s="2023" t="str">
        <f>'5.1 Assumption Control YR2'!I52</f>
        <v>PCFP</v>
      </c>
      <c r="W25" s="12"/>
    </row>
    <row r="26" spans="1:23" ht="18.75" x14ac:dyDescent="0.45">
      <c r="A26" s="36" t="str">
        <f>'5.2 Budgeted Enrollment YR2'!E27</f>
        <v>University Schools</v>
      </c>
      <c r="C26" s="108">
        <f>C101</f>
        <v>143.645726495611</v>
      </c>
      <c r="D26" s="519">
        <f>D101</f>
        <v>167.88437423074134</v>
      </c>
      <c r="E26" s="159">
        <f>E101</f>
        <v>1647505</v>
      </c>
      <c r="F26" s="385">
        <f>E26/D26</f>
        <v>9813.3313928052576</v>
      </c>
      <c r="H26" s="154">
        <f>H101</f>
        <v>1161406</v>
      </c>
      <c r="I26" s="385">
        <f>H26/C26</f>
        <v>8085.2109445489559</v>
      </c>
      <c r="J26" s="796">
        <f>I26-'1.4 FY 2020 Revenue Received'!K26</f>
        <v>0</v>
      </c>
      <c r="K26" s="175" t="str">
        <f>IF(F26&gt;I26,"Yes",IF(V26="PCFP","Yes","No"))</f>
        <v>Yes</v>
      </c>
      <c r="M26" s="488"/>
      <c r="N26" s="209"/>
      <c r="O26" s="181" t="str">
        <f>IF(M26&gt;H26,"Yes","Does Not Apply")</f>
        <v>Does Not Apply</v>
      </c>
      <c r="P26" s="345"/>
      <c r="Q26" s="182" t="str">
        <f>IF(O26&gt;K26,"Yes","Does Not Apply")</f>
        <v>Does Not Apply</v>
      </c>
      <c r="R26" s="208"/>
      <c r="S26" s="1274">
        <f t="shared" ref="S26:S28" si="7">IF(K26="Yes",ROUND(F26*D26,0),"")</f>
        <v>1647505</v>
      </c>
      <c r="T26" s="1429" t="str">
        <f t="shared" ref="T26:T28" si="8">IF(K26="No",ROUND((I26*D26),0),"")</f>
        <v/>
      </c>
      <c r="U26" s="208"/>
      <c r="V26" s="367" t="str">
        <f>'5.1 Assumption Control YR2'!I53</f>
        <v>PCFP</v>
      </c>
      <c r="W26" s="12"/>
    </row>
    <row r="27" spans="1:23" ht="18.75" x14ac:dyDescent="0.45">
      <c r="A27" s="36" t="str">
        <f>'5.2 Budgeted Enrollment YR2'!E28</f>
        <v>City of Henderson</v>
      </c>
      <c r="C27" s="108">
        <f>C106</f>
        <v>0</v>
      </c>
      <c r="D27" s="108">
        <f>D106</f>
        <v>0</v>
      </c>
      <c r="E27" s="159">
        <f>E106</f>
        <v>0</v>
      </c>
      <c r="F27" s="385">
        <f>IF(D27=0,0,(E27/D27))</f>
        <v>0</v>
      </c>
      <c r="H27" s="154">
        <f>H106</f>
        <v>0</v>
      </c>
      <c r="I27" s="385">
        <f>IF(C27=0,0,H27/C27)</f>
        <v>0</v>
      </c>
      <c r="J27" s="796"/>
      <c r="K27" s="175" t="str">
        <f t="shared" ref="K27:K28" si="9">IF(F27&gt;I27,"Yes",IF(V27="PCFP","Yes","No"))</f>
        <v>Yes</v>
      </c>
      <c r="M27" s="488"/>
      <c r="N27" s="209"/>
      <c r="O27" s="181"/>
      <c r="P27" s="345"/>
      <c r="Q27" s="181"/>
      <c r="R27" s="208"/>
      <c r="S27" s="1274">
        <f t="shared" si="7"/>
        <v>0</v>
      </c>
      <c r="T27" s="1429" t="str">
        <f t="shared" si="8"/>
        <v/>
      </c>
      <c r="U27" s="208"/>
      <c r="V27" s="367" t="str">
        <f>'5.1 Assumption Control YR2'!I54</f>
        <v>PCFP</v>
      </c>
      <c r="W27" s="12"/>
    </row>
    <row r="28" spans="1:23" ht="18.75" x14ac:dyDescent="0.45">
      <c r="A28" s="459" t="str">
        <f>'5.2 Budgeted Enrollment YR2'!E29</f>
        <v>City of North Las Vegas</v>
      </c>
      <c r="C28" s="108">
        <f>C111</f>
        <v>0</v>
      </c>
      <c r="D28" s="108">
        <f>D111</f>
        <v>0</v>
      </c>
      <c r="E28" s="159">
        <f>E111</f>
        <v>0</v>
      </c>
      <c r="F28" s="385">
        <f>IF(D28=0,0,(E28/D28))</f>
        <v>0</v>
      </c>
      <c r="H28" s="154">
        <f>H111</f>
        <v>0</v>
      </c>
      <c r="I28" s="385">
        <f>IF(C28=0,0,H28/C28)</f>
        <v>0</v>
      </c>
      <c r="J28" s="796"/>
      <c r="K28" s="175" t="str">
        <f t="shared" si="9"/>
        <v>Yes</v>
      </c>
      <c r="M28" s="488"/>
      <c r="N28" s="209"/>
      <c r="O28" s="181"/>
      <c r="P28" s="345"/>
      <c r="Q28" s="181"/>
      <c r="R28" s="208"/>
      <c r="S28" s="1274">
        <f t="shared" si="7"/>
        <v>0</v>
      </c>
      <c r="T28" s="1429" t="str">
        <f t="shared" si="8"/>
        <v/>
      </c>
      <c r="U28" s="208"/>
      <c r="V28" s="446" t="str">
        <f>'5.1 Assumption Control YR2'!I55</f>
        <v>PCFP</v>
      </c>
      <c r="W28" s="12"/>
    </row>
    <row r="29" spans="1:23" x14ac:dyDescent="0.3">
      <c r="A29" s="289" t="s">
        <v>1611</v>
      </c>
      <c r="B29" s="2095"/>
      <c r="C29" s="470">
        <f>SUM(C8:C28)</f>
        <v>484807.40322754526</v>
      </c>
      <c r="D29" s="470">
        <f>SUM(D8:D28)</f>
        <v>463751.95591146237</v>
      </c>
      <c r="E29" s="382">
        <f>SUM(E8:E28)</f>
        <v>5789084316</v>
      </c>
      <c r="F29" s="292"/>
      <c r="G29" s="291"/>
      <c r="H29" s="383">
        <f>SUM(H8:H28)</f>
        <v>4077148721</v>
      </c>
      <c r="I29" s="292"/>
      <c r="J29" s="292"/>
      <c r="K29" s="553"/>
      <c r="L29" s="37"/>
      <c r="M29" s="400">
        <f>SUM(M8:M28)</f>
        <v>31930000</v>
      </c>
      <c r="N29" s="96"/>
      <c r="O29" s="1258"/>
      <c r="P29" s="1258"/>
      <c r="Q29" s="1259"/>
      <c r="R29" s="178"/>
      <c r="S29" s="1430">
        <f>SUM(S8:S28)</f>
        <v>5772358672</v>
      </c>
      <c r="T29" s="1282">
        <f>SUM(T8:T28)</f>
        <v>24972410</v>
      </c>
      <c r="U29" s="214"/>
      <c r="V29" s="214"/>
    </row>
    <row r="30" spans="1:23" x14ac:dyDescent="0.3">
      <c r="C30" s="108">
        <f>C29-'1.4 FY 2020 Revenue Received'!J29</f>
        <v>0</v>
      </c>
      <c r="D30" s="108">
        <f>D29-'5.2 Budgeted Enrollment YR2'!G30</f>
        <v>0</v>
      </c>
      <c r="E30" s="671">
        <f>E29-'6.8 Alloc of Residual Rev. YR2'!M35</f>
        <v>0</v>
      </c>
      <c r="F30" s="89"/>
      <c r="H30" s="89">
        <f>H29-'1.4 FY 2020 Revenue Received'!H29</f>
        <v>0</v>
      </c>
      <c r="I30" s="89"/>
      <c r="J30" s="89"/>
      <c r="K30" s="175"/>
      <c r="L30" s="10"/>
      <c r="M30" s="99">
        <f>M29-'5.3 Budgeted Revenues YR2'!G29</f>
        <v>0</v>
      </c>
      <c r="N30" s="89"/>
      <c r="O30" s="177"/>
      <c r="P30" s="177"/>
      <c r="Q30" s="175"/>
      <c r="R30" s="177"/>
      <c r="S30" s="552" t="s">
        <v>1787</v>
      </c>
      <c r="T30" s="1431">
        <f>T29+S29</f>
        <v>5797331082</v>
      </c>
      <c r="U30" s="177"/>
      <c r="V30" s="177"/>
    </row>
    <row r="31" spans="1:23" s="283" customFormat="1" ht="51.75" x14ac:dyDescent="0.45">
      <c r="A31" s="554" t="s">
        <v>1613</v>
      </c>
      <c r="B31" s="555" t="s">
        <v>1614</v>
      </c>
      <c r="C31" s="554"/>
      <c r="D31" s="554"/>
      <c r="E31" s="556"/>
      <c r="F31" s="557"/>
      <c r="G31" s="558"/>
      <c r="H31" s="1438"/>
      <c r="I31" s="557"/>
      <c r="J31" s="558"/>
      <c r="K31" s="559"/>
      <c r="L31" s="558"/>
      <c r="M31" s="560"/>
      <c r="N31" s="561"/>
      <c r="O31" s="562"/>
      <c r="P31" s="562"/>
      <c r="Q31" s="559"/>
      <c r="R31" s="562"/>
      <c r="S31" s="563" t="s">
        <v>1615</v>
      </c>
      <c r="T31" s="564">
        <f>(T30-E29)/T30</f>
        <v>1.4225107870076963E-3</v>
      </c>
      <c r="U31" s="565"/>
      <c r="V31" s="1432">
        <f>ROUND(T30-'5.3 Budgeted Revenues YR2'!C40,0)</f>
        <v>36246766</v>
      </c>
    </row>
    <row r="32" spans="1:23" ht="18.75" x14ac:dyDescent="0.45">
      <c r="A32" s="9" t="str">
        <f>'5.2 Budgeted Enrollment YR2'!E34</f>
        <v>FuturEdge (Formerly 100 Academy Of Excellence)</v>
      </c>
      <c r="B32" s="369" t="str">
        <f>IF(C32=0,"Yes","")</f>
        <v/>
      </c>
      <c r="C32" s="108">
        <f>'1.4 FY 2020 Revenue Received'!J32</f>
        <v>480.71396750000002</v>
      </c>
      <c r="D32" s="519">
        <f>'5.2 Budgeted Enrollment YR2'!G34</f>
        <v>240.86136805673826</v>
      </c>
      <c r="E32" s="159">
        <f>'6.8 Alloc of Residual Rev. YR2'!M38</f>
        <v>2857664</v>
      </c>
      <c r="F32" s="385">
        <f>IF(D32=0,0,E32/D32)</f>
        <v>11864.35177652415</v>
      </c>
      <c r="H32" s="154">
        <f>'1.4 FY 2020 Revenue Received'!H32</f>
        <v>3526522</v>
      </c>
      <c r="I32" s="385">
        <f>IF(C32=0,0,H32/C32)</f>
        <v>7336.0090166300397</v>
      </c>
      <c r="K32" s="175" t="str">
        <f>$K$25</f>
        <v>Yes</v>
      </c>
      <c r="M32" s="486"/>
      <c r="N32" s="179"/>
      <c r="O32" s="181" t="str">
        <f>IF(M32&gt;H32,"Yes","Does Not Apply")</f>
        <v>Does Not Apply</v>
      </c>
      <c r="P32" s="177"/>
      <c r="Q32" s="182" t="str">
        <f>IF(O32&gt;K32,"Yes","Does Not Apply")</f>
        <v>Does Not Apply</v>
      </c>
      <c r="R32" s="181"/>
      <c r="S32" s="181"/>
      <c r="T32" s="181"/>
      <c r="U32" s="181"/>
      <c r="V32" s="181"/>
    </row>
    <row r="33" spans="1:22" ht="18.75" x14ac:dyDescent="0.45">
      <c r="A33" s="9" t="str">
        <f>'5.2 Budgeted Enrollment YR2'!E35</f>
        <v>Academy For Career Education</v>
      </c>
      <c r="B33" s="369" t="str">
        <f t="shared" ref="B33:B100" si="10">IF(C33=0,"Yes","")</f>
        <v/>
      </c>
      <c r="C33" s="108">
        <f>'1.4 FY 2020 Revenue Received'!J33</f>
        <v>190.83797749999999</v>
      </c>
      <c r="D33" s="519">
        <f>'5.2 Budgeted Enrollment YR2'!G35</f>
        <v>253.57864951202251</v>
      </c>
      <c r="E33" s="159">
        <f>'6.8 Alloc of Residual Rev. YR2'!M39</f>
        <v>2538256</v>
      </c>
      <c r="F33" s="385">
        <f>IF(D33=0,0,E33/D33)</f>
        <v>10009.738615157574</v>
      </c>
      <c r="H33" s="154">
        <f>'1.4 FY 2020 Revenue Received'!H33</f>
        <v>1427556</v>
      </c>
      <c r="I33" s="385">
        <f t="shared" ref="I33:I95" si="11">IF(C33=0,0,H33/C33)</f>
        <v>7480.4607484377684</v>
      </c>
      <c r="K33" s="175" t="str">
        <f t="shared" ref="K33:K93" si="12">$K$25</f>
        <v>Yes</v>
      </c>
      <c r="M33" s="486"/>
      <c r="N33" s="179"/>
      <c r="O33" s="181" t="str">
        <f>IF(M33&gt;H33,"Yes","Does Not Apply")</f>
        <v>Does Not Apply</v>
      </c>
      <c r="P33" s="177"/>
      <c r="Q33" s="182" t="str">
        <f>IF(O33&gt;K33,"Yes","Does Not Apply")</f>
        <v>Does Not Apply</v>
      </c>
      <c r="R33" s="181"/>
      <c r="S33" s="181"/>
      <c r="T33" s="181"/>
      <c r="U33" s="181"/>
      <c r="V33" s="181"/>
    </row>
    <row r="34" spans="1:22" ht="18.75" x14ac:dyDescent="0.45">
      <c r="A34" s="9" t="str">
        <f>'5.2 Budgeted Enrollment YR2'!E36</f>
        <v xml:space="preserve">Alpine Academy </v>
      </c>
      <c r="B34" s="369" t="str">
        <f t="shared" si="10"/>
        <v/>
      </c>
      <c r="C34" s="108">
        <f>'1.4 FY 2020 Revenue Received'!J34</f>
        <v>103.98956000000001</v>
      </c>
      <c r="D34" s="519">
        <f>'5.2 Budgeted Enrollment YR2'!G36</f>
        <v>164.31844740358281</v>
      </c>
      <c r="E34" s="159">
        <f>'6.8 Alloc of Residual Rev. YR2'!M40</f>
        <v>1640021</v>
      </c>
      <c r="F34" s="385">
        <f t="shared" ref="F34:F47" si="13">IF(D34=0,0,E34/D34)</f>
        <v>9980.747906970797</v>
      </c>
      <c r="H34" s="154">
        <f>'1.4 FY 2020 Revenue Received'!H34</f>
        <v>946883</v>
      </c>
      <c r="I34" s="385">
        <f t="shared" si="11"/>
        <v>9105.5582887359069</v>
      </c>
      <c r="K34" s="175" t="str">
        <f t="shared" si="12"/>
        <v>Yes</v>
      </c>
      <c r="M34" s="486"/>
      <c r="N34" s="179"/>
      <c r="O34" s="181" t="str">
        <f t="shared" ref="O34:O90" si="14">IF(M34&gt;H34,"Yes","Does Not Apply")</f>
        <v>Does Not Apply</v>
      </c>
      <c r="P34" s="177"/>
      <c r="Q34" s="182" t="str">
        <f t="shared" ref="Q34:Q90" si="15">IF(O34&gt;K34,"Yes","Does Not Apply")</f>
        <v>Does Not Apply</v>
      </c>
      <c r="R34" s="181"/>
      <c r="S34" s="181"/>
      <c r="T34" s="181"/>
      <c r="U34" s="181"/>
      <c r="V34" s="181"/>
    </row>
    <row r="35" spans="1:22" ht="18.75" x14ac:dyDescent="0.45">
      <c r="A35" s="9" t="str">
        <f>'5.2 Budgeted Enrollment YR2'!E37</f>
        <v xml:space="preserve">Amplus (Formerly American Preparatory Academy) </v>
      </c>
      <c r="B35" s="369" t="str">
        <f t="shared" si="10"/>
        <v/>
      </c>
      <c r="C35" s="108">
        <f>'1.4 FY 2020 Revenue Received'!J35</f>
        <v>1600.97</v>
      </c>
      <c r="D35" s="519">
        <f>'5.2 Budgeted Enrollment YR2'!G37</f>
        <v>2368.9011816066622</v>
      </c>
      <c r="E35" s="159">
        <f>'6.8 Alloc of Residual Rev. YR2'!M41</f>
        <v>23663577</v>
      </c>
      <c r="F35" s="385">
        <f t="shared" si="13"/>
        <v>9989.2630320487351</v>
      </c>
      <c r="H35" s="154">
        <f>'1.4 FY 2020 Revenue Received'!H35</f>
        <v>11813993</v>
      </c>
      <c r="I35" s="385">
        <f t="shared" si="11"/>
        <v>7379.2719413855348</v>
      </c>
      <c r="K35" s="175" t="str">
        <f t="shared" si="12"/>
        <v>Yes</v>
      </c>
      <c r="M35" s="486"/>
      <c r="N35" s="179"/>
      <c r="O35" s="181" t="str">
        <f t="shared" si="14"/>
        <v>Does Not Apply</v>
      </c>
      <c r="P35" s="177"/>
      <c r="Q35" s="182" t="str">
        <f t="shared" si="15"/>
        <v>Does Not Apply</v>
      </c>
      <c r="R35" s="181"/>
      <c r="S35" s="181"/>
      <c r="T35" s="181"/>
      <c r="U35" s="181"/>
      <c r="V35" s="181"/>
    </row>
    <row r="36" spans="1:22" ht="18.75" x14ac:dyDescent="0.45">
      <c r="A36" s="9" t="str">
        <f>'5.2 Budgeted Enrollment YR2'!E38</f>
        <v>Bailey Charter School</v>
      </c>
      <c r="B36" s="369" t="str">
        <f t="shared" si="10"/>
        <v/>
      </c>
      <c r="C36" s="108">
        <f>'1.4 FY 2020 Revenue Received'!J36</f>
        <v>265.87594999999999</v>
      </c>
      <c r="D36" s="519">
        <f>'5.2 Budgeted Enrollment YR2'!G38</f>
        <v>166.53929996193739</v>
      </c>
      <c r="E36" s="159">
        <f>'6.8 Alloc of Residual Rev. YR2'!M42</f>
        <v>1997381</v>
      </c>
      <c r="F36" s="385">
        <f t="shared" si="13"/>
        <v>11993.451398297591</v>
      </c>
      <c r="H36" s="154">
        <f>'1.4 FY 2020 Revenue Received'!H36</f>
        <v>1985978</v>
      </c>
      <c r="I36" s="385">
        <f t="shared" si="11"/>
        <v>7469.5661642205705</v>
      </c>
      <c r="K36" s="175" t="str">
        <f t="shared" si="12"/>
        <v>Yes</v>
      </c>
      <c r="M36" s="486"/>
      <c r="N36" s="179"/>
      <c r="O36" s="181" t="str">
        <f t="shared" si="14"/>
        <v>Does Not Apply</v>
      </c>
      <c r="P36" s="177"/>
      <c r="Q36" s="182" t="str">
        <f t="shared" si="15"/>
        <v>Does Not Apply</v>
      </c>
      <c r="R36" s="181"/>
      <c r="S36" s="181"/>
      <c r="T36" s="181"/>
      <c r="U36" s="181"/>
      <c r="V36" s="181"/>
    </row>
    <row r="37" spans="1:22" ht="18.75" x14ac:dyDescent="0.45">
      <c r="A37" s="9" t="str">
        <f>'5.2 Budgeted Enrollment YR2'!E39</f>
        <v>Battle Born Academy</v>
      </c>
      <c r="B37" s="369" t="s">
        <v>240</v>
      </c>
      <c r="C37" s="108">
        <f>'1.4 FY 2020 Revenue Received'!J37</f>
        <v>0</v>
      </c>
      <c r="D37" s="519">
        <f>'5.2 Budgeted Enrollment YR2'!G39</f>
        <v>270.53331354166147</v>
      </c>
      <c r="E37" s="159">
        <f>'6.8 Alloc of Residual Rev. YR2'!M43</f>
        <v>3327320</v>
      </c>
      <c r="F37" s="385">
        <f t="shared" si="13"/>
        <v>12299.11376325785</v>
      </c>
      <c r="H37" s="154">
        <f>'1.4 FY 2020 Revenue Received'!H37</f>
        <v>0</v>
      </c>
      <c r="I37" s="385">
        <f t="shared" si="11"/>
        <v>0</v>
      </c>
      <c r="K37" s="175" t="str">
        <f t="shared" si="12"/>
        <v>Yes</v>
      </c>
      <c r="M37" s="486"/>
      <c r="N37" s="179"/>
      <c r="O37" s="181" t="str">
        <f t="shared" si="14"/>
        <v>Does Not Apply</v>
      </c>
      <c r="P37" s="177"/>
      <c r="Q37" s="182" t="str">
        <f t="shared" si="15"/>
        <v>Does Not Apply</v>
      </c>
      <c r="R37" s="181"/>
      <c r="S37" s="181"/>
      <c r="T37" s="181"/>
      <c r="U37" s="181"/>
      <c r="V37" s="181"/>
    </row>
    <row r="38" spans="1:22" ht="18.75" x14ac:dyDescent="0.45">
      <c r="A38" s="9" t="str">
        <f>'5.2 Budgeted Enrollment YR2'!E40</f>
        <v>Beacon Academy</v>
      </c>
      <c r="B38" s="369" t="str">
        <f t="shared" si="10"/>
        <v/>
      </c>
      <c r="C38" s="108">
        <f>'1.4 FY 2020 Revenue Received'!J38</f>
        <v>371.10250250000001</v>
      </c>
      <c r="D38" s="519">
        <f>'5.2 Budgeted Enrollment YR2'!G40</f>
        <v>857.51912183963623</v>
      </c>
      <c r="E38" s="159">
        <f>'6.8 Alloc of Residual Rev. YR2'!M44</f>
        <v>10343408</v>
      </c>
      <c r="F38" s="385">
        <f t="shared" si="13"/>
        <v>12062.014404775349</v>
      </c>
      <c r="H38" s="154">
        <f>'1.4 FY 2020 Revenue Received'!H38</f>
        <v>3166786</v>
      </c>
      <c r="I38" s="385">
        <f t="shared" si="11"/>
        <v>8533.4536379204292</v>
      </c>
      <c r="K38" s="175" t="str">
        <f t="shared" si="12"/>
        <v>Yes</v>
      </c>
      <c r="M38" s="486"/>
      <c r="N38" s="179"/>
      <c r="O38" s="181" t="str">
        <f t="shared" si="14"/>
        <v>Does Not Apply</v>
      </c>
      <c r="P38" s="177"/>
      <c r="Q38" s="182" t="str">
        <f t="shared" si="15"/>
        <v>Does Not Apply</v>
      </c>
      <c r="R38" s="181"/>
      <c r="S38" s="181"/>
      <c r="T38" s="181"/>
      <c r="U38" s="181"/>
      <c r="V38" s="181"/>
    </row>
    <row r="39" spans="1:22" ht="18.75" x14ac:dyDescent="0.45">
      <c r="A39" s="9" t="str">
        <f>'5.2 Budgeted Enrollment YR2'!E41</f>
        <v>Cactus Park</v>
      </c>
      <c r="B39" s="369" t="s">
        <v>240</v>
      </c>
      <c r="C39" s="108">
        <f>'1.4 FY 2020 Revenue Received'!J39</f>
        <v>0</v>
      </c>
      <c r="D39" s="519">
        <f>'5.2 Budgeted Enrollment YR2'!G41</f>
        <v>301.59239347241777</v>
      </c>
      <c r="E39" s="159">
        <f>'6.8 Alloc of Residual Rev. YR2'!M45</f>
        <v>3171013</v>
      </c>
      <c r="F39" s="385">
        <f t="shared" si="13"/>
        <v>10514.234007993991</v>
      </c>
      <c r="H39" s="154">
        <f>'1.4 FY 2020 Revenue Received'!H39</f>
        <v>0</v>
      </c>
      <c r="I39" s="385">
        <f t="shared" si="11"/>
        <v>0</v>
      </c>
      <c r="K39" s="175" t="str">
        <f t="shared" si="12"/>
        <v>Yes</v>
      </c>
      <c r="M39" s="486"/>
      <c r="N39" s="179"/>
      <c r="O39" s="181" t="str">
        <f t="shared" si="14"/>
        <v>Does Not Apply</v>
      </c>
      <c r="P39" s="177"/>
      <c r="Q39" s="182" t="str">
        <f t="shared" si="15"/>
        <v>Does Not Apply</v>
      </c>
      <c r="R39" s="181"/>
      <c r="S39" s="181"/>
      <c r="T39" s="181"/>
      <c r="U39" s="181"/>
      <c r="V39" s="181"/>
    </row>
    <row r="40" spans="1:22" ht="18.75" x14ac:dyDescent="0.45">
      <c r="A40" s="9" t="str">
        <f>'5.2 Budgeted Enrollment YR2'!E42</f>
        <v>Carson Montessori</v>
      </c>
      <c r="B40" s="369" t="str">
        <f t="shared" si="10"/>
        <v/>
      </c>
      <c r="C40" s="108">
        <f>'1.4 FY 2020 Revenue Received'!J40</f>
        <v>278.55615749999998</v>
      </c>
      <c r="D40" s="519">
        <f>'5.2 Budgeted Enrollment YR2'!G42</f>
        <v>296.55722891108132</v>
      </c>
      <c r="E40" s="159">
        <f>'6.8 Alloc of Residual Rev. YR2'!M46</f>
        <v>3121565</v>
      </c>
      <c r="F40" s="385">
        <f t="shared" si="13"/>
        <v>10526.012167910967</v>
      </c>
      <c r="H40" s="154">
        <f>'1.4 FY 2020 Revenue Received'!H40</f>
        <v>2359224</v>
      </c>
      <c r="I40" s="385">
        <f t="shared" si="11"/>
        <v>8469.4735207926624</v>
      </c>
      <c r="K40" s="175" t="str">
        <f t="shared" si="12"/>
        <v>Yes</v>
      </c>
      <c r="M40" s="486"/>
      <c r="N40" s="179"/>
      <c r="O40" s="181" t="str">
        <f t="shared" si="14"/>
        <v>Does Not Apply</v>
      </c>
      <c r="P40" s="177"/>
      <c r="Q40" s="182" t="str">
        <f t="shared" si="15"/>
        <v>Does Not Apply</v>
      </c>
      <c r="R40" s="181"/>
      <c r="S40" s="181"/>
      <c r="T40" s="181"/>
      <c r="U40" s="181"/>
      <c r="V40" s="181"/>
    </row>
    <row r="41" spans="1:22" ht="18.75" x14ac:dyDescent="0.45">
      <c r="A41" s="9" t="str">
        <f>'5.2 Budgeted Enrollment YR2'!E43</f>
        <v>CIVICA Nevada Career &amp; Collegiate Academy</v>
      </c>
      <c r="B41" s="369" t="str">
        <f t="shared" si="10"/>
        <v>Yes</v>
      </c>
      <c r="C41" s="108">
        <f>'1.4 FY 2020 Revenue Received'!J41</f>
        <v>0</v>
      </c>
      <c r="D41" s="519">
        <f>'5.2 Budgeted Enrollment YR2'!G43</f>
        <v>916.3393721230467</v>
      </c>
      <c r="E41" s="159">
        <f>'6.8 Alloc of Residual Rev. YR2'!M47</f>
        <v>10426579</v>
      </c>
      <c r="F41" s="385">
        <f t="shared" si="13"/>
        <v>11378.512500060853</v>
      </c>
      <c r="H41" s="154">
        <f>'1.4 FY 2020 Revenue Received'!H41</f>
        <v>0</v>
      </c>
      <c r="I41" s="385">
        <f t="shared" si="11"/>
        <v>0</v>
      </c>
      <c r="K41" s="175" t="str">
        <f t="shared" si="12"/>
        <v>Yes</v>
      </c>
      <c r="M41" s="486"/>
      <c r="N41" s="179"/>
      <c r="O41" s="181" t="str">
        <f t="shared" si="14"/>
        <v>Does Not Apply</v>
      </c>
      <c r="P41" s="177"/>
      <c r="Q41" s="182" t="str">
        <f t="shared" si="15"/>
        <v>Does Not Apply</v>
      </c>
      <c r="R41" s="181"/>
      <c r="S41" s="181"/>
      <c r="T41" s="181"/>
      <c r="U41" s="181"/>
      <c r="V41" s="181"/>
    </row>
    <row r="42" spans="1:22" ht="18.75" x14ac:dyDescent="0.45">
      <c r="A42" s="9" t="str">
        <f>'5.2 Budgeted Enrollment YR2'!E44</f>
        <v>Coral Academy of Science Las Vegas</v>
      </c>
      <c r="B42" s="369" t="str">
        <f t="shared" si="10"/>
        <v/>
      </c>
      <c r="C42" s="108">
        <f>'1.4 FY 2020 Revenue Received'!J42</f>
        <v>3731.6204735000006</v>
      </c>
      <c r="D42" s="519">
        <f>'5.2 Budgeted Enrollment YR2'!G44</f>
        <v>5480.3063751434274</v>
      </c>
      <c r="E42" s="159">
        <f>'6.8 Alloc of Residual Rev. YR2'!M48</f>
        <v>53949681</v>
      </c>
      <c r="F42" s="385">
        <f t="shared" si="13"/>
        <v>9844.2819264074551</v>
      </c>
      <c r="H42" s="154">
        <f>'1.4 FY 2020 Revenue Received'!H42</f>
        <v>27593260</v>
      </c>
      <c r="I42" s="385">
        <f t="shared" si="11"/>
        <v>7394.4443696653425</v>
      </c>
      <c r="K42" s="175" t="str">
        <f t="shared" si="12"/>
        <v>Yes</v>
      </c>
      <c r="M42" s="486"/>
      <c r="N42" s="179"/>
      <c r="O42" s="181" t="str">
        <f t="shared" si="14"/>
        <v>Does Not Apply</v>
      </c>
      <c r="P42" s="177"/>
      <c r="Q42" s="182" t="str">
        <f t="shared" si="15"/>
        <v>Does Not Apply</v>
      </c>
      <c r="R42" s="181"/>
      <c r="S42" s="181"/>
      <c r="T42" s="181"/>
      <c r="U42" s="181"/>
      <c r="V42" s="181"/>
    </row>
    <row r="43" spans="1:22" ht="18.75" x14ac:dyDescent="0.45">
      <c r="A43" s="9" t="str">
        <f>'5.2 Budgeted Enrollment YR2'!E45</f>
        <v>Coral Academy Washoe</v>
      </c>
      <c r="B43" s="369" t="str">
        <f t="shared" si="10"/>
        <v/>
      </c>
      <c r="C43" s="108">
        <f>'1.4 FY 2020 Revenue Received'!J43</f>
        <v>1424.90155</v>
      </c>
      <c r="D43" s="519">
        <f>'5.2 Budgeted Enrollment YR2'!G45</f>
        <v>2027.9998005260131</v>
      </c>
      <c r="E43" s="159">
        <f>'6.8 Alloc of Residual Rev. YR2'!M49</f>
        <v>20446099</v>
      </c>
      <c r="F43" s="385">
        <f t="shared" si="13"/>
        <v>10081.903851616153</v>
      </c>
      <c r="H43" s="154">
        <f>'1.4 FY 2020 Revenue Received'!H43</f>
        <v>10950257</v>
      </c>
      <c r="I43" s="385">
        <f t="shared" si="11"/>
        <v>7684.9218109138837</v>
      </c>
      <c r="K43" s="175" t="str">
        <f t="shared" si="12"/>
        <v>Yes</v>
      </c>
      <c r="M43" s="486"/>
      <c r="N43" s="179"/>
      <c r="O43" s="181" t="str">
        <f t="shared" si="14"/>
        <v>Does Not Apply</v>
      </c>
      <c r="P43" s="177"/>
      <c r="Q43" s="182" t="str">
        <f t="shared" si="15"/>
        <v>Does Not Apply</v>
      </c>
      <c r="R43" s="181"/>
      <c r="S43" s="181"/>
      <c r="T43" s="181"/>
      <c r="U43" s="181"/>
      <c r="V43" s="181"/>
    </row>
    <row r="44" spans="1:22" ht="18.75" x14ac:dyDescent="0.45">
      <c r="A44" s="9" t="str">
        <f>'5.2 Budgeted Enrollment YR2'!E46</f>
        <v>Delta Academy</v>
      </c>
      <c r="B44" s="369" t="str">
        <f t="shared" si="10"/>
        <v/>
      </c>
      <c r="C44" s="108">
        <f>'1.4 FY 2020 Revenue Received'!J44</f>
        <v>614.92500499999994</v>
      </c>
      <c r="D44" s="519">
        <f>'5.2 Budgeted Enrollment YR2'!G46</f>
        <v>1405.0080479301287</v>
      </c>
      <c r="E44" s="159">
        <f>'6.8 Alloc of Residual Rev. YR2'!M50</f>
        <v>15266575</v>
      </c>
      <c r="F44" s="385">
        <f t="shared" si="13"/>
        <v>10865.827439558701</v>
      </c>
      <c r="H44" s="154">
        <f>'1.4 FY 2020 Revenue Received'!H44</f>
        <v>4624989</v>
      </c>
      <c r="I44" s="385">
        <f t="shared" si="11"/>
        <v>7521.224478422374</v>
      </c>
      <c r="K44" s="175" t="str">
        <f t="shared" si="12"/>
        <v>Yes</v>
      </c>
      <c r="M44" s="486"/>
      <c r="N44" s="179"/>
      <c r="O44" s="181" t="str">
        <f t="shared" si="14"/>
        <v>Does Not Apply</v>
      </c>
      <c r="P44" s="177"/>
      <c r="Q44" s="182" t="str">
        <f t="shared" si="15"/>
        <v>Does Not Apply</v>
      </c>
      <c r="R44" s="181"/>
      <c r="S44" s="181"/>
      <c r="T44" s="181"/>
      <c r="U44" s="181"/>
      <c r="V44" s="181"/>
    </row>
    <row r="45" spans="1:22" ht="18.75" x14ac:dyDescent="0.45">
      <c r="A45" s="9" t="str">
        <f>'5.2 Budgeted Enrollment YR2'!E47</f>
        <v>Democracy Prep</v>
      </c>
      <c r="B45" s="369" t="str">
        <f t="shared" si="10"/>
        <v/>
      </c>
      <c r="C45" s="108">
        <f>'1.4 FY 2020 Revenue Received'!J45</f>
        <v>981.96345500000007</v>
      </c>
      <c r="D45" s="519">
        <f>'5.2 Budgeted Enrollment YR2'!G47</f>
        <v>1279.0046975769933</v>
      </c>
      <c r="E45" s="159">
        <f>'6.8 Alloc of Residual Rev. YR2'!M51</f>
        <v>13186446</v>
      </c>
      <c r="F45" s="385">
        <f t="shared" si="13"/>
        <v>10309.927731290607</v>
      </c>
      <c r="H45" s="154">
        <f>'1.4 FY 2020 Revenue Received'!H45</f>
        <v>8001703</v>
      </c>
      <c r="I45" s="385">
        <f t="shared" si="11"/>
        <v>8148.6769790226044</v>
      </c>
      <c r="K45" s="175" t="str">
        <f t="shared" si="12"/>
        <v>Yes</v>
      </c>
      <c r="M45" s="486"/>
      <c r="N45" s="179"/>
      <c r="O45" s="181" t="str">
        <f t="shared" si="14"/>
        <v>Does Not Apply</v>
      </c>
      <c r="P45" s="177"/>
      <c r="Q45" s="182" t="str">
        <f t="shared" si="15"/>
        <v>Does Not Apply</v>
      </c>
      <c r="R45" s="181"/>
      <c r="S45" s="181"/>
      <c r="T45" s="181"/>
      <c r="U45" s="181"/>
      <c r="V45" s="181"/>
    </row>
    <row r="46" spans="1:22" ht="18.75" x14ac:dyDescent="0.45">
      <c r="A46" s="9" t="str">
        <f>'5.2 Budgeted Enrollment YR2'!E48</f>
        <v>Discovery Charter</v>
      </c>
      <c r="B46" s="369" t="str">
        <f t="shared" si="10"/>
        <v/>
      </c>
      <c r="C46" s="108">
        <f>'1.4 FY 2020 Revenue Received'!J46</f>
        <v>378.66546975</v>
      </c>
      <c r="D46" s="519">
        <f>'5.2 Budgeted Enrollment YR2'!G48</f>
        <v>499.79963400639872</v>
      </c>
      <c r="E46" s="159">
        <f>'6.8 Alloc of Residual Rev. YR2'!M52</f>
        <v>5124406</v>
      </c>
      <c r="F46" s="385">
        <f t="shared" si="13"/>
        <v>10252.920673276032</v>
      </c>
      <c r="H46" s="154">
        <f>'1.4 FY 2020 Revenue Received'!H46</f>
        <v>2926109</v>
      </c>
      <c r="I46" s="385">
        <f t="shared" si="11"/>
        <v>7727.4249535661547</v>
      </c>
      <c r="K46" s="175" t="str">
        <f t="shared" si="12"/>
        <v>Yes</v>
      </c>
      <c r="M46" s="486"/>
      <c r="N46" s="179"/>
      <c r="O46" s="181" t="str">
        <f t="shared" si="14"/>
        <v>Does Not Apply</v>
      </c>
      <c r="P46" s="177"/>
      <c r="Q46" s="182" t="str">
        <f t="shared" si="15"/>
        <v>Does Not Apply</v>
      </c>
      <c r="R46" s="181"/>
      <c r="S46" s="181"/>
      <c r="T46" s="181"/>
      <c r="U46" s="181"/>
      <c r="V46" s="181"/>
    </row>
    <row r="47" spans="1:22" ht="18.75" x14ac:dyDescent="0.45">
      <c r="A47" s="9" t="str">
        <f>'5.2 Budgeted Enrollment YR2'!E49</f>
        <v>Do and Be Academy of Excellence</v>
      </c>
      <c r="B47" s="369" t="str">
        <f t="shared" ref="B47" si="16">IF(C47=0,"Yes","")</f>
        <v>Yes</v>
      </c>
      <c r="C47" s="108">
        <f>'1.4 FY 2020 Revenue Received'!J47</f>
        <v>0</v>
      </c>
      <c r="D47" s="519">
        <f>'5.2 Budgeted Enrollment YR2'!G49</f>
        <v>55.444307975565003</v>
      </c>
      <c r="E47" s="159">
        <f>'6.8 Alloc of Residual Rev. YR2'!M53</f>
        <v>526832</v>
      </c>
      <c r="F47" s="385">
        <f t="shared" si="13"/>
        <v>9502.0033477950783</v>
      </c>
      <c r="H47" s="154">
        <f>'1.4 FY 2020 Revenue Received'!H47</f>
        <v>0</v>
      </c>
      <c r="I47" s="385">
        <f t="shared" ref="I47" si="17">IF(C47=0,0,H47/C47)</f>
        <v>0</v>
      </c>
      <c r="K47" s="175" t="str">
        <f t="shared" si="12"/>
        <v>Yes</v>
      </c>
      <c r="M47" s="486"/>
      <c r="N47" s="179"/>
      <c r="O47" s="181" t="str">
        <f t="shared" ref="O47" si="18">IF(M47&gt;H47,"Yes","Does Not Apply")</f>
        <v>Does Not Apply</v>
      </c>
      <c r="P47" s="177"/>
      <c r="Q47" s="182" t="str">
        <f t="shared" ref="Q47" si="19">IF(O47&gt;K47,"Yes","Does Not Apply")</f>
        <v>Does Not Apply</v>
      </c>
      <c r="R47" s="181"/>
      <c r="S47" s="181"/>
      <c r="T47" s="181"/>
      <c r="U47" s="181"/>
      <c r="V47" s="181"/>
    </row>
    <row r="48" spans="1:22" ht="18.75" x14ac:dyDescent="0.45">
      <c r="A48" s="9" t="str">
        <f>'5.2 Budgeted Enrollment YR2'!E50</f>
        <v>Doral Academy</v>
      </c>
      <c r="B48" s="369" t="str">
        <f>IF(C48=0,"Yes","")</f>
        <v/>
      </c>
      <c r="C48" s="108">
        <f>'1.4 FY 2020 Revenue Received'!J48</f>
        <v>5724.9224675000005</v>
      </c>
      <c r="D48" s="519">
        <f>'5.2 Budgeted Enrollment YR2'!G50</f>
        <v>6463.7282261846876</v>
      </c>
      <c r="E48" s="159">
        <f>'6.8 Alloc of Residual Rev. YR2'!M54</f>
        <v>65601274</v>
      </c>
      <c r="F48" s="385">
        <f t="shared" ref="F48:F90" si="20">IF(D48=0,0,E48/D48)</f>
        <v>10149.138655652008</v>
      </c>
      <c r="H48" s="154">
        <f>'1.4 FY 2020 Revenue Received'!H48</f>
        <v>42640149</v>
      </c>
      <c r="I48" s="385">
        <f t="shared" si="11"/>
        <v>7448.1618296256856</v>
      </c>
      <c r="K48" s="175" t="str">
        <f t="shared" si="12"/>
        <v>Yes</v>
      </c>
      <c r="M48" s="486"/>
      <c r="N48" s="179"/>
      <c r="O48" s="181" t="str">
        <f t="shared" si="14"/>
        <v>Does Not Apply</v>
      </c>
      <c r="P48" s="177"/>
      <c r="Q48" s="182" t="str">
        <f t="shared" si="15"/>
        <v>Does Not Apply</v>
      </c>
      <c r="R48" s="181"/>
      <c r="S48" s="181"/>
      <c r="T48" s="181"/>
      <c r="U48" s="181"/>
      <c r="V48" s="181"/>
    </row>
    <row r="49" spans="1:22" ht="18.75" x14ac:dyDescent="0.45">
      <c r="A49" s="9" t="str">
        <f>'5.2 Budgeted Enrollment YR2'!E51</f>
        <v>Doral Academy of Northern Nevada</v>
      </c>
      <c r="B49" s="369" t="str">
        <f t="shared" si="10"/>
        <v/>
      </c>
      <c r="C49" s="108">
        <f>'1.4 FY 2020 Revenue Received'!J49</f>
        <v>811.68888499999991</v>
      </c>
      <c r="D49" s="519">
        <f>'5.2 Budgeted Enrollment YR2'!G51</f>
        <v>1018.777864840123</v>
      </c>
      <c r="E49" s="159">
        <f>'6.8 Alloc of Residual Rev. YR2'!M55</f>
        <v>9898315</v>
      </c>
      <c r="F49" s="385">
        <f t="shared" si="20"/>
        <v>9715.8716748850293</v>
      </c>
      <c r="H49" s="154">
        <f>'1.4 FY 2020 Revenue Received'!H49</f>
        <v>6246542</v>
      </c>
      <c r="I49" s="385">
        <f t="shared" si="11"/>
        <v>7695.7343083489441</v>
      </c>
      <c r="K49" s="175" t="str">
        <f t="shared" si="12"/>
        <v>Yes</v>
      </c>
      <c r="M49" s="486"/>
      <c r="N49" s="179"/>
      <c r="O49" s="181" t="str">
        <f t="shared" si="14"/>
        <v>Does Not Apply</v>
      </c>
      <c r="P49" s="177"/>
      <c r="Q49" s="182" t="str">
        <f t="shared" si="15"/>
        <v>Does Not Apply</v>
      </c>
      <c r="R49" s="181"/>
      <c r="S49" s="181"/>
      <c r="T49" s="181"/>
      <c r="U49" s="181"/>
      <c r="V49" s="181"/>
    </row>
    <row r="50" spans="1:22" ht="18.75" x14ac:dyDescent="0.45">
      <c r="A50" s="9" t="str">
        <f>'5.2 Budgeted Enrollment YR2'!E52</f>
        <v>Eagle Charter School (CLOSED)</v>
      </c>
      <c r="B50" s="369" t="str">
        <f t="shared" si="10"/>
        <v>Yes</v>
      </c>
      <c r="C50" s="108">
        <f>'1.4 FY 2020 Revenue Received'!J50</f>
        <v>0</v>
      </c>
      <c r="D50" s="519">
        <f>'5.2 Budgeted Enrollment YR2'!G52</f>
        <v>0</v>
      </c>
      <c r="E50" s="159">
        <f>'6.8 Alloc of Residual Rev. YR2'!M56</f>
        <v>0</v>
      </c>
      <c r="F50" s="385">
        <f t="shared" si="20"/>
        <v>0</v>
      </c>
      <c r="H50" s="154">
        <f>'1.4 FY 2020 Revenue Received'!H50</f>
        <v>0</v>
      </c>
      <c r="I50" s="385">
        <f t="shared" si="11"/>
        <v>0</v>
      </c>
      <c r="K50" s="175" t="str">
        <f t="shared" si="12"/>
        <v>Yes</v>
      </c>
      <c r="M50" s="486"/>
      <c r="N50" s="179"/>
      <c r="O50" s="181" t="str">
        <f t="shared" si="14"/>
        <v>Does Not Apply</v>
      </c>
      <c r="P50" s="177"/>
      <c r="Q50" s="182" t="str">
        <f t="shared" si="15"/>
        <v>Does Not Apply</v>
      </c>
      <c r="R50" s="181"/>
      <c r="S50" s="181"/>
      <c r="T50" s="181"/>
      <c r="U50" s="181"/>
      <c r="V50" s="181"/>
    </row>
    <row r="51" spans="1:22" ht="18.75" x14ac:dyDescent="0.45">
      <c r="A51" s="9" t="str">
        <f>'5.2 Budgeted Enrollment YR2'!E53</f>
        <v>Elko Institute for Academic Achievement</v>
      </c>
      <c r="B51" s="369" t="str">
        <f t="shared" si="10"/>
        <v/>
      </c>
      <c r="C51" s="108">
        <f>'1.4 FY 2020 Revenue Received'!J51</f>
        <v>197.48914249999996</v>
      </c>
      <c r="D51" s="519">
        <f>'5.2 Budgeted Enrollment YR2'!G53</f>
        <v>315.7286385132989</v>
      </c>
      <c r="E51" s="159">
        <f>'6.8 Alloc of Residual Rev. YR2'!M57</f>
        <v>3438897</v>
      </c>
      <c r="F51" s="385">
        <f t="shared" si="20"/>
        <v>10891.938774363509</v>
      </c>
      <c r="H51" s="154">
        <f>'1.4 FY 2020 Revenue Received'!H51</f>
        <v>2010359</v>
      </c>
      <c r="I51" s="385">
        <f t="shared" si="11"/>
        <v>10179.592531270424</v>
      </c>
      <c r="K51" s="175" t="str">
        <f t="shared" si="12"/>
        <v>Yes</v>
      </c>
      <c r="M51" s="486"/>
      <c r="N51" s="179"/>
      <c r="O51" s="181" t="str">
        <f t="shared" si="14"/>
        <v>Does Not Apply</v>
      </c>
      <c r="P51" s="177"/>
      <c r="Q51" s="182" t="str">
        <f t="shared" si="15"/>
        <v>Does Not Apply</v>
      </c>
      <c r="R51" s="181"/>
      <c r="S51" s="181"/>
      <c r="T51" s="181"/>
      <c r="U51" s="181"/>
      <c r="V51" s="181"/>
    </row>
    <row r="52" spans="1:22" ht="18.75" x14ac:dyDescent="0.45">
      <c r="A52" s="9" t="str">
        <f>'5.2 Budgeted Enrollment YR2'!E54</f>
        <v>enCompass Academy</v>
      </c>
      <c r="B52" s="369" t="str">
        <f t="shared" si="10"/>
        <v/>
      </c>
      <c r="C52" s="108">
        <f>'1.4 FY 2020 Revenue Received'!J52</f>
        <v>94.269284999999996</v>
      </c>
      <c r="D52" s="519">
        <f>'5.2 Budgeted Enrollment YR2'!G54</f>
        <v>129.86699722187711</v>
      </c>
      <c r="E52" s="159">
        <f>'6.8 Alloc of Residual Rev. YR2'!M58</f>
        <v>1331392</v>
      </c>
      <c r="F52" s="385">
        <f t="shared" si="20"/>
        <v>10251.965691678568</v>
      </c>
      <c r="H52" s="154">
        <f>'1.4 FY 2020 Revenue Received'!H52</f>
        <v>722846</v>
      </c>
      <c r="I52" s="385">
        <f t="shared" si="11"/>
        <v>7667.8846137424298</v>
      </c>
      <c r="K52" s="175" t="str">
        <f t="shared" si="12"/>
        <v>Yes</v>
      </c>
      <c r="M52" s="486"/>
      <c r="N52" s="179"/>
      <c r="O52" s="181" t="str">
        <f t="shared" si="14"/>
        <v>Does Not Apply</v>
      </c>
      <c r="P52" s="177"/>
      <c r="Q52" s="182" t="str">
        <f t="shared" si="15"/>
        <v>Does Not Apply</v>
      </c>
      <c r="R52" s="181"/>
      <c r="S52" s="181"/>
      <c r="T52" s="181"/>
      <c r="U52" s="181"/>
      <c r="V52" s="181"/>
    </row>
    <row r="53" spans="1:22" ht="18.75" x14ac:dyDescent="0.45">
      <c r="A53" s="9" t="str">
        <f>'5.2 Budgeted Enrollment YR2'!E55</f>
        <v>Equipo Academy</v>
      </c>
      <c r="B53" s="369" t="str">
        <f t="shared" si="10"/>
        <v/>
      </c>
      <c r="C53" s="108">
        <f>'1.4 FY 2020 Revenue Received'!J53</f>
        <v>759.97385250000002</v>
      </c>
      <c r="D53" s="519">
        <f>'5.2 Budgeted Enrollment YR2'!G55</f>
        <v>900.7667088070209</v>
      </c>
      <c r="E53" s="159">
        <f>'6.8 Alloc of Residual Rev. YR2'!M59</f>
        <v>10046855</v>
      </c>
      <c r="F53" s="385">
        <f t="shared" si="20"/>
        <v>11153.670425171569</v>
      </c>
      <c r="H53" s="154">
        <f>'1.4 FY 2020 Revenue Received'!H53</f>
        <v>5943695</v>
      </c>
      <c r="I53" s="385">
        <f t="shared" si="11"/>
        <v>7820.9203914683367</v>
      </c>
      <c r="K53" s="175" t="str">
        <f t="shared" si="12"/>
        <v>Yes</v>
      </c>
      <c r="M53" s="486"/>
      <c r="N53" s="179"/>
      <c r="O53" s="181" t="str">
        <f t="shared" si="14"/>
        <v>Does Not Apply</v>
      </c>
      <c r="P53" s="177"/>
      <c r="Q53" s="182" t="str">
        <f t="shared" si="15"/>
        <v>Does Not Apply</v>
      </c>
      <c r="R53" s="181"/>
      <c r="S53" s="181"/>
      <c r="T53" s="181"/>
      <c r="U53" s="181"/>
      <c r="V53" s="181"/>
    </row>
    <row r="54" spans="1:22" ht="18.75" x14ac:dyDescent="0.45">
      <c r="A54" s="9" t="str">
        <f>'5.2 Budgeted Enrollment YR2'!E56</f>
        <v>Explore Academy</v>
      </c>
      <c r="B54" s="369" t="str">
        <f t="shared" si="10"/>
        <v>Yes</v>
      </c>
      <c r="C54" s="108">
        <f>'1.4 FY 2020 Revenue Received'!J54</f>
        <v>0</v>
      </c>
      <c r="D54" s="519">
        <f>'5.2 Budgeted Enrollment YR2'!G56</f>
        <v>285.9150020191048</v>
      </c>
      <c r="E54" s="159">
        <f>'6.8 Alloc of Residual Rev. YR2'!M60</f>
        <v>2902053</v>
      </c>
      <c r="F54" s="385">
        <f t="shared" si="20"/>
        <v>10150.05501462314</v>
      </c>
      <c r="H54" s="154">
        <f>'1.4 FY 2020 Revenue Received'!H54</f>
        <v>0</v>
      </c>
      <c r="I54" s="385">
        <f t="shared" si="11"/>
        <v>0</v>
      </c>
      <c r="K54" s="175" t="str">
        <f t="shared" si="12"/>
        <v>Yes</v>
      </c>
      <c r="M54" s="486"/>
      <c r="N54" s="179"/>
      <c r="O54" s="181" t="str">
        <f t="shared" si="14"/>
        <v>Does Not Apply</v>
      </c>
      <c r="P54" s="177"/>
      <c r="Q54" s="182" t="str">
        <f t="shared" si="15"/>
        <v>Does Not Apply</v>
      </c>
      <c r="R54" s="181"/>
      <c r="S54" s="181"/>
      <c r="T54" s="181"/>
      <c r="U54" s="181"/>
      <c r="V54" s="181"/>
    </row>
    <row r="55" spans="1:22" ht="18.75" x14ac:dyDescent="0.45">
      <c r="A55" s="9" t="str">
        <f>'5.2 Budgeted Enrollment YR2'!E57</f>
        <v>Explore Knowledge Academy</v>
      </c>
      <c r="B55" s="369" t="str">
        <f t="shared" si="10"/>
        <v/>
      </c>
      <c r="C55" s="108">
        <f>'1.4 FY 2020 Revenue Received'!J55</f>
        <v>762.71106750000013</v>
      </c>
      <c r="D55" s="519">
        <f>'5.2 Budgeted Enrollment YR2'!G57</f>
        <v>664.59038477421791</v>
      </c>
      <c r="E55" s="159">
        <f>'6.8 Alloc of Residual Rev. YR2'!M61</f>
        <v>6612878</v>
      </c>
      <c r="F55" s="385">
        <f t="shared" si="20"/>
        <v>9950.3064616961037</v>
      </c>
      <c r="H55" s="154">
        <f>'1.4 FY 2020 Revenue Received'!H55</f>
        <v>5570129</v>
      </c>
      <c r="I55" s="385">
        <f t="shared" si="11"/>
        <v>7303.0656527086503</v>
      </c>
      <c r="K55" s="175" t="str">
        <f t="shared" si="12"/>
        <v>Yes</v>
      </c>
      <c r="M55" s="486"/>
      <c r="N55" s="179"/>
      <c r="O55" s="181" t="str">
        <f t="shared" si="14"/>
        <v>Does Not Apply</v>
      </c>
      <c r="P55" s="177"/>
      <c r="Q55" s="182" t="str">
        <f t="shared" si="15"/>
        <v>Does Not Apply</v>
      </c>
      <c r="R55" s="181"/>
      <c r="S55" s="181"/>
      <c r="T55" s="181"/>
      <c r="U55" s="181"/>
      <c r="V55" s="181"/>
    </row>
    <row r="56" spans="1:22" ht="18.75" x14ac:dyDescent="0.45">
      <c r="A56" s="9" t="str">
        <f>'5.2 Budgeted Enrollment YR2'!E58</f>
        <v>Founders Academy of Las Vegas</v>
      </c>
      <c r="B56" s="369" t="str">
        <f t="shared" si="10"/>
        <v/>
      </c>
      <c r="C56" s="108">
        <f>'1.4 FY 2020 Revenue Received'!J56</f>
        <v>764.61392499999999</v>
      </c>
      <c r="D56" s="519">
        <f>'5.2 Budgeted Enrollment YR2'!G58</f>
        <v>1110.2866416609052</v>
      </c>
      <c r="E56" s="159">
        <f>'6.8 Alloc of Residual Rev. YR2'!M62</f>
        <v>11112831</v>
      </c>
      <c r="F56" s="385">
        <f t="shared" si="20"/>
        <v>10008.974784543965</v>
      </c>
      <c r="H56" s="154">
        <f>'1.4 FY 2020 Revenue Received'!H56</f>
        <v>5668819</v>
      </c>
      <c r="I56" s="385">
        <f t="shared" si="11"/>
        <v>7413.9625432534467</v>
      </c>
      <c r="K56" s="175" t="str">
        <f t="shared" si="12"/>
        <v>Yes</v>
      </c>
      <c r="M56" s="486"/>
      <c r="N56" s="179"/>
      <c r="O56" s="181" t="str">
        <f t="shared" si="14"/>
        <v>Does Not Apply</v>
      </c>
      <c r="P56" s="177"/>
      <c r="Q56" s="182" t="str">
        <f t="shared" si="15"/>
        <v>Does Not Apply</v>
      </c>
      <c r="R56" s="181"/>
      <c r="S56" s="181"/>
      <c r="T56" s="181"/>
      <c r="U56" s="181"/>
      <c r="V56" s="181"/>
    </row>
    <row r="57" spans="1:22" ht="18.75" x14ac:dyDescent="0.45">
      <c r="A57" s="9" t="str">
        <f>'5.2 Budgeted Enrollment YR2'!E59</f>
        <v>Freedom Classical Academy</v>
      </c>
      <c r="B57" s="369" t="str">
        <f t="shared" si="10"/>
        <v/>
      </c>
      <c r="C57" s="108">
        <f>'1.4 FY 2020 Revenue Received'!J57</f>
        <v>1071.2845</v>
      </c>
      <c r="D57" s="519">
        <f>'5.2 Budgeted Enrollment YR2'!G59</f>
        <v>1074.7232250803561</v>
      </c>
      <c r="E57" s="159">
        <f>'6.8 Alloc of Residual Rev. YR2'!M63</f>
        <v>11467789</v>
      </c>
      <c r="F57" s="385">
        <f t="shared" si="20"/>
        <v>10670.457967578177</v>
      </c>
      <c r="H57" s="154">
        <f>'1.4 FY 2020 Revenue Received'!H57</f>
        <v>8142139</v>
      </c>
      <c r="I57" s="385">
        <f t="shared" si="11"/>
        <v>7600.3517272955969</v>
      </c>
      <c r="K57" s="175" t="str">
        <f t="shared" si="12"/>
        <v>Yes</v>
      </c>
      <c r="M57" s="486"/>
      <c r="N57" s="179"/>
      <c r="O57" s="181" t="str">
        <f t="shared" si="14"/>
        <v>Does Not Apply</v>
      </c>
      <c r="P57" s="177"/>
      <c r="Q57" s="182" t="str">
        <f t="shared" si="15"/>
        <v>Does Not Apply</v>
      </c>
      <c r="R57" s="181"/>
      <c r="S57" s="181"/>
      <c r="T57" s="181"/>
      <c r="U57" s="181"/>
      <c r="V57" s="181"/>
    </row>
    <row r="58" spans="1:22" ht="18.75" x14ac:dyDescent="0.45">
      <c r="A58" s="9" t="str">
        <f>'5.2 Budgeted Enrollment YR2'!E60</f>
        <v>Futuro Academy Elementary</v>
      </c>
      <c r="B58" s="369" t="str">
        <f t="shared" si="10"/>
        <v/>
      </c>
      <c r="C58" s="108">
        <f>'1.4 FY 2020 Revenue Received'!J58</f>
        <v>340.84044000000006</v>
      </c>
      <c r="D58" s="519">
        <f>'5.2 Budgeted Enrollment YR2'!G60</f>
        <v>467.88219404846518</v>
      </c>
      <c r="E58" s="159">
        <f>'6.8 Alloc of Residual Rev. YR2'!M64</f>
        <v>5518010</v>
      </c>
      <c r="F58" s="385">
        <f t="shared" si="20"/>
        <v>11793.588365169591</v>
      </c>
      <c r="H58" s="154">
        <f>'1.4 FY 2020 Revenue Received'!H58</f>
        <v>2619248</v>
      </c>
      <c r="I58" s="385">
        <f t="shared" si="11"/>
        <v>7684.6749757745865</v>
      </c>
      <c r="K58" s="175" t="str">
        <f t="shared" si="12"/>
        <v>Yes</v>
      </c>
      <c r="M58" s="486"/>
      <c r="N58" s="179"/>
      <c r="O58" s="181" t="str">
        <f t="shared" si="14"/>
        <v>Does Not Apply</v>
      </c>
      <c r="P58" s="177"/>
      <c r="Q58" s="182" t="str">
        <f t="shared" si="15"/>
        <v>Does Not Apply</v>
      </c>
      <c r="R58" s="181"/>
      <c r="S58" s="181"/>
      <c r="T58" s="181"/>
      <c r="U58" s="181"/>
      <c r="V58" s="181"/>
    </row>
    <row r="59" spans="1:22" ht="18.75" x14ac:dyDescent="0.45">
      <c r="A59" s="9" t="str">
        <f>'5.2 Budgeted Enrollment YR2'!E61</f>
        <v>High Desert Montessori</v>
      </c>
      <c r="B59" s="369" t="str">
        <f t="shared" si="10"/>
        <v/>
      </c>
      <c r="C59" s="108">
        <f>'1.4 FY 2020 Revenue Received'!J59</f>
        <v>346.239215</v>
      </c>
      <c r="D59" s="519">
        <f>'5.2 Budgeted Enrollment YR2'!G61</f>
        <v>411.94504777978403</v>
      </c>
      <c r="E59" s="159">
        <f>'6.8 Alloc of Residual Rev. YR2'!M65</f>
        <v>4044479</v>
      </c>
      <c r="F59" s="385">
        <f t="shared" si="20"/>
        <v>9818.0061195008748</v>
      </c>
      <c r="H59" s="154">
        <f>'1.4 FY 2020 Revenue Received'!H59</f>
        <v>2661885</v>
      </c>
      <c r="I59" s="385">
        <f t="shared" si="11"/>
        <v>7687.9939783828358</v>
      </c>
      <c r="K59" s="175" t="str">
        <f t="shared" si="12"/>
        <v>Yes</v>
      </c>
      <c r="M59" s="486"/>
      <c r="N59" s="179"/>
      <c r="O59" s="181" t="str">
        <f t="shared" si="14"/>
        <v>Does Not Apply</v>
      </c>
      <c r="P59" s="177"/>
      <c r="Q59" s="182" t="str">
        <f t="shared" si="15"/>
        <v>Does Not Apply</v>
      </c>
      <c r="R59" s="181"/>
      <c r="S59" s="181"/>
      <c r="T59" s="181"/>
      <c r="U59" s="181"/>
      <c r="V59" s="181"/>
    </row>
    <row r="60" spans="1:22" ht="18.75" x14ac:dyDescent="0.45">
      <c r="A60" s="9" t="str">
        <f>'5.2 Budgeted Enrollment YR2'!E62</f>
        <v>Honors Academy of Literature</v>
      </c>
      <c r="B60" s="369" t="str">
        <f t="shared" si="10"/>
        <v/>
      </c>
      <c r="C60" s="108">
        <f>'1.4 FY 2020 Revenue Received'!J60</f>
        <v>218.46999250000002</v>
      </c>
      <c r="D60" s="519">
        <f>'5.2 Budgeted Enrollment YR2'!G62</f>
        <v>219.20317856717219</v>
      </c>
      <c r="E60" s="159">
        <f>'6.8 Alloc of Residual Rev. YR2'!M66</f>
        <v>2324771</v>
      </c>
      <c r="F60" s="385">
        <f t="shared" si="20"/>
        <v>10605.553328176771</v>
      </c>
      <c r="H60" s="154">
        <f>'1.4 FY 2020 Revenue Received'!H60</f>
        <v>1710886</v>
      </c>
      <c r="I60" s="385">
        <f t="shared" si="11"/>
        <v>7831.2173695890979</v>
      </c>
      <c r="K60" s="175" t="str">
        <f t="shared" si="12"/>
        <v>Yes</v>
      </c>
      <c r="M60" s="486"/>
      <c r="N60" s="179"/>
      <c r="O60" s="181" t="str">
        <f t="shared" si="14"/>
        <v>Does Not Apply</v>
      </c>
      <c r="P60" s="177"/>
      <c r="Q60" s="182" t="str">
        <f t="shared" si="15"/>
        <v>Does Not Apply</v>
      </c>
      <c r="R60" s="181"/>
      <c r="S60" s="181"/>
      <c r="T60" s="181"/>
      <c r="U60" s="181"/>
      <c r="V60" s="181"/>
    </row>
    <row r="61" spans="1:22" ht="18.75" x14ac:dyDescent="0.45">
      <c r="A61" s="9" t="str">
        <f>'5.2 Budgeted Enrollment YR2'!E63</f>
        <v>Imagine School Mountain View</v>
      </c>
      <c r="B61" s="369" t="str">
        <f t="shared" si="10"/>
        <v/>
      </c>
      <c r="C61" s="108">
        <f>'1.4 FY 2020 Revenue Received'!J61</f>
        <v>709.47592499999996</v>
      </c>
      <c r="D61" s="519">
        <f>'5.2 Budgeted Enrollment YR2'!G63</f>
        <v>695.95030141306381</v>
      </c>
      <c r="E61" s="159">
        <f>'6.8 Alloc of Residual Rev. YR2'!M67</f>
        <v>7234806</v>
      </c>
      <c r="F61" s="385">
        <f t="shared" si="20"/>
        <v>10395.578513739249</v>
      </c>
      <c r="H61" s="154">
        <f>'1.4 FY 2020 Revenue Received'!H61</f>
        <v>5418025</v>
      </c>
      <c r="I61" s="385">
        <f t="shared" si="11"/>
        <v>7636.6580021725194</v>
      </c>
      <c r="K61" s="175" t="str">
        <f t="shared" si="12"/>
        <v>Yes</v>
      </c>
      <c r="M61" s="486"/>
      <c r="N61" s="179"/>
      <c r="O61" s="181" t="str">
        <f t="shared" si="14"/>
        <v>Does Not Apply</v>
      </c>
      <c r="P61" s="177"/>
      <c r="Q61" s="182" t="str">
        <f t="shared" si="15"/>
        <v>Does Not Apply</v>
      </c>
      <c r="R61" s="181"/>
      <c r="S61" s="181"/>
      <c r="T61" s="181"/>
      <c r="U61" s="181"/>
      <c r="V61" s="181"/>
    </row>
    <row r="62" spans="1:22" ht="18.75" x14ac:dyDescent="0.45">
      <c r="A62" s="9" t="str">
        <f>'5.2 Budgeted Enrollment YR2'!E64</f>
        <v>Innovations Int'l Charter</v>
      </c>
      <c r="B62" s="369" t="str">
        <f t="shared" si="10"/>
        <v/>
      </c>
      <c r="C62" s="108">
        <f>'1.4 FY 2020 Revenue Received'!J62</f>
        <v>802.28936500000009</v>
      </c>
      <c r="D62" s="519">
        <f>'5.2 Budgeted Enrollment YR2'!G64</f>
        <v>682.14466872714809</v>
      </c>
      <c r="E62" s="159">
        <f>'6.8 Alloc of Residual Rev. YR2'!M68</f>
        <v>7527662</v>
      </c>
      <c r="F62" s="385">
        <f t="shared" si="20"/>
        <v>11035.286714248292</v>
      </c>
      <c r="H62" s="154">
        <f>'1.4 FY 2020 Revenue Received'!H62</f>
        <v>5810174</v>
      </c>
      <c r="I62" s="385">
        <f t="shared" si="11"/>
        <v>7241.9930432456867</v>
      </c>
      <c r="K62" s="175" t="str">
        <f t="shared" si="12"/>
        <v>Yes</v>
      </c>
      <c r="M62" s="486"/>
      <c r="N62" s="179"/>
      <c r="O62" s="181" t="str">
        <f t="shared" si="14"/>
        <v>Does Not Apply</v>
      </c>
      <c r="P62" s="177"/>
      <c r="Q62" s="182" t="str">
        <f t="shared" si="15"/>
        <v>Does Not Apply</v>
      </c>
      <c r="R62" s="181"/>
      <c r="S62" s="181"/>
      <c r="T62" s="181"/>
      <c r="U62" s="181"/>
      <c r="V62" s="181"/>
    </row>
    <row r="63" spans="1:22" ht="18.75" x14ac:dyDescent="0.45">
      <c r="A63" s="9" t="str">
        <f>'5.2 Budgeted Enrollment YR2'!E65</f>
        <v>Leadership Academy of Nevada</v>
      </c>
      <c r="B63" s="369" t="str">
        <f t="shared" si="10"/>
        <v/>
      </c>
      <c r="C63" s="108">
        <f>'1.4 FY 2020 Revenue Received'!J63</f>
        <v>262.75737500000002</v>
      </c>
      <c r="D63" s="519">
        <f>'5.2 Budgeted Enrollment YR2'!G65</f>
        <v>287.40686460222514</v>
      </c>
      <c r="E63" s="159">
        <f>'6.8 Alloc of Residual Rev. YR2'!M69</f>
        <v>2986394</v>
      </c>
      <c r="F63" s="385">
        <f t="shared" si="20"/>
        <v>10390.823490361681</v>
      </c>
      <c r="H63" s="154">
        <f>'1.4 FY 2020 Revenue Received'!H63</f>
        <v>2119515</v>
      </c>
      <c r="I63" s="385">
        <f t="shared" si="11"/>
        <v>8066.4339107513151</v>
      </c>
      <c r="K63" s="175" t="str">
        <f t="shared" si="12"/>
        <v>Yes</v>
      </c>
      <c r="M63" s="486"/>
      <c r="N63" s="179"/>
      <c r="O63" s="181" t="str">
        <f t="shared" si="14"/>
        <v>Does Not Apply</v>
      </c>
      <c r="P63" s="177"/>
      <c r="Q63" s="182" t="str">
        <f t="shared" si="15"/>
        <v>Does Not Apply</v>
      </c>
      <c r="R63" s="181"/>
      <c r="S63" s="181"/>
      <c r="T63" s="181"/>
      <c r="U63" s="181"/>
      <c r="V63" s="181"/>
    </row>
    <row r="64" spans="1:22" ht="18.75" x14ac:dyDescent="0.45">
      <c r="A64" s="9" t="str">
        <f>'5.2 Budgeted Enrollment YR2'!E66</f>
        <v>Learning Bridge</v>
      </c>
      <c r="B64" s="369" t="str">
        <f t="shared" si="10"/>
        <v/>
      </c>
      <c r="C64" s="108">
        <f>'1.4 FY 2020 Revenue Received'!J64</f>
        <v>180.91071249999999</v>
      </c>
      <c r="D64" s="519">
        <f>'5.2 Budgeted Enrollment YR2'!G66</f>
        <v>170.53745061484202</v>
      </c>
      <c r="E64" s="159">
        <f>'6.8 Alloc of Residual Rev. YR2'!M70</f>
        <v>2369194</v>
      </c>
      <c r="F64" s="385">
        <f t="shared" si="20"/>
        <v>13892.514467985175</v>
      </c>
      <c r="H64" s="154">
        <f>'1.4 FY 2020 Revenue Received'!H64</f>
        <v>2103601</v>
      </c>
      <c r="I64" s="385">
        <f t="shared" si="11"/>
        <v>11627.840999189035</v>
      </c>
      <c r="K64" s="175" t="str">
        <f t="shared" si="12"/>
        <v>Yes</v>
      </c>
      <c r="M64" s="486"/>
      <c r="N64" s="179"/>
      <c r="O64" s="181" t="str">
        <f t="shared" si="14"/>
        <v>Does Not Apply</v>
      </c>
      <c r="P64" s="177"/>
      <c r="Q64" s="182" t="str">
        <f t="shared" si="15"/>
        <v>Does Not Apply</v>
      </c>
      <c r="R64" s="181"/>
      <c r="S64" s="181"/>
      <c r="T64" s="181"/>
      <c r="U64" s="181"/>
      <c r="V64" s="181"/>
    </row>
    <row r="65" spans="1:22" ht="18.75" x14ac:dyDescent="0.45">
      <c r="A65" s="9" t="str">
        <f>'5.2 Budgeted Enrollment YR2'!E67</f>
        <v>Legacy Traditional Schools</v>
      </c>
      <c r="B65" s="369" t="str">
        <f t="shared" si="10"/>
        <v/>
      </c>
      <c r="C65" s="108">
        <f>'1.4 FY 2020 Revenue Received'!J65</f>
        <v>4157.8304200000002</v>
      </c>
      <c r="D65" s="519">
        <f>'5.2 Budgeted Enrollment YR2'!G67</f>
        <v>4125.1478938155515</v>
      </c>
      <c r="E65" s="159">
        <f>'6.8 Alloc of Residual Rev. YR2'!M71</f>
        <v>42681620</v>
      </c>
      <c r="F65" s="385">
        <f t="shared" si="20"/>
        <v>10346.688433641024</v>
      </c>
      <c r="H65" s="154">
        <f>'1.4 FY 2020 Revenue Received'!H65</f>
        <v>30660605</v>
      </c>
      <c r="I65" s="385">
        <f t="shared" si="11"/>
        <v>7374.1836253148576</v>
      </c>
      <c r="K65" s="175" t="str">
        <f t="shared" si="12"/>
        <v>Yes</v>
      </c>
      <c r="M65" s="486"/>
      <c r="N65" s="179"/>
      <c r="O65" s="181" t="str">
        <f t="shared" si="14"/>
        <v>Does Not Apply</v>
      </c>
      <c r="P65" s="177"/>
      <c r="Q65" s="182" t="str">
        <f t="shared" si="15"/>
        <v>Does Not Apply</v>
      </c>
      <c r="R65" s="181"/>
      <c r="S65" s="181"/>
      <c r="T65" s="181"/>
      <c r="U65" s="181"/>
      <c r="V65" s="181"/>
    </row>
    <row r="66" spans="1:22" ht="18.75" x14ac:dyDescent="0.45">
      <c r="A66" s="9" t="str">
        <f>'5.2 Budgeted Enrollment YR2'!E68</f>
        <v xml:space="preserve">Mariposa Language and Learning Academy </v>
      </c>
      <c r="B66" s="369" t="str">
        <f t="shared" si="10"/>
        <v/>
      </c>
      <c r="C66" s="108">
        <f>'1.4 FY 2020 Revenue Received'!J66</f>
        <v>141.298315</v>
      </c>
      <c r="D66" s="519">
        <f>'5.2 Budgeted Enrollment YR2'!G68</f>
        <v>164.39442664043821</v>
      </c>
      <c r="E66" s="159">
        <f>'6.8 Alloc of Residual Rev. YR2'!M72</f>
        <v>1819509</v>
      </c>
      <c r="F66" s="385">
        <f t="shared" si="20"/>
        <v>11067.94820958019</v>
      </c>
      <c r="H66" s="154">
        <f>'1.4 FY 2020 Revenue Received'!H66</f>
        <v>1264706</v>
      </c>
      <c r="I66" s="385">
        <f t="shared" si="11"/>
        <v>8950.6092128557939</v>
      </c>
      <c r="K66" s="175" t="str">
        <f t="shared" si="12"/>
        <v>Yes</v>
      </c>
      <c r="M66" s="486"/>
      <c r="N66" s="179"/>
      <c r="O66" s="181" t="str">
        <f t="shared" si="14"/>
        <v>Does Not Apply</v>
      </c>
      <c r="P66" s="177"/>
      <c r="Q66" s="182" t="str">
        <f t="shared" si="15"/>
        <v>Does Not Apply</v>
      </c>
      <c r="R66" s="181"/>
      <c r="S66" s="181"/>
      <c r="T66" s="181"/>
      <c r="U66" s="181"/>
      <c r="V66" s="181"/>
    </row>
    <row r="67" spans="1:22" ht="18.75" x14ac:dyDescent="0.45">
      <c r="A67" s="9" t="str">
        <f>'5.2 Budgeted Enrollment YR2'!E69</f>
        <v>Mater Academy</v>
      </c>
      <c r="B67" s="369" t="str">
        <f t="shared" si="10"/>
        <v/>
      </c>
      <c r="C67" s="108">
        <f>'1.4 FY 2020 Revenue Received'!J67</f>
        <v>1973.4592965000002</v>
      </c>
      <c r="D67" s="519">
        <f>'5.2 Budgeted Enrollment YR2'!G69</f>
        <v>4489.9355041692297</v>
      </c>
      <c r="E67" s="159">
        <f>'6.8 Alloc of Residual Rev. YR2'!M73</f>
        <v>50783849</v>
      </c>
      <c r="F67" s="385">
        <f t="shared" si="20"/>
        <v>11310.596544837565</v>
      </c>
      <c r="H67" s="154">
        <f>'1.4 FY 2020 Revenue Received'!H67</f>
        <v>16298031</v>
      </c>
      <c r="I67" s="385">
        <f t="shared" si="11"/>
        <v>8258.6101618133871</v>
      </c>
      <c r="K67" s="175" t="str">
        <f t="shared" si="12"/>
        <v>Yes</v>
      </c>
      <c r="M67" s="486"/>
      <c r="N67" s="179"/>
      <c r="O67" s="181" t="str">
        <f t="shared" si="14"/>
        <v>Does Not Apply</v>
      </c>
      <c r="P67" s="177"/>
      <c r="Q67" s="182" t="str">
        <f t="shared" si="15"/>
        <v>Does Not Apply</v>
      </c>
      <c r="R67" s="181"/>
      <c r="S67" s="181"/>
      <c r="T67" s="181"/>
      <c r="U67" s="181"/>
      <c r="V67" s="181"/>
    </row>
    <row r="68" spans="1:22" ht="18.75" x14ac:dyDescent="0.45">
      <c r="A68" s="9" t="str">
        <f>'5.2 Budgeted Enrollment YR2'!E70</f>
        <v>Mater Academy of Northern Nevada</v>
      </c>
      <c r="B68" s="369" t="str">
        <f t="shared" si="10"/>
        <v/>
      </c>
      <c r="C68" s="108">
        <f>'1.4 FY 2020 Revenue Received'!J68</f>
        <v>347.39350000000002</v>
      </c>
      <c r="D68" s="519">
        <f>'5.2 Budgeted Enrollment YR2'!G70</f>
        <v>502.85317793083078</v>
      </c>
      <c r="E68" s="159">
        <f>'6.8 Alloc of Residual Rev. YR2'!M74</f>
        <v>5407319</v>
      </c>
      <c r="F68" s="385">
        <f t="shared" si="20"/>
        <v>10753.275980576174</v>
      </c>
      <c r="H68" s="154">
        <f>'1.4 FY 2020 Revenue Received'!H68</f>
        <v>2974096</v>
      </c>
      <c r="I68" s="385">
        <f t="shared" si="11"/>
        <v>8561.1734243732244</v>
      </c>
      <c r="K68" s="175" t="str">
        <f t="shared" si="12"/>
        <v>Yes</v>
      </c>
      <c r="M68" s="486"/>
      <c r="N68" s="179"/>
      <c r="O68" s="181" t="str">
        <f t="shared" si="14"/>
        <v>Does Not Apply</v>
      </c>
      <c r="P68" s="177"/>
      <c r="Q68" s="182" t="str">
        <f t="shared" si="15"/>
        <v>Does Not Apply</v>
      </c>
      <c r="R68" s="181"/>
      <c r="S68" s="181"/>
      <c r="T68" s="181"/>
      <c r="U68" s="181"/>
      <c r="V68" s="181"/>
    </row>
    <row r="69" spans="1:22" ht="18.75" x14ac:dyDescent="0.45">
      <c r="A69" s="9" t="str">
        <f>'5.2 Budgeted Enrollment YR2'!E71</f>
        <v>Nevada Connections Academy</v>
      </c>
      <c r="B69" s="369" t="str">
        <f t="shared" si="10"/>
        <v/>
      </c>
      <c r="C69" s="108">
        <f>'1.4 FY 2020 Revenue Received'!J69</f>
        <v>3282.6674575360644</v>
      </c>
      <c r="D69" s="519">
        <f>'5.2 Budgeted Enrollment YR2'!G71</f>
        <v>1200.806661656123</v>
      </c>
      <c r="E69" s="159">
        <f>'6.8 Alloc of Residual Rev. YR2'!M75</f>
        <v>11672320</v>
      </c>
      <c r="F69" s="385">
        <f t="shared" si="20"/>
        <v>9720.3991056327286</v>
      </c>
      <c r="H69" s="154">
        <f>'1.4 FY 2020 Revenue Received'!H69</f>
        <v>26749623</v>
      </c>
      <c r="I69" s="385">
        <f t="shared" si="11"/>
        <v>8148.7459043682684</v>
      </c>
      <c r="K69" s="175" t="str">
        <f t="shared" si="12"/>
        <v>Yes</v>
      </c>
      <c r="M69" s="486"/>
      <c r="N69" s="179"/>
      <c r="O69" s="181" t="str">
        <f t="shared" si="14"/>
        <v>Does Not Apply</v>
      </c>
      <c r="P69" s="177"/>
      <c r="Q69" s="182" t="str">
        <f t="shared" si="15"/>
        <v>Does Not Apply</v>
      </c>
      <c r="R69" s="181"/>
      <c r="S69" s="181"/>
      <c r="T69" s="181"/>
      <c r="U69" s="181"/>
      <c r="V69" s="181"/>
    </row>
    <row r="70" spans="1:22" ht="18.75" x14ac:dyDescent="0.45">
      <c r="A70" s="9" t="str">
        <f>'5.2 Budgeted Enrollment YR2'!E72</f>
        <v>Nevada Prep</v>
      </c>
      <c r="B70" s="369" t="str">
        <f t="shared" si="10"/>
        <v/>
      </c>
      <c r="C70" s="108">
        <f>'1.4 FY 2020 Revenue Received'!J70</f>
        <v>207.55364499999999</v>
      </c>
      <c r="D70" s="519">
        <f>'5.2 Budgeted Enrollment YR2'!G72</f>
        <v>305.23837009503319</v>
      </c>
      <c r="E70" s="159">
        <f>'6.8 Alloc of Residual Rev. YR2'!M76</f>
        <v>3490887</v>
      </c>
      <c r="F70" s="385">
        <f t="shared" si="20"/>
        <v>11436.592977852502</v>
      </c>
      <c r="H70" s="154">
        <f>'1.4 FY 2020 Revenue Received'!H70</f>
        <v>1524042</v>
      </c>
      <c r="I70" s="385">
        <f t="shared" si="11"/>
        <v>7342.8823666286371</v>
      </c>
      <c r="K70" s="175" t="str">
        <f t="shared" si="12"/>
        <v>Yes</v>
      </c>
      <c r="M70" s="486"/>
      <c r="N70" s="179"/>
      <c r="O70" s="181" t="str">
        <f t="shared" si="14"/>
        <v>Does Not Apply</v>
      </c>
      <c r="P70" s="177"/>
      <c r="Q70" s="182" t="str">
        <f t="shared" si="15"/>
        <v>Does Not Apply</v>
      </c>
      <c r="R70" s="181"/>
      <c r="S70" s="181"/>
      <c r="T70" s="181"/>
      <c r="U70" s="181"/>
      <c r="V70" s="181"/>
    </row>
    <row r="71" spans="1:22" ht="18.75" x14ac:dyDescent="0.45">
      <c r="A71" s="9" t="str">
        <f>'5.2 Budgeted Enrollment YR2'!E73</f>
        <v xml:space="preserve">Nevada Rise </v>
      </c>
      <c r="B71" s="369" t="str">
        <f t="shared" si="10"/>
        <v/>
      </c>
      <c r="C71" s="108">
        <f>'1.4 FY 2020 Revenue Received'!J71</f>
        <v>224.46602000000001</v>
      </c>
      <c r="D71" s="519">
        <f>'5.2 Budgeted Enrollment YR2'!G73</f>
        <v>372.57548213135692</v>
      </c>
      <c r="E71" s="159">
        <f>'6.8 Alloc of Residual Rev. YR2'!M77</f>
        <v>4027248</v>
      </c>
      <c r="F71" s="385">
        <f t="shared" si="20"/>
        <v>10809.213684598106</v>
      </c>
      <c r="H71" s="154">
        <f>'1.4 FY 2020 Revenue Received'!H71</f>
        <v>1721041</v>
      </c>
      <c r="I71" s="385">
        <f t="shared" si="11"/>
        <v>7667.2674108980946</v>
      </c>
      <c r="K71" s="175" t="str">
        <f t="shared" si="12"/>
        <v>Yes</v>
      </c>
      <c r="M71" s="486"/>
      <c r="N71" s="179"/>
      <c r="O71" s="181" t="str">
        <f t="shared" si="14"/>
        <v>Does Not Apply</v>
      </c>
      <c r="P71" s="177"/>
      <c r="Q71" s="182" t="str">
        <f t="shared" si="15"/>
        <v>Does Not Apply</v>
      </c>
      <c r="R71" s="181"/>
      <c r="S71" s="181"/>
      <c r="T71" s="181"/>
      <c r="U71" s="181"/>
      <c r="V71" s="181"/>
    </row>
    <row r="72" spans="1:22" ht="18.75" x14ac:dyDescent="0.45">
      <c r="A72" s="9" t="str">
        <f>'5.2 Budgeted Enrollment YR2'!E74</f>
        <v>Nevada State High School</v>
      </c>
      <c r="B72" s="369" t="str">
        <f t="shared" si="10"/>
        <v/>
      </c>
      <c r="C72" s="108">
        <f>'1.4 FY 2020 Revenue Received'!J72</f>
        <v>738.88392750000003</v>
      </c>
      <c r="D72" s="519">
        <f>'5.2 Budgeted Enrollment YR2'!G74</f>
        <v>913.27248049484274</v>
      </c>
      <c r="E72" s="159">
        <f>'6.8 Alloc of Residual Rev. YR2'!M78</f>
        <v>8793591</v>
      </c>
      <c r="F72" s="385">
        <f t="shared" si="20"/>
        <v>9628.6608737354345</v>
      </c>
      <c r="H72" s="154">
        <f>'1.4 FY 2020 Revenue Received'!H72</f>
        <v>5698377</v>
      </c>
      <c r="I72" s="385">
        <f t="shared" si="11"/>
        <v>7712.1409573494884</v>
      </c>
      <c r="K72" s="175" t="str">
        <f t="shared" si="12"/>
        <v>Yes</v>
      </c>
      <c r="M72" s="486"/>
      <c r="N72" s="179"/>
      <c r="O72" s="181" t="str">
        <f t="shared" si="14"/>
        <v>Does Not Apply</v>
      </c>
      <c r="P72" s="177"/>
      <c r="Q72" s="182" t="str">
        <f t="shared" si="15"/>
        <v>Does Not Apply</v>
      </c>
      <c r="R72" s="181"/>
      <c r="S72" s="181"/>
      <c r="T72" s="181"/>
      <c r="U72" s="181"/>
      <c r="V72" s="181"/>
    </row>
    <row r="73" spans="1:22" ht="18.75" x14ac:dyDescent="0.45">
      <c r="A73" s="9" t="str">
        <f>'5.2 Budgeted Enrollment YR2'!E75</f>
        <v>Nevada State High School-Meadowwood</v>
      </c>
      <c r="B73" s="369" t="str">
        <f t="shared" si="10"/>
        <v/>
      </c>
      <c r="C73" s="108">
        <f>'1.4 FY 2020 Revenue Received'!J73</f>
        <v>53.673810000000003</v>
      </c>
      <c r="D73" s="519">
        <f>'5.2 Budgeted Enrollment YR2'!G75</f>
        <v>30.196612917803087</v>
      </c>
      <c r="E73" s="159">
        <f>'6.8 Alloc of Residual Rev. YR2'!M79</f>
        <v>286928</v>
      </c>
      <c r="F73" s="385">
        <f t="shared" si="20"/>
        <v>9501.992848702419</v>
      </c>
      <c r="H73" s="154">
        <f>'1.4 FY 2020 Revenue Received'!H73</f>
        <v>411580</v>
      </c>
      <c r="I73" s="385">
        <f t="shared" si="11"/>
        <v>7668.1718700423908</v>
      </c>
      <c r="K73" s="175" t="str">
        <f t="shared" si="12"/>
        <v>Yes</v>
      </c>
      <c r="M73" s="486"/>
      <c r="N73" s="179"/>
      <c r="O73" s="181" t="str">
        <f t="shared" si="14"/>
        <v>Does Not Apply</v>
      </c>
      <c r="P73" s="177"/>
      <c r="Q73" s="182" t="str">
        <f t="shared" si="15"/>
        <v>Does Not Apply</v>
      </c>
      <c r="R73" s="181"/>
      <c r="S73" s="181"/>
      <c r="T73" s="181"/>
      <c r="U73" s="181"/>
      <c r="V73" s="181"/>
    </row>
    <row r="74" spans="1:22" ht="18.75" x14ac:dyDescent="0.45">
      <c r="A74" s="9" t="str">
        <f>'5.2 Budgeted Enrollment YR2'!E76</f>
        <v>Nevada Virtual Academy</v>
      </c>
      <c r="B74" s="369" t="str">
        <f t="shared" si="10"/>
        <v/>
      </c>
      <c r="C74" s="108">
        <f>'1.4 FY 2020 Revenue Received'!J74</f>
        <v>1486.74559</v>
      </c>
      <c r="D74" s="519">
        <f>'5.2 Budgeted Enrollment YR2'!G76</f>
        <v>1819.9707035088049</v>
      </c>
      <c r="E74" s="159">
        <f>'6.8 Alloc of Residual Rev. YR2'!M80</f>
        <v>18404502</v>
      </c>
      <c r="F74" s="385">
        <f t="shared" si="20"/>
        <v>10112.526517331909</v>
      </c>
      <c r="H74" s="154">
        <f>'1.4 FY 2020 Revenue Received'!H74</f>
        <v>11537545</v>
      </c>
      <c r="I74" s="385">
        <f t="shared" si="11"/>
        <v>7760.2685204534555</v>
      </c>
      <c r="K74" s="175" t="str">
        <f t="shared" si="12"/>
        <v>Yes</v>
      </c>
      <c r="M74" s="486"/>
      <c r="N74" s="179"/>
      <c r="O74" s="181" t="str">
        <f t="shared" si="14"/>
        <v>Does Not Apply</v>
      </c>
      <c r="P74" s="177"/>
      <c r="Q74" s="182" t="str">
        <f t="shared" si="15"/>
        <v>Does Not Apply</v>
      </c>
      <c r="R74" s="181"/>
      <c r="S74" s="181"/>
      <c r="T74" s="181"/>
      <c r="U74" s="181"/>
      <c r="V74" s="181"/>
    </row>
    <row r="75" spans="1:22" ht="18.75" x14ac:dyDescent="0.45">
      <c r="A75" s="9" t="str">
        <f>'5.2 Budgeted Enrollment YR2'!E77</f>
        <v>Oasis Academy</v>
      </c>
      <c r="B75" s="369" t="str">
        <f t="shared" si="10"/>
        <v/>
      </c>
      <c r="C75" s="108">
        <f>'1.4 FY 2020 Revenue Received'!J75</f>
        <v>638.00608999999997</v>
      </c>
      <c r="D75" s="519">
        <f>'5.2 Budgeted Enrollment YR2'!G77</f>
        <v>785.63660329576021</v>
      </c>
      <c r="E75" s="159">
        <f>'6.8 Alloc of Residual Rev. YR2'!M81</f>
        <v>9193767</v>
      </c>
      <c r="F75" s="385">
        <f t="shared" si="20"/>
        <v>11702.31499071196</v>
      </c>
      <c r="H75" s="154">
        <f>'1.4 FY 2020 Revenue Received'!H75</f>
        <v>5553084</v>
      </c>
      <c r="I75" s="385">
        <f t="shared" si="11"/>
        <v>8703.8103351019745</v>
      </c>
      <c r="K75" s="175" t="str">
        <f t="shared" si="12"/>
        <v>Yes</v>
      </c>
      <c r="M75" s="486"/>
      <c r="N75" s="179"/>
      <c r="O75" s="181" t="str">
        <f t="shared" si="14"/>
        <v>Does Not Apply</v>
      </c>
      <c r="P75" s="177"/>
      <c r="Q75" s="182" t="str">
        <f t="shared" si="15"/>
        <v>Does Not Apply</v>
      </c>
      <c r="R75" s="181"/>
      <c r="S75" s="181"/>
      <c r="T75" s="181"/>
      <c r="U75" s="181"/>
      <c r="V75" s="181"/>
    </row>
    <row r="76" spans="1:22" ht="18.75" x14ac:dyDescent="0.45">
      <c r="A76" s="9" t="str">
        <f>'5.2 Budgeted Enrollment YR2'!E78</f>
        <v>Odyssey Charter Schools</v>
      </c>
      <c r="B76" s="369" t="str">
        <f t="shared" si="10"/>
        <v/>
      </c>
      <c r="C76" s="108">
        <f>'1.4 FY 2020 Revenue Received'!J76</f>
        <v>2198.2159775</v>
      </c>
      <c r="D76" s="519">
        <f>'5.2 Budgeted Enrollment YR2'!G78</f>
        <v>2400.7898726641642</v>
      </c>
      <c r="E76" s="159">
        <f>'6.8 Alloc of Residual Rev. YR2'!M82</f>
        <v>26617825</v>
      </c>
      <c r="F76" s="385">
        <f t="shared" si="20"/>
        <v>11087.111497376534</v>
      </c>
      <c r="H76" s="154">
        <f>'1.4 FY 2020 Revenue Received'!H76</f>
        <v>15953828</v>
      </c>
      <c r="I76" s="385">
        <f t="shared" si="11"/>
        <v>7257.6253485993057</v>
      </c>
      <c r="K76" s="175" t="str">
        <f t="shared" si="12"/>
        <v>Yes</v>
      </c>
      <c r="M76" s="486"/>
      <c r="N76" s="179"/>
      <c r="O76" s="181" t="str">
        <f t="shared" si="14"/>
        <v>Does Not Apply</v>
      </c>
      <c r="P76" s="177"/>
      <c r="Q76" s="182" t="str">
        <f t="shared" si="15"/>
        <v>Does Not Apply</v>
      </c>
      <c r="R76" s="181"/>
      <c r="S76" s="181"/>
      <c r="T76" s="181"/>
      <c r="U76" s="181"/>
      <c r="V76" s="181"/>
    </row>
    <row r="77" spans="1:22" ht="18.75" x14ac:dyDescent="0.45">
      <c r="A77" s="9" t="str">
        <f>'5.2 Budgeted Enrollment YR2'!E79</f>
        <v>Pinecrest Academy of Northern Nevada</v>
      </c>
      <c r="B77" s="369" t="str">
        <f t="shared" si="10"/>
        <v>Yes</v>
      </c>
      <c r="C77" s="108">
        <f>'1.4 FY 2020 Revenue Received'!J77</f>
        <v>0</v>
      </c>
      <c r="D77" s="519">
        <f>'5.2 Budgeted Enrollment YR2'!G79</f>
        <v>1022.3920123229747</v>
      </c>
      <c r="E77" s="159">
        <f>'6.8 Alloc of Residual Rev. YR2'!M83</f>
        <v>11111365</v>
      </c>
      <c r="F77" s="385">
        <f t="shared" si="20"/>
        <v>10868.00842149959</v>
      </c>
      <c r="H77" s="154">
        <f>'1.4 FY 2020 Revenue Received'!H77</f>
        <v>0</v>
      </c>
      <c r="I77" s="385">
        <f t="shared" si="11"/>
        <v>0</v>
      </c>
      <c r="K77" s="175" t="str">
        <f t="shared" si="12"/>
        <v>Yes</v>
      </c>
      <c r="M77" s="486"/>
      <c r="N77" s="179"/>
      <c r="O77" s="181" t="str">
        <f t="shared" si="14"/>
        <v>Does Not Apply</v>
      </c>
      <c r="P77" s="177"/>
      <c r="Q77" s="182" t="str">
        <f t="shared" si="15"/>
        <v>Does Not Apply</v>
      </c>
      <c r="R77" s="181"/>
      <c r="S77" s="181"/>
      <c r="T77" s="181"/>
      <c r="U77" s="181"/>
      <c r="V77" s="181"/>
    </row>
    <row r="78" spans="1:22" ht="18.75" x14ac:dyDescent="0.45">
      <c r="A78" s="9" t="str">
        <f>'5.2 Budgeted Enrollment YR2'!E80</f>
        <v>Pinecrest Academy of Nevada</v>
      </c>
      <c r="B78" s="369" t="str">
        <f t="shared" si="10"/>
        <v/>
      </c>
      <c r="C78" s="108">
        <f>'1.4 FY 2020 Revenue Received'!J78</f>
        <v>5968.9445674999997</v>
      </c>
      <c r="D78" s="519">
        <f>'5.2 Budgeted Enrollment YR2'!G80</f>
        <v>8054.8515217779041</v>
      </c>
      <c r="E78" s="159">
        <f>'6.8 Alloc of Residual Rev. YR2'!M84</f>
        <v>78388794</v>
      </c>
      <c r="F78" s="385">
        <f t="shared" si="20"/>
        <v>9731.8732428599342</v>
      </c>
      <c r="H78" s="154">
        <f>'1.4 FY 2020 Revenue Received'!H78</f>
        <v>44296209</v>
      </c>
      <c r="I78" s="385">
        <f t="shared" si="11"/>
        <v>7421.1124762635854</v>
      </c>
      <c r="K78" s="175" t="str">
        <f t="shared" si="12"/>
        <v>Yes</v>
      </c>
      <c r="M78" s="486"/>
      <c r="N78" s="179"/>
      <c r="O78" s="181" t="str">
        <f t="shared" si="14"/>
        <v>Does Not Apply</v>
      </c>
      <c r="P78" s="177"/>
      <c r="Q78" s="182" t="str">
        <f t="shared" si="15"/>
        <v>Does Not Apply</v>
      </c>
      <c r="R78" s="181"/>
      <c r="S78" s="181"/>
      <c r="T78" s="181"/>
      <c r="U78" s="181"/>
      <c r="V78" s="181"/>
    </row>
    <row r="79" spans="1:22" ht="18.75" x14ac:dyDescent="0.45">
      <c r="A79" s="9" t="str">
        <f>'5.2 Budgeted Enrollment YR2'!E81</f>
        <v>Pioneer Technical Arts Academy</v>
      </c>
      <c r="B79" s="369" t="str">
        <f t="shared" ref="B79" si="21">IF(C79=0,"Yes","")</f>
        <v>Yes</v>
      </c>
      <c r="C79" s="108">
        <f>'1.4 FY 2020 Revenue Received'!J80</f>
        <v>0</v>
      </c>
      <c r="D79" s="519">
        <f>'5.2 Budgeted Enrollment YR2'!G81</f>
        <v>263.87383610592974</v>
      </c>
      <c r="E79" s="159">
        <f>'6.8 Alloc of Residual Rev. YR2'!M85</f>
        <v>2507329</v>
      </c>
      <c r="F79" s="385">
        <f t="shared" ref="F79" si="22">IF(D79=0,0,E79/D79)</f>
        <v>9501.9992773874546</v>
      </c>
      <c r="H79" s="154">
        <f>'1.4 FY 2020 Revenue Received'!H80</f>
        <v>0</v>
      </c>
      <c r="I79" s="385">
        <f t="shared" ref="I79" si="23">IF(C79=0,0,H79/C79)</f>
        <v>0</v>
      </c>
      <c r="K79" s="175" t="str">
        <f t="shared" si="12"/>
        <v>Yes</v>
      </c>
      <c r="M79" s="486"/>
      <c r="N79" s="179"/>
      <c r="O79" s="181" t="str">
        <f t="shared" ref="O79" si="24">IF(M79&gt;H79,"Yes","Does Not Apply")</f>
        <v>Does Not Apply</v>
      </c>
      <c r="P79" s="177"/>
      <c r="Q79" s="182" t="str">
        <f t="shared" ref="Q79" si="25">IF(O79&gt;K79,"Yes","Does Not Apply")</f>
        <v>Does Not Apply</v>
      </c>
      <c r="R79" s="181"/>
      <c r="S79" s="181"/>
      <c r="T79" s="181"/>
      <c r="U79" s="181"/>
      <c r="V79" s="181"/>
    </row>
    <row r="80" spans="1:22" ht="18.75" x14ac:dyDescent="0.45">
      <c r="A80" s="9" t="str">
        <f>'5.2 Budgeted Enrollment YR2'!E82</f>
        <v>Quest Academy</v>
      </c>
      <c r="B80" s="369" t="str">
        <f t="shared" si="10"/>
        <v/>
      </c>
      <c r="C80" s="108">
        <f>'1.4 FY 2020 Revenue Received'!J81</f>
        <v>473.36828499999996</v>
      </c>
      <c r="D80" s="519">
        <f>'5.2 Budgeted Enrollment YR2'!G82</f>
        <v>455.57355767788971</v>
      </c>
      <c r="E80" s="159">
        <f>'6.8 Alloc of Residual Rev. YR2'!M86</f>
        <v>4633517</v>
      </c>
      <c r="F80" s="385">
        <f t="shared" si="20"/>
        <v>10170.732962680195</v>
      </c>
      <c r="H80" s="154">
        <f>'1.4 FY 2020 Revenue Received'!H81</f>
        <v>3726085</v>
      </c>
      <c r="I80" s="385">
        <f t="shared" si="11"/>
        <v>7871.4293248437634</v>
      </c>
      <c r="K80" s="175" t="str">
        <f t="shared" si="12"/>
        <v>Yes</v>
      </c>
      <c r="M80" s="486"/>
      <c r="N80" s="179"/>
      <c r="O80" s="181" t="str">
        <f t="shared" si="14"/>
        <v>Does Not Apply</v>
      </c>
      <c r="P80" s="177"/>
      <c r="Q80" s="182" t="str">
        <f t="shared" si="15"/>
        <v>Does Not Apply</v>
      </c>
      <c r="R80" s="181"/>
      <c r="S80" s="181"/>
      <c r="T80" s="181"/>
      <c r="U80" s="181"/>
      <c r="V80" s="181"/>
    </row>
    <row r="81" spans="1:22" ht="18.75" x14ac:dyDescent="0.45">
      <c r="A81" s="9" t="str">
        <f>'5.2 Budgeted Enrollment YR2'!E83</f>
        <v>Rainbow Dreams Academy</v>
      </c>
      <c r="B81" s="369" t="str">
        <f t="shared" si="10"/>
        <v/>
      </c>
      <c r="C81" s="108">
        <f>'1.4 FY 2020 Revenue Received'!J82</f>
        <v>309.1138657125</v>
      </c>
      <c r="D81" s="519">
        <f>'5.2 Budgeted Enrollment YR2'!G83</f>
        <v>63.383111480510713</v>
      </c>
      <c r="E81" s="159">
        <f>'6.8 Alloc of Residual Rev. YR2'!M87</f>
        <v>685184</v>
      </c>
      <c r="F81" s="385">
        <f t="shared" si="20"/>
        <v>10810.198237280969</v>
      </c>
      <c r="H81" s="154">
        <f>'1.4 FY 2020 Revenue Received'!H82</f>
        <v>2238633</v>
      </c>
      <c r="I81" s="385">
        <f t="shared" si="11"/>
        <v>7242.0982955261643</v>
      </c>
      <c r="K81" s="175" t="str">
        <f t="shared" si="12"/>
        <v>Yes</v>
      </c>
      <c r="M81" s="486"/>
      <c r="N81" s="179"/>
      <c r="O81" s="181" t="str">
        <f t="shared" si="14"/>
        <v>Does Not Apply</v>
      </c>
      <c r="P81" s="177"/>
      <c r="Q81" s="182" t="str">
        <f t="shared" si="15"/>
        <v>Does Not Apply</v>
      </c>
      <c r="R81" s="181"/>
      <c r="S81" s="181"/>
      <c r="T81" s="181"/>
      <c r="U81" s="181"/>
      <c r="V81" s="181"/>
    </row>
    <row r="82" spans="1:22" ht="18.75" x14ac:dyDescent="0.45">
      <c r="A82" s="9" t="str">
        <f>'5.2 Budgeted Enrollment YR2'!E84</f>
        <v>Rooted Charter School</v>
      </c>
      <c r="B82" s="369" t="str">
        <f t="shared" ref="B82" si="26">IF(C82=0,"Yes","")</f>
        <v>Yes</v>
      </c>
      <c r="C82" s="108">
        <f>'1.4 FY 2020 Revenue Received'!J83</f>
        <v>0</v>
      </c>
      <c r="D82" s="519">
        <f>'5.2 Budgeted Enrollment YR2'!G84</f>
        <v>23.615168211814723</v>
      </c>
      <c r="E82" s="159">
        <f>'6.8 Alloc of Residual Rev. YR2'!M88</f>
        <v>224391</v>
      </c>
      <c r="F82" s="385">
        <f t="shared" ref="F82" si="27">IF(D82=0,0,E82/D82)</f>
        <v>9501.9860958575209</v>
      </c>
      <c r="H82" s="154">
        <f>'1.4 FY 2020 Revenue Received'!H83</f>
        <v>0</v>
      </c>
      <c r="I82" s="385">
        <f t="shared" ref="I82" si="28">IF(C82=0,0,H82/C82)</f>
        <v>0</v>
      </c>
      <c r="K82" s="175" t="str">
        <f t="shared" si="12"/>
        <v>Yes</v>
      </c>
      <c r="M82" s="486"/>
      <c r="N82" s="179"/>
      <c r="O82" s="181" t="str">
        <f t="shared" ref="O82" si="29">IF(M82&gt;H82,"Yes","Does Not Apply")</f>
        <v>Does Not Apply</v>
      </c>
      <c r="P82" s="177"/>
      <c r="Q82" s="182" t="str">
        <f t="shared" ref="Q82" si="30">IF(O82&gt;K82,"Yes","Does Not Apply")</f>
        <v>Does Not Apply</v>
      </c>
      <c r="R82" s="181"/>
      <c r="S82" s="181"/>
      <c r="T82" s="181"/>
      <c r="U82" s="181"/>
      <c r="V82" s="181"/>
    </row>
    <row r="83" spans="1:22" ht="18.75" x14ac:dyDescent="0.45">
      <c r="A83" s="9" t="str">
        <f>'5.2 Budgeted Enrollment YR2'!E85</f>
        <v>Sage Collegiate Academy</v>
      </c>
      <c r="B83" s="369" t="str">
        <f t="shared" si="10"/>
        <v>Yes</v>
      </c>
      <c r="C83" s="108">
        <f>'1.4 FY 2020 Revenue Received'!J84</f>
        <v>0</v>
      </c>
      <c r="D83" s="519">
        <f>'5.2 Budgeted Enrollment YR2'!G85</f>
        <v>236.13114718926738</v>
      </c>
      <c r="E83" s="159">
        <f>'6.8 Alloc of Residual Rev. YR2'!M89</f>
        <v>2631778</v>
      </c>
      <c r="F83" s="385">
        <f t="shared" si="20"/>
        <v>11145.408097689618</v>
      </c>
      <c r="H83" s="154">
        <f>'1.4 FY 2020 Revenue Received'!H84</f>
        <v>0</v>
      </c>
      <c r="I83" s="385">
        <f t="shared" si="11"/>
        <v>0</v>
      </c>
      <c r="K83" s="175" t="str">
        <f t="shared" si="12"/>
        <v>Yes</v>
      </c>
      <c r="M83" s="486"/>
      <c r="N83" s="179"/>
      <c r="O83" s="181" t="str">
        <f t="shared" si="14"/>
        <v>Does Not Apply</v>
      </c>
      <c r="P83" s="177"/>
      <c r="Q83" s="182" t="str">
        <f t="shared" si="15"/>
        <v>Does Not Apply</v>
      </c>
      <c r="R83" s="181"/>
      <c r="S83" s="181"/>
      <c r="T83" s="181"/>
      <c r="U83" s="181"/>
      <c r="V83" s="181"/>
    </row>
    <row r="84" spans="1:22" ht="18.75" x14ac:dyDescent="0.45">
      <c r="A84" s="9" t="str">
        <f>'5.2 Budgeted Enrollment YR2'!E86</f>
        <v>Sierra Nevada Academy Charter</v>
      </c>
      <c r="B84" s="369" t="str">
        <f t="shared" si="10"/>
        <v/>
      </c>
      <c r="C84" s="108">
        <f>'1.4 FY 2020 Revenue Received'!J85</f>
        <v>383.22259250000002</v>
      </c>
      <c r="D84" s="519">
        <f>'5.2 Budgeted Enrollment YR2'!G86</f>
        <v>265.07102245962432</v>
      </c>
      <c r="E84" s="159">
        <f>'6.8 Alloc of Residual Rev. YR2'!M90</f>
        <v>3177214</v>
      </c>
      <c r="F84" s="385">
        <f t="shared" si="20"/>
        <v>11986.27435967262</v>
      </c>
      <c r="H84" s="154">
        <f>'1.4 FY 2020 Revenue Received'!H85</f>
        <v>3076925</v>
      </c>
      <c r="I84" s="385">
        <f t="shared" si="11"/>
        <v>8029.0803836154309</v>
      </c>
      <c r="K84" s="175" t="str">
        <f t="shared" si="12"/>
        <v>Yes</v>
      </c>
      <c r="M84" s="486"/>
      <c r="N84" s="179"/>
      <c r="O84" s="181" t="str">
        <f t="shared" si="14"/>
        <v>Does Not Apply</v>
      </c>
      <c r="P84" s="177"/>
      <c r="Q84" s="182" t="str">
        <f t="shared" si="15"/>
        <v>Does Not Apply</v>
      </c>
      <c r="R84" s="181"/>
      <c r="S84" s="181"/>
      <c r="T84" s="181"/>
      <c r="U84" s="181"/>
      <c r="V84" s="181"/>
    </row>
    <row r="85" spans="1:22" ht="18.75" x14ac:dyDescent="0.45">
      <c r="A85" s="9" t="str">
        <f>'5.2 Budgeted Enrollment YR2'!E87</f>
        <v>Signature Preparatory</v>
      </c>
      <c r="B85" s="369" t="str">
        <f t="shared" si="10"/>
        <v/>
      </c>
      <c r="C85" s="108">
        <f>'1.4 FY 2020 Revenue Received'!J86</f>
        <v>558.54129249999994</v>
      </c>
      <c r="D85" s="519">
        <f>'5.2 Budgeted Enrollment YR2'!G87</f>
        <v>995.39371457820653</v>
      </c>
      <c r="E85" s="159">
        <f>'6.8 Alloc of Residual Rev. YR2'!M91</f>
        <v>10083105</v>
      </c>
      <c r="F85" s="385">
        <f t="shared" si="20"/>
        <v>10129.765591570636</v>
      </c>
      <c r="H85" s="154">
        <f>'1.4 FY 2020 Revenue Received'!H86</f>
        <v>4130437</v>
      </c>
      <c r="I85" s="385">
        <f t="shared" si="11"/>
        <v>7395.0432232367139</v>
      </c>
      <c r="K85" s="175" t="str">
        <f t="shared" si="12"/>
        <v>Yes</v>
      </c>
      <c r="M85" s="486"/>
      <c r="N85" s="179"/>
      <c r="O85" s="181" t="str">
        <f t="shared" si="14"/>
        <v>Does Not Apply</v>
      </c>
      <c r="P85" s="177"/>
      <c r="Q85" s="182" t="str">
        <f t="shared" si="15"/>
        <v>Does Not Apply</v>
      </c>
      <c r="R85" s="181"/>
      <c r="S85" s="181"/>
      <c r="T85" s="181"/>
      <c r="U85" s="181"/>
      <c r="V85" s="181"/>
    </row>
    <row r="86" spans="1:22" ht="18.75" x14ac:dyDescent="0.45">
      <c r="A86" s="9" t="str">
        <f>'5.2 Budgeted Enrollment YR2'!E88</f>
        <v>Silver Sands Montessori</v>
      </c>
      <c r="B86" s="369" t="str">
        <f t="shared" si="10"/>
        <v/>
      </c>
      <c r="C86" s="108">
        <f>'1.4 FY 2020 Revenue Received'!J87</f>
        <v>295.10142875000003</v>
      </c>
      <c r="D86" s="519">
        <f>'5.2 Budgeted Enrollment YR2'!G88</f>
        <v>239.7637761081109</v>
      </c>
      <c r="E86" s="159">
        <f>'6.8 Alloc of Residual Rev. YR2'!M92</f>
        <v>2380857</v>
      </c>
      <c r="F86" s="385">
        <f t="shared" si="20"/>
        <v>9930.011274624143</v>
      </c>
      <c r="H86" s="154">
        <f>'1.4 FY 2020 Revenue Received'!H87</f>
        <v>2228437</v>
      </c>
      <c r="I86" s="385">
        <f t="shared" si="11"/>
        <v>7551.4273497057738</v>
      </c>
      <c r="K86" s="175" t="str">
        <f t="shared" si="12"/>
        <v>Yes</v>
      </c>
      <c r="M86" s="486"/>
      <c r="N86" s="179"/>
      <c r="O86" s="181" t="str">
        <f t="shared" si="14"/>
        <v>Does Not Apply</v>
      </c>
      <c r="P86" s="177"/>
      <c r="Q86" s="182" t="str">
        <f t="shared" si="15"/>
        <v>Does Not Apply</v>
      </c>
      <c r="R86" s="181"/>
      <c r="S86" s="181"/>
      <c r="T86" s="181"/>
      <c r="U86" s="181"/>
      <c r="V86" s="181"/>
    </row>
    <row r="87" spans="1:22" ht="18.75" x14ac:dyDescent="0.45">
      <c r="A87" s="9" t="str">
        <f>'5.2 Budgeted Enrollment YR2'!E89</f>
        <v>Somerset Academy</v>
      </c>
      <c r="B87" s="369" t="str">
        <f t="shared" si="10"/>
        <v/>
      </c>
      <c r="C87" s="108">
        <f>'1.4 FY 2020 Revenue Received'!J88</f>
        <v>9074.0997949999983</v>
      </c>
      <c r="D87" s="519">
        <f>'5.2 Budgeted Enrollment YR2'!G89</f>
        <v>9613.0429519265235</v>
      </c>
      <c r="E87" s="159">
        <f>'6.8 Alloc of Residual Rev. YR2'!M93</f>
        <v>97543975</v>
      </c>
      <c r="F87" s="385">
        <f t="shared" si="20"/>
        <v>10147.044540194371</v>
      </c>
      <c r="H87" s="154">
        <f>'1.4 FY 2020 Revenue Received'!H88</f>
        <v>67219952</v>
      </c>
      <c r="I87" s="385">
        <f t="shared" si="11"/>
        <v>7407.892079502969</v>
      </c>
      <c r="K87" s="175" t="str">
        <f t="shared" si="12"/>
        <v>Yes</v>
      </c>
      <c r="M87" s="486"/>
      <c r="N87" s="179"/>
      <c r="O87" s="181" t="str">
        <f t="shared" si="14"/>
        <v>Does Not Apply</v>
      </c>
      <c r="P87" s="177"/>
      <c r="Q87" s="182" t="str">
        <f t="shared" si="15"/>
        <v>Does Not Apply</v>
      </c>
      <c r="R87" s="181"/>
      <c r="S87" s="181"/>
      <c r="T87" s="181"/>
      <c r="U87" s="181"/>
      <c r="V87" s="181"/>
    </row>
    <row r="88" spans="1:22" ht="18.75" x14ac:dyDescent="0.45">
      <c r="A88" s="9" t="str">
        <f>'5.2 Budgeted Enrollment YR2'!E90</f>
        <v>Southern Nevada Trade High School</v>
      </c>
      <c r="B88" s="369" t="str">
        <f t="shared" ref="B88" si="31">IF(C88=0,"Yes","")</f>
        <v>Yes</v>
      </c>
      <c r="C88" s="108">
        <f>'1.4 FY 2020 Revenue Received'!J89</f>
        <v>0</v>
      </c>
      <c r="D88" s="519">
        <f>'5.2 Budgeted Enrollment YR2'!G90</f>
        <v>81.083193428487846</v>
      </c>
      <c r="E88" s="159">
        <f>'6.8 Alloc of Residual Rev. YR2'!M94</f>
        <v>983773</v>
      </c>
      <c r="F88" s="385">
        <f t="shared" ref="F88" si="32">IF(D88=0,0,E88/D88)</f>
        <v>12132.884243978979</v>
      </c>
      <c r="H88" s="154">
        <f>'1.4 FY 2020 Revenue Received'!H89</f>
        <v>0</v>
      </c>
      <c r="I88" s="385">
        <f t="shared" ref="I88" si="33">IF(C88=0,0,H88/C88)</f>
        <v>0</v>
      </c>
      <c r="K88" s="175" t="str">
        <f t="shared" si="12"/>
        <v>Yes</v>
      </c>
      <c r="M88" s="486"/>
      <c r="N88" s="179"/>
      <c r="O88" s="181" t="str">
        <f t="shared" ref="O88" si="34">IF(M88&gt;H88,"Yes","Does Not Apply")</f>
        <v>Does Not Apply</v>
      </c>
      <c r="P88" s="177"/>
      <c r="Q88" s="182" t="str">
        <f t="shared" ref="Q88" si="35">IF(O88&gt;K88,"Yes","Does Not Apply")</f>
        <v>Does Not Apply</v>
      </c>
      <c r="R88" s="181"/>
      <c r="S88" s="181"/>
      <c r="T88" s="181"/>
      <c r="U88" s="181"/>
      <c r="V88" s="181"/>
    </row>
    <row r="89" spans="1:22" ht="18.75" x14ac:dyDescent="0.45">
      <c r="A89" s="9" t="str">
        <f>'5.2 Budgeted Enrollment YR2'!E91</f>
        <v>Sports Leadership and Management Academy</v>
      </c>
      <c r="B89" s="369" t="str">
        <f t="shared" si="10"/>
        <v/>
      </c>
      <c r="C89" s="108">
        <f>'1.4 FY 2020 Revenue Received'!J90</f>
        <v>1027.8300375000001</v>
      </c>
      <c r="D89" s="519">
        <f>'5.2 Budgeted Enrollment YR2'!G91</f>
        <v>1868.7586142879702</v>
      </c>
      <c r="E89" s="159">
        <f>'6.8 Alloc of Residual Rev. YR2'!M95</f>
        <v>20075084</v>
      </c>
      <c r="F89" s="385">
        <f t="shared" si="20"/>
        <v>10742.470347166243</v>
      </c>
      <c r="H89" s="154">
        <f>'1.4 FY 2020 Revenue Received'!H90</f>
        <v>7832016</v>
      </c>
      <c r="I89" s="385">
        <f t="shared" si="11"/>
        <v>7619.9524379048898</v>
      </c>
      <c r="K89" s="175" t="str">
        <f t="shared" si="12"/>
        <v>Yes</v>
      </c>
      <c r="M89" s="486"/>
      <c r="N89" s="179"/>
      <c r="O89" s="181" t="str">
        <f t="shared" si="14"/>
        <v>Does Not Apply</v>
      </c>
      <c r="P89" s="177"/>
      <c r="Q89" s="182" t="str">
        <f t="shared" si="15"/>
        <v>Does Not Apply</v>
      </c>
      <c r="R89" s="181"/>
      <c r="S89" s="181"/>
      <c r="T89" s="181"/>
      <c r="U89" s="181"/>
      <c r="V89" s="181"/>
    </row>
    <row r="90" spans="1:22" ht="18.75" x14ac:dyDescent="0.45">
      <c r="A90" s="9" t="str">
        <f>'5.2 Budgeted Enrollment YR2'!E92</f>
        <v>Strong Start Academy</v>
      </c>
      <c r="B90" s="369" t="s">
        <v>240</v>
      </c>
      <c r="C90" s="108">
        <f>'1.4 FY 2020 Revenue Received'!J91</f>
        <v>0</v>
      </c>
      <c r="D90" s="519">
        <f>'5.2 Budgeted Enrollment YR2'!G92</f>
        <v>147.52292907276259</v>
      </c>
      <c r="E90" s="159">
        <f>'6.8 Alloc of Residual Rev. YR2'!M96</f>
        <v>1861010</v>
      </c>
      <c r="F90" s="385">
        <f t="shared" si="20"/>
        <v>12615.055921795694</v>
      </c>
      <c r="H90" s="154">
        <f>'1.4 FY 2020 Revenue Received'!H91</f>
        <v>0</v>
      </c>
      <c r="I90" s="385">
        <f t="shared" si="11"/>
        <v>0</v>
      </c>
      <c r="K90" s="175" t="str">
        <f t="shared" si="12"/>
        <v>Yes</v>
      </c>
      <c r="M90" s="486"/>
      <c r="N90" s="179"/>
      <c r="O90" s="181" t="str">
        <f t="shared" si="14"/>
        <v>Does Not Apply</v>
      </c>
      <c r="P90" s="177"/>
      <c r="Q90" s="182" t="str">
        <f t="shared" si="15"/>
        <v>Does Not Apply</v>
      </c>
      <c r="R90" s="181"/>
      <c r="S90" s="181"/>
      <c r="T90" s="181"/>
      <c r="U90" s="181"/>
      <c r="V90" s="181"/>
    </row>
    <row r="91" spans="1:22" ht="18.75" x14ac:dyDescent="0.45">
      <c r="A91" s="9" t="str">
        <f>'5.2 Budgeted Enrollment YR2'!E93</f>
        <v>ThrivePoint</v>
      </c>
      <c r="B91" s="369" t="str">
        <f>IF(C91=0,"Yes","")</f>
        <v>Yes</v>
      </c>
      <c r="C91" s="108">
        <f>'1.4 FY 2020 Revenue Received'!J92</f>
        <v>0</v>
      </c>
      <c r="D91" s="519">
        <f>'5.2 Budgeted Enrollment YR2'!G93</f>
        <v>152.98522015479972</v>
      </c>
      <c r="E91" s="159">
        <f>'6.8 Alloc of Residual Rev. YR2'!M97</f>
        <v>1796213</v>
      </c>
      <c r="F91" s="385">
        <f>IF(D91=0,0,E91/D91)</f>
        <v>11741.088440978043</v>
      </c>
      <c r="H91" s="154">
        <f>'1.4 FY 2020 Revenue Received'!H92</f>
        <v>0</v>
      </c>
      <c r="I91" s="385">
        <f t="shared" si="11"/>
        <v>0</v>
      </c>
      <c r="K91" s="175" t="str">
        <f t="shared" si="12"/>
        <v>Yes</v>
      </c>
      <c r="M91" s="486"/>
      <c r="N91" s="179"/>
      <c r="O91" s="181" t="str">
        <f>IF(M91&gt;H91,"Yes","Does Not Apply")</f>
        <v>Does Not Apply</v>
      </c>
      <c r="P91" s="177"/>
      <c r="Q91" s="182" t="str">
        <f>IF(O91&gt;K91,"Yes","Does Not Apply")</f>
        <v>Does Not Apply</v>
      </c>
      <c r="R91" s="181"/>
      <c r="S91" s="181"/>
      <c r="T91" s="181"/>
      <c r="U91" s="181"/>
      <c r="V91" s="181"/>
    </row>
    <row r="92" spans="1:22" ht="18.75" x14ac:dyDescent="0.45">
      <c r="A92" s="9" t="str">
        <f>'5.2 Budgeted Enrollment YR2'!E94</f>
        <v>Vegas Vista Academy</v>
      </c>
      <c r="B92" s="369" t="str">
        <f>IF(C92=0,"Yes","")</f>
        <v>Yes</v>
      </c>
      <c r="C92" s="108">
        <f>'1.4 FY 2020 Revenue Received'!J93</f>
        <v>0</v>
      </c>
      <c r="D92" s="519">
        <f>'5.2 Budgeted Enrollment YR2'!G94</f>
        <v>104.72813728717834</v>
      </c>
      <c r="E92" s="159">
        <f>'6.8 Alloc of Residual Rev. YR2'!M98</f>
        <v>1149059</v>
      </c>
      <c r="F92" s="385">
        <f>IF(D92=0,0,E92/D92)</f>
        <v>10971.826958490907</v>
      </c>
      <c r="H92" s="154">
        <f>'1.4 FY 2020 Revenue Received'!H93</f>
        <v>0</v>
      </c>
      <c r="I92" s="385">
        <f t="shared" ref="I92" si="36">IF(C92=0,0,H92/C92)</f>
        <v>0</v>
      </c>
      <c r="K92" s="175" t="str">
        <f>$K$25</f>
        <v>Yes</v>
      </c>
      <c r="M92" s="486"/>
      <c r="N92" s="179"/>
      <c r="O92" s="181" t="str">
        <f>IF(M92&gt;H92,"Yes","Does Not Apply")</f>
        <v>Does Not Apply</v>
      </c>
      <c r="P92" s="177"/>
      <c r="Q92" s="182" t="str">
        <f>IF(O92&gt;K92,"Yes","Does Not Apply")</f>
        <v>Does Not Apply</v>
      </c>
      <c r="R92" s="181"/>
      <c r="S92" s="181"/>
      <c r="T92" s="181"/>
      <c r="U92" s="181"/>
      <c r="V92" s="181"/>
    </row>
    <row r="93" spans="1:22" ht="18.75" x14ac:dyDescent="0.45">
      <c r="A93" s="9" t="str">
        <f>'5.2 Budgeted Enrollment YR2'!E95</f>
        <v>Young Women's Leadership Academy</v>
      </c>
      <c r="B93" s="369" t="str">
        <f>IF(C93=0,"Yes","")</f>
        <v>Yes</v>
      </c>
      <c r="C93" s="108">
        <f>'1.4 FY 2020 Revenue Received'!J94</f>
        <v>0</v>
      </c>
      <c r="D93" s="519">
        <f>'5.2 Budgeted Enrollment YR2'!G95</f>
        <v>118.86232883517145</v>
      </c>
      <c r="E93" s="159">
        <f>'6.8 Alloc of Residual Rev. YR2'!M99</f>
        <v>1340218</v>
      </c>
      <c r="F93" s="385">
        <f>IF(D93=0,0,E93/D93)</f>
        <v>11275.380628445406</v>
      </c>
      <c r="H93" s="154">
        <f>'1.4 FY 2020 Revenue Received'!H94</f>
        <v>0</v>
      </c>
      <c r="I93" s="391">
        <f t="shared" si="11"/>
        <v>0</v>
      </c>
      <c r="K93" s="175" t="str">
        <f t="shared" si="12"/>
        <v>Yes</v>
      </c>
      <c r="M93" s="486"/>
      <c r="N93" s="179"/>
      <c r="O93" s="181" t="str">
        <f>IF(M93&gt;H93,"Yes","Does Not Apply")</f>
        <v>Does Not Apply</v>
      </c>
      <c r="P93" s="177"/>
      <c r="Q93" s="182" t="str">
        <f>IF(O93&gt;K93,"Yes","Does Not Apply")</f>
        <v>Does Not Apply</v>
      </c>
      <c r="R93" s="181"/>
      <c r="S93" s="181"/>
      <c r="T93" s="181"/>
      <c r="U93" s="181"/>
      <c r="V93" s="181"/>
    </row>
    <row r="94" spans="1:22" ht="18.75" x14ac:dyDescent="0.45">
      <c r="A94" s="455" t="s">
        <v>1616</v>
      </c>
      <c r="B94" s="497"/>
      <c r="C94" s="514">
        <f>SUMIF(B32:B93,"",C32:C93)</f>
        <v>57012.474131748568</v>
      </c>
      <c r="D94" s="514">
        <f>SUMIF(B32:B93,"",D32:D93)</f>
        <v>68320.58830492651</v>
      </c>
      <c r="E94" s="515">
        <f>SUMIF(B32:B93,"",E32:E93)</f>
        <v>705797721</v>
      </c>
      <c r="F94" s="500">
        <f>IF(D94=0,0,E94/D94)</f>
        <v>10330.673937553109</v>
      </c>
      <c r="G94" s="207"/>
      <c r="H94" s="475">
        <f>SUMIF(B32:B93,"",H32:H93)</f>
        <v>433806524</v>
      </c>
      <c r="I94" s="385">
        <f t="shared" si="11"/>
        <v>7608.9755901055678</v>
      </c>
      <c r="J94" s="207"/>
      <c r="K94" s="501" t="str">
        <f>IF(F94&gt;I94,"Yes",IF(V25="PCFP","Yes","No"))</f>
        <v>Yes</v>
      </c>
      <c r="L94" s="207"/>
      <c r="M94" s="516"/>
      <c r="N94" s="517"/>
      <c r="O94" s="503"/>
      <c r="P94" s="504"/>
      <c r="Q94" s="505"/>
      <c r="R94" s="503"/>
      <c r="S94" s="503"/>
      <c r="T94" s="503"/>
      <c r="U94" s="503"/>
      <c r="V94" s="505"/>
    </row>
    <row r="95" spans="1:22" ht="18.75" x14ac:dyDescent="0.45">
      <c r="A95" s="142" t="s">
        <v>1617</v>
      </c>
      <c r="B95" s="520" t="s">
        <v>240</v>
      </c>
      <c r="C95" s="518">
        <f>SUMIF(B32:B93,"Yes",C32:C93)</f>
        <v>0</v>
      </c>
      <c r="D95" s="518">
        <f>SUMIF(B32:B93,"Yes",D32:D93)</f>
        <v>3981.0183617401822</v>
      </c>
      <c r="E95" s="366">
        <f>SUMIF(B32:B93,"Yes",E32:E93)</f>
        <v>43958933</v>
      </c>
      <c r="F95" s="391">
        <f>IF(D95=0,0,E95/D95)</f>
        <v>11042.132692094561</v>
      </c>
      <c r="G95" s="137"/>
      <c r="H95" s="148">
        <f>SUMIF(B32:B93,"Yes",H32:H93)</f>
        <v>0</v>
      </c>
      <c r="I95" s="391">
        <f t="shared" si="11"/>
        <v>0</v>
      </c>
      <c r="J95" s="137"/>
      <c r="K95" s="184" t="str">
        <f>IF(F95&gt;I95,"Yes",IF(B95="Yes","Yes","No"))</f>
        <v>Yes</v>
      </c>
      <c r="L95" s="137"/>
      <c r="M95" s="487"/>
      <c r="N95" s="513"/>
      <c r="O95" s="483"/>
      <c r="P95" s="183"/>
      <c r="Q95" s="485"/>
      <c r="R95" s="483"/>
      <c r="S95" s="483"/>
      <c r="T95" s="483"/>
      <c r="U95" s="483"/>
      <c r="V95" s="485"/>
    </row>
    <row r="96" spans="1:22" ht="18.75" x14ac:dyDescent="0.45">
      <c r="A96" s="4" t="s">
        <v>499</v>
      </c>
      <c r="B96" s="35" t="str">
        <f t="shared" si="10"/>
        <v/>
      </c>
      <c r="C96" s="398">
        <f>SUM(C32:C93)</f>
        <v>57012.474131748568</v>
      </c>
      <c r="D96" s="398">
        <f>SUM(D32:D93)</f>
        <v>72301.606666666703</v>
      </c>
      <c r="E96" s="393">
        <f>SUM(E94:E95)+9000000+19000000</f>
        <v>777756654</v>
      </c>
      <c r="F96" s="89"/>
      <c r="G96" s="95"/>
      <c r="H96" s="395">
        <f>SUM(H32:H93)</f>
        <v>433806524</v>
      </c>
      <c r="I96" s="95"/>
      <c r="J96" s="13"/>
      <c r="K96" s="175"/>
      <c r="M96" s="180"/>
      <c r="N96" s="179"/>
      <c r="O96" s="208"/>
      <c r="P96" s="345"/>
      <c r="Q96" s="482"/>
      <c r="R96" s="177"/>
      <c r="S96" s="177"/>
      <c r="T96" s="177"/>
      <c r="U96" s="177"/>
      <c r="V96" s="177"/>
    </row>
    <row r="97" spans="1:22" x14ac:dyDescent="0.3">
      <c r="E97" s="131">
        <f>E96-E25</f>
        <v>0</v>
      </c>
      <c r="H97" s="12">
        <f>H96-H25</f>
        <v>0</v>
      </c>
      <c r="K97" s="175"/>
      <c r="O97" s="208"/>
      <c r="P97" s="345"/>
      <c r="Q97" s="482"/>
    </row>
    <row r="98" spans="1:22" x14ac:dyDescent="0.3">
      <c r="A98" s="4" t="str">
        <f>A26</f>
        <v>University Schools</v>
      </c>
      <c r="H98" s="12"/>
      <c r="K98" s="175"/>
      <c r="O98" s="208"/>
      <c r="P98" s="345"/>
      <c r="Q98" s="482"/>
    </row>
    <row r="99" spans="1:22" x14ac:dyDescent="0.3">
      <c r="A99" s="207" t="str">
        <f>'5.2 Budgeted Enrollment YR2'!E100</f>
        <v>Davidson Academy</v>
      </c>
      <c r="B99" s="497" t="str">
        <f t="shared" si="10"/>
        <v/>
      </c>
      <c r="C99" s="498">
        <f>'1.4 FY 2020 Revenue Received'!J98</f>
        <v>143.645726495611</v>
      </c>
      <c r="D99" s="498">
        <f>'5.2 Budgeted Enrollment YR2'!G100</f>
        <v>167.88437423074134</v>
      </c>
      <c r="E99" s="499">
        <f>'6.8 Alloc of Residual Rev. YR2'!M103</f>
        <v>1647505</v>
      </c>
      <c r="F99" s="500">
        <f>IF(D99=0,0,E99/D99)</f>
        <v>9813.3313928052576</v>
      </c>
      <c r="G99" s="207"/>
      <c r="H99" s="797">
        <f>'1.4 FY 2020 Revenue Received'!H98</f>
        <v>1161406</v>
      </c>
      <c r="I99" s="500">
        <f>IF(D99=0,0,H99/D99)</f>
        <v>6917.8921821738832</v>
      </c>
      <c r="J99" s="207"/>
      <c r="K99" s="501" t="str">
        <f>IF(F99&gt;I99,"Yes",IF(V99="PCFP","Yes","No"))</f>
        <v>Yes</v>
      </c>
      <c r="L99" s="207"/>
      <c r="M99" s="502"/>
      <c r="N99" s="207"/>
      <c r="O99" s="503" t="str">
        <f>IF(M99&gt;H99,"Yes","Does Not Apply")</f>
        <v>Does Not Apply</v>
      </c>
      <c r="P99" s="504"/>
      <c r="Q99" s="505" t="str">
        <f>IF(O99&gt;K99,"Yes","Does Not Apply")</f>
        <v>Does Not Apply</v>
      </c>
      <c r="R99" s="477"/>
      <c r="S99" s="491">
        <f>IF(K99="Yes",F99*D99,"")</f>
        <v>1647505</v>
      </c>
      <c r="T99" s="492" t="str">
        <f>IF(K99="No",I99*D99,"")</f>
        <v/>
      </c>
      <c r="U99" s="506"/>
      <c r="V99" s="507" t="str">
        <f>'1.1 Assumption Control YR1'!I53</f>
        <v>PCFP</v>
      </c>
    </row>
    <row r="100" spans="1:22" x14ac:dyDescent="0.3">
      <c r="A100" s="137" t="str">
        <f>'5.2 Budgeted Enrollment YR2'!E101</f>
        <v>TBD</v>
      </c>
      <c r="B100" s="508" t="str">
        <f t="shared" si="10"/>
        <v>Yes</v>
      </c>
      <c r="C100" s="490">
        <f>'1.4 FY 2020 Revenue Received'!J99</f>
        <v>0</v>
      </c>
      <c r="D100" s="490">
        <f>'1.2 Budgeted Enrollment YR1'!G101</f>
        <v>0</v>
      </c>
      <c r="E100" s="509">
        <f>'6.8 Alloc of Residual Rev. YR2'!M104</f>
        <v>0</v>
      </c>
      <c r="F100" s="391">
        <f>IF(D100=0,0,E100/D100)</f>
        <v>0</v>
      </c>
      <c r="G100" s="137"/>
      <c r="H100" s="127">
        <f>'1.4 FY 2020 Revenue Received'!H99</f>
        <v>0</v>
      </c>
      <c r="I100" s="391">
        <f>IF(D100=0,0,H100/D100)</f>
        <v>0</v>
      </c>
      <c r="J100" s="137"/>
      <c r="K100" s="184" t="str">
        <f>IF(F100&gt;I100,"Yes",IF(V100="PCFP","Yes","No"))</f>
        <v>Yes</v>
      </c>
      <c r="L100" s="137"/>
      <c r="M100" s="510"/>
      <c r="N100" s="137"/>
      <c r="O100" s="483" t="str">
        <f>IF(M100&gt;H100,"Yes","Does Not Apply")</f>
        <v>Does Not Apply</v>
      </c>
      <c r="P100" s="183"/>
      <c r="Q100" s="485" t="str">
        <f>IF(O100&gt;K100,"Yes","Does Not Apply")</f>
        <v>Does Not Apply</v>
      </c>
      <c r="R100" s="304"/>
      <c r="S100" s="493">
        <f>IF(K100="Yes",F100*D100,"")</f>
        <v>0</v>
      </c>
      <c r="T100" s="494" t="str">
        <f>IF(K45="No",I45*D45,"")</f>
        <v/>
      </c>
      <c r="U100" s="511"/>
      <c r="V100" s="512" t="str">
        <f>V99</f>
        <v>PCFP</v>
      </c>
    </row>
    <row r="101" spans="1:22" s="4" customFormat="1" x14ac:dyDescent="0.3">
      <c r="B101" s="5"/>
      <c r="C101" s="495">
        <f>SUM(C99:C100)</f>
        <v>143.645726495611</v>
      </c>
      <c r="D101" s="495">
        <f t="shared" ref="D101:H101" si="37">SUM(D99:D100)</f>
        <v>167.88437423074134</v>
      </c>
      <c r="E101" s="496">
        <f>SUM(E99:E100)</f>
        <v>1647505</v>
      </c>
      <c r="F101" s="496"/>
      <c r="G101" s="496"/>
      <c r="H101" s="699">
        <f t="shared" si="37"/>
        <v>1161406</v>
      </c>
      <c r="I101" s="496"/>
      <c r="J101" s="496"/>
      <c r="K101" s="496"/>
      <c r="O101" s="5"/>
      <c r="P101" s="5"/>
      <c r="Q101" s="5"/>
      <c r="R101" s="5"/>
      <c r="S101" s="496">
        <f>SUM(S99:S100)</f>
        <v>1647505</v>
      </c>
      <c r="T101" s="496">
        <f>SUM(T99:T100)</f>
        <v>0</v>
      </c>
      <c r="U101" s="5"/>
      <c r="V101" s="5"/>
    </row>
    <row r="102" spans="1:22" x14ac:dyDescent="0.3">
      <c r="E102" s="131">
        <f>E101-E26</f>
        <v>0</v>
      </c>
      <c r="F102" s="131"/>
      <c r="G102" s="131"/>
      <c r="H102" s="12">
        <f>H101-H26</f>
        <v>0</v>
      </c>
    </row>
    <row r="103" spans="1:22" x14ac:dyDescent="0.3">
      <c r="A103" s="4" t="str">
        <f>A27</f>
        <v>City of Henderson</v>
      </c>
      <c r="H103" s="12"/>
      <c r="K103" s="175"/>
      <c r="O103" s="208"/>
      <c r="P103" s="345"/>
      <c r="Q103" s="482"/>
    </row>
    <row r="104" spans="1:22" x14ac:dyDescent="0.3">
      <c r="A104" s="207" t="str">
        <f>'5.2 Budgeted Enrollment YR2'!E107</f>
        <v>TBD</v>
      </c>
      <c r="B104" s="497" t="str">
        <f t="shared" ref="B104:B105" si="38">IF(C104=0,"Yes","")</f>
        <v>Yes</v>
      </c>
      <c r="C104" s="498">
        <f>'1.4 FY 2020 Revenue Received'!J103</f>
        <v>0</v>
      </c>
      <c r="D104" s="498">
        <f>'5.2 Budgeted Enrollment YR2'!G107</f>
        <v>0</v>
      </c>
      <c r="E104" s="499">
        <f>'6.8 Alloc of Residual Rev. YR2'!M108</f>
        <v>0</v>
      </c>
      <c r="F104" s="500">
        <f>IF(D104=0,0,E104/D104)</f>
        <v>0</v>
      </c>
      <c r="G104" s="207"/>
      <c r="H104" s="797">
        <f>'1.4 FY 2020 Revenue Received'!H103</f>
        <v>0</v>
      </c>
      <c r="I104" s="500">
        <f>IF(D104=0,0,H104/D104)</f>
        <v>0</v>
      </c>
      <c r="J104" s="207"/>
      <c r="K104" s="501" t="str">
        <f>IF(F104&gt;I104,"Yes",IF(V104="PCFP","Yes","No"))</f>
        <v>Yes</v>
      </c>
      <c r="L104" s="207"/>
      <c r="M104" s="502"/>
      <c r="N104" s="207"/>
      <c r="O104" s="503" t="str">
        <f>IF(M104&gt;H104,"Yes","Does Not Apply")</f>
        <v>Does Not Apply</v>
      </c>
      <c r="P104" s="504"/>
      <c r="Q104" s="505" t="str">
        <f>IF(O104&gt;K104,"Yes","Does Not Apply")</f>
        <v>Does Not Apply</v>
      </c>
      <c r="R104" s="477"/>
      <c r="S104" s="491">
        <f>IF(K104="Yes",F104*D104,"")</f>
        <v>0</v>
      </c>
      <c r="T104" s="492" t="str">
        <f>IF(K104="No",I104*D104,"")</f>
        <v/>
      </c>
      <c r="U104" s="506"/>
      <c r="V104" s="507" t="str">
        <f>'1.1 Assumption Control YR1'!I54</f>
        <v>PCFP</v>
      </c>
    </row>
    <row r="105" spans="1:22" x14ac:dyDescent="0.3">
      <c r="A105" s="137" t="str">
        <f>'5.2 Budgeted Enrollment YR2'!E108</f>
        <v>TBD</v>
      </c>
      <c r="B105" s="508" t="str">
        <f t="shared" si="38"/>
        <v>Yes</v>
      </c>
      <c r="C105" s="490">
        <f>'1.4 FY 2020 Revenue Received'!J104</f>
        <v>0</v>
      </c>
      <c r="D105" s="490">
        <f>'5.2 Budgeted Enrollment YR2'!G108</f>
        <v>0</v>
      </c>
      <c r="E105" s="509">
        <f>'6.8 Alloc of Residual Rev. YR2'!M109</f>
        <v>0</v>
      </c>
      <c r="F105" s="391">
        <f>IF(D105=0,0,E105/D105)</f>
        <v>0</v>
      </c>
      <c r="G105" s="137"/>
      <c r="H105" s="127">
        <f>'1.4 FY 2020 Revenue Received'!H104</f>
        <v>0</v>
      </c>
      <c r="I105" s="391">
        <f>IF(D105=0,0,H105/D105)</f>
        <v>0</v>
      </c>
      <c r="J105" s="137"/>
      <c r="K105" s="184" t="str">
        <f>IF(F105&gt;I105,"Yes",IF(V105="PCFP","Yes","No"))</f>
        <v>Yes</v>
      </c>
      <c r="L105" s="137"/>
      <c r="M105" s="510"/>
      <c r="N105" s="137"/>
      <c r="O105" s="483" t="str">
        <f>IF(M105&gt;H105,"Yes","Does Not Apply")</f>
        <v>Does Not Apply</v>
      </c>
      <c r="P105" s="183"/>
      <c r="Q105" s="485" t="str">
        <f>IF(O105&gt;K105,"Yes","Does Not Apply")</f>
        <v>Does Not Apply</v>
      </c>
      <c r="R105" s="304"/>
      <c r="S105" s="493">
        <f>IF(K105="Yes",F105*D105,"")</f>
        <v>0</v>
      </c>
      <c r="T105" s="494" t="str">
        <f>IF(K50="No",I50*D50,"")</f>
        <v/>
      </c>
      <c r="U105" s="511"/>
      <c r="V105" s="512" t="str">
        <f>V104</f>
        <v>PCFP</v>
      </c>
    </row>
    <row r="106" spans="1:22" s="4" customFormat="1" x14ac:dyDescent="0.3">
      <c r="B106" s="5"/>
      <c r="C106" s="495">
        <f>SUM(C104:C105)</f>
        <v>0</v>
      </c>
      <c r="D106" s="495">
        <f t="shared" ref="D106" si="39">SUM(D104:D105)</f>
        <v>0</v>
      </c>
      <c r="E106" s="496">
        <f>SUM(E104:E105)</f>
        <v>0</v>
      </c>
      <c r="F106" s="496"/>
      <c r="G106" s="496"/>
      <c r="H106" s="699">
        <f t="shared" ref="H106" si="40">SUM(H104:H105)</f>
        <v>0</v>
      </c>
      <c r="I106" s="496"/>
      <c r="J106" s="496"/>
      <c r="K106" s="496"/>
      <c r="O106" s="5"/>
      <c r="P106" s="5"/>
      <c r="Q106" s="5"/>
      <c r="R106" s="5"/>
      <c r="S106" s="496">
        <f>SUM(S104:S105)</f>
        <v>0</v>
      </c>
      <c r="T106" s="496">
        <f>SUM(T104:T105)</f>
        <v>0</v>
      </c>
      <c r="U106" s="5"/>
      <c r="V106" s="5"/>
    </row>
    <row r="107" spans="1:22" x14ac:dyDescent="0.3">
      <c r="E107" s="131"/>
      <c r="F107" s="131"/>
      <c r="G107" s="131"/>
      <c r="H107" s="12">
        <f>H106-H31</f>
        <v>0</v>
      </c>
    </row>
    <row r="108" spans="1:22" x14ac:dyDescent="0.3">
      <c r="A108" s="4" t="str">
        <f>A28</f>
        <v>City of North Las Vegas</v>
      </c>
      <c r="H108" s="12"/>
      <c r="K108" s="175"/>
      <c r="O108" s="208"/>
      <c r="P108" s="345"/>
      <c r="Q108" s="482"/>
    </row>
    <row r="109" spans="1:22" x14ac:dyDescent="0.3">
      <c r="A109" s="207" t="str">
        <f>'5.2 Budgeted Enrollment YR2'!E113</f>
        <v>TBD</v>
      </c>
      <c r="B109" s="497" t="str">
        <f t="shared" ref="B109:B110" si="41">IF(C109=0,"Yes","")</f>
        <v>Yes</v>
      </c>
      <c r="C109" s="498">
        <f>'1.4 FY 2020 Revenue Received'!J108</f>
        <v>0</v>
      </c>
      <c r="D109" s="498">
        <f>'5.2 Budgeted Enrollment YR2'!G113</f>
        <v>0</v>
      </c>
      <c r="E109" s="499">
        <f>'6.8 Alloc of Residual Rev. YR2'!M113</f>
        <v>0</v>
      </c>
      <c r="F109" s="500">
        <f>IF(D109=0,0,E109/D109)</f>
        <v>0</v>
      </c>
      <c r="G109" s="207"/>
      <c r="H109" s="797">
        <f>'1.4 FY 2020 Revenue Received'!H108</f>
        <v>0</v>
      </c>
      <c r="I109" s="500">
        <f>IF(D109=0,0,H109/D109)</f>
        <v>0</v>
      </c>
      <c r="J109" s="207"/>
      <c r="K109" s="501" t="str">
        <f>IF(F109&gt;I109,"Yes",IF(V109="PCFP","Yes","No"))</f>
        <v>Yes</v>
      </c>
      <c r="L109" s="207"/>
      <c r="M109" s="502"/>
      <c r="N109" s="207"/>
      <c r="O109" s="503" t="str">
        <f>IF(M109&gt;H109,"Yes","Does Not Apply")</f>
        <v>Does Not Apply</v>
      </c>
      <c r="P109" s="504"/>
      <c r="Q109" s="505" t="str">
        <f>IF(O109&gt;K109,"Yes","Does Not Apply")</f>
        <v>Does Not Apply</v>
      </c>
      <c r="R109" s="477"/>
      <c r="S109" s="491">
        <f>IF(K109="Yes",F109*D109,"")</f>
        <v>0</v>
      </c>
      <c r="T109" s="492" t="str">
        <f>IF(K109="No",I109*D109,"")</f>
        <v/>
      </c>
      <c r="U109" s="506"/>
      <c r="V109" s="507" t="str">
        <f>'1.1 Assumption Control YR1'!I55</f>
        <v>PCFP</v>
      </c>
    </row>
    <row r="110" spans="1:22" x14ac:dyDescent="0.3">
      <c r="A110" s="137" t="str">
        <f>'5.2 Budgeted Enrollment YR2'!E114</f>
        <v>TBD</v>
      </c>
      <c r="B110" s="508" t="str">
        <f t="shared" si="41"/>
        <v>Yes</v>
      </c>
      <c r="C110" s="490">
        <f>'1.4 FY 2020 Revenue Received'!J109</f>
        <v>0</v>
      </c>
      <c r="D110" s="490">
        <f>'5.2 Budgeted Enrollment YR2'!G114</f>
        <v>0</v>
      </c>
      <c r="E110" s="509">
        <f>'6.8 Alloc of Residual Rev. YR2'!M114</f>
        <v>0</v>
      </c>
      <c r="F110" s="391">
        <f>IF(D110=0,0,E110/D110)</f>
        <v>0</v>
      </c>
      <c r="G110" s="137"/>
      <c r="H110" s="127">
        <f>'1.4 FY 2020 Revenue Received'!H109</f>
        <v>0</v>
      </c>
      <c r="I110" s="391">
        <f>IF(D110=0,0,H110/D110)</f>
        <v>0</v>
      </c>
      <c r="J110" s="137"/>
      <c r="K110" s="184" t="str">
        <f>IF(F110&gt;I110,"Yes",IF(V110="PCFP","Yes","No"))</f>
        <v>Yes</v>
      </c>
      <c r="L110" s="137"/>
      <c r="M110" s="510"/>
      <c r="N110" s="137"/>
      <c r="O110" s="483" t="str">
        <f>IF(M110&gt;H110,"Yes","Does Not Apply")</f>
        <v>Does Not Apply</v>
      </c>
      <c r="P110" s="183"/>
      <c r="Q110" s="485" t="str">
        <f>IF(O110&gt;K110,"Yes","Does Not Apply")</f>
        <v>Does Not Apply</v>
      </c>
      <c r="R110" s="304"/>
      <c r="S110" s="493">
        <f>IF(K110="Yes",F110*D110,"")</f>
        <v>0</v>
      </c>
      <c r="T110" s="494" t="str">
        <f>IF(K55="No",I55*D55,"")</f>
        <v/>
      </c>
      <c r="U110" s="511"/>
      <c r="V110" s="512" t="str">
        <f>V109</f>
        <v>PCFP</v>
      </c>
    </row>
    <row r="111" spans="1:22" s="4" customFormat="1" x14ac:dyDescent="0.3">
      <c r="B111" s="5"/>
      <c r="C111" s="495">
        <f>SUM(C109:C110)</f>
        <v>0</v>
      </c>
      <c r="D111" s="495">
        <f t="shared" ref="D111" si="42">SUM(D109:D110)</f>
        <v>0</v>
      </c>
      <c r="E111" s="496">
        <f>SUM(E109:E110)</f>
        <v>0</v>
      </c>
      <c r="F111" s="496"/>
      <c r="G111" s="496"/>
      <c r="H111" s="699">
        <f t="shared" ref="H111" si="43">SUM(H109:H110)</f>
        <v>0</v>
      </c>
      <c r="I111" s="496"/>
      <c r="J111" s="496"/>
      <c r="K111" s="496"/>
      <c r="O111" s="5"/>
      <c r="P111" s="5"/>
      <c r="Q111" s="5"/>
      <c r="R111" s="5"/>
      <c r="S111" s="496">
        <f>SUM(S109:S110)</f>
        <v>0</v>
      </c>
      <c r="T111" s="496">
        <f>SUM(T109:T110)</f>
        <v>0</v>
      </c>
      <c r="U111" s="5"/>
      <c r="V111" s="5"/>
    </row>
    <row r="112" spans="1:22" x14ac:dyDescent="0.3">
      <c r="E112" s="131"/>
      <c r="F112" s="131"/>
      <c r="G112" s="131"/>
      <c r="H112" s="131"/>
    </row>
  </sheetData>
  <mergeCells count="2">
    <mergeCell ref="E5:K5"/>
    <mergeCell ref="M5:Q5"/>
  </mergeCells>
  <conditionalFormatting sqref="K8:K30 O8:O30 K32:K100">
    <cfRule type="cellIs" dxfId="8" priority="7" operator="equal">
      <formula>"No"</formula>
    </cfRule>
    <cfRule type="cellIs" dxfId="7" priority="8" operator="equal">
      <formula>"Yes"</formula>
    </cfRule>
  </conditionalFormatting>
  <conditionalFormatting sqref="K103:K105">
    <cfRule type="cellIs" dxfId="6" priority="3" operator="equal">
      <formula>"No"</formula>
    </cfRule>
    <cfRule type="cellIs" dxfId="5" priority="4" operator="equal">
      <formula>"Yes"</formula>
    </cfRule>
  </conditionalFormatting>
  <conditionalFormatting sqref="K108:K110">
    <cfRule type="cellIs" dxfId="4" priority="1" operator="equal">
      <formula>"No"</formula>
    </cfRule>
    <cfRule type="cellIs" dxfId="3" priority="2" operator="equal">
      <formula>"Yes"</formula>
    </cfRule>
  </conditionalFormatting>
  <conditionalFormatting sqref="Q8:V30">
    <cfRule type="cellIs" dxfId="2" priority="5" operator="equal">
      <formula>"No"</formula>
    </cfRule>
    <cfRule type="cellIs" dxfId="1" priority="6" operator="equal">
      <formula>"Yes"</formula>
    </cfRule>
  </conditionalFormatting>
  <pageMargins left="0.7" right="0.7" top="0.75" bottom="0.75" header="0.3" footer="0.3"/>
  <pageSetup paperSize="3" scale="59" fitToHeight="0" orientation="landscape" r:id="rId1"/>
  <headerFooter>
    <oddHeader>&amp;R&amp;"Arial Narrow,Regular"&amp;10&amp;A
&amp;P</oddHeader>
    <oddFooter>&amp;L&amp;"Arial Narrow,Regular"&amp;1This is a draft document. It is intended for discussion purposes only.&amp;R&amp;G</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CEF2-5132-476E-B58A-971B180E86A6}">
  <sheetPr>
    <tabColor theme="3" tint="-0.499984740745262"/>
    <pageSetUpPr autoPageBreaks="0" fitToPage="1"/>
  </sheetPr>
  <dimension ref="A1:X121"/>
  <sheetViews>
    <sheetView zoomScale="85" zoomScaleNormal="85" workbookViewId="0">
      <selection activeCell="J121" sqref="J121"/>
    </sheetView>
  </sheetViews>
  <sheetFormatPr defaultColWidth="9" defaultRowHeight="16.5" x14ac:dyDescent="0.3"/>
  <cols>
    <col min="1" max="1" width="7.140625" style="9" customWidth="1"/>
    <col min="2" max="2" width="38.42578125" style="9" bestFit="1" customWidth="1"/>
    <col min="3" max="3" width="2.7109375" style="9" customWidth="1"/>
    <col min="4" max="4" width="19.140625" style="9" bestFit="1" customWidth="1"/>
    <col min="5" max="5" width="16.7109375" style="9" bestFit="1" customWidth="1"/>
    <col min="6" max="6" width="2.7109375" style="4" customWidth="1"/>
    <col min="7" max="8" width="15" style="9" bestFit="1" customWidth="1"/>
    <col min="9" max="9" width="14" style="9" bestFit="1" customWidth="1"/>
    <col min="10" max="10" width="15" style="9" bestFit="1" customWidth="1"/>
    <col min="11" max="11" width="2.5703125" style="4" customWidth="1"/>
    <col min="12" max="12" width="15" style="9" bestFit="1" customWidth="1"/>
    <col min="13" max="13" width="14.7109375" style="9" bestFit="1" customWidth="1"/>
    <col min="14" max="14" width="12.5703125" style="9" bestFit="1" customWidth="1"/>
    <col min="15" max="15" width="15.140625" style="9" customWidth="1"/>
    <col min="16" max="16" width="15" style="9" bestFit="1" customWidth="1"/>
    <col min="17" max="17" width="2.42578125" style="4" customWidth="1"/>
    <col min="18" max="18" width="17.140625" style="9" customWidth="1"/>
    <col min="19" max="19" width="2.7109375" style="4" customWidth="1"/>
    <col min="20" max="20" width="21.5703125" style="9" customWidth="1"/>
    <col min="21" max="21" width="11.140625" style="4" bestFit="1" customWidth="1"/>
    <col min="22" max="22" width="27.85546875" style="131" customWidth="1"/>
    <col min="23" max="23" width="18.7109375" style="9" customWidth="1"/>
    <col min="24" max="24" width="34.7109375" style="9" bestFit="1" customWidth="1"/>
    <col min="25" max="16384" width="9" style="9"/>
  </cols>
  <sheetData>
    <row r="1" spans="1:23" s="4" customFormat="1" x14ac:dyDescent="0.3">
      <c r="A1" s="4" t="s">
        <v>15</v>
      </c>
      <c r="V1" s="149"/>
    </row>
    <row r="2" spans="1:23" x14ac:dyDescent="0.3">
      <c r="A2" s="9" t="str">
        <f>CONCATENATE("Pupil Center Funding Plan | FY",'5.1 Assumption Control YR2'!D5)</f>
        <v>Pupil Center Funding Plan | FY2027</v>
      </c>
    </row>
    <row r="3" spans="1:23" x14ac:dyDescent="0.3">
      <c r="A3" s="9" t="s">
        <v>1788</v>
      </c>
    </row>
    <row r="6" spans="1:23" s="4" customFormat="1" x14ac:dyDescent="0.3">
      <c r="G6" s="9"/>
      <c r="H6" s="9"/>
      <c r="I6" s="129"/>
      <c r="J6" s="129"/>
      <c r="L6" s="129"/>
      <c r="M6" s="129"/>
      <c r="N6" s="129"/>
      <c r="O6" s="129"/>
      <c r="P6" s="129"/>
      <c r="R6" s="129"/>
      <c r="T6" s="17"/>
      <c r="V6" s="149"/>
    </row>
    <row r="7" spans="1:23" s="4" customFormat="1" x14ac:dyDescent="0.3">
      <c r="D7" s="2000" t="s">
        <v>1630</v>
      </c>
      <c r="E7" s="2000" t="s">
        <v>1631</v>
      </c>
      <c r="G7" s="249" t="s">
        <v>1581</v>
      </c>
      <c r="H7" s="2000"/>
      <c r="I7" s="242" t="s">
        <v>1632</v>
      </c>
      <c r="J7" s="2000" t="s">
        <v>156</v>
      </c>
      <c r="L7" s="2000" t="s">
        <v>156</v>
      </c>
      <c r="M7" s="2000" t="s">
        <v>156</v>
      </c>
      <c r="N7" s="2000" t="s">
        <v>156</v>
      </c>
      <c r="O7" s="2010" t="s">
        <v>156</v>
      </c>
      <c r="P7" s="2000" t="s">
        <v>156</v>
      </c>
      <c r="R7" s="2000" t="s">
        <v>156</v>
      </c>
      <c r="T7" s="2000" t="s">
        <v>156</v>
      </c>
      <c r="V7" s="2000" t="s">
        <v>1633</v>
      </c>
    </row>
    <row r="8" spans="1:23" s="4" customFormat="1" x14ac:dyDescent="0.3">
      <c r="D8" s="118" t="s">
        <v>1634</v>
      </c>
      <c r="E8" s="118" t="s">
        <v>1393</v>
      </c>
      <c r="G8" s="97" t="s">
        <v>1585</v>
      </c>
      <c r="H8" s="118" t="s">
        <v>1586</v>
      </c>
      <c r="I8" s="17" t="s">
        <v>1587</v>
      </c>
      <c r="J8" s="118" t="s">
        <v>1635</v>
      </c>
      <c r="L8" s="118" t="s">
        <v>1223</v>
      </c>
      <c r="M8" s="118" t="s">
        <v>1636</v>
      </c>
      <c r="N8" s="118" t="s">
        <v>1338</v>
      </c>
      <c r="O8" s="118" t="s">
        <v>2223</v>
      </c>
      <c r="P8" s="118" t="s">
        <v>1637</v>
      </c>
      <c r="R8" s="118" t="s">
        <v>1638</v>
      </c>
      <c r="T8" s="118" t="s">
        <v>1639</v>
      </c>
      <c r="V8" s="118" t="s">
        <v>1640</v>
      </c>
    </row>
    <row r="9" spans="1:23" s="4" customFormat="1" x14ac:dyDescent="0.3">
      <c r="D9" s="118" t="s">
        <v>1641</v>
      </c>
      <c r="E9" s="118" t="s">
        <v>139</v>
      </c>
      <c r="G9" s="97" t="s">
        <v>139</v>
      </c>
      <c r="H9" s="118" t="s">
        <v>139</v>
      </c>
      <c r="I9" s="17" t="s">
        <v>139</v>
      </c>
      <c r="J9" s="118" t="s">
        <v>139</v>
      </c>
      <c r="L9" s="118" t="s">
        <v>1470</v>
      </c>
      <c r="M9" s="118" t="s">
        <v>1470</v>
      </c>
      <c r="N9" s="118" t="s">
        <v>1470</v>
      </c>
      <c r="O9" s="118" t="s">
        <v>1470</v>
      </c>
      <c r="P9" s="118" t="s">
        <v>1470</v>
      </c>
      <c r="R9" s="118" t="s">
        <v>1470</v>
      </c>
      <c r="T9" s="118" t="s">
        <v>1470</v>
      </c>
      <c r="V9" s="118" t="s">
        <v>1642</v>
      </c>
    </row>
    <row r="10" spans="1:23" s="4" customFormat="1" x14ac:dyDescent="0.3">
      <c r="A10" s="291"/>
      <c r="B10" s="291"/>
      <c r="C10" s="203" t="s">
        <v>1346</v>
      </c>
      <c r="D10" s="669" t="s">
        <v>1789</v>
      </c>
      <c r="E10" s="290" t="s">
        <v>1790</v>
      </c>
      <c r="G10" s="522" t="s">
        <v>1791</v>
      </c>
      <c r="H10" s="290" t="s">
        <v>1791</v>
      </c>
      <c r="I10" s="523" t="s">
        <v>1791</v>
      </c>
      <c r="J10" s="524" t="s">
        <v>1649</v>
      </c>
      <c r="L10" s="524" t="s">
        <v>1792</v>
      </c>
      <c r="M10" s="524" t="s">
        <v>1776</v>
      </c>
      <c r="N10" s="524" t="s">
        <v>1792</v>
      </c>
      <c r="O10" s="524" t="s">
        <v>1776</v>
      </c>
      <c r="P10" s="524" t="s">
        <v>1793</v>
      </c>
      <c r="R10" s="524" t="s">
        <v>1791</v>
      </c>
      <c r="T10" s="524" t="s">
        <v>2225</v>
      </c>
      <c r="V10" s="670" t="s">
        <v>1794</v>
      </c>
    </row>
    <row r="11" spans="1:23" x14ac:dyDescent="0.3">
      <c r="A11" s="4" t="s">
        <v>1228</v>
      </c>
      <c r="D11" s="102"/>
      <c r="E11" s="102"/>
      <c r="G11" s="455"/>
      <c r="H11" s="2027"/>
      <c r="I11" s="207"/>
      <c r="J11" s="2027"/>
      <c r="L11" s="102"/>
      <c r="M11" s="102"/>
      <c r="N11" s="102"/>
      <c r="O11" s="102"/>
      <c r="P11" s="102"/>
      <c r="R11" s="102"/>
      <c r="T11" s="102"/>
      <c r="V11" s="2028"/>
    </row>
    <row r="12" spans="1:23" x14ac:dyDescent="0.3">
      <c r="B12" s="9" t="str">
        <f>'5.2 Budgeted Enrollment YR2'!E9</f>
        <v>Carson City</v>
      </c>
      <c r="D12" s="389" t="str">
        <f>IF('6.9 PCFP Funding Comparison YR2'!K8="Yes","PCFP","FY 2020 Baseline")</f>
        <v>PCFP</v>
      </c>
      <c r="E12" s="1571">
        <f>ROUND(IF(D12="PCFP",'6.8 Alloc of Residual Rev. YR2'!G14,('6.9 PCFP Funding Comparison YR2'!T8-SUM(J12,P12,R12))),0)</f>
        <v>71181617</v>
      </c>
      <c r="F12" s="149"/>
      <c r="G12" s="1873">
        <f>IF(D12="PCFP",'6.8 Alloc of Residual Rev. YR2'!J14,('1.4 FY 2020 Revenue Received'!S8/2)+'1.4 FY 2020 Revenue Received'!T8)</f>
        <v>3335202</v>
      </c>
      <c r="H12" s="1872">
        <f>IF(D12="PCFP",'6.8 Alloc of Residual Rev. YR2'!K14,('1.4 FY 2020 Revenue Received'!S8/2)+'1.4 FY 2020 Revenue Received'!U8)</f>
        <v>734980</v>
      </c>
      <c r="I12" s="1874">
        <f>IF(D12="PCFP",'6.8 Alloc of Residual Rev. YR2'!L14,'1.4 FY 2020 Revenue Received'!V8)</f>
        <v>324968</v>
      </c>
      <c r="J12" s="1872">
        <f>SUM(G12:I12)</f>
        <v>4395150</v>
      </c>
      <c r="K12" s="149"/>
      <c r="L12" s="1872">
        <f>IF(D12="PCFP",SUM('6.1 Auxiliary Services YR2'!D12:E12),'1.4 FY 2020 Revenue Received'!W8)</f>
        <v>2868747</v>
      </c>
      <c r="M12" s="1872">
        <f>'6.1 Auxiliary Services YR2'!F12</f>
        <v>0</v>
      </c>
      <c r="N12" s="1872">
        <f>IF(D12="PCFP",SUM('6.1 Auxiliary Services YR2'!G12:H12),'1.4 FY 2020 Revenue Received'!X8)</f>
        <v>334457</v>
      </c>
      <c r="O12" s="1872">
        <f>'6.1 Auxiliary Services YR2'!I12</f>
        <v>0</v>
      </c>
      <c r="P12" s="1872">
        <f>SUM(L12:O12)</f>
        <v>3203204</v>
      </c>
      <c r="Q12" s="149"/>
      <c r="R12" s="1875">
        <f>IF(D12="PCFP",'6.8 Alloc of Residual Rev. YR2'!I14,'1.4 FY 2020 Revenue Received'!Y8)</f>
        <v>6741119</v>
      </c>
      <c r="S12" s="149"/>
      <c r="T12" s="1876">
        <f>ROUND(E12+J12+P12+R12,0)</f>
        <v>85521090</v>
      </c>
      <c r="U12" s="149"/>
      <c r="V12" s="1876">
        <f>T12-'2.9 PCFP Funding Comparison YR1'!H8</f>
        <v>12686913</v>
      </c>
      <c r="W12" s="173">
        <f>ROUND(IF(D12="PCFP",'6.9 PCFP Funding Comparison YR2'!S8,'6.9 PCFP Funding Comparison YR2'!T8)-T12,2)</f>
        <v>0</v>
      </c>
    </row>
    <row r="13" spans="1:23" x14ac:dyDescent="0.3">
      <c r="B13" s="9" t="str">
        <f>'5.2 Budgeted Enrollment YR2'!E10</f>
        <v>Churchill</v>
      </c>
      <c r="D13" s="389" t="str">
        <f>IF('6.9 PCFP Funding Comparison YR2'!K9="Yes","PCFP","FY 2020 Baseline")</f>
        <v>PCFP</v>
      </c>
      <c r="E13" s="1571">
        <f>ROUND(IF(D13="PCFP",'6.8 Alloc of Residual Rev. YR2'!G15,('6.9 PCFP Funding Comparison YR2'!T9-SUM(J13,P13,R13))),0)</f>
        <v>33397868</v>
      </c>
      <c r="F13" s="149"/>
      <c r="G13" s="1873">
        <f>IF(D13="PCFP",'6.8 Alloc of Residual Rev. YR2'!J15,('1.4 FY 2020 Revenue Received'!S9/2)+'1.4 FY 2020 Revenue Received'!T9)</f>
        <v>487453</v>
      </c>
      <c r="H13" s="1872">
        <f>IF(D13="PCFP",'6.8 Alloc of Residual Rev. YR2'!K15,('1.4 FY 2020 Revenue Received'!S9/2)+'1.4 FY 2020 Revenue Received'!U9)</f>
        <v>289336</v>
      </c>
      <c r="I13" s="1874">
        <f>IF(D13="PCFP",'6.8 Alloc of Residual Rev. YR2'!L15,'1.4 FY 2020 Revenue Received'!V9)</f>
        <v>0</v>
      </c>
      <c r="J13" s="1872">
        <f>SUM(G13:I13)</f>
        <v>776789</v>
      </c>
      <c r="K13" s="149"/>
      <c r="L13" s="1872">
        <f>IF(D13="PCFP",SUM('6.1 Auxiliary Services YR2'!D13:E13),'1.4 FY 2020 Revenue Received'!W9)</f>
        <v>1665797</v>
      </c>
      <c r="M13" s="1872">
        <f>'6.1 Auxiliary Services YR2'!F13</f>
        <v>0</v>
      </c>
      <c r="N13" s="1872">
        <f>IF(D13="PCFP",SUM('6.1 Auxiliary Services YR2'!G13:H13),'1.4 FY 2020 Revenue Received'!X9)</f>
        <v>0</v>
      </c>
      <c r="O13" s="1872">
        <f>'6.1 Auxiliary Services YR2'!I13</f>
        <v>0</v>
      </c>
      <c r="P13" s="1872">
        <f t="shared" ref="P13:P32" si="0">SUM(L13:O13)</f>
        <v>1665797</v>
      </c>
      <c r="Q13" s="149"/>
      <c r="R13" s="1875">
        <f>IF(D13="PCFP",'6.8 Alloc of Residual Rev. YR2'!I15,'1.4 FY 2020 Revenue Received'!Y9)</f>
        <v>2215685</v>
      </c>
      <c r="S13" s="149"/>
      <c r="T13" s="1876">
        <f t="shared" ref="T13:T32" si="1">ROUND(E13+J13+P13+R13,0)</f>
        <v>38056139</v>
      </c>
      <c r="U13" s="149"/>
      <c r="V13" s="1876">
        <f>T13-'2.9 PCFP Funding Comparison YR1'!H9</f>
        <v>8663260</v>
      </c>
      <c r="W13" s="131">
        <f>ROUND(IF(D13="PCFP",'6.9 PCFP Funding Comparison YR2'!S9,'6.9 PCFP Funding Comparison YR2'!T9)-T13,2)</f>
        <v>0</v>
      </c>
    </row>
    <row r="14" spans="1:23" x14ac:dyDescent="0.3">
      <c r="B14" s="9" t="str">
        <f>'5.2 Budgeted Enrollment YR2'!E11</f>
        <v>Clark</v>
      </c>
      <c r="D14" s="389" t="str">
        <f>IF('6.9 PCFP Funding Comparison YR2'!K10="Yes","PCFP","FY 2020 Baseline")</f>
        <v>PCFP</v>
      </c>
      <c r="E14" s="1571">
        <f>ROUND(IF(D14="PCFP",'6.8 Alloc of Residual Rev. YR2'!G16,('6.9 PCFP Funding Comparison YR2'!T10-SUM(J14,P14,R14))),0)</f>
        <v>2740858113</v>
      </c>
      <c r="F14" s="149"/>
      <c r="G14" s="1873">
        <f>IF(D14="PCFP",'6.8 Alloc of Residual Rev. YR2'!J16,('1.4 FY 2020 Revenue Received'!S10/2)+'1.4 FY 2020 Revenue Received'!T10)</f>
        <v>166024645</v>
      </c>
      <c r="H14" s="1872">
        <f>IF(D14="PCFP",'6.8 Alloc of Residual Rev. YR2'!K16,('1.4 FY 2020 Revenue Received'!S10/2)+'1.4 FY 2020 Revenue Received'!U10)</f>
        <v>138595222</v>
      </c>
      <c r="I14" s="1874">
        <f>IF(D14="PCFP",'6.8 Alloc of Residual Rev. YR2'!L16,'1.4 FY 2020 Revenue Received'!V10)</f>
        <v>6198345</v>
      </c>
      <c r="J14" s="1872">
        <f t="shared" ref="J14:J28" si="2">SUM(G14:I14)</f>
        <v>310818212</v>
      </c>
      <c r="K14" s="149"/>
      <c r="L14" s="1872">
        <f>IF(D14="PCFP",SUM('6.1 Auxiliary Services YR2'!D14:E14),'1.4 FY 2020 Revenue Received'!W10)</f>
        <v>135130854</v>
      </c>
      <c r="M14" s="1872">
        <f>'6.1 Auxiliary Services YR2'!F14</f>
        <v>0</v>
      </c>
      <c r="N14" s="1872">
        <f>IF(D14="PCFP",SUM('6.1 Auxiliary Services YR2'!G14:H14),'1.4 FY 2020 Revenue Received'!X10)</f>
        <v>0</v>
      </c>
      <c r="O14" s="1872">
        <f>'6.1 Auxiliary Services YR2'!I14</f>
        <v>0</v>
      </c>
      <c r="P14" s="1872">
        <f t="shared" si="0"/>
        <v>135130854</v>
      </c>
      <c r="Q14" s="149"/>
      <c r="R14" s="1875">
        <f>IF(D14="PCFP",'6.8 Alloc of Residual Rev. YR2'!I16,'1.4 FY 2020 Revenue Received'!Y10)</f>
        <v>453025801</v>
      </c>
      <c r="S14" s="149"/>
      <c r="T14" s="1876">
        <f>ROUND(E14+J14+P14+R14,0)</f>
        <v>3639832980</v>
      </c>
      <c r="U14" s="149"/>
      <c r="V14" s="1876">
        <f>T14-'2.9 PCFP Funding Comparison YR1'!H10</f>
        <v>1055345480</v>
      </c>
      <c r="W14" s="131">
        <f>ROUND(IF(D14="PCFP",'6.9 PCFP Funding Comparison YR2'!S10,'6.9 PCFP Funding Comparison YR2'!T10)-T14,2)</f>
        <v>0</v>
      </c>
    </row>
    <row r="15" spans="1:23" x14ac:dyDescent="0.3">
      <c r="B15" s="9" t="str">
        <f>'5.2 Budgeted Enrollment YR2'!E12</f>
        <v>Douglas</v>
      </c>
      <c r="D15" s="389" t="str">
        <f>IF('6.9 PCFP Funding Comparison YR2'!K11="Yes","PCFP","FY 2020 Baseline")</f>
        <v>PCFP</v>
      </c>
      <c r="E15" s="1571">
        <f>ROUND(IF(D15="PCFP",'6.8 Alloc of Residual Rev. YR2'!G17,('6.9 PCFP Funding Comparison YR2'!T11-SUM(J15,P15,R15))),0)</f>
        <v>51347997</v>
      </c>
      <c r="F15" s="149"/>
      <c r="G15" s="1873">
        <f>IF(D15="PCFP",'6.8 Alloc of Residual Rev. YR2'!J17,('1.4 FY 2020 Revenue Received'!S11/2)+'1.4 FY 2020 Revenue Received'!T11)</f>
        <v>688420</v>
      </c>
      <c r="H15" s="1872">
        <f>IF(D15="PCFP",'6.8 Alloc of Residual Rev. YR2'!K17,('1.4 FY 2020 Revenue Received'!S11/2)+'1.4 FY 2020 Revenue Received'!U11)</f>
        <v>478901</v>
      </c>
      <c r="I15" s="1874">
        <f>IF(D15="PCFP",'6.8 Alloc of Residual Rev. YR2'!L17,'1.4 FY 2020 Revenue Received'!V11)</f>
        <v>134548</v>
      </c>
      <c r="J15" s="1872">
        <f t="shared" si="2"/>
        <v>1301869</v>
      </c>
      <c r="K15" s="149"/>
      <c r="L15" s="1872">
        <f>IF(D15="PCFP",SUM('6.1 Auxiliary Services YR2'!D15:E15),'1.4 FY 2020 Revenue Received'!W11)</f>
        <v>3977265</v>
      </c>
      <c r="M15" s="1872">
        <f>'6.1 Auxiliary Services YR2'!F15</f>
        <v>0</v>
      </c>
      <c r="N15" s="1872">
        <f>IF(D15="PCFP",SUM('6.1 Auxiliary Services YR2'!G15:H15),'1.4 FY 2020 Revenue Received'!X11)</f>
        <v>0</v>
      </c>
      <c r="O15" s="1872">
        <f>'6.1 Auxiliary Services YR2'!I15</f>
        <v>0</v>
      </c>
      <c r="P15" s="1872">
        <f t="shared" si="0"/>
        <v>3977265</v>
      </c>
      <c r="Q15" s="149"/>
      <c r="R15" s="1875">
        <f>IF(D15="PCFP",'6.8 Alloc of Residual Rev. YR2'!I17,'1.4 FY 2020 Revenue Received'!Y11)</f>
        <v>5428400</v>
      </c>
      <c r="S15" s="149"/>
      <c r="T15" s="1876">
        <f t="shared" si="1"/>
        <v>62055531</v>
      </c>
      <c r="U15" s="149"/>
      <c r="V15" s="1876">
        <f>T15-'2.9 PCFP Funding Comparison YR1'!H11</f>
        <v>5309505</v>
      </c>
      <c r="W15" s="131">
        <f>ROUND(IF(D15="PCFP",'6.9 PCFP Funding Comparison YR2'!S11,'6.9 PCFP Funding Comparison YR2'!T11)-T15,2)</f>
        <v>0</v>
      </c>
    </row>
    <row r="16" spans="1:23" x14ac:dyDescent="0.3">
      <c r="B16" s="9" t="str">
        <f>'5.2 Budgeted Enrollment YR2'!E13</f>
        <v>Elko</v>
      </c>
      <c r="D16" s="389" t="str">
        <f>IF('6.9 PCFP Funding Comparison YR2'!K12="Yes","PCFP","FY 2020 Baseline")</f>
        <v>PCFP</v>
      </c>
      <c r="E16" s="1571">
        <f>ROUND(IF(D16="PCFP",'6.8 Alloc of Residual Rev. YR2'!G18,('6.9 PCFP Funding Comparison YR2'!T12-SUM(J16,P16,R16))),0)</f>
        <v>108638031</v>
      </c>
      <c r="F16" s="149"/>
      <c r="G16" s="1873">
        <f>IF(D16="PCFP",'6.8 Alloc of Residual Rev. YR2'!J18,('1.4 FY 2020 Revenue Received'!S12/2)+'1.4 FY 2020 Revenue Received'!T12)</f>
        <v>2860577</v>
      </c>
      <c r="H16" s="1872">
        <f>IF(D16="PCFP",'6.8 Alloc of Residual Rev. YR2'!K18,('1.4 FY 2020 Revenue Received'!S12/2)+'1.4 FY 2020 Revenue Received'!U12)</f>
        <v>1503216</v>
      </c>
      <c r="I16" s="1874">
        <f>IF(D16="PCFP",'6.8 Alloc of Residual Rev. YR2'!L18,'1.4 FY 2020 Revenue Received'!V12)</f>
        <v>43329</v>
      </c>
      <c r="J16" s="1872">
        <f t="shared" si="2"/>
        <v>4407122</v>
      </c>
      <c r="K16" s="149"/>
      <c r="L16" s="1872">
        <f>IF(D16="PCFP",SUM('6.1 Auxiliary Services YR2'!D16:E16),'1.4 FY 2020 Revenue Received'!W12)</f>
        <v>5601775</v>
      </c>
      <c r="M16" s="1872">
        <f>'6.1 Auxiliary Services YR2'!F16</f>
        <v>0</v>
      </c>
      <c r="N16" s="1872">
        <f>IF(D16="PCFP",SUM('6.1 Auxiliary Services YR2'!G16:H16),'1.4 FY 2020 Revenue Received'!X12)</f>
        <v>350372</v>
      </c>
      <c r="O16" s="1872">
        <f>'6.1 Auxiliary Services YR2'!I16</f>
        <v>0</v>
      </c>
      <c r="P16" s="1872">
        <f t="shared" si="0"/>
        <v>5952147</v>
      </c>
      <c r="Q16" s="149"/>
      <c r="R16" s="1875">
        <f>IF(D16="PCFP",'6.8 Alloc of Residual Rev. YR2'!I18,'1.4 FY 2020 Revenue Received'!Y12)</f>
        <v>6815778</v>
      </c>
      <c r="S16" s="149"/>
      <c r="T16" s="1876">
        <f t="shared" si="1"/>
        <v>125813078</v>
      </c>
      <c r="U16" s="149"/>
      <c r="V16" s="1876">
        <f>T16-'2.9 PCFP Funding Comparison YR1'!H12</f>
        <v>23479132</v>
      </c>
      <c r="W16" s="131">
        <f>ROUND(IF(D16="PCFP",'6.9 PCFP Funding Comparison YR2'!S12,'6.9 PCFP Funding Comparison YR2'!T12)-T16,2)</f>
        <v>0</v>
      </c>
    </row>
    <row r="17" spans="1:24" x14ac:dyDescent="0.3">
      <c r="B17" s="9" t="str">
        <f>'5.2 Budgeted Enrollment YR2'!E14</f>
        <v>Esmeralda</v>
      </c>
      <c r="D17" s="389" t="str">
        <f>IF('6.9 PCFP Funding Comparison YR2'!K13="Yes","PCFP","FY 2020 Baseline")</f>
        <v>FY 2020 Baseline</v>
      </c>
      <c r="E17" s="1571">
        <f>ROUND(IF(D17="PCFP",'6.8 Alloc of Residual Rev. YR2'!G19,('6.9 PCFP Funding Comparison YR2'!T13-SUM(J17,P17,R17))),0)</f>
        <v>2539542</v>
      </c>
      <c r="F17" s="149"/>
      <c r="G17" s="1873">
        <f>IF(D17="PCFP",'6.8 Alloc of Residual Rev. YR2'!J19,('1.4 FY 2020 Revenue Received'!S13/2)+'1.4 FY 2020 Revenue Received'!T13)</f>
        <v>17430</v>
      </c>
      <c r="H17" s="1872">
        <f>IF(D17="PCFP",'6.8 Alloc of Residual Rev. YR2'!K19,('1.4 FY 2020 Revenue Received'!S13/2)+'1.4 FY 2020 Revenue Received'!U13)</f>
        <v>8400</v>
      </c>
      <c r="I17" s="1874">
        <f>IF(D17="PCFP",'6.8 Alloc of Residual Rev. YR2'!L19,'1.4 FY 2020 Revenue Received'!V13)</f>
        <v>0</v>
      </c>
      <c r="J17" s="1872">
        <f t="shared" si="2"/>
        <v>25830</v>
      </c>
      <c r="K17" s="149"/>
      <c r="L17" s="1872">
        <f>IF(D17="PCFP",SUM('6.1 Auxiliary Services YR2'!D17:E17),'1.4 FY 2020 Revenue Received'!W13)</f>
        <v>328550</v>
      </c>
      <c r="M17" s="1872">
        <f>'6.1 Auxiliary Services YR2'!F17</f>
        <v>0</v>
      </c>
      <c r="N17" s="1872">
        <f>IF(D17="PCFP",SUM('6.1 Auxiliary Services YR2'!G17:H17),'1.4 FY 2020 Revenue Received'!X13)</f>
        <v>49284</v>
      </c>
      <c r="O17" s="1872">
        <f>'6.1 Auxiliary Services YR2'!I17</f>
        <v>0</v>
      </c>
      <c r="P17" s="1872">
        <f t="shared" si="0"/>
        <v>377834</v>
      </c>
      <c r="Q17" s="149"/>
      <c r="R17" s="1875">
        <f>IF(D17="PCFP",'6.8 Alloc of Residual Rev. YR2'!I19,'1.4 FY 2020 Revenue Received'!Y13)</f>
        <v>44620.000000000007</v>
      </c>
      <c r="S17" s="149"/>
      <c r="T17" s="1876">
        <f>ROUND(E17+J17+P17+R17,0)</f>
        <v>2987826</v>
      </c>
      <c r="U17" s="149"/>
      <c r="V17" s="1876">
        <f>T17-'2.9 PCFP Funding Comparison YR1'!H13</f>
        <v>367898</v>
      </c>
      <c r="W17" s="131">
        <f>ROUND(IF(D17="PCFP",'6.9 PCFP Funding Comparison YR2'!S13,'6.9 PCFP Funding Comparison YR2'!T13)-T17,2)</f>
        <v>0</v>
      </c>
      <c r="X17" s="195"/>
    </row>
    <row r="18" spans="1:24" x14ac:dyDescent="0.3">
      <c r="B18" s="9" t="str">
        <f>'5.2 Budgeted Enrollment YR2'!E15</f>
        <v>Eureka</v>
      </c>
      <c r="D18" s="389" t="str">
        <f>IF('6.9 PCFP Funding Comparison YR2'!K14="Yes","PCFP","FY 2020 Baseline")</f>
        <v>FY 2020 Baseline</v>
      </c>
      <c r="E18" s="1571">
        <f>ROUND(IF(D18="PCFP",'6.8 Alloc of Residual Rev. YR2'!G20,('6.9 PCFP Funding Comparison YR2'!T14-SUM(J18,P18,R18))),0)</f>
        <v>10660786</v>
      </c>
      <c r="F18" s="149"/>
      <c r="G18" s="1873">
        <f>IF(D18="PCFP",'6.8 Alloc of Residual Rev. YR2'!J20,('1.4 FY 2020 Revenue Received'!S14/2)+'1.4 FY 2020 Revenue Received'!T14)</f>
        <v>10230</v>
      </c>
      <c r="H18" s="1872">
        <f>IF(D18="PCFP",'6.8 Alloc of Residual Rev. YR2'!K20,('1.4 FY 2020 Revenue Received'!S14/2)+'1.4 FY 2020 Revenue Received'!U14)</f>
        <v>1200</v>
      </c>
      <c r="I18" s="1874">
        <f>IF(D18="PCFP",'6.8 Alloc of Residual Rev. YR2'!L20,'1.4 FY 2020 Revenue Received'!V14)</f>
        <v>0</v>
      </c>
      <c r="J18" s="1872">
        <f t="shared" si="2"/>
        <v>11430</v>
      </c>
      <c r="K18" s="149"/>
      <c r="L18" s="1872">
        <f>IF(D18="PCFP",SUM('6.1 Auxiliary Services YR2'!D18:E18),'1.4 FY 2020 Revenue Received'!W14)</f>
        <v>434259</v>
      </c>
      <c r="M18" s="1872">
        <f>'6.1 Auxiliary Services YR2'!F18</f>
        <v>0</v>
      </c>
      <c r="N18" s="1872">
        <f>IF(D18="PCFP",SUM('6.1 Auxiliary Services YR2'!G18:H18),'1.4 FY 2020 Revenue Received'!X14)</f>
        <v>399223</v>
      </c>
      <c r="O18" s="1872">
        <f>'6.1 Auxiliary Services YR2'!I18</f>
        <v>0</v>
      </c>
      <c r="P18" s="1872">
        <f t="shared" si="0"/>
        <v>833482</v>
      </c>
      <c r="Q18" s="149"/>
      <c r="R18" s="1875">
        <f>IF(D18="PCFP",'6.8 Alloc of Residual Rev. YR2'!I20,'1.4 FY 2020 Revenue Received'!Y14)</f>
        <v>200000</v>
      </c>
      <c r="S18" s="149"/>
      <c r="T18" s="1876">
        <f t="shared" si="1"/>
        <v>11705698</v>
      </c>
      <c r="U18" s="149"/>
      <c r="V18" s="1876">
        <f>T18-'2.9 PCFP Funding Comparison YR1'!H14</f>
        <v>-338997</v>
      </c>
      <c r="W18" s="131">
        <f>ROUND(IF(D18="PCFP",'6.9 PCFP Funding Comparison YR2'!S14,'6.9 PCFP Funding Comparison YR2'!T14)-T18,2)</f>
        <v>0</v>
      </c>
      <c r="X18" s="195"/>
    </row>
    <row r="19" spans="1:24" x14ac:dyDescent="0.3">
      <c r="B19" s="9" t="str">
        <f>'5.2 Budgeted Enrollment YR2'!E16</f>
        <v>Humboldt</v>
      </c>
      <c r="D19" s="389" t="str">
        <f>IF('6.9 PCFP Funding Comparison YR2'!K15="Yes","PCFP","FY 2020 Baseline")</f>
        <v>PCFP</v>
      </c>
      <c r="E19" s="1571">
        <f>ROUND(IF(D19="PCFP",'6.8 Alloc of Residual Rev. YR2'!G21,('6.9 PCFP Funding Comparison YR2'!T15-SUM(J19,P19,R19))),0)</f>
        <v>36695447</v>
      </c>
      <c r="F19" s="149"/>
      <c r="G19" s="1873">
        <f>IF(D19="PCFP",'6.8 Alloc of Residual Rev. YR2'!J21,('1.4 FY 2020 Revenue Received'!S15/2)+'1.4 FY 2020 Revenue Received'!T15)</f>
        <v>842352</v>
      </c>
      <c r="H19" s="1872">
        <f>IF(D19="PCFP",'6.8 Alloc of Residual Rev. YR2'!K21,('1.4 FY 2020 Revenue Received'!S15/2)+'1.4 FY 2020 Revenue Received'!U15)</f>
        <v>352524</v>
      </c>
      <c r="I19" s="1874">
        <f>IF(D19="PCFP",'6.8 Alloc of Residual Rev. YR2'!L21,'1.4 FY 2020 Revenue Received'!V15)</f>
        <v>0</v>
      </c>
      <c r="J19" s="1872">
        <f t="shared" si="2"/>
        <v>1194876</v>
      </c>
      <c r="K19" s="149"/>
      <c r="L19" s="1872">
        <f>IF(D19="PCFP",SUM('6.1 Auxiliary Services YR2'!D19:E19),'1.4 FY 2020 Revenue Received'!W15)</f>
        <v>2016344</v>
      </c>
      <c r="M19" s="1872">
        <f>'6.1 Auxiliary Services YR2'!F19</f>
        <v>0</v>
      </c>
      <c r="N19" s="1872">
        <f>IF(D19="PCFP",SUM('6.1 Auxiliary Services YR2'!G19:H19),'1.4 FY 2020 Revenue Received'!X15)</f>
        <v>4765</v>
      </c>
      <c r="O19" s="1872">
        <f>'6.1 Auxiliary Services YR2'!I19</f>
        <v>0</v>
      </c>
      <c r="P19" s="1872">
        <f t="shared" si="0"/>
        <v>2021109</v>
      </c>
      <c r="Q19" s="149"/>
      <c r="R19" s="1875">
        <f>IF(D19="PCFP",'6.8 Alloc of Residual Rev. YR2'!I21,'1.4 FY 2020 Revenue Received'!Y15)</f>
        <v>3147883</v>
      </c>
      <c r="S19" s="149"/>
      <c r="T19" s="1876">
        <f t="shared" si="1"/>
        <v>43059315</v>
      </c>
      <c r="U19" s="149"/>
      <c r="V19" s="1876">
        <f>T19-'2.9 PCFP Funding Comparison YR1'!H15</f>
        <v>4955824</v>
      </c>
      <c r="W19" s="131">
        <f>ROUND(IF(D19="PCFP",'6.9 PCFP Funding Comparison YR2'!S15,'6.9 PCFP Funding Comparison YR2'!T15)-T19,2)</f>
        <v>0</v>
      </c>
      <c r="X19" s="131"/>
    </row>
    <row r="20" spans="1:24" x14ac:dyDescent="0.3">
      <c r="B20" s="9" t="str">
        <f>'5.2 Budgeted Enrollment YR2'!E17</f>
        <v>Lander</v>
      </c>
      <c r="D20" s="389" t="str">
        <f>IF('6.9 PCFP Funding Comparison YR2'!K16="Yes","PCFP","FY 2020 Baseline")</f>
        <v>PCFP</v>
      </c>
      <c r="E20" s="1571">
        <f>ROUND(IF(D20="PCFP",'6.8 Alloc of Residual Rev. YR2'!G22,('6.9 PCFP Funding Comparison YR2'!T16-SUM(J20,P20,R20))),0)</f>
        <v>13806091</v>
      </c>
      <c r="F20" s="149"/>
      <c r="G20" s="1873">
        <f>IF(D20="PCFP",'6.8 Alloc of Residual Rev. YR2'!J22,('1.4 FY 2020 Revenue Received'!S16/2)+'1.4 FY 2020 Revenue Received'!T16)</f>
        <v>166760</v>
      </c>
      <c r="H20" s="1872">
        <f>IF(D20="PCFP",'6.8 Alloc of Residual Rev. YR2'!K22,('1.4 FY 2020 Revenue Received'!S16/2)+'1.4 FY 2020 Revenue Received'!U16)</f>
        <v>262730</v>
      </c>
      <c r="I20" s="1874">
        <f>IF(D20="PCFP",'6.8 Alloc of Residual Rev. YR2'!L22,'1.4 FY 2020 Revenue Received'!V16)</f>
        <v>0</v>
      </c>
      <c r="J20" s="1872">
        <f t="shared" si="2"/>
        <v>429490</v>
      </c>
      <c r="K20" s="149"/>
      <c r="L20" s="1872">
        <f>IF(D20="PCFP",SUM('6.1 Auxiliary Services YR2'!D20:E20),'1.4 FY 2020 Revenue Received'!W16)</f>
        <v>400471</v>
      </c>
      <c r="M20" s="1872">
        <f>'6.1 Auxiliary Services YR2'!F20</f>
        <v>0</v>
      </c>
      <c r="N20" s="1872">
        <f>IF(D20="PCFP",SUM('6.1 Auxiliary Services YR2'!G20:H20),'1.4 FY 2020 Revenue Received'!X16)</f>
        <v>15558</v>
      </c>
      <c r="O20" s="1872">
        <f>'6.1 Auxiliary Services YR2'!I20</f>
        <v>0</v>
      </c>
      <c r="P20" s="1872">
        <f t="shared" si="0"/>
        <v>416029</v>
      </c>
      <c r="Q20" s="149"/>
      <c r="R20" s="1875">
        <f>IF(D20="PCFP",'6.8 Alloc of Residual Rev. YR2'!I22,'1.4 FY 2020 Revenue Received'!Y16)</f>
        <v>828068</v>
      </c>
      <c r="S20" s="149"/>
      <c r="T20" s="1876">
        <f t="shared" si="1"/>
        <v>15479678</v>
      </c>
      <c r="U20" s="149"/>
      <c r="V20" s="1876">
        <f>T20-'2.9 PCFP Funding Comparison YR1'!H16</f>
        <v>3651458</v>
      </c>
      <c r="W20" s="131">
        <f>ROUND(IF(D20="PCFP",'6.9 PCFP Funding Comparison YR2'!S16,'6.9 PCFP Funding Comparison YR2'!T16)-T20,2)</f>
        <v>0</v>
      </c>
      <c r="X20" s="195"/>
    </row>
    <row r="21" spans="1:24" x14ac:dyDescent="0.3">
      <c r="B21" s="9" t="str">
        <f>'5.2 Budgeted Enrollment YR2'!E18</f>
        <v>Lincoln</v>
      </c>
      <c r="D21" s="389" t="str">
        <f>IF('6.9 PCFP Funding Comparison YR2'!K17="Yes","PCFP","FY 2020 Baseline")</f>
        <v>PCFP</v>
      </c>
      <c r="E21" s="1571">
        <f>ROUND(IF(D21="PCFP",'6.8 Alloc of Residual Rev. YR2'!G23,('6.9 PCFP Funding Comparison YR2'!T17-SUM(J21,P21,R21))),0)</f>
        <v>15071361</v>
      </c>
      <c r="F21" s="149"/>
      <c r="G21" s="1873">
        <f>IF(D21="PCFP",'6.8 Alloc of Residual Rev. YR2'!J23,('1.4 FY 2020 Revenue Received'!S17/2)+'1.4 FY 2020 Revenue Received'!T17)</f>
        <v>34207</v>
      </c>
      <c r="H21" s="1872">
        <f>IF(D21="PCFP",'6.8 Alloc of Residual Rev. YR2'!K23,('1.4 FY 2020 Revenue Received'!S17/2)+'1.4 FY 2020 Revenue Received'!U17)</f>
        <v>136354</v>
      </c>
      <c r="I21" s="1874">
        <f>IF(D21="PCFP",'6.8 Alloc of Residual Rev. YR2'!L23,'1.4 FY 2020 Revenue Received'!V17)</f>
        <v>0</v>
      </c>
      <c r="J21" s="1872">
        <f t="shared" si="2"/>
        <v>170561</v>
      </c>
      <c r="K21" s="149"/>
      <c r="L21" s="1872">
        <f>IF(D21="PCFP",SUM('6.1 Auxiliary Services YR2'!D21:E21),'1.4 FY 2020 Revenue Received'!W17)</f>
        <v>635350</v>
      </c>
      <c r="M21" s="1872">
        <f>'6.1 Auxiliary Services YR2'!F21</f>
        <v>0</v>
      </c>
      <c r="N21" s="1872">
        <f>IF(D21="PCFP",SUM('6.1 Auxiliary Services YR2'!G21:H21),'1.4 FY 2020 Revenue Received'!X17)</f>
        <v>66961</v>
      </c>
      <c r="O21" s="1872">
        <f>'6.1 Auxiliary Services YR2'!I21</f>
        <v>0</v>
      </c>
      <c r="P21" s="1872">
        <f t="shared" si="0"/>
        <v>702311</v>
      </c>
      <c r="Q21" s="149"/>
      <c r="R21" s="1875">
        <f>IF(D21="PCFP",'6.8 Alloc of Residual Rev. YR2'!I23,'1.4 FY 2020 Revenue Received'!Y17)</f>
        <v>0</v>
      </c>
      <c r="S21" s="149"/>
      <c r="T21" s="1876">
        <f t="shared" si="1"/>
        <v>15944233</v>
      </c>
      <c r="U21" s="149"/>
      <c r="V21" s="1876">
        <f>T21-'2.9 PCFP Funding Comparison YR1'!H17</f>
        <v>3222495</v>
      </c>
      <c r="W21" s="131">
        <f>ROUND(IF(D21="PCFP",'6.9 PCFP Funding Comparison YR2'!S17,'6.9 PCFP Funding Comparison YR2'!T17)-T21,2)</f>
        <v>0</v>
      </c>
      <c r="X21" s="195"/>
    </row>
    <row r="22" spans="1:24" x14ac:dyDescent="0.3">
      <c r="B22" s="9" t="str">
        <f>'5.2 Budgeted Enrollment YR2'!E19</f>
        <v>Lyon</v>
      </c>
      <c r="D22" s="389" t="str">
        <f>IF('6.9 PCFP Funding Comparison YR2'!K18="Yes","PCFP","FY 2020 Baseline")</f>
        <v>PCFP</v>
      </c>
      <c r="E22" s="1571">
        <f>ROUND(IF(D22="PCFP",'6.8 Alloc of Residual Rev. YR2'!G24,('6.9 PCFP Funding Comparison YR2'!T18-SUM(J22,P22,R22))),0)</f>
        <v>103598250</v>
      </c>
      <c r="F22" s="149"/>
      <c r="G22" s="1873">
        <f>IF(D22="PCFP",'6.8 Alloc of Residual Rev. YR2'!J24,('1.4 FY 2020 Revenue Received'!S18/2)+'1.4 FY 2020 Revenue Received'!T18)</f>
        <v>2291882</v>
      </c>
      <c r="H22" s="1872">
        <f>IF(D22="PCFP",'6.8 Alloc of Residual Rev. YR2'!K24,('1.4 FY 2020 Revenue Received'!S18/2)+'1.4 FY 2020 Revenue Received'!U18)</f>
        <v>1293697</v>
      </c>
      <c r="I22" s="1874">
        <f>IF(D22="PCFP",'6.8 Alloc of Residual Rev. YR2'!L24,'1.4 FY 2020 Revenue Received'!V18)</f>
        <v>68414</v>
      </c>
      <c r="J22" s="1872">
        <f t="shared" si="2"/>
        <v>3653993</v>
      </c>
      <c r="K22" s="149"/>
      <c r="L22" s="1872">
        <f>IF(D22="PCFP",SUM('6.1 Auxiliary Services YR2'!D22:E22),'1.4 FY 2020 Revenue Received'!W18)</f>
        <v>5367830</v>
      </c>
      <c r="M22" s="1872">
        <f>'6.1 Auxiliary Services YR2'!F22</f>
        <v>0</v>
      </c>
      <c r="N22" s="1872">
        <f>IF(D22="PCFP",SUM('6.1 Auxiliary Services YR2'!G22:H22),'1.4 FY 2020 Revenue Received'!X18)</f>
        <v>0</v>
      </c>
      <c r="O22" s="1872">
        <f>'6.1 Auxiliary Services YR2'!I22</f>
        <v>0</v>
      </c>
      <c r="P22" s="1872">
        <f t="shared" si="0"/>
        <v>5367830</v>
      </c>
      <c r="Q22" s="149"/>
      <c r="R22" s="1875">
        <f>IF(D22="PCFP",'6.8 Alloc of Residual Rev. YR2'!I24,'1.4 FY 2020 Revenue Received'!Y18)</f>
        <v>11959030</v>
      </c>
      <c r="S22" s="149"/>
      <c r="T22" s="1876">
        <f t="shared" si="1"/>
        <v>124579103</v>
      </c>
      <c r="U22" s="149"/>
      <c r="V22" s="1876">
        <f>T22-'2.9 PCFP Funding Comparison YR1'!H18</f>
        <v>40202980</v>
      </c>
      <c r="W22" s="131">
        <f>ROUND(IF(D22="PCFP",'6.9 PCFP Funding Comparison YR2'!S18,'6.9 PCFP Funding Comparison YR2'!T18)-T22,2)</f>
        <v>0</v>
      </c>
      <c r="X22" s="195"/>
    </row>
    <row r="23" spans="1:24" x14ac:dyDescent="0.3">
      <c r="B23" s="9" t="str">
        <f>'5.2 Budgeted Enrollment YR2'!E20</f>
        <v>Mineral</v>
      </c>
      <c r="D23" s="389" t="str">
        <f>IF('6.9 PCFP Funding Comparison YR2'!K19="Yes","PCFP","FY 2020 Baseline")</f>
        <v>PCFP</v>
      </c>
      <c r="E23" s="1571">
        <f>ROUND(IF(D23="PCFP",'6.8 Alloc of Residual Rev. YR2'!G25,('6.9 PCFP Funding Comparison YR2'!T19-SUM(J23,P23,R23))),0)</f>
        <v>8475441</v>
      </c>
      <c r="F23" s="149"/>
      <c r="G23" s="1873">
        <f>IF(D23="PCFP",'6.8 Alloc of Residual Rev. YR2'!J25,('1.4 FY 2020 Revenue Received'!S19/2)+'1.4 FY 2020 Revenue Received'!T19)</f>
        <v>145381</v>
      </c>
      <c r="H23" s="1872">
        <f>IF(D23="PCFP",'6.8 Alloc of Residual Rev. YR2'!K25,('1.4 FY 2020 Revenue Received'!S19/2)+'1.4 FY 2020 Revenue Received'!U19)</f>
        <v>143005</v>
      </c>
      <c r="I23" s="1874">
        <f>IF(D23="PCFP",'6.8 Alloc of Residual Rev. YR2'!L25,'1.4 FY 2020 Revenue Received'!V19)</f>
        <v>0</v>
      </c>
      <c r="J23" s="1872">
        <f t="shared" si="2"/>
        <v>288386</v>
      </c>
      <c r="K23" s="149"/>
      <c r="L23" s="1872">
        <f>IF(D23="PCFP",SUM('6.1 Auxiliary Services YR2'!D23:E23),'1.4 FY 2020 Revenue Received'!W19)</f>
        <v>388223</v>
      </c>
      <c r="M23" s="1872">
        <f>'6.1 Auxiliary Services YR2'!F23</f>
        <v>0</v>
      </c>
      <c r="N23" s="1872">
        <f>IF(D23="PCFP",SUM('6.1 Auxiliary Services YR2'!G23:H23),'1.4 FY 2020 Revenue Received'!X19)</f>
        <v>200104</v>
      </c>
      <c r="O23" s="1872">
        <f>'6.1 Auxiliary Services YR2'!I23</f>
        <v>0</v>
      </c>
      <c r="P23" s="1872">
        <f t="shared" si="0"/>
        <v>588327</v>
      </c>
      <c r="Q23" s="149"/>
      <c r="R23" s="1875">
        <f>IF(D23="PCFP",'6.8 Alloc of Residual Rev. YR2'!I25,'1.4 FY 2020 Revenue Received'!Y19)</f>
        <v>110574</v>
      </c>
      <c r="S23" s="149"/>
      <c r="T23" s="1876">
        <f t="shared" si="1"/>
        <v>9462728</v>
      </c>
      <c r="U23" s="149"/>
      <c r="V23" s="1876">
        <f>T23-'2.9 PCFP Funding Comparison YR1'!H19</f>
        <v>1941468</v>
      </c>
      <c r="W23" s="131">
        <f>ROUND(IF(D23="PCFP",'6.9 PCFP Funding Comparison YR2'!S19,'6.9 PCFP Funding Comparison YR2'!T19)-T23,2)</f>
        <v>0</v>
      </c>
      <c r="X23" s="195"/>
    </row>
    <row r="24" spans="1:24" x14ac:dyDescent="0.3">
      <c r="B24" s="9" t="str">
        <f>'5.2 Budgeted Enrollment YR2'!E21</f>
        <v>Nye</v>
      </c>
      <c r="D24" s="389" t="str">
        <f>IF('6.9 PCFP Funding Comparison YR2'!K20="Yes","PCFP","FY 2020 Baseline")</f>
        <v>PCFP</v>
      </c>
      <c r="E24" s="1571">
        <f>ROUND(IF(D24="PCFP",'6.8 Alloc of Residual Rev. YR2'!G26,('6.9 PCFP Funding Comparison YR2'!T20-SUM(J24,P24,R24))),0)</f>
        <v>62908384</v>
      </c>
      <c r="F24" s="149"/>
      <c r="G24" s="1873">
        <f>IF(D24="PCFP",'6.8 Alloc of Residual Rev. YR2'!J26,('1.4 FY 2020 Revenue Received'!S20/2)+'1.4 FY 2020 Revenue Received'!T20)</f>
        <v>1612014</v>
      </c>
      <c r="H24" s="1872">
        <f>IF(D24="PCFP",'6.8 Alloc of Residual Rev. YR2'!K26,('1.4 FY 2020 Revenue Received'!S20/2)+'1.4 FY 2020 Revenue Received'!U20)</f>
        <v>901265</v>
      </c>
      <c r="I24" s="1874">
        <f>IF(D24="PCFP",'6.8 Alloc of Residual Rev. YR2'!L26,'1.4 FY 2020 Revenue Received'!V20)</f>
        <v>0</v>
      </c>
      <c r="J24" s="1872">
        <f t="shared" si="2"/>
        <v>2513279</v>
      </c>
      <c r="K24" s="149"/>
      <c r="L24" s="1872">
        <f>IF(D24="PCFP",SUM('6.1 Auxiliary Services YR2'!D24:E24),'1.4 FY 2020 Revenue Received'!W20)</f>
        <v>4888451</v>
      </c>
      <c r="M24" s="1872">
        <f>'6.1 Auxiliary Services YR2'!F24</f>
        <v>0</v>
      </c>
      <c r="N24" s="1872">
        <f>IF(D24="PCFP",SUM('6.1 Auxiliary Services YR2'!G24:H24),'1.4 FY 2020 Revenue Received'!X20)</f>
        <v>0</v>
      </c>
      <c r="O24" s="1872">
        <f>'6.1 Auxiliary Services YR2'!I24</f>
        <v>0</v>
      </c>
      <c r="P24" s="1872">
        <f t="shared" si="0"/>
        <v>4888451</v>
      </c>
      <c r="Q24" s="149"/>
      <c r="R24" s="1875">
        <f>IF(D24="PCFP",'6.8 Alloc of Residual Rev. YR2'!I26,'1.4 FY 2020 Revenue Received'!Y20)</f>
        <v>12987281</v>
      </c>
      <c r="S24" s="149"/>
      <c r="T24" s="1876">
        <f t="shared" si="1"/>
        <v>83297395</v>
      </c>
      <c r="U24" s="149"/>
      <c r="V24" s="1876">
        <f>T24-'2.9 PCFP Funding Comparison YR1'!H20</f>
        <v>25688694</v>
      </c>
      <c r="W24" s="131">
        <f>ROUND(IF(D24="PCFP",'6.9 PCFP Funding Comparison YR2'!S20,'6.9 PCFP Funding Comparison YR2'!T20)-T24,2)</f>
        <v>0</v>
      </c>
      <c r="X24" s="195"/>
    </row>
    <row r="25" spans="1:24" x14ac:dyDescent="0.3">
      <c r="B25" s="9" t="str">
        <f>'5.2 Budgeted Enrollment YR2'!E22</f>
        <v>Pershing</v>
      </c>
      <c r="D25" s="389" t="str">
        <f>IF('6.9 PCFP Funding Comparison YR2'!K21="Yes","PCFP","FY 2020 Baseline")</f>
        <v>PCFP</v>
      </c>
      <c r="E25" s="1571">
        <f>ROUND(IF(D25="PCFP",'6.8 Alloc of Residual Rev. YR2'!G27,('6.9 PCFP Funding Comparison YR2'!T21-SUM(J25,P25,R25))),0)</f>
        <v>9813139</v>
      </c>
      <c r="F25" s="149"/>
      <c r="G25" s="1873">
        <f>IF(D25="PCFP",'6.8 Alloc of Residual Rev. YR2'!J27,('1.4 FY 2020 Revenue Received'!S21/2)+'1.4 FY 2020 Revenue Received'!T21)</f>
        <v>124001</v>
      </c>
      <c r="H25" s="1872">
        <f>IF(D25="PCFP",'6.8 Alloc of Residual Rev. YR2'!K27,('1.4 FY 2020 Revenue Received'!S21/2)+'1.4 FY 2020 Revenue Received'!U21)</f>
        <v>93120</v>
      </c>
      <c r="I25" s="1874">
        <f>IF(D25="PCFP",'6.8 Alloc of Residual Rev. YR2'!L27,'1.4 FY 2020 Revenue Received'!V21)</f>
        <v>0</v>
      </c>
      <c r="J25" s="1872">
        <f t="shared" si="2"/>
        <v>217121</v>
      </c>
      <c r="K25" s="149"/>
      <c r="L25" s="1872">
        <f>IF(D25="PCFP",SUM('6.1 Auxiliary Services YR2'!D25:E25),'1.4 FY 2020 Revenue Received'!W21)</f>
        <v>918038</v>
      </c>
      <c r="M25" s="1872">
        <f>'6.1 Auxiliary Services YR2'!F25</f>
        <v>0</v>
      </c>
      <c r="N25" s="1872">
        <f>IF(D25="PCFP",SUM('6.1 Auxiliary Services YR2'!G25:H25),'1.4 FY 2020 Revenue Received'!X21)</f>
        <v>26439</v>
      </c>
      <c r="O25" s="1872">
        <f>'6.1 Auxiliary Services YR2'!I25</f>
        <v>0</v>
      </c>
      <c r="P25" s="1872">
        <f t="shared" si="0"/>
        <v>944477</v>
      </c>
      <c r="Q25" s="149"/>
      <c r="R25" s="1875">
        <f>IF(D25="PCFP",'6.8 Alloc of Residual Rev. YR2'!I27,'1.4 FY 2020 Revenue Received'!Y21)</f>
        <v>0</v>
      </c>
      <c r="S25" s="149"/>
      <c r="T25" s="1876">
        <f t="shared" si="1"/>
        <v>10974737</v>
      </c>
      <c r="U25" s="149"/>
      <c r="V25" s="1876">
        <f>T25-'2.9 PCFP Funding Comparison YR1'!H21</f>
        <v>1913327</v>
      </c>
      <c r="W25" s="131">
        <f>ROUND(IF(D25="PCFP",'6.9 PCFP Funding Comparison YR2'!S21,'6.9 PCFP Funding Comparison YR2'!T21)-T25,2)</f>
        <v>0</v>
      </c>
      <c r="X25" s="195"/>
    </row>
    <row r="26" spans="1:24" x14ac:dyDescent="0.3">
      <c r="B26" s="9" t="str">
        <f>'5.2 Budgeted Enrollment YR2'!E23</f>
        <v>Storey</v>
      </c>
      <c r="D26" s="389" t="str">
        <f>IF('6.9 PCFP Funding Comparison YR2'!K22="Yes","PCFP","FY 2020 Baseline")</f>
        <v>FY 2020 Baseline</v>
      </c>
      <c r="E26" s="1571">
        <f>ROUND(IF(D26="PCFP",'6.8 Alloc of Residual Rev. YR2'!G28,('6.9 PCFP Funding Comparison YR2'!T22-SUM(J26,P26,R26))),0)</f>
        <v>9625861</v>
      </c>
      <c r="F26" s="149"/>
      <c r="G26" s="1873">
        <f>IF(D26="PCFP",'6.8 Alloc of Residual Rev. YR2'!J28,('1.4 FY 2020 Revenue Received'!S22/2)+'1.4 FY 2020 Revenue Received'!T22)</f>
        <v>13800</v>
      </c>
      <c r="H26" s="1872">
        <f>IF(D26="PCFP",'6.8 Alloc of Residual Rev. YR2'!K28,('1.4 FY 2020 Revenue Received'!S22/2)+'1.4 FY 2020 Revenue Received'!U22)</f>
        <v>13800</v>
      </c>
      <c r="I26" s="1874">
        <f>IF(D26="PCFP",'6.8 Alloc of Residual Rev. YR2'!L28,'1.4 FY 2020 Revenue Received'!V22)</f>
        <v>0</v>
      </c>
      <c r="J26" s="1872">
        <f t="shared" si="2"/>
        <v>27600</v>
      </c>
      <c r="K26" s="149"/>
      <c r="L26" s="1872">
        <f>IF(D26="PCFP",SUM('6.1 Auxiliary Services YR2'!D26:E26),'1.4 FY 2020 Revenue Received'!W22)</f>
        <v>547375</v>
      </c>
      <c r="M26" s="1872">
        <f>'6.1 Auxiliary Services YR2'!F26</f>
        <v>0</v>
      </c>
      <c r="N26" s="1872">
        <f>IF(D26="PCFP",SUM('6.1 Auxiliary Services YR2'!G26:H26),'1.4 FY 2020 Revenue Received'!X22)</f>
        <v>23002</v>
      </c>
      <c r="O26" s="1872">
        <f>'6.1 Auxiliary Services YR2'!I26</f>
        <v>0</v>
      </c>
      <c r="P26" s="1872">
        <f t="shared" si="0"/>
        <v>570377</v>
      </c>
      <c r="Q26" s="149"/>
      <c r="R26" s="1875">
        <f>IF(D26="PCFP",'6.8 Alloc of Residual Rev. YR2'!I28,'1.4 FY 2020 Revenue Received'!Y22)</f>
        <v>55048</v>
      </c>
      <c r="S26" s="149"/>
      <c r="T26" s="1876">
        <f t="shared" si="1"/>
        <v>10278886</v>
      </c>
      <c r="U26" s="149"/>
      <c r="V26" s="1876">
        <f>T26-'2.9 PCFP Funding Comparison YR1'!H22</f>
        <v>-1104337</v>
      </c>
      <c r="W26" s="131">
        <f>ROUND(IF(D26="PCFP",'6.9 PCFP Funding Comparison YR2'!S22,'6.9 PCFP Funding Comparison YR2'!T22)-T26,2)</f>
        <v>0</v>
      </c>
      <c r="X26" s="195"/>
    </row>
    <row r="27" spans="1:24" x14ac:dyDescent="0.3">
      <c r="B27" s="9" t="str">
        <f>'5.2 Budgeted Enrollment YR2'!E24</f>
        <v>Washoe</v>
      </c>
      <c r="D27" s="389" t="str">
        <f>IF('6.9 PCFP Funding Comparison YR2'!K23="Yes","PCFP","FY 2020 Baseline")</f>
        <v>PCFP</v>
      </c>
      <c r="E27" s="1571">
        <f>ROUND(IF(D27="PCFP",'6.8 Alloc of Residual Rev. YR2'!G29,('6.9 PCFP Funding Comparison YR2'!T23-SUM(J27,P27,R27))),0)</f>
        <v>576216093</v>
      </c>
      <c r="F27" s="149"/>
      <c r="G27" s="1873">
        <f>IF(D27="PCFP",'6.8 Alloc of Residual Rev. YR2'!J29,('1.4 FY 2020 Revenue Received'!S23/2)+'1.4 FY 2020 Revenue Received'!T23)</f>
        <v>28802462</v>
      </c>
      <c r="H27" s="1872">
        <f>IF(D27="PCFP",'6.8 Alloc of Residual Rev. YR2'!K29,('1.4 FY 2020 Revenue Received'!S23/2)+'1.4 FY 2020 Revenue Received'!U23)</f>
        <v>14636406</v>
      </c>
      <c r="I27" s="1874">
        <f>IF(D27="PCFP",'6.8 Alloc of Residual Rev. YR2'!L29,'1.4 FY 2020 Revenue Received'!V23)</f>
        <v>1475471</v>
      </c>
      <c r="J27" s="1872">
        <f t="shared" si="2"/>
        <v>44914339</v>
      </c>
      <c r="K27" s="149"/>
      <c r="L27" s="1872">
        <f>IF(D27="PCFP",SUM('6.1 Auxiliary Services YR2'!D27:E27),'1.4 FY 2020 Revenue Received'!W23)</f>
        <v>25630842</v>
      </c>
      <c r="M27" s="1872">
        <f>'6.1 Auxiliary Services YR2'!F27</f>
        <v>0</v>
      </c>
      <c r="N27" s="1872">
        <f>IF(D27="PCFP",SUM('6.1 Auxiliary Services YR2'!G27:H27),'1.4 FY 2020 Revenue Received'!X23)</f>
        <v>0</v>
      </c>
      <c r="O27" s="1872">
        <f>'6.1 Auxiliary Services YR2'!I27</f>
        <v>0</v>
      </c>
      <c r="P27" s="1872">
        <f t="shared" si="0"/>
        <v>25630842</v>
      </c>
      <c r="Q27" s="149"/>
      <c r="R27" s="1875">
        <f>IF(D27="PCFP",'6.8 Alloc of Residual Rev. YR2'!I29,'1.4 FY 2020 Revenue Received'!Y23)</f>
        <v>70479875</v>
      </c>
      <c r="S27" s="149"/>
      <c r="T27" s="1876">
        <f t="shared" si="1"/>
        <v>717241149</v>
      </c>
      <c r="U27" s="149"/>
      <c r="V27" s="1876">
        <f>T27-'2.9 PCFP Funding Comparison YR1'!H23</f>
        <v>183354248</v>
      </c>
      <c r="W27" s="131">
        <f>ROUND(IF(D27="PCFP",'6.9 PCFP Funding Comparison YR2'!S23,'6.9 PCFP Funding Comparison YR2'!T23)-T27,2)</f>
        <v>0</v>
      </c>
    </row>
    <row r="28" spans="1:24" x14ac:dyDescent="0.3">
      <c r="A28" s="137"/>
      <c r="B28" s="137" t="str">
        <f>'5.2 Budgeted Enrollment YR2'!E25</f>
        <v>White Pine</v>
      </c>
      <c r="C28" s="137"/>
      <c r="D28" s="390" t="str">
        <f>IF('6.9 PCFP Funding Comparison YR2'!K24="Yes","PCFP","FY 2020 Baseline")</f>
        <v>PCFP</v>
      </c>
      <c r="E28" s="1574">
        <f>ROUND(IF(D28="PCFP",'6.8 Alloc of Residual Rev. YR2'!G30,('6.9 PCFP Funding Comparison YR2'!T24-SUM(J28,P28,R28))),0)</f>
        <v>18701836</v>
      </c>
      <c r="F28" s="149"/>
      <c r="G28" s="1877">
        <f>IF(D28="PCFP",'6.8 Alloc of Residual Rev. YR2'!J30,('1.4 FY 2020 Revenue Received'!S24/2)+'1.4 FY 2020 Revenue Received'!T24)</f>
        <v>64139</v>
      </c>
      <c r="H28" s="1878">
        <f>IF(D28="PCFP",'6.8 Alloc of Residual Rev. YR2'!K30,('1.4 FY 2020 Revenue Received'!S24/2)+'1.4 FY 2020 Revenue Received'!U24)</f>
        <v>399084</v>
      </c>
      <c r="I28" s="1879">
        <f>IF(D28="PCFP",'6.8 Alloc of Residual Rev. YR2'!L30,'1.4 FY 2020 Revenue Received'!V24)</f>
        <v>0</v>
      </c>
      <c r="J28" s="1878">
        <f t="shared" si="2"/>
        <v>463223</v>
      </c>
      <c r="K28" s="149"/>
      <c r="L28" s="1878">
        <f>IF(D28="PCFP",SUM('6.1 Auxiliary Services YR2'!D28:E28),'1.4 FY 2020 Revenue Received'!W24)</f>
        <v>1312803</v>
      </c>
      <c r="M28" s="1878">
        <f>'6.1 Auxiliary Services YR2'!F28</f>
        <v>0</v>
      </c>
      <c r="N28" s="1878">
        <f>IF(D28="PCFP",SUM('6.1 Auxiliary Services YR2'!G28:H28),'1.4 FY 2020 Revenue Received'!X24)</f>
        <v>29539</v>
      </c>
      <c r="O28" s="1872">
        <f>'6.1 Auxiliary Services YR2'!I28</f>
        <v>0</v>
      </c>
      <c r="P28" s="1878">
        <f t="shared" si="0"/>
        <v>1342342</v>
      </c>
      <c r="Q28" s="149"/>
      <c r="R28" s="1875">
        <f>IF(D28="PCFP",'6.8 Alloc of Residual Rev. YR2'!I30,'1.4 FY 2020 Revenue Received'!Y24)</f>
        <v>1129956</v>
      </c>
      <c r="S28" s="149"/>
      <c r="T28" s="1876">
        <f t="shared" si="1"/>
        <v>21637357</v>
      </c>
      <c r="U28" s="149"/>
      <c r="V28" s="1667">
        <f>T28-'2.9 PCFP Funding Comparison YR1'!H24</f>
        <v>6406784</v>
      </c>
      <c r="W28" s="131">
        <f>ROUND(IF(D28="PCFP",'6.9 PCFP Funding Comparison YR2'!S24,'6.9 PCFP Funding Comparison YR2'!T24)-T28,2)</f>
        <v>0</v>
      </c>
    </row>
    <row r="29" spans="1:24" x14ac:dyDescent="0.3">
      <c r="B29" s="9" t="str">
        <f>'5.2 Budgeted Enrollment YR2'!E26</f>
        <v>Charter Schools</v>
      </c>
      <c r="D29" s="389" t="str">
        <f>IF('6.9 PCFP Funding Comparison YR2'!K25="Yes","PCFP","FY 2020 Baseline")</f>
        <v>PCFP</v>
      </c>
      <c r="E29" s="1571">
        <f>ROUND(IF(D29="PCFP",'6.8 Alloc of Residual Rev. YR2'!G31,('6.9 PCFP Funding Comparison YR2'!T25)),0)</f>
        <v>689476468</v>
      </c>
      <c r="F29" s="149"/>
      <c r="G29" s="2061">
        <f>G99</f>
        <v>27297350</v>
      </c>
      <c r="H29" s="1881">
        <f>H99</f>
        <v>6674683</v>
      </c>
      <c r="I29" s="2061">
        <f>I99</f>
        <v>1700097</v>
      </c>
      <c r="J29" s="2061">
        <f>J99</f>
        <v>35672130</v>
      </c>
      <c r="K29" s="149"/>
      <c r="L29" s="2061">
        <f>L99</f>
        <v>0</v>
      </c>
      <c r="M29" s="1881">
        <f>M99</f>
        <v>0</v>
      </c>
      <c r="N29" s="2061">
        <f>N99</f>
        <v>0</v>
      </c>
      <c r="O29" s="2061">
        <f>O99</f>
        <v>0</v>
      </c>
      <c r="P29" s="1872">
        <f t="shared" si="0"/>
        <v>0</v>
      </c>
      <c r="Q29" s="149"/>
      <c r="R29" s="2062">
        <f>R99</f>
        <v>24608056</v>
      </c>
      <c r="S29" s="149"/>
      <c r="T29" s="2177">
        <f t="shared" si="1"/>
        <v>749756654</v>
      </c>
      <c r="U29" s="149"/>
      <c r="V29" s="1876">
        <f>T29-'2.9 PCFP Funding Comparison YR1'!H25</f>
        <v>315950130</v>
      </c>
      <c r="W29" s="131">
        <f>ROUND(IF(D29="PCFP",'6.9 PCFP Funding Comparison YR2'!S25,'6.9 PCFP Funding Comparison YR2'!T25)-T29,2)</f>
        <v>28000000</v>
      </c>
    </row>
    <row r="30" spans="1:24" x14ac:dyDescent="0.3">
      <c r="B30" s="9" t="str">
        <f>'5.2 Budgeted Enrollment YR2'!E27</f>
        <v>University Schools</v>
      </c>
      <c r="D30" s="389" t="str">
        <f>IF('6.9 PCFP Funding Comparison YR2'!K26="Yes","PCFP","FY 2020 Baseline")</f>
        <v>PCFP</v>
      </c>
      <c r="E30" s="1571">
        <f>ROUND(IF(D30="PCFP",'6.8 Alloc of Residual Rev. YR2'!G32,('6.9 PCFP Funding Comparison YR2'!T26)),0)</f>
        <v>1595237</v>
      </c>
      <c r="F30" s="149"/>
      <c r="G30" s="1872">
        <f>G104</f>
        <v>0</v>
      </c>
      <c r="H30" s="1881">
        <f>H104</f>
        <v>0</v>
      </c>
      <c r="I30" s="1872">
        <f>I104</f>
        <v>0</v>
      </c>
      <c r="J30" s="1872">
        <f>J104</f>
        <v>0</v>
      </c>
      <c r="K30" s="149"/>
      <c r="L30" s="1872">
        <f>L104</f>
        <v>0</v>
      </c>
      <c r="M30" s="1881">
        <f>M104</f>
        <v>0</v>
      </c>
      <c r="N30" s="1872">
        <f>N104</f>
        <v>0</v>
      </c>
      <c r="O30" s="1872"/>
      <c r="P30" s="1872">
        <f t="shared" si="0"/>
        <v>0</v>
      </c>
      <c r="Q30" s="149"/>
      <c r="R30" s="1875">
        <f>R104</f>
        <v>52268</v>
      </c>
      <c r="S30" s="149"/>
      <c r="T30" s="1876">
        <f t="shared" si="1"/>
        <v>1647505</v>
      </c>
      <c r="U30" s="149"/>
      <c r="V30" s="1876">
        <f>T30-'2.9 PCFP Funding Comparison YR1'!H26</f>
        <v>486099</v>
      </c>
      <c r="W30" s="131">
        <f>ROUND(IF(D30="PCFP",'6.9 PCFP Funding Comparison YR2'!S26,'6.9 PCFP Funding Comparison YR2'!T26)-T30,2)</f>
        <v>0</v>
      </c>
    </row>
    <row r="31" spans="1:24" x14ac:dyDescent="0.3">
      <c r="B31" s="9" t="str">
        <f>'5.2 Budgeted Enrollment YR2'!E28</f>
        <v>City of Henderson</v>
      </c>
      <c r="D31" s="389" t="str">
        <f>IF('6.9 PCFP Funding Comparison YR2'!K27="Yes","PCFP","FY 2020 Baseline")</f>
        <v>PCFP</v>
      </c>
      <c r="E31" s="1571">
        <f>E110</f>
        <v>0</v>
      </c>
      <c r="F31" s="149"/>
      <c r="G31" s="1872">
        <f>G110</f>
        <v>0</v>
      </c>
      <c r="H31" s="1874">
        <f>H110</f>
        <v>0</v>
      </c>
      <c r="I31" s="1872">
        <f>I110</f>
        <v>0</v>
      </c>
      <c r="J31" s="1872">
        <f>J110</f>
        <v>0</v>
      </c>
      <c r="K31" s="149"/>
      <c r="L31" s="1872">
        <f>L110</f>
        <v>0</v>
      </c>
      <c r="M31" s="1874">
        <f>M110</f>
        <v>0</v>
      </c>
      <c r="N31" s="1872">
        <f>N110</f>
        <v>0</v>
      </c>
      <c r="O31" s="1872"/>
      <c r="P31" s="1872">
        <f t="shared" si="0"/>
        <v>0</v>
      </c>
      <c r="Q31" s="149"/>
      <c r="R31" s="1875">
        <f>R110</f>
        <v>0</v>
      </c>
      <c r="S31" s="149"/>
      <c r="T31" s="1876">
        <f t="shared" si="1"/>
        <v>0</v>
      </c>
      <c r="U31" s="149"/>
      <c r="V31" s="1876">
        <f>T31-'2.9 PCFP Funding Comparison YR1'!H27</f>
        <v>0</v>
      </c>
      <c r="W31" s="131"/>
    </row>
    <row r="32" spans="1:24" x14ac:dyDescent="0.3">
      <c r="A32" s="137"/>
      <c r="B32" s="137" t="str">
        <f>'5.2 Budgeted Enrollment YR2'!E29</f>
        <v>City of North Las Vegas</v>
      </c>
      <c r="C32" s="137"/>
      <c r="D32" s="390" t="str">
        <f>IF('6.9 PCFP Funding Comparison YR2'!K28="Yes","PCFP","FY 2020 Baseline")</f>
        <v>PCFP</v>
      </c>
      <c r="E32" s="1878">
        <f>E116</f>
        <v>0</v>
      </c>
      <c r="F32" s="149"/>
      <c r="G32" s="1878">
        <f>G116</f>
        <v>0</v>
      </c>
      <c r="H32" s="1879">
        <f>H116</f>
        <v>0</v>
      </c>
      <c r="I32" s="1878">
        <f>I116</f>
        <v>0</v>
      </c>
      <c r="J32" s="1878">
        <f>J116</f>
        <v>0</v>
      </c>
      <c r="K32" s="149"/>
      <c r="L32" s="1878">
        <f>L116</f>
        <v>0</v>
      </c>
      <c r="M32" s="1879">
        <f>M116</f>
        <v>0</v>
      </c>
      <c r="N32" s="1878">
        <f>N116</f>
        <v>0</v>
      </c>
      <c r="O32" s="1878"/>
      <c r="P32" s="1872">
        <f t="shared" si="0"/>
        <v>0</v>
      </c>
      <c r="Q32" s="149"/>
      <c r="R32" s="1880">
        <f>R116</f>
        <v>0</v>
      </c>
      <c r="S32" s="149"/>
      <c r="T32" s="1876">
        <f t="shared" si="1"/>
        <v>0</v>
      </c>
      <c r="U32" s="149"/>
      <c r="V32" s="1667">
        <f>T32-'2.9 PCFP Funding Comparison YR1'!H28</f>
        <v>0</v>
      </c>
      <c r="W32" s="131"/>
    </row>
    <row r="33" spans="1:24" x14ac:dyDescent="0.3">
      <c r="A33" s="4"/>
      <c r="B33" s="4" t="s">
        <v>1354</v>
      </c>
      <c r="C33" s="4"/>
      <c r="D33" s="4"/>
      <c r="E33" s="1882">
        <f>SUM(E12:E32)</f>
        <v>4564607562</v>
      </c>
      <c r="F33" s="149"/>
      <c r="G33" s="1882">
        <f>SUM(G12:G32)</f>
        <v>234818305</v>
      </c>
      <c r="H33" s="1882">
        <f>SUM(H12:H32)</f>
        <v>166517923</v>
      </c>
      <c r="I33" s="1882">
        <f>SUM(I12:I32)</f>
        <v>9945172</v>
      </c>
      <c r="J33" s="1882">
        <f>SUM(J12:J32)</f>
        <v>411281400</v>
      </c>
      <c r="K33" s="149"/>
      <c r="L33" s="1882">
        <f>SUM(L12:L32)</f>
        <v>192112974</v>
      </c>
      <c r="M33" s="1882">
        <f>SUM(M12:M32)</f>
        <v>0</v>
      </c>
      <c r="N33" s="1882">
        <f>SUM(N12:N32)</f>
        <v>1499704</v>
      </c>
      <c r="O33" s="1882">
        <f>SUM(O12:O32)</f>
        <v>0</v>
      </c>
      <c r="P33" s="1882">
        <f>SUM(P12:P32)</f>
        <v>193612678</v>
      </c>
      <c r="Q33" s="149"/>
      <c r="R33" s="1882">
        <f>SUM(R12:R32)</f>
        <v>599829442</v>
      </c>
      <c r="S33" s="149"/>
      <c r="T33" s="1669">
        <f>SUM(T12:T32)</f>
        <v>5769331082</v>
      </c>
      <c r="U33" s="149"/>
      <c r="W33" s="131">
        <f>SUM(W12:W32)</f>
        <v>28000000</v>
      </c>
      <c r="X33" s="9" t="s">
        <v>2239</v>
      </c>
    </row>
    <row r="34" spans="1:24" x14ac:dyDescent="0.3">
      <c r="B34" s="192"/>
      <c r="C34" s="191"/>
      <c r="D34" s="191"/>
      <c r="E34" s="193"/>
      <c r="F34" s="149"/>
      <c r="G34" s="193"/>
      <c r="H34" s="193"/>
      <c r="I34" s="193"/>
      <c r="J34" s="193"/>
      <c r="K34" s="149"/>
      <c r="L34" s="193"/>
      <c r="M34" s="193"/>
      <c r="N34" s="193"/>
      <c r="O34" s="193"/>
      <c r="P34" s="193"/>
      <c r="Q34" s="149"/>
      <c r="R34" s="193"/>
      <c r="S34" s="149"/>
      <c r="T34" s="2329"/>
      <c r="U34" s="149"/>
      <c r="V34" s="1874">
        <f>ROUND('5.3 Budgeted Revenues YR2'!C40-T33,0)</f>
        <v>-8246766</v>
      </c>
      <c r="W34" s="9" t="s">
        <v>1647</v>
      </c>
    </row>
    <row r="35" spans="1:24" s="4" customFormat="1" x14ac:dyDescent="0.3">
      <c r="A35" s="135"/>
      <c r="B35" s="135"/>
      <c r="C35" s="1439" t="s">
        <v>1346</v>
      </c>
      <c r="D35" s="1440" t="str">
        <f>D10</f>
        <v>Tab 6.9</v>
      </c>
      <c r="E35" s="1883" t="str">
        <f t="shared" ref="E35:T35" si="3">E10</f>
        <v>Tab 6.8 / 6.9</v>
      </c>
      <c r="F35" s="149"/>
      <c r="G35" s="1883" t="str">
        <f t="shared" si="3"/>
        <v>Tab 6.8 / 1.4</v>
      </c>
      <c r="H35" s="1883" t="str">
        <f t="shared" si="3"/>
        <v>Tab 6.8 / 1.4</v>
      </c>
      <c r="I35" s="1883" t="str">
        <f t="shared" si="3"/>
        <v>Tab 6.8 / 1.4</v>
      </c>
      <c r="J35" s="1883" t="str">
        <f t="shared" si="3"/>
        <v>= F + G + H</v>
      </c>
      <c r="K35" s="149"/>
      <c r="L35" s="1883" t="str">
        <f t="shared" si="3"/>
        <v>Tab 6.1 / 1.4</v>
      </c>
      <c r="M35" s="1883" t="str">
        <f t="shared" si="3"/>
        <v>Tab 6.1</v>
      </c>
      <c r="N35" s="1883" t="str">
        <f t="shared" si="3"/>
        <v>Tab 6.1 / 1.4</v>
      </c>
      <c r="O35" s="1883"/>
      <c r="P35" s="1883" t="str">
        <f t="shared" si="3"/>
        <v>= M + N + O</v>
      </c>
      <c r="Q35" s="149"/>
      <c r="R35" s="1883" t="str">
        <f t="shared" si="3"/>
        <v>Tab 6.8 / 1.4</v>
      </c>
      <c r="S35" s="149"/>
      <c r="T35" s="1884" t="str">
        <f t="shared" si="3"/>
        <v>= E + J + P + R</v>
      </c>
      <c r="U35" s="149"/>
      <c r="V35" s="2200">
        <f>V34/T33</f>
        <v>-1.4294145859871802E-3</v>
      </c>
      <c r="W35" s="2192" t="s">
        <v>1653</v>
      </c>
    </row>
    <row r="36" spans="1:24" x14ac:dyDescent="0.3">
      <c r="A36" s="4" t="s">
        <v>1654</v>
      </c>
      <c r="E36" s="2028"/>
      <c r="F36" s="149"/>
      <c r="G36" s="1885"/>
      <c r="H36" s="1886"/>
      <c r="I36" s="1886"/>
      <c r="J36" s="2028"/>
      <c r="K36" s="149"/>
      <c r="L36" s="1885"/>
      <c r="M36" s="2028"/>
      <c r="N36" s="1886"/>
      <c r="O36" s="1886"/>
      <c r="P36" s="2028"/>
      <c r="Q36" s="149"/>
      <c r="R36" s="2028"/>
      <c r="S36" s="149"/>
      <c r="T36" s="229"/>
      <c r="U36" s="149"/>
      <c r="V36" s="2201">
        <f>1+V35</f>
        <v>0.99857058541401278</v>
      </c>
      <c r="W36" s="2192" t="s">
        <v>1655</v>
      </c>
    </row>
    <row r="37" spans="1:24" x14ac:dyDescent="0.3">
      <c r="A37" s="4"/>
      <c r="B37" s="9" t="str">
        <f>'5.2 Budgeted Enrollment YR2'!E34</f>
        <v>FuturEdge (Formerly 100 Academy Of Excellence)</v>
      </c>
      <c r="D37" s="9" t="str">
        <f>IF('2.9 PCFP Funding Comparison YR1'!$K$25="Yes","PCFP","FY 2020 Baseline")</f>
        <v>PCFP</v>
      </c>
      <c r="E37" s="1872">
        <f>ROUND(IF(D37="PCFP",'6.8 Alloc of Residual Rev. YR2'!G38,'1.4 FY 2020 Revenue Received'!Z32),0)</f>
        <v>2288665</v>
      </c>
      <c r="F37" s="149"/>
      <c r="G37" s="1873">
        <f>ROUND(IF(D37="PCFP",'6.8 Alloc of Residual Rev. YR2'!J38,('1.4 FY 2020 Revenue Received'!S32)+'1.4 FY 2020 Revenue Received'!T32),0)</f>
        <v>115449</v>
      </c>
      <c r="H37" s="1874">
        <f>ROUND(IF(D37="PCFP",'6.8 Alloc of Residual Rev. YR2'!K38,('1.4 FY 2020 Revenue Received'!S32)+'1.4 FY 2020 Revenue Received'!U32),0)</f>
        <v>262730</v>
      </c>
      <c r="I37" s="1874">
        <f>ROUND(IF(D37="PCFP",'6.8 Alloc of Residual Rev. YR2'!L38,'1.4 FY 2020 Revenue Received'!V32),0)</f>
        <v>0</v>
      </c>
      <c r="J37" s="1876">
        <f>SUM(G37:I37)</f>
        <v>378179</v>
      </c>
      <c r="K37" s="149"/>
      <c r="L37" s="671">
        <f>'6.1 Auxiliary Services YR2'!G83</f>
        <v>0</v>
      </c>
      <c r="M37" s="1887">
        <v>0</v>
      </c>
      <c r="N37" s="796">
        <v>0</v>
      </c>
      <c r="O37" s="796"/>
      <c r="P37" s="1872">
        <f>SUM(L37:N37)</f>
        <v>0</v>
      </c>
      <c r="Q37" s="149"/>
      <c r="R37" s="1875">
        <f>ROUND(IF(D37="PCFP",'6.8 Alloc of Residual Rev. YR2'!I38,'1.4 FY 2020 Revenue Received'!Y32),0)</f>
        <v>190820</v>
      </c>
      <c r="S37" s="149"/>
      <c r="T37" s="1872">
        <f t="shared" ref="T37:T68" si="4">P37+J37+E37+R37</f>
        <v>2857664</v>
      </c>
      <c r="U37" s="149"/>
    </row>
    <row r="38" spans="1:24" x14ac:dyDescent="0.3">
      <c r="A38" s="4"/>
      <c r="B38" s="9" t="str">
        <f>'5.2 Budgeted Enrollment YR2'!E35</f>
        <v>Academy For Career Education</v>
      </c>
      <c r="D38" s="9" t="str">
        <f>IF('2.9 PCFP Funding Comparison YR1'!$K$25="Yes","PCFP","FY 2020 Baseline")</f>
        <v>PCFP</v>
      </c>
      <c r="E38" s="1872">
        <f>ROUND(IF(D38="PCFP",'6.8 Alloc of Residual Rev. YR2'!G39,'1.4 FY 2020 Revenue Received'!Z33),0)</f>
        <v>2409504</v>
      </c>
      <c r="F38" s="149"/>
      <c r="G38" s="1873">
        <f>ROUND(IF(D38="PCFP",'6.8 Alloc of Residual Rev. YR2'!J39,('1.4 FY 2020 Revenue Received'!S33)+'1.4 FY 2020 Revenue Received'!T33),0)</f>
        <v>115449</v>
      </c>
      <c r="H38" s="1874">
        <f>ROUND(IF(D38="PCFP",'6.8 Alloc of Residual Rev. YR2'!K39,('1.4 FY 2020 Revenue Received'!S33)+'1.4 FY 2020 Revenue Received'!U33),0)</f>
        <v>13303</v>
      </c>
      <c r="I38" s="1874">
        <f>ROUND(IF(D38="PCFP",'6.8 Alloc of Residual Rev. YR2'!L39,'1.4 FY 2020 Revenue Received'!V33),0)</f>
        <v>0</v>
      </c>
      <c r="J38" s="1876">
        <f t="shared" ref="J38:J98" si="5">SUM(G38:I38)</f>
        <v>128752</v>
      </c>
      <c r="K38" s="149"/>
      <c r="L38" s="671">
        <f>'6.1 Auxiliary Services YR2'!G84</f>
        <v>0</v>
      </c>
      <c r="M38" s="1887">
        <v>0</v>
      </c>
      <c r="N38" s="796">
        <v>0</v>
      </c>
      <c r="O38" s="796"/>
      <c r="P38" s="1872">
        <f t="shared" ref="P38:P98" si="6">SUM(L38:N38)</f>
        <v>0</v>
      </c>
      <c r="Q38" s="149"/>
      <c r="R38" s="1875">
        <f>ROUND(IF(D38="PCFP",'6.8 Alloc of Residual Rev. YR2'!I39,'1.4 FY 2020 Revenue Received'!Y33),0)</f>
        <v>0</v>
      </c>
      <c r="S38" s="149"/>
      <c r="T38" s="1872">
        <f t="shared" si="4"/>
        <v>2538256</v>
      </c>
      <c r="U38" s="149"/>
    </row>
    <row r="39" spans="1:24" x14ac:dyDescent="0.3">
      <c r="A39" s="4"/>
      <c r="B39" s="9" t="str">
        <f>'5.2 Budgeted Enrollment YR2'!E36</f>
        <v xml:space="preserve">Alpine Academy </v>
      </c>
      <c r="D39" s="9" t="str">
        <f>IF('2.9 PCFP Funding Comparison YR1'!$K$25="Yes","PCFP","FY 2020 Baseline")</f>
        <v>PCFP</v>
      </c>
      <c r="E39" s="1872">
        <f>ROUND(IF(D39="PCFP",'6.8 Alloc of Residual Rev. YR2'!G40,'1.4 FY 2020 Revenue Received'!Z34),0)</f>
        <v>1561354</v>
      </c>
      <c r="F39" s="149"/>
      <c r="G39" s="1873">
        <f>ROUND(IF(D39="PCFP",'6.8 Alloc of Residual Rev. YR2'!J40,('1.4 FY 2020 Revenue Received'!S34)+'1.4 FY 2020 Revenue Received'!T34),0)</f>
        <v>21380</v>
      </c>
      <c r="H39" s="1874">
        <f>ROUND(IF(D39="PCFP",'6.8 Alloc of Residual Rev. YR2'!K40,('1.4 FY 2020 Revenue Received'!S34)+'1.4 FY 2020 Revenue Received'!U34),0)</f>
        <v>26606</v>
      </c>
      <c r="I39" s="1874">
        <f>ROUND(IF(D39="PCFP",'6.8 Alloc of Residual Rev. YR2'!L40,'1.4 FY 2020 Revenue Received'!V34),0)</f>
        <v>0</v>
      </c>
      <c r="J39" s="1876">
        <f t="shared" si="5"/>
        <v>47986</v>
      </c>
      <c r="K39" s="149"/>
      <c r="L39" s="671">
        <f>'6.1 Auxiliary Services YR2'!G85</f>
        <v>0</v>
      </c>
      <c r="M39" s="1887">
        <v>0</v>
      </c>
      <c r="N39" s="796">
        <v>0</v>
      </c>
      <c r="O39" s="796"/>
      <c r="P39" s="1872">
        <f t="shared" si="6"/>
        <v>0</v>
      </c>
      <c r="Q39" s="149"/>
      <c r="R39" s="1875">
        <f>ROUND(IF(D39="PCFP",'6.8 Alloc of Residual Rev. YR2'!I40,'1.4 FY 2020 Revenue Received'!Y34),0)</f>
        <v>30681</v>
      </c>
      <c r="S39" s="149"/>
      <c r="T39" s="1872">
        <f t="shared" si="4"/>
        <v>1640021</v>
      </c>
      <c r="U39" s="149"/>
      <c r="V39" s="2188" t="s">
        <v>2232</v>
      </c>
      <c r="W39" s="2189">
        <f>E33+J33</f>
        <v>4975888962</v>
      </c>
    </row>
    <row r="40" spans="1:24" x14ac:dyDescent="0.3">
      <c r="A40" s="4"/>
      <c r="B40" s="9" t="str">
        <f>'5.2 Budgeted Enrollment YR2'!E37</f>
        <v xml:space="preserve">Amplus (Formerly American Preparatory Academy) </v>
      </c>
      <c r="D40" s="9" t="str">
        <f>IF('2.9 PCFP Funding Comparison YR1'!$K$25="Yes","PCFP","FY 2020 Baseline")</f>
        <v>PCFP</v>
      </c>
      <c r="E40" s="1872">
        <f>ROUND(IF(D40="PCFP",'6.8 Alloc of Residual Rev. YR2'!G41,'1.4 FY 2020 Revenue Received'!Z35),0)</f>
        <v>22509299</v>
      </c>
      <c r="F40" s="149"/>
      <c r="G40" s="1873">
        <f>ROUND(IF(D40="PCFP",'6.8 Alloc of Residual Rev. YR2'!J41,('1.4 FY 2020 Revenue Received'!S35)+'1.4 FY 2020 Revenue Received'!T35),0)</f>
        <v>637109</v>
      </c>
      <c r="H40" s="1874">
        <f>ROUND(IF(D40="PCFP",'6.8 Alloc of Residual Rev. YR2'!K41,('1.4 FY 2020 Revenue Received'!S35)+'1.4 FY 2020 Revenue Received'!U35),0)</f>
        <v>29931</v>
      </c>
      <c r="I40" s="1874">
        <f>ROUND(IF(D40="PCFP",'6.8 Alloc of Residual Rev. YR2'!L41,'1.4 FY 2020 Revenue Received'!V35),0)</f>
        <v>67274</v>
      </c>
      <c r="J40" s="1876">
        <f t="shared" si="5"/>
        <v>734314</v>
      </c>
      <c r="K40" s="149"/>
      <c r="L40" s="671">
        <f>'6.1 Auxiliary Services YR2'!G86</f>
        <v>0</v>
      </c>
      <c r="M40" s="1887">
        <v>0</v>
      </c>
      <c r="N40" s="796">
        <v>0</v>
      </c>
      <c r="O40" s="796"/>
      <c r="P40" s="1872">
        <f t="shared" si="6"/>
        <v>0</v>
      </c>
      <c r="Q40" s="149"/>
      <c r="R40" s="1875">
        <f>ROUND(IF(D40="PCFP",'6.8 Alloc of Residual Rev. YR2'!I41,'1.4 FY 2020 Revenue Received'!Y35),0)</f>
        <v>419964</v>
      </c>
      <c r="S40" s="149"/>
      <c r="T40" s="1872">
        <f t="shared" si="4"/>
        <v>23663577</v>
      </c>
      <c r="U40" s="149"/>
      <c r="V40" s="2188" t="s">
        <v>2233</v>
      </c>
      <c r="W40" s="2189">
        <f>'5.3 Budgeted Revenues YR2'!C40-'7.1a Initial Allocations YR2'!T33</f>
        <v>-8246766</v>
      </c>
    </row>
    <row r="41" spans="1:24" x14ac:dyDescent="0.3">
      <c r="A41" s="4"/>
      <c r="B41" s="9" t="str">
        <f>'5.2 Budgeted Enrollment YR2'!E38</f>
        <v>Bailey Charter School</v>
      </c>
      <c r="D41" s="9" t="str">
        <f>IF('2.9 PCFP Funding Comparison YR1'!$K$25="Yes","PCFP","FY 2020 Baseline")</f>
        <v>PCFP</v>
      </c>
      <c r="E41" s="1872">
        <f>ROUND(IF(D41="PCFP",'6.8 Alloc of Residual Rev. YR2'!G42,'1.4 FY 2020 Revenue Received'!Z36),0)</f>
        <v>1582456</v>
      </c>
      <c r="F41" s="149"/>
      <c r="G41" s="1873">
        <f>ROUND(IF(D41="PCFP",'6.8 Alloc of Residual Rev. YR2'!J42,('1.4 FY 2020 Revenue Received'!S36)+'1.4 FY 2020 Revenue Received'!T36),0)</f>
        <v>277934</v>
      </c>
      <c r="H41" s="1874">
        <f>ROUND(IF(D41="PCFP",'6.8 Alloc of Residual Rev. YR2'!K42,('1.4 FY 2020 Revenue Received'!S36)+'1.4 FY 2020 Revenue Received'!U36),0)</f>
        <v>103097</v>
      </c>
      <c r="I41" s="1874">
        <f>ROUND(IF(D41="PCFP",'6.8 Alloc of Residual Rev. YR2'!L42,'1.4 FY 2020 Revenue Received'!V36),0)</f>
        <v>0</v>
      </c>
      <c r="J41" s="1876">
        <f t="shared" si="5"/>
        <v>381031</v>
      </c>
      <c r="K41" s="149"/>
      <c r="L41" s="671">
        <f>'6.1 Auxiliary Services YR2'!G87</f>
        <v>0</v>
      </c>
      <c r="M41" s="1887">
        <v>0</v>
      </c>
      <c r="N41" s="796">
        <v>0</v>
      </c>
      <c r="O41" s="796"/>
      <c r="P41" s="1872">
        <f t="shared" si="6"/>
        <v>0</v>
      </c>
      <c r="Q41" s="149"/>
      <c r="R41" s="1875">
        <f>ROUND(IF(D41="PCFP",'6.8 Alloc of Residual Rev. YR2'!I42,'1.4 FY 2020 Revenue Received'!Y36),0)</f>
        <v>33894</v>
      </c>
      <c r="S41" s="149"/>
      <c r="T41" s="1872">
        <f t="shared" si="4"/>
        <v>1997381</v>
      </c>
      <c r="U41" s="149"/>
      <c r="V41" s="2188" t="s">
        <v>1653</v>
      </c>
      <c r="W41" s="2190">
        <f>W40/W39</f>
        <v>-1.6573452629226899E-3</v>
      </c>
    </row>
    <row r="42" spans="1:24" x14ac:dyDescent="0.3">
      <c r="A42" s="4"/>
      <c r="B42" s="9" t="str">
        <f>'5.2 Budgeted Enrollment YR2'!E39</f>
        <v>Battle Born Academy</v>
      </c>
      <c r="D42" s="9" t="str">
        <f>IF('2.9 PCFP Funding Comparison YR1'!$K$25="Yes","PCFP","FY 2020 Baseline")</f>
        <v>PCFP</v>
      </c>
      <c r="E42" s="1872">
        <f>ROUND(IF(D42="PCFP",'6.8 Alloc of Residual Rev. YR2'!G43,'1.4 FY 2020 Revenue Received'!Z37),0)</f>
        <v>2570608</v>
      </c>
      <c r="F42" s="149"/>
      <c r="G42" s="1873">
        <f>ROUND(IF(D42="PCFP",'6.8 Alloc of Residual Rev. YR2'!J43,('1.4 FY 2020 Revenue Received'!S37)+'1.4 FY 2020 Revenue Received'!T37),0)</f>
        <v>602902</v>
      </c>
      <c r="H42" s="1874">
        <f>ROUND(IF(D42="PCFP",'6.8 Alloc of Residual Rev. YR2'!K43,('1.4 FY 2020 Revenue Received'!S37)+'1.4 FY 2020 Revenue Received'!U37),0)</f>
        <v>0</v>
      </c>
      <c r="I42" s="1874">
        <f>ROUND(IF(D42="PCFP",'6.8 Alloc of Residual Rev. YR2'!L43,'1.4 FY 2020 Revenue Received'!V37),0)</f>
        <v>0</v>
      </c>
      <c r="J42" s="1876">
        <f t="shared" si="5"/>
        <v>602902</v>
      </c>
      <c r="K42" s="149"/>
      <c r="L42" s="671">
        <f>'6.1 Auxiliary Services YR2'!G88</f>
        <v>0</v>
      </c>
      <c r="M42" s="1887">
        <v>0</v>
      </c>
      <c r="N42" s="796">
        <v>0</v>
      </c>
      <c r="O42" s="796"/>
      <c r="P42" s="1872">
        <f t="shared" si="6"/>
        <v>0</v>
      </c>
      <c r="Q42" s="149"/>
      <c r="R42" s="1875">
        <f>ROUND(IF(D42="PCFP",'6.8 Alloc of Residual Rev. YR2'!I43,'1.4 FY 2020 Revenue Received'!Y37),0)</f>
        <v>153810</v>
      </c>
      <c r="S42" s="149"/>
      <c r="T42" s="1872">
        <f t="shared" si="4"/>
        <v>3327320</v>
      </c>
      <c r="U42" s="149"/>
    </row>
    <row r="43" spans="1:24" x14ac:dyDescent="0.3">
      <c r="A43" s="4"/>
      <c r="B43" s="9" t="str">
        <f>'5.2 Budgeted Enrollment YR2'!E40</f>
        <v>Beacon Academy</v>
      </c>
      <c r="D43" s="9" t="str">
        <f>IF('2.9 PCFP Funding Comparison YR1'!$K$25="Yes","PCFP","FY 2020 Baseline")</f>
        <v>PCFP</v>
      </c>
      <c r="E43" s="1872">
        <f>ROUND(IF(D43="PCFP",'6.8 Alloc of Residual Rev. YR2'!G44,'1.4 FY 2020 Revenue Received'!Z38),0)</f>
        <v>8148147</v>
      </c>
      <c r="F43" s="149"/>
      <c r="G43" s="1873">
        <f>ROUND(IF(D43="PCFP",'6.8 Alloc of Residual Rev. YR2'!J44,('1.4 FY 2020 Revenue Received'!S38)+'1.4 FY 2020 Revenue Received'!T38),0)</f>
        <v>525936</v>
      </c>
      <c r="H43" s="1874">
        <f>ROUND(IF(D43="PCFP",'6.8 Alloc of Residual Rev. YR2'!K44,('1.4 FY 2020 Revenue Received'!S38)+'1.4 FY 2020 Revenue Received'!U38),0)</f>
        <v>868008</v>
      </c>
      <c r="I43" s="1874">
        <f>ROUND(IF(D43="PCFP",'6.8 Alloc of Residual Rev. YR2'!L44,'1.4 FY 2020 Revenue Received'!V38),0)</f>
        <v>0</v>
      </c>
      <c r="J43" s="1876">
        <f t="shared" si="5"/>
        <v>1393944</v>
      </c>
      <c r="K43" s="149"/>
      <c r="L43" s="671">
        <f>'6.1 Auxiliary Services YR2'!G89</f>
        <v>0</v>
      </c>
      <c r="M43" s="1887">
        <v>0</v>
      </c>
      <c r="N43" s="796">
        <v>0</v>
      </c>
      <c r="O43" s="796"/>
      <c r="P43" s="1872">
        <f t="shared" si="6"/>
        <v>0</v>
      </c>
      <c r="Q43" s="149"/>
      <c r="R43" s="1875">
        <f>ROUND(IF(D43="PCFP",'6.8 Alloc of Residual Rev. YR2'!I44,'1.4 FY 2020 Revenue Received'!Y38),0)</f>
        <v>801317</v>
      </c>
      <c r="S43" s="149"/>
      <c r="T43" s="1872">
        <f t="shared" si="4"/>
        <v>10343408</v>
      </c>
      <c r="U43" s="149"/>
    </row>
    <row r="44" spans="1:24" x14ac:dyDescent="0.3">
      <c r="A44" s="4"/>
      <c r="B44" s="9" t="str">
        <f>'5.2 Budgeted Enrollment YR2'!E41</f>
        <v>Cactus Park</v>
      </c>
      <c r="D44" s="9" t="str">
        <f>IF('2.9 PCFP Funding Comparison YR1'!$K$25="Yes","PCFP","FY 2020 Baseline")</f>
        <v>PCFP</v>
      </c>
      <c r="E44" s="1872">
        <f>ROUND(IF(D44="PCFP",'6.8 Alloc of Residual Rev. YR2'!G45,'1.4 FY 2020 Revenue Received'!Z39),0)</f>
        <v>2865731</v>
      </c>
      <c r="F44" s="149"/>
      <c r="G44" s="1873">
        <f>ROUND(IF(D44="PCFP",'6.8 Alloc of Residual Rev. YR2'!J45,('1.4 FY 2020 Revenue Received'!S39)+'1.4 FY 2020 Revenue Received'!T39),0)</f>
        <v>273658</v>
      </c>
      <c r="H44" s="1874">
        <f>ROUND(IF(D44="PCFP",'6.8 Alloc of Residual Rev. YR2'!K45,('1.4 FY 2020 Revenue Received'!S39)+'1.4 FY 2020 Revenue Received'!U39),0)</f>
        <v>0</v>
      </c>
      <c r="I44" s="1874">
        <f>ROUND(IF(D44="PCFP",'6.8 Alloc of Residual Rev. YR2'!L45,'1.4 FY 2020 Revenue Received'!V39),0)</f>
        <v>0</v>
      </c>
      <c r="J44" s="1876">
        <f t="shared" si="5"/>
        <v>273658</v>
      </c>
      <c r="K44" s="149"/>
      <c r="L44" s="671">
        <f>'6.1 Auxiliary Services YR2'!G90</f>
        <v>0</v>
      </c>
      <c r="M44" s="1887">
        <v>0</v>
      </c>
      <c r="N44" s="796">
        <v>0</v>
      </c>
      <c r="O44" s="796"/>
      <c r="P44" s="1872">
        <f t="shared" si="6"/>
        <v>0</v>
      </c>
      <c r="Q44" s="149"/>
      <c r="R44" s="1875">
        <f>ROUND(IF(D44="PCFP",'6.8 Alloc of Residual Rev. YR2'!I45,'1.4 FY 2020 Revenue Received'!Y39),0)</f>
        <v>31624</v>
      </c>
      <c r="S44" s="149"/>
      <c r="T44" s="1872">
        <f t="shared" si="4"/>
        <v>3171013</v>
      </c>
      <c r="U44" s="149"/>
    </row>
    <row r="45" spans="1:24" x14ac:dyDescent="0.3">
      <c r="A45" s="4"/>
      <c r="B45" s="9" t="str">
        <f>'5.2 Budgeted Enrollment YR2'!E42</f>
        <v>Carson Montessori</v>
      </c>
      <c r="D45" s="9" t="str">
        <f>IF('2.9 PCFP Funding Comparison YR1'!$K$25="Yes","PCFP","FY 2020 Baseline")</f>
        <v>PCFP</v>
      </c>
      <c r="E45" s="1872">
        <f>ROUND(IF(D45="PCFP",'6.8 Alloc of Residual Rev. YR2'!G46,'1.4 FY 2020 Revenue Received'!Z40),0)</f>
        <v>3028401</v>
      </c>
      <c r="F45" s="149"/>
      <c r="G45" s="1873">
        <f>ROUND(IF(D45="PCFP",'6.8 Alloc of Residual Rev. YR2'!J46,('1.4 FY 2020 Revenue Received'!S40)+'1.4 FY 2020 Revenue Received'!T40),0)</f>
        <v>21380</v>
      </c>
      <c r="H45" s="1874">
        <f>ROUND(IF(D45="PCFP",'6.8 Alloc of Residual Rev. YR2'!K46,('1.4 FY 2020 Revenue Received'!S40)+'1.4 FY 2020 Revenue Received'!U40),0)</f>
        <v>3326</v>
      </c>
      <c r="I45" s="1874">
        <f>ROUND(IF(D45="PCFP",'6.8 Alloc of Residual Rev. YR2'!L46,'1.4 FY 2020 Revenue Received'!V40),0)</f>
        <v>1140</v>
      </c>
      <c r="J45" s="1876">
        <f t="shared" si="5"/>
        <v>25846</v>
      </c>
      <c r="K45" s="149"/>
      <c r="L45" s="671">
        <f>'6.1 Auxiliary Services YR2'!G91</f>
        <v>0</v>
      </c>
      <c r="M45" s="1887">
        <v>0</v>
      </c>
      <c r="N45" s="796">
        <v>0</v>
      </c>
      <c r="O45" s="796"/>
      <c r="P45" s="1872">
        <f t="shared" si="6"/>
        <v>0</v>
      </c>
      <c r="Q45" s="149"/>
      <c r="R45" s="1875">
        <f>ROUND(IF(D45="PCFP",'6.8 Alloc of Residual Rev. YR2'!I46,'1.4 FY 2020 Revenue Received'!Y40),0)</f>
        <v>67318</v>
      </c>
      <c r="S45" s="149"/>
      <c r="T45" s="1872">
        <f t="shared" si="4"/>
        <v>3121565</v>
      </c>
      <c r="U45" s="149"/>
    </row>
    <row r="46" spans="1:24" x14ac:dyDescent="0.3">
      <c r="A46" s="4"/>
      <c r="B46" s="9" t="str">
        <f>'5.2 Budgeted Enrollment YR2'!E43</f>
        <v>CIVICA Nevada Career &amp; Collegiate Academy</v>
      </c>
      <c r="D46" s="9" t="str">
        <f>IF('2.9 PCFP Funding Comparison YR1'!$K$25="Yes","PCFP","FY 2020 Baseline")</f>
        <v>PCFP</v>
      </c>
      <c r="E46" s="1872">
        <f>ROUND(IF(D46="PCFP",'6.8 Alloc of Residual Rev. YR2'!G47,'1.4 FY 2020 Revenue Received'!Z41),0)</f>
        <v>8707057</v>
      </c>
      <c r="F46" s="149"/>
      <c r="G46" s="1873">
        <f>ROUND(IF(D46="PCFP",'6.8 Alloc of Residual Rev. YR2'!J47,('1.4 FY 2020 Revenue Received'!S41)+'1.4 FY 2020 Revenue Received'!T41),0)</f>
        <v>1445254</v>
      </c>
      <c r="H46" s="1874">
        <f>ROUND(IF(D46="PCFP",'6.8 Alloc of Residual Rev. YR2'!K47,('1.4 FY 2020 Revenue Received'!S41)+'1.4 FY 2020 Revenue Received'!U41),0)</f>
        <v>16629</v>
      </c>
      <c r="I46" s="1874">
        <f>ROUND(IF(D46="PCFP",'6.8 Alloc of Residual Rev. YR2'!L47,'1.4 FY 2020 Revenue Received'!V41),0)</f>
        <v>0</v>
      </c>
      <c r="J46" s="1876">
        <f t="shared" si="5"/>
        <v>1461883</v>
      </c>
      <c r="K46" s="149"/>
      <c r="L46" s="671">
        <f>'6.1 Auxiliary Services YR2'!G92</f>
        <v>0</v>
      </c>
      <c r="M46" s="1887">
        <v>0</v>
      </c>
      <c r="N46" s="796">
        <v>0</v>
      </c>
      <c r="O46" s="796"/>
      <c r="P46" s="1872">
        <f t="shared" si="6"/>
        <v>0</v>
      </c>
      <c r="Q46" s="149"/>
      <c r="R46" s="1875">
        <f>ROUND(IF(D46="PCFP",'6.8 Alloc of Residual Rev. YR2'!I47,'1.4 FY 2020 Revenue Received'!Y41),0)</f>
        <v>257639</v>
      </c>
      <c r="S46" s="149"/>
      <c r="T46" s="1872">
        <f t="shared" si="4"/>
        <v>10426579</v>
      </c>
      <c r="U46" s="149"/>
    </row>
    <row r="47" spans="1:24" x14ac:dyDescent="0.3">
      <c r="A47" s="4"/>
      <c r="B47" s="9" t="str">
        <f>'5.2 Budgeted Enrollment YR2'!E44</f>
        <v>Coral Academy of Science Las Vegas</v>
      </c>
      <c r="D47" s="9" t="str">
        <f>IF('2.9 PCFP Funding Comparison YR1'!$K$25="Yes","PCFP","FY 2020 Baseline")</f>
        <v>PCFP</v>
      </c>
      <c r="E47" s="1872">
        <f>ROUND(IF(D47="PCFP",'6.8 Alloc of Residual Rev. YR2'!G48,'1.4 FY 2020 Revenue Received'!Z42),0)</f>
        <v>52073871</v>
      </c>
      <c r="F47" s="149"/>
      <c r="G47" s="1873">
        <f>ROUND(IF(D47="PCFP",'6.8 Alloc of Residual Rev. YR2'!J48,('1.4 FY 2020 Revenue Received'!S42)+'1.4 FY 2020 Revenue Received'!T42),0)</f>
        <v>1128838</v>
      </c>
      <c r="H47" s="1874">
        <f>ROUND(IF(D47="PCFP",'6.8 Alloc of Residual Rev. YR2'!K48,('1.4 FY 2020 Revenue Received'!S42)+'1.4 FY 2020 Revenue Received'!U42),0)</f>
        <v>56537</v>
      </c>
      <c r="I47" s="1874">
        <f>ROUND(IF(D47="PCFP",'6.8 Alloc of Residual Rev. YR2'!L48,'1.4 FY 2020 Revenue Received'!V42),0)</f>
        <v>69555</v>
      </c>
      <c r="J47" s="1876">
        <f t="shared" si="5"/>
        <v>1254930</v>
      </c>
      <c r="K47" s="149"/>
      <c r="L47" s="671">
        <f>'6.1 Auxiliary Services YR2'!G93</f>
        <v>0</v>
      </c>
      <c r="M47" s="1887">
        <v>0</v>
      </c>
      <c r="N47" s="796">
        <v>0</v>
      </c>
      <c r="O47" s="796"/>
      <c r="P47" s="1872">
        <f t="shared" si="6"/>
        <v>0</v>
      </c>
      <c r="Q47" s="149"/>
      <c r="R47" s="1875">
        <f>ROUND(IF(D47="PCFP",'6.8 Alloc of Residual Rev. YR2'!I48,'1.4 FY 2020 Revenue Received'!Y42),0)</f>
        <v>620880</v>
      </c>
      <c r="S47" s="149"/>
      <c r="T47" s="1872">
        <f t="shared" si="4"/>
        <v>53949681</v>
      </c>
      <c r="U47" s="149"/>
    </row>
    <row r="48" spans="1:24" x14ac:dyDescent="0.3">
      <c r="A48" s="4"/>
      <c r="B48" s="9" t="str">
        <f>'5.2 Budgeted Enrollment YR2'!E45</f>
        <v>Coral Academy Washoe</v>
      </c>
      <c r="D48" s="9" t="str">
        <f>IF('2.9 PCFP Funding Comparison YR1'!$K$25="Yes","PCFP","FY 2020 Baseline")</f>
        <v>PCFP</v>
      </c>
      <c r="E48" s="1872">
        <f>ROUND(IF(D48="PCFP",'6.8 Alloc of Residual Rev. YR2'!G49,'1.4 FY 2020 Revenue Received'!Z43),0)</f>
        <v>19270054</v>
      </c>
      <c r="F48" s="149"/>
      <c r="G48" s="1873">
        <f>ROUND(IF(D48="PCFP",'6.8 Alloc of Residual Rev. YR2'!J49,('1.4 FY 2020 Revenue Received'!S43)+'1.4 FY 2020 Revenue Received'!T43),0)</f>
        <v>692696</v>
      </c>
      <c r="H48" s="1874">
        <f>ROUND(IF(D48="PCFP",'6.8 Alloc of Residual Rev. YR2'!K49,('1.4 FY 2020 Revenue Received'!S43)+'1.4 FY 2020 Revenue Received'!U43),0)</f>
        <v>139679</v>
      </c>
      <c r="I48" s="1874">
        <f>ROUND(IF(D48="PCFP",'6.8 Alloc of Residual Rev. YR2'!L49,'1.4 FY 2020 Revenue Received'!V43),0)</f>
        <v>1140</v>
      </c>
      <c r="J48" s="1876">
        <f t="shared" si="5"/>
        <v>833515</v>
      </c>
      <c r="K48" s="149"/>
      <c r="L48" s="671">
        <f>'6.1 Auxiliary Services YR2'!G94</f>
        <v>0</v>
      </c>
      <c r="M48" s="1887">
        <v>0</v>
      </c>
      <c r="N48" s="796">
        <v>0</v>
      </c>
      <c r="O48" s="796"/>
      <c r="P48" s="1872">
        <f t="shared" si="6"/>
        <v>0</v>
      </c>
      <c r="Q48" s="149"/>
      <c r="R48" s="1875">
        <f>ROUND(IF(D48="PCFP",'6.8 Alloc of Residual Rev. YR2'!I49,'1.4 FY 2020 Revenue Received'!Y43),0)</f>
        <v>342530</v>
      </c>
      <c r="S48" s="149"/>
      <c r="T48" s="1872">
        <f t="shared" si="4"/>
        <v>20446099</v>
      </c>
      <c r="U48" s="149"/>
    </row>
    <row r="49" spans="1:21" x14ac:dyDescent="0.3">
      <c r="B49" s="9" t="str">
        <f>'5.2 Budgeted Enrollment YR2'!E46</f>
        <v>Delta Academy</v>
      </c>
      <c r="D49" s="9" t="str">
        <f>IF('2.9 PCFP Funding Comparison YR1'!$K$25="Yes","PCFP","FY 2020 Baseline")</f>
        <v>PCFP</v>
      </c>
      <c r="E49" s="1872">
        <f>ROUND(IF(D49="PCFP",'6.8 Alloc of Residual Rev. YR2'!G50,'1.4 FY 2020 Revenue Received'!Z44),0)</f>
        <v>13350386</v>
      </c>
      <c r="F49" s="149"/>
      <c r="G49" s="1873">
        <f>ROUND(IF(D49="PCFP",'6.8 Alloc of Residual Rev. YR2'!J50,('1.4 FY 2020 Revenue Received'!S44)+'1.4 FY 2020 Revenue Received'!T44),0)</f>
        <v>444694</v>
      </c>
      <c r="H49" s="1874">
        <f>ROUND(IF(D49="PCFP",'6.8 Alloc of Residual Rev. YR2'!K50,('1.4 FY 2020 Revenue Received'!S44)+'1.4 FY 2020 Revenue Received'!U44),0)</f>
        <v>1047596</v>
      </c>
      <c r="I49" s="1874">
        <f>ROUND(IF(D49="PCFP",'6.8 Alloc of Residual Rev. YR2'!L50,'1.4 FY 2020 Revenue Received'!V44),0)</f>
        <v>0</v>
      </c>
      <c r="J49" s="1876">
        <f t="shared" si="5"/>
        <v>1492290</v>
      </c>
      <c r="K49" s="149"/>
      <c r="L49" s="671">
        <f>'6.1 Auxiliary Services YR2'!G95</f>
        <v>0</v>
      </c>
      <c r="M49" s="1887">
        <v>0</v>
      </c>
      <c r="N49" s="796">
        <v>0</v>
      </c>
      <c r="O49" s="796"/>
      <c r="P49" s="1872">
        <f t="shared" si="6"/>
        <v>0</v>
      </c>
      <c r="Q49" s="149"/>
      <c r="R49" s="1875">
        <f>ROUND(IF(D49="PCFP",'6.8 Alloc of Residual Rev. YR2'!I50,'1.4 FY 2020 Revenue Received'!Y44),0)</f>
        <v>423899</v>
      </c>
      <c r="S49" s="149"/>
      <c r="T49" s="1872">
        <f t="shared" si="4"/>
        <v>15266575</v>
      </c>
      <c r="U49" s="149"/>
    </row>
    <row r="50" spans="1:21" x14ac:dyDescent="0.3">
      <c r="A50" s="4"/>
      <c r="B50" s="9" t="str">
        <f>'5.2 Budgeted Enrollment YR2'!E47</f>
        <v>Democracy Prep</v>
      </c>
      <c r="D50" s="9" t="str">
        <f>IF('2.9 PCFP Funding Comparison YR1'!$K$25="Yes","PCFP","FY 2020 Baseline")</f>
        <v>PCFP</v>
      </c>
      <c r="E50" s="1872">
        <f>ROUND(IF(D50="PCFP",'6.8 Alloc of Residual Rev. YR2'!G51,'1.4 FY 2020 Revenue Received'!Z45),0)</f>
        <v>12153103</v>
      </c>
      <c r="F50" s="149"/>
      <c r="G50" s="1873">
        <f>ROUND(IF(D50="PCFP",'6.8 Alloc of Residual Rev. YR2'!J51,('1.4 FY 2020 Revenue Received'!S45)+'1.4 FY 2020 Revenue Received'!T45),0)</f>
        <v>444694</v>
      </c>
      <c r="H50" s="1874">
        <f>ROUND(IF(D50="PCFP",'6.8 Alloc of Residual Rev. YR2'!K51,('1.4 FY 2020 Revenue Received'!S45)+'1.4 FY 2020 Revenue Received'!U45),0)</f>
        <v>588649</v>
      </c>
      <c r="I50" s="1874">
        <f>ROUND(IF(D50="PCFP",'6.8 Alloc of Residual Rev. YR2'!L51,'1.4 FY 2020 Revenue Received'!V45),0)</f>
        <v>0</v>
      </c>
      <c r="J50" s="1876">
        <f t="shared" si="5"/>
        <v>1033343</v>
      </c>
      <c r="K50" s="149"/>
      <c r="L50" s="671">
        <f>'6.1 Auxiliary Services YR2'!G96</f>
        <v>0</v>
      </c>
      <c r="M50" s="1887">
        <v>0</v>
      </c>
      <c r="N50" s="796">
        <v>0</v>
      </c>
      <c r="O50" s="796"/>
      <c r="P50" s="1872">
        <f t="shared" si="6"/>
        <v>0</v>
      </c>
      <c r="Q50" s="149"/>
      <c r="R50" s="1875">
        <f>ROUND(IF(D50="PCFP",'6.8 Alloc of Residual Rev. YR2'!I51,'1.4 FY 2020 Revenue Received'!Y45),0)</f>
        <v>0</v>
      </c>
      <c r="S50" s="149"/>
      <c r="T50" s="1872">
        <f t="shared" si="4"/>
        <v>13186446</v>
      </c>
      <c r="U50" s="149"/>
    </row>
    <row r="51" spans="1:21" x14ac:dyDescent="0.3">
      <c r="A51" s="4"/>
      <c r="B51" s="9" t="str">
        <f>'5.2 Budgeted Enrollment YR2'!E48</f>
        <v>Discovery Charter</v>
      </c>
      <c r="D51" s="9" t="str">
        <f>IF('2.9 PCFP Funding Comparison YR1'!$K$25="Yes","PCFP","FY 2020 Baseline")</f>
        <v>PCFP</v>
      </c>
      <c r="E51" s="1872">
        <f>ROUND(IF(D51="PCFP",'6.8 Alloc of Residual Rev. YR2'!G52,'1.4 FY 2020 Revenue Received'!Z46),0)</f>
        <v>4749096</v>
      </c>
      <c r="F51" s="149"/>
      <c r="G51" s="1873">
        <f>ROUND(IF(D51="PCFP",'6.8 Alloc of Residual Rev. YR2'!J52,('1.4 FY 2020 Revenue Received'!S46)+'1.4 FY 2020 Revenue Received'!T46),0)</f>
        <v>235175</v>
      </c>
      <c r="H51" s="1874">
        <f>ROUND(IF(D51="PCFP",'6.8 Alloc of Residual Rev. YR2'!K52,('1.4 FY 2020 Revenue Received'!S46)+'1.4 FY 2020 Revenue Received'!U46),0)</f>
        <v>9977</v>
      </c>
      <c r="I51" s="1874">
        <f>ROUND(IF(D51="PCFP",'6.8 Alloc of Residual Rev. YR2'!L52,'1.4 FY 2020 Revenue Received'!V46),0)</f>
        <v>0</v>
      </c>
      <c r="J51" s="1876">
        <f t="shared" si="5"/>
        <v>245152</v>
      </c>
      <c r="K51" s="149"/>
      <c r="L51" s="671">
        <f>'6.1 Auxiliary Services YR2'!G97</f>
        <v>0</v>
      </c>
      <c r="M51" s="1887">
        <v>0</v>
      </c>
      <c r="N51" s="796">
        <v>0</v>
      </c>
      <c r="O51" s="796"/>
      <c r="P51" s="1872">
        <f t="shared" si="6"/>
        <v>0</v>
      </c>
      <c r="Q51" s="149"/>
      <c r="R51" s="1875">
        <f>ROUND(IF(D51="PCFP",'6.8 Alloc of Residual Rev. YR2'!I52,'1.4 FY 2020 Revenue Received'!Y46),0)</f>
        <v>130158</v>
      </c>
      <c r="S51" s="149"/>
      <c r="T51" s="1872">
        <f t="shared" si="4"/>
        <v>5124406</v>
      </c>
      <c r="U51" s="149"/>
    </row>
    <row r="52" spans="1:21" x14ac:dyDescent="0.3">
      <c r="A52" s="4"/>
      <c r="B52" s="9" t="str">
        <f>'5.2 Budgeted Enrollment YR2'!E49</f>
        <v>Do and Be Academy of Excellence</v>
      </c>
      <c r="D52" s="9" t="str">
        <f>IF('2.9 PCFP Funding Comparison YR1'!$K$25="Yes","PCFP","FY 2020 Baseline")</f>
        <v>PCFP</v>
      </c>
      <c r="E52" s="1872">
        <f>ROUND(IF(D52="PCFP",'6.8 Alloc of Residual Rev. YR2'!G53,'1.4 FY 2020 Revenue Received'!Z47),0)</f>
        <v>526832</v>
      </c>
      <c r="F52" s="149"/>
      <c r="G52" s="1873">
        <f>ROUND(IF(D52="PCFP",'6.8 Alloc of Residual Rev. YR2'!J53,('1.4 FY 2020 Revenue Received'!S47)+'1.4 FY 2020 Revenue Received'!T47),0)</f>
        <v>0</v>
      </c>
      <c r="H52" s="1874">
        <f>ROUND(IF(D52="PCFP",'6.8 Alloc of Residual Rev. YR2'!K53,('1.4 FY 2020 Revenue Received'!S47)+'1.4 FY 2020 Revenue Received'!U47),0)</f>
        <v>0</v>
      </c>
      <c r="I52" s="1874">
        <f>ROUND(IF(D52="PCFP",'6.8 Alloc of Residual Rev. YR2'!L53,'1.4 FY 2020 Revenue Received'!V47),0)</f>
        <v>0</v>
      </c>
      <c r="J52" s="1876">
        <f t="shared" ref="J52" si="7">SUM(G52:I52)</f>
        <v>0</v>
      </c>
      <c r="K52" s="149"/>
      <c r="L52" s="671">
        <f>'6.1 Auxiliary Services YR2'!G98</f>
        <v>0</v>
      </c>
      <c r="M52" s="1887">
        <v>0</v>
      </c>
      <c r="N52" s="796">
        <v>0</v>
      </c>
      <c r="O52" s="796"/>
      <c r="P52" s="1872">
        <f t="shared" ref="P52" si="8">SUM(L52:N52)</f>
        <v>0</v>
      </c>
      <c r="Q52" s="149"/>
      <c r="R52" s="1875">
        <f>ROUND(IF(D52="PCFP",'6.8 Alloc of Residual Rev. YR2'!I53,'1.4 FY 2020 Revenue Received'!Y47),0)</f>
        <v>0</v>
      </c>
      <c r="S52" s="149"/>
      <c r="T52" s="1872">
        <f t="shared" ref="T52" si="9">P52+J52+E52+R52</f>
        <v>526832</v>
      </c>
      <c r="U52" s="149" t="s">
        <v>370</v>
      </c>
    </row>
    <row r="53" spans="1:21" x14ac:dyDescent="0.3">
      <c r="A53" s="4"/>
      <c r="B53" s="9" t="str">
        <f>'5.2 Budgeted Enrollment YR2'!E50</f>
        <v>Doral Academy</v>
      </c>
      <c r="D53" s="9" t="str">
        <f>IF('2.9 PCFP Funding Comparison YR1'!$K$25="Yes","PCFP","FY 2020 Baseline")</f>
        <v>PCFP</v>
      </c>
      <c r="E53" s="1872">
        <f>ROUND(IF(D53="PCFP",'6.8 Alloc of Residual Rev. YR2'!G54,'1.4 FY 2020 Revenue Received'!Z48),0)</f>
        <v>61418346</v>
      </c>
      <c r="F53" s="149"/>
      <c r="G53" s="1873">
        <f>ROUND(IF(D53="PCFP",'6.8 Alloc of Residual Rev. YR2'!J54,('1.4 FY 2020 Revenue Received'!S48)+'1.4 FY 2020 Revenue Received'!T48),0)</f>
        <v>992009</v>
      </c>
      <c r="H53" s="1874">
        <f>ROUND(IF(D53="PCFP",'6.8 Alloc of Residual Rev. YR2'!K54,('1.4 FY 2020 Revenue Received'!S48)+'1.4 FY 2020 Revenue Received'!U48),0)</f>
        <v>23280</v>
      </c>
      <c r="I53" s="1874">
        <f>ROUND(IF(D53="PCFP",'6.8 Alloc of Residual Rev. YR2'!L54,'1.4 FY 2020 Revenue Received'!V48),0)</f>
        <v>376279</v>
      </c>
      <c r="J53" s="1876">
        <f t="shared" si="5"/>
        <v>1391568</v>
      </c>
      <c r="K53" s="149"/>
      <c r="L53" s="671">
        <f>'6.1 Auxiliary Services YR2'!G99</f>
        <v>0</v>
      </c>
      <c r="M53" s="1887">
        <v>0</v>
      </c>
      <c r="N53" s="796">
        <v>0</v>
      </c>
      <c r="O53" s="796"/>
      <c r="P53" s="1872">
        <f t="shared" si="6"/>
        <v>0</v>
      </c>
      <c r="Q53" s="149"/>
      <c r="R53" s="1875">
        <f>ROUND(IF(D53="PCFP",'6.8 Alloc of Residual Rev. YR2'!I54,'1.4 FY 2020 Revenue Received'!Y48),0)</f>
        <v>2791360</v>
      </c>
      <c r="S53" s="149"/>
      <c r="T53" s="1872">
        <f t="shared" si="4"/>
        <v>65601274</v>
      </c>
      <c r="U53" s="149"/>
    </row>
    <row r="54" spans="1:21" x14ac:dyDescent="0.3">
      <c r="A54" s="4"/>
      <c r="B54" s="9" t="str">
        <f>'5.2 Budgeted Enrollment YR2'!E51</f>
        <v>Doral Academy of Northern Nevada</v>
      </c>
      <c r="D54" s="9" t="str">
        <f>IF('2.9 PCFP Funding Comparison YR1'!$K$25="Yes","PCFP","FY 2020 Baseline")</f>
        <v>PCFP</v>
      </c>
      <c r="E54" s="1872">
        <f>ROUND(IF(D54="PCFP",'6.8 Alloc of Residual Rev. YR2'!G55,'1.4 FY 2020 Revenue Received'!Z49),0)</f>
        <v>9680427</v>
      </c>
      <c r="F54" s="149"/>
      <c r="G54" s="1873">
        <f>ROUND(IF(D54="PCFP",'6.8 Alloc of Residual Rev. YR2'!J55,('1.4 FY 2020 Revenue Received'!S49)+'1.4 FY 2020 Revenue Received'!T49),0)</f>
        <v>42759</v>
      </c>
      <c r="H54" s="1874">
        <f>ROUND(IF(D54="PCFP",'6.8 Alloc of Residual Rev. YR2'!K55,('1.4 FY 2020 Revenue Received'!S49)+'1.4 FY 2020 Revenue Received'!U49),0)</f>
        <v>0</v>
      </c>
      <c r="I54" s="1874">
        <f>ROUND(IF(D54="PCFP",'6.8 Alloc of Residual Rev. YR2'!L55,'1.4 FY 2020 Revenue Received'!V49),0)</f>
        <v>90079</v>
      </c>
      <c r="J54" s="1876">
        <f t="shared" si="5"/>
        <v>132838</v>
      </c>
      <c r="K54" s="149"/>
      <c r="L54" s="671">
        <f>'6.1 Auxiliary Services YR2'!G100</f>
        <v>0</v>
      </c>
      <c r="M54" s="1887">
        <v>0</v>
      </c>
      <c r="N54" s="796">
        <v>0</v>
      </c>
      <c r="O54" s="796"/>
      <c r="P54" s="1872">
        <f t="shared" si="6"/>
        <v>0</v>
      </c>
      <c r="Q54" s="149"/>
      <c r="R54" s="1875">
        <f>ROUND(IF(D54="PCFP",'6.8 Alloc of Residual Rev. YR2'!I55,'1.4 FY 2020 Revenue Received'!Y49),0)</f>
        <v>85050</v>
      </c>
      <c r="S54" s="149"/>
      <c r="T54" s="1872">
        <f t="shared" si="4"/>
        <v>9898315</v>
      </c>
      <c r="U54" s="149"/>
    </row>
    <row r="55" spans="1:21" x14ac:dyDescent="0.3">
      <c r="A55" s="4"/>
      <c r="B55" s="9" t="str">
        <f>'5.2 Budgeted Enrollment YR2'!E52</f>
        <v>Eagle Charter School (CLOSED)</v>
      </c>
      <c r="D55" s="9" t="str">
        <f>IF('2.9 PCFP Funding Comparison YR1'!$K$25="Yes","PCFP","FY 2020 Baseline")</f>
        <v>PCFP</v>
      </c>
      <c r="E55" s="1872">
        <f>ROUND(IF(D55="PCFP",'6.8 Alloc of Residual Rev. YR2'!G56,'1.4 FY 2020 Revenue Received'!Z50),0)</f>
        <v>0</v>
      </c>
      <c r="F55" s="149"/>
      <c r="G55" s="1873">
        <f>ROUND(IF(D55="PCFP",'6.8 Alloc of Residual Rev. YR2'!J56,('1.4 FY 2020 Revenue Received'!S50)+'1.4 FY 2020 Revenue Received'!T50),0)</f>
        <v>0</v>
      </c>
      <c r="H55" s="1874">
        <f>ROUND(IF(D55="PCFP",'6.8 Alloc of Residual Rev. YR2'!K56,('1.4 FY 2020 Revenue Received'!S50)+'1.4 FY 2020 Revenue Received'!U50),0)</f>
        <v>0</v>
      </c>
      <c r="I55" s="1874">
        <f>ROUND(IF(D55="PCFP",'6.8 Alloc of Residual Rev. YR2'!L56,'1.4 FY 2020 Revenue Received'!V50),0)</f>
        <v>0</v>
      </c>
      <c r="J55" s="1876">
        <f t="shared" si="5"/>
        <v>0</v>
      </c>
      <c r="K55" s="149"/>
      <c r="L55" s="671">
        <f>'6.1 Auxiliary Services YR2'!G101</f>
        <v>0</v>
      </c>
      <c r="M55" s="1887">
        <v>0</v>
      </c>
      <c r="N55" s="796">
        <v>0</v>
      </c>
      <c r="O55" s="796"/>
      <c r="P55" s="1872">
        <f t="shared" si="6"/>
        <v>0</v>
      </c>
      <c r="Q55" s="149"/>
      <c r="R55" s="1875">
        <f>ROUND(IF(D55="PCFP",'6.8 Alloc of Residual Rev. YR2'!I56,'1.4 FY 2020 Revenue Received'!Y50),0)</f>
        <v>0</v>
      </c>
      <c r="S55" s="149"/>
      <c r="T55" s="1872">
        <f t="shared" si="4"/>
        <v>0</v>
      </c>
      <c r="U55" s="149"/>
    </row>
    <row r="56" spans="1:21" x14ac:dyDescent="0.3">
      <c r="A56" s="4"/>
      <c r="B56" s="9" t="str">
        <f>'5.2 Budgeted Enrollment YR2'!E53</f>
        <v>Elko Institute for Academic Achievement</v>
      </c>
      <c r="D56" s="9" t="str">
        <f>IF('2.9 PCFP Funding Comparison YR1'!$K$25="Yes","PCFP","FY 2020 Baseline")</f>
        <v>PCFP</v>
      </c>
      <c r="E56" s="1872">
        <f>ROUND(IF(D56="PCFP",'6.8 Alloc of Residual Rev. YR2'!G57,'1.4 FY 2020 Revenue Received'!Z51),0)</f>
        <v>3237656</v>
      </c>
      <c r="F56" s="149"/>
      <c r="G56" s="1873">
        <f>ROUND(IF(D56="PCFP",'6.8 Alloc of Residual Rev. YR2'!J57,('1.4 FY 2020 Revenue Received'!S51)+'1.4 FY 2020 Revenue Received'!T51),0)</f>
        <v>34207</v>
      </c>
      <c r="H56" s="1874">
        <f>ROUND(IF(D56="PCFP",'6.8 Alloc of Residual Rev. YR2'!K57,('1.4 FY 2020 Revenue Received'!S51)+'1.4 FY 2020 Revenue Received'!U51),0)</f>
        <v>26606</v>
      </c>
      <c r="I56" s="1874">
        <f>ROUND(IF(D56="PCFP",'6.8 Alloc of Residual Rev. YR2'!L57,'1.4 FY 2020 Revenue Received'!V51),0)</f>
        <v>0</v>
      </c>
      <c r="J56" s="1876">
        <f t="shared" si="5"/>
        <v>60813</v>
      </c>
      <c r="K56" s="149"/>
      <c r="L56" s="671">
        <f>'6.1 Auxiliary Services YR2'!G102</f>
        <v>0</v>
      </c>
      <c r="M56" s="1887">
        <v>0</v>
      </c>
      <c r="N56" s="796">
        <v>0</v>
      </c>
      <c r="O56" s="796"/>
      <c r="P56" s="1872">
        <f t="shared" si="6"/>
        <v>0</v>
      </c>
      <c r="Q56" s="149"/>
      <c r="R56" s="1875">
        <f>ROUND(IF(D56="PCFP",'6.8 Alloc of Residual Rev. YR2'!I57,'1.4 FY 2020 Revenue Received'!Y51),0)</f>
        <v>140428</v>
      </c>
      <c r="S56" s="149"/>
      <c r="T56" s="1872">
        <f t="shared" si="4"/>
        <v>3438897</v>
      </c>
      <c r="U56" s="149"/>
    </row>
    <row r="57" spans="1:21" x14ac:dyDescent="0.3">
      <c r="A57" s="4"/>
      <c r="B57" s="9" t="str">
        <f>'5.2 Budgeted Enrollment YR2'!E54</f>
        <v>enCompass Academy</v>
      </c>
      <c r="D57" s="9" t="str">
        <f>IF('2.9 PCFP Funding Comparison YR1'!$K$25="Yes","PCFP","FY 2020 Baseline")</f>
        <v>PCFP</v>
      </c>
      <c r="E57" s="1872">
        <f>ROUND(IF(D57="PCFP",'6.8 Alloc of Residual Rev. YR2'!G58,'1.4 FY 2020 Revenue Received'!Z52),0)</f>
        <v>1233996</v>
      </c>
      <c r="F57" s="149"/>
      <c r="G57" s="1873">
        <f>ROUND(IF(D57="PCFP",'6.8 Alloc of Residual Rev. YR2'!J58,('1.4 FY 2020 Revenue Received'!S52)+'1.4 FY 2020 Revenue Received'!T52),0)</f>
        <v>64139</v>
      </c>
      <c r="H57" s="1874">
        <f>ROUND(IF(D57="PCFP",'6.8 Alloc of Residual Rev. YR2'!K58,('1.4 FY 2020 Revenue Received'!S52)+'1.4 FY 2020 Revenue Received'!U52),0)</f>
        <v>33257</v>
      </c>
      <c r="I57" s="1874">
        <f>ROUND(IF(D57="PCFP",'6.8 Alloc of Residual Rev. YR2'!L58,'1.4 FY 2020 Revenue Received'!V52),0)</f>
        <v>0</v>
      </c>
      <c r="J57" s="1876">
        <f t="shared" si="5"/>
        <v>97396</v>
      </c>
      <c r="K57" s="149"/>
      <c r="L57" s="671">
        <f>'6.1 Auxiliary Services YR2'!G103</f>
        <v>0</v>
      </c>
      <c r="M57" s="1887">
        <v>0</v>
      </c>
      <c r="N57" s="796">
        <v>0</v>
      </c>
      <c r="O57" s="796"/>
      <c r="P57" s="1872">
        <f t="shared" si="6"/>
        <v>0</v>
      </c>
      <c r="Q57" s="149"/>
      <c r="R57" s="1875">
        <f>ROUND(IF(D57="PCFP",'6.8 Alloc of Residual Rev. YR2'!I58,'1.4 FY 2020 Revenue Received'!Y52),0)</f>
        <v>0</v>
      </c>
      <c r="S57" s="149"/>
      <c r="T57" s="1872">
        <f t="shared" si="4"/>
        <v>1331392</v>
      </c>
      <c r="U57" s="149"/>
    </row>
    <row r="58" spans="1:21" x14ac:dyDescent="0.3">
      <c r="A58" s="4"/>
      <c r="B58" s="9" t="str">
        <f>'5.2 Budgeted Enrollment YR2'!E55</f>
        <v>Equipo Academy</v>
      </c>
      <c r="D58" s="9" t="str">
        <f>IF('2.9 PCFP Funding Comparison YR1'!$K$25="Yes","PCFP","FY 2020 Baseline")</f>
        <v>PCFP</v>
      </c>
      <c r="E58" s="1872">
        <f>ROUND(IF(D58="PCFP",'6.8 Alloc of Residual Rev. YR2'!G59,'1.4 FY 2020 Revenue Received'!Z53),0)</f>
        <v>8559085</v>
      </c>
      <c r="F58" s="149"/>
      <c r="G58" s="1873">
        <f>ROUND(IF(D58="PCFP",'6.8 Alloc of Residual Rev. YR2'!J59,('1.4 FY 2020 Revenue Received'!S53)+'1.4 FY 2020 Revenue Received'!T53),0)</f>
        <v>1064699</v>
      </c>
      <c r="H58" s="1874">
        <f>ROUND(IF(D58="PCFP",'6.8 Alloc of Residual Rev. YR2'!K59,('1.4 FY 2020 Revenue Received'!S53)+'1.4 FY 2020 Revenue Received'!U53),0)</f>
        <v>73165</v>
      </c>
      <c r="I58" s="1874">
        <f>ROUND(IF(D58="PCFP",'6.8 Alloc of Residual Rev. YR2'!L59,'1.4 FY 2020 Revenue Received'!V53),0)</f>
        <v>0</v>
      </c>
      <c r="J58" s="1876">
        <f t="shared" si="5"/>
        <v>1137864</v>
      </c>
      <c r="K58" s="149"/>
      <c r="L58" s="671">
        <f>'6.1 Auxiliary Services YR2'!G104</f>
        <v>0</v>
      </c>
      <c r="M58" s="1887">
        <v>0</v>
      </c>
      <c r="N58" s="796">
        <v>0</v>
      </c>
      <c r="O58" s="796"/>
      <c r="P58" s="1872">
        <f t="shared" si="6"/>
        <v>0</v>
      </c>
      <c r="Q58" s="149"/>
      <c r="R58" s="1875">
        <f>ROUND(IF(D58="PCFP",'6.8 Alloc of Residual Rev. YR2'!I59,'1.4 FY 2020 Revenue Received'!Y53),0)</f>
        <v>349906</v>
      </c>
      <c r="S58" s="149"/>
      <c r="T58" s="1872">
        <f t="shared" si="4"/>
        <v>10046855</v>
      </c>
      <c r="U58" s="149"/>
    </row>
    <row r="59" spans="1:21" x14ac:dyDescent="0.3">
      <c r="A59" s="4"/>
      <c r="B59" s="9" t="str">
        <f>'5.2 Budgeted Enrollment YR2'!E56</f>
        <v>Explore Academy</v>
      </c>
      <c r="D59" s="9" t="str">
        <f>IF('2.9 PCFP Funding Comparison YR1'!$K$25="Yes","PCFP","FY 2020 Baseline")</f>
        <v>PCFP</v>
      </c>
      <c r="E59" s="1872">
        <f>ROUND(IF(D59="PCFP",'6.8 Alloc of Residual Rev. YR2'!G60,'1.4 FY 2020 Revenue Received'!Z54),0)</f>
        <v>2716764</v>
      </c>
      <c r="F59" s="149"/>
      <c r="G59" s="1873">
        <f>ROUND(IF(D59="PCFP",'6.8 Alloc of Residual Rev. YR2'!J60,('1.4 FY 2020 Revenue Received'!S54)+'1.4 FY 2020 Revenue Received'!T54),0)</f>
        <v>175312</v>
      </c>
      <c r="H59" s="1874">
        <f>ROUND(IF(D59="PCFP",'6.8 Alloc of Residual Rev. YR2'!K60,('1.4 FY 2020 Revenue Received'!S54)+'1.4 FY 2020 Revenue Received'!U54),0)</f>
        <v>9977</v>
      </c>
      <c r="I59" s="1874">
        <f>ROUND(IF(D59="PCFP",'6.8 Alloc of Residual Rev. YR2'!L60,'1.4 FY 2020 Revenue Received'!V54),0)</f>
        <v>0</v>
      </c>
      <c r="J59" s="1876">
        <f t="shared" si="5"/>
        <v>185289</v>
      </c>
      <c r="K59" s="149"/>
      <c r="L59" s="671">
        <f>'6.1 Auxiliary Services YR2'!G105</f>
        <v>0</v>
      </c>
      <c r="M59" s="1887">
        <v>0</v>
      </c>
      <c r="N59" s="796">
        <v>0</v>
      </c>
      <c r="O59" s="796"/>
      <c r="P59" s="1872">
        <f t="shared" si="6"/>
        <v>0</v>
      </c>
      <c r="Q59" s="149"/>
      <c r="R59" s="1875">
        <f>ROUND(IF(D59="PCFP",'6.8 Alloc of Residual Rev. YR2'!I60,'1.4 FY 2020 Revenue Received'!Y54),0)</f>
        <v>0</v>
      </c>
      <c r="S59" s="149"/>
      <c r="T59" s="1872">
        <f t="shared" si="4"/>
        <v>2902053</v>
      </c>
      <c r="U59" s="149"/>
    </row>
    <row r="60" spans="1:21" x14ac:dyDescent="0.3">
      <c r="A60" s="4"/>
      <c r="B60" s="9" t="str">
        <f>'5.2 Budgeted Enrollment YR2'!E57</f>
        <v>Explore Knowledge Academy</v>
      </c>
      <c r="D60" s="9" t="str">
        <f>IF('2.9 PCFP Funding Comparison YR1'!$K$25="Yes","PCFP","FY 2020 Baseline")</f>
        <v>PCFP</v>
      </c>
      <c r="E60" s="1872">
        <f>ROUND(IF(D60="PCFP",'6.8 Alloc of Residual Rev. YR2'!G61,'1.4 FY 2020 Revenue Received'!Z55),0)</f>
        <v>6314938</v>
      </c>
      <c r="F60" s="149"/>
      <c r="G60" s="1873">
        <f>ROUND(IF(D60="PCFP",'6.8 Alloc of Residual Rev. YR2'!J61,('1.4 FY 2020 Revenue Received'!S55)+'1.4 FY 2020 Revenue Received'!T55),0)</f>
        <v>200967</v>
      </c>
      <c r="H60" s="1874">
        <f>ROUND(IF(D60="PCFP",'6.8 Alloc of Residual Rev. YR2'!K61,('1.4 FY 2020 Revenue Received'!S55)+'1.4 FY 2020 Revenue Received'!U55),0)</f>
        <v>69840</v>
      </c>
      <c r="I60" s="1874">
        <f>ROUND(IF(D60="PCFP",'6.8 Alloc of Residual Rev. YR2'!L61,'1.4 FY 2020 Revenue Received'!V55),0)</f>
        <v>0</v>
      </c>
      <c r="J60" s="1876">
        <f t="shared" si="5"/>
        <v>270807</v>
      </c>
      <c r="K60" s="149"/>
      <c r="L60" s="671">
        <f>'6.1 Auxiliary Services YR2'!G106</f>
        <v>0</v>
      </c>
      <c r="M60" s="1887">
        <v>0</v>
      </c>
      <c r="N60" s="796">
        <v>0</v>
      </c>
      <c r="O60" s="796"/>
      <c r="P60" s="1872">
        <f t="shared" si="6"/>
        <v>0</v>
      </c>
      <c r="Q60" s="149"/>
      <c r="R60" s="1875">
        <f>ROUND(IF(D60="PCFP",'6.8 Alloc of Residual Rev. YR2'!I61,'1.4 FY 2020 Revenue Received'!Y55),0)</f>
        <v>27133</v>
      </c>
      <c r="S60" s="149"/>
      <c r="T60" s="1872">
        <f t="shared" si="4"/>
        <v>6612878</v>
      </c>
      <c r="U60" s="149"/>
    </row>
    <row r="61" spans="1:21" x14ac:dyDescent="0.3">
      <c r="A61" s="4"/>
      <c r="B61" s="9" t="str">
        <f>'5.2 Budgeted Enrollment YR2'!E58</f>
        <v>Founders Academy of Las Vegas</v>
      </c>
      <c r="D61" s="9" t="str">
        <f>IF('2.9 PCFP Funding Comparison YR1'!$K$25="Yes","PCFP","FY 2020 Baseline")</f>
        <v>PCFP</v>
      </c>
      <c r="E61" s="1872">
        <f>ROUND(IF(D61="PCFP",'6.8 Alloc of Residual Rev. YR2'!G62,'1.4 FY 2020 Revenue Received'!Z56),0)</f>
        <v>10549944</v>
      </c>
      <c r="F61" s="149"/>
      <c r="G61" s="1873">
        <f>ROUND(IF(D61="PCFP",'6.8 Alloc of Residual Rev. YR2'!J62,('1.4 FY 2020 Revenue Received'!S56)+'1.4 FY 2020 Revenue Received'!T56),0)</f>
        <v>367727</v>
      </c>
      <c r="H61" s="1874">
        <f>ROUND(IF(D61="PCFP",'6.8 Alloc of Residual Rev. YR2'!K62,('1.4 FY 2020 Revenue Received'!S56)+'1.4 FY 2020 Revenue Received'!U56),0)</f>
        <v>26606</v>
      </c>
      <c r="I61" s="1874">
        <f>ROUND(IF(D61="PCFP",'6.8 Alloc of Residual Rev. YR2'!L62,'1.4 FY 2020 Revenue Received'!V56),0)</f>
        <v>0</v>
      </c>
      <c r="J61" s="1876">
        <f t="shared" si="5"/>
        <v>394333</v>
      </c>
      <c r="K61" s="149"/>
      <c r="L61" s="671">
        <f>'6.1 Auxiliary Services YR2'!G107</f>
        <v>0</v>
      </c>
      <c r="M61" s="1887">
        <v>0</v>
      </c>
      <c r="N61" s="796">
        <v>0</v>
      </c>
      <c r="O61" s="796"/>
      <c r="P61" s="1872">
        <f t="shared" si="6"/>
        <v>0</v>
      </c>
      <c r="Q61" s="149"/>
      <c r="R61" s="1875">
        <f>ROUND(IF(D61="PCFP",'6.8 Alloc of Residual Rev. YR2'!I62,'1.4 FY 2020 Revenue Received'!Y56),0)</f>
        <v>168554</v>
      </c>
      <c r="S61" s="149"/>
      <c r="T61" s="1872">
        <f t="shared" si="4"/>
        <v>11112831</v>
      </c>
      <c r="U61" s="149"/>
    </row>
    <row r="62" spans="1:21" x14ac:dyDescent="0.3">
      <c r="A62" s="4"/>
      <c r="B62" s="9" t="str">
        <f>'5.2 Budgeted Enrollment YR2'!E59</f>
        <v>Freedom Classical Academy</v>
      </c>
      <c r="D62" s="9" t="str">
        <f>IF('2.9 PCFP Funding Comparison YR1'!$K$25="Yes","PCFP","FY 2020 Baseline")</f>
        <v>PCFP</v>
      </c>
      <c r="E62" s="1872">
        <f>ROUND(IF(D62="PCFP",'6.8 Alloc of Residual Rev. YR2'!G63,'1.4 FY 2020 Revenue Received'!Z57),0)</f>
        <v>10212020</v>
      </c>
      <c r="F62" s="149"/>
      <c r="G62" s="1873">
        <f>ROUND(IF(D62="PCFP",'6.8 Alloc of Residual Rev. YR2'!J63,('1.4 FY 2020 Revenue Received'!S57)+'1.4 FY 2020 Revenue Received'!T57),0)</f>
        <v>585798</v>
      </c>
      <c r="H62" s="1874">
        <f>ROUND(IF(D62="PCFP",'6.8 Alloc of Residual Rev. YR2'!K63,('1.4 FY 2020 Revenue Received'!S57)+'1.4 FY 2020 Revenue Received'!U57),0)</f>
        <v>69840</v>
      </c>
      <c r="I62" s="1874">
        <f>ROUND(IF(D62="PCFP",'6.8 Alloc of Residual Rev. YR2'!L63,'1.4 FY 2020 Revenue Received'!V57),0)</f>
        <v>54732</v>
      </c>
      <c r="J62" s="1876">
        <f t="shared" si="5"/>
        <v>710370</v>
      </c>
      <c r="K62" s="149"/>
      <c r="L62" s="671">
        <f>'6.1 Auxiliary Services YR2'!G108</f>
        <v>0</v>
      </c>
      <c r="M62" s="1887">
        <v>0</v>
      </c>
      <c r="N62" s="796">
        <v>0</v>
      </c>
      <c r="O62" s="796"/>
      <c r="P62" s="1872">
        <f t="shared" si="6"/>
        <v>0</v>
      </c>
      <c r="Q62" s="149"/>
      <c r="R62" s="1875">
        <f>ROUND(IF(D62="PCFP",'6.8 Alloc of Residual Rev. YR2'!I63,'1.4 FY 2020 Revenue Received'!Y57),0)</f>
        <v>545399</v>
      </c>
      <c r="S62" s="149"/>
      <c r="T62" s="1872">
        <f t="shared" si="4"/>
        <v>11467789</v>
      </c>
      <c r="U62" s="149"/>
    </row>
    <row r="63" spans="1:21" x14ac:dyDescent="0.3">
      <c r="A63" s="4"/>
      <c r="B63" s="9" t="str">
        <f>'5.2 Budgeted Enrollment YR2'!E60</f>
        <v>Futuro Academy Elementary</v>
      </c>
      <c r="D63" s="9" t="str">
        <f>IF('2.9 PCFP Funding Comparison YR1'!$K$25="Yes","PCFP","FY 2020 Baseline")</f>
        <v>PCFP</v>
      </c>
      <c r="E63" s="1872">
        <f>ROUND(IF(D63="PCFP",'6.8 Alloc of Residual Rev. YR2'!G64,'1.4 FY 2020 Revenue Received'!Z58),0)</f>
        <v>4445817</v>
      </c>
      <c r="F63" s="149"/>
      <c r="G63" s="1873">
        <f>ROUND(IF(D63="PCFP",'6.8 Alloc of Residual Rev. YR2'!J64,('1.4 FY 2020 Revenue Received'!S58)+'1.4 FY 2020 Revenue Received'!T58),0)</f>
        <v>739731</v>
      </c>
      <c r="H63" s="1874">
        <f>ROUND(IF(D63="PCFP",'6.8 Alloc of Residual Rev. YR2'!K64,('1.4 FY 2020 Revenue Received'!S58)+'1.4 FY 2020 Revenue Received'!U58),0)</f>
        <v>0</v>
      </c>
      <c r="I63" s="1874">
        <f>ROUND(IF(D63="PCFP",'6.8 Alloc of Residual Rev. YR2'!L64,'1.4 FY 2020 Revenue Received'!V58),0)</f>
        <v>0</v>
      </c>
      <c r="J63" s="1876">
        <f t="shared" si="5"/>
        <v>739731</v>
      </c>
      <c r="K63" s="149"/>
      <c r="L63" s="671">
        <f>'6.1 Auxiliary Services YR2'!G109</f>
        <v>0</v>
      </c>
      <c r="M63" s="1887">
        <v>0</v>
      </c>
      <c r="N63" s="796">
        <v>0</v>
      </c>
      <c r="O63" s="796"/>
      <c r="P63" s="1872">
        <f t="shared" si="6"/>
        <v>0</v>
      </c>
      <c r="Q63" s="149"/>
      <c r="R63" s="1875">
        <f>ROUND(IF(D63="PCFP",'6.8 Alloc of Residual Rev. YR2'!I64,'1.4 FY 2020 Revenue Received'!Y58),0)</f>
        <v>332462</v>
      </c>
      <c r="S63" s="149"/>
      <c r="T63" s="1872">
        <f t="shared" si="4"/>
        <v>5518010</v>
      </c>
      <c r="U63" s="149"/>
    </row>
    <row r="64" spans="1:21" x14ac:dyDescent="0.3">
      <c r="A64" s="4"/>
      <c r="B64" s="9" t="str">
        <f>'5.2 Budgeted Enrollment YR2'!E61</f>
        <v>High Desert Montessori</v>
      </c>
      <c r="D64" s="9" t="str">
        <f>IF('2.9 PCFP Funding Comparison YR1'!$K$25="Yes","PCFP","FY 2020 Baseline")</f>
        <v>PCFP</v>
      </c>
      <c r="E64" s="1872">
        <f>ROUND(IF(D64="PCFP",'6.8 Alloc of Residual Rev. YR2'!G65,'1.4 FY 2020 Revenue Received'!Z59),0)</f>
        <v>3914302</v>
      </c>
      <c r="F64" s="149"/>
      <c r="G64" s="1873">
        <f>ROUND(IF(D64="PCFP",'6.8 Alloc of Residual Rev. YR2'!J65,('1.4 FY 2020 Revenue Received'!S59)+'1.4 FY 2020 Revenue Received'!T59),0)</f>
        <v>76966</v>
      </c>
      <c r="H64" s="1874">
        <f>ROUND(IF(D64="PCFP",'6.8 Alloc of Residual Rev. YR2'!K65,('1.4 FY 2020 Revenue Received'!S59)+'1.4 FY 2020 Revenue Received'!U59),0)</f>
        <v>53211</v>
      </c>
      <c r="I64" s="1874">
        <f>ROUND(IF(D64="PCFP",'6.8 Alloc of Residual Rev. YR2'!L65,'1.4 FY 2020 Revenue Received'!V59),0)</f>
        <v>0</v>
      </c>
      <c r="J64" s="1876">
        <f t="shared" si="5"/>
        <v>130177</v>
      </c>
      <c r="K64" s="149"/>
      <c r="L64" s="671">
        <f>'6.1 Auxiliary Services YR2'!G110</f>
        <v>0</v>
      </c>
      <c r="M64" s="1887">
        <v>0</v>
      </c>
      <c r="N64" s="796">
        <v>0</v>
      </c>
      <c r="O64" s="796"/>
      <c r="P64" s="1872">
        <f t="shared" si="6"/>
        <v>0</v>
      </c>
      <c r="Q64" s="149"/>
      <c r="R64" s="1875">
        <f>ROUND(IF(D64="PCFP",'6.8 Alloc of Residual Rev. YR2'!I65,'1.4 FY 2020 Revenue Received'!Y59),0)</f>
        <v>0</v>
      </c>
      <c r="S64" s="149"/>
      <c r="T64" s="1872">
        <f t="shared" si="4"/>
        <v>4044479</v>
      </c>
      <c r="U64" s="149"/>
    </row>
    <row r="65" spans="1:21" x14ac:dyDescent="0.3">
      <c r="A65" s="4"/>
      <c r="B65" s="9" t="str">
        <f>'5.2 Budgeted Enrollment YR2'!E62</f>
        <v>Honors Academy of Literature</v>
      </c>
      <c r="D65" s="9" t="str">
        <f>IF('2.9 PCFP Funding Comparison YR1'!$K$25="Yes","PCFP","FY 2020 Baseline")</f>
        <v>PCFP</v>
      </c>
      <c r="E65" s="1872">
        <f>ROUND(IF(D65="PCFP",'6.8 Alloc of Residual Rev. YR2'!G66,'1.4 FY 2020 Revenue Received'!Z60),0)</f>
        <v>2082869</v>
      </c>
      <c r="F65" s="149"/>
      <c r="G65" s="1873">
        <f>ROUND(IF(D65="PCFP",'6.8 Alloc of Residual Rev. YR2'!J66,('1.4 FY 2020 Revenue Received'!S60)+'1.4 FY 2020 Revenue Received'!T60),0)</f>
        <v>8552</v>
      </c>
      <c r="H65" s="1874">
        <f>ROUND(IF(D65="PCFP",'6.8 Alloc of Residual Rev. YR2'!K66,('1.4 FY 2020 Revenue Received'!S60)+'1.4 FY 2020 Revenue Received'!U60),0)</f>
        <v>0</v>
      </c>
      <c r="I65" s="1874">
        <f>ROUND(IF(D65="PCFP",'6.8 Alloc of Residual Rev. YR2'!L66,'1.4 FY 2020 Revenue Received'!V60),0)</f>
        <v>2280</v>
      </c>
      <c r="J65" s="1876">
        <f t="shared" si="5"/>
        <v>10832</v>
      </c>
      <c r="K65" s="149"/>
      <c r="L65" s="671">
        <f>'6.1 Auxiliary Services YR2'!G111</f>
        <v>0</v>
      </c>
      <c r="M65" s="1887">
        <v>0</v>
      </c>
      <c r="N65" s="796">
        <v>0</v>
      </c>
      <c r="O65" s="796"/>
      <c r="P65" s="1872">
        <f t="shared" si="6"/>
        <v>0</v>
      </c>
      <c r="Q65" s="149"/>
      <c r="R65" s="1875">
        <f>ROUND(IF(D65="PCFP",'6.8 Alloc of Residual Rev. YR2'!I66,'1.4 FY 2020 Revenue Received'!Y60),0)</f>
        <v>231070</v>
      </c>
      <c r="S65" s="149"/>
      <c r="T65" s="1872">
        <f t="shared" si="4"/>
        <v>2324771</v>
      </c>
      <c r="U65" s="149"/>
    </row>
    <row r="66" spans="1:21" x14ac:dyDescent="0.3">
      <c r="A66" s="4"/>
      <c r="B66" s="9" t="str">
        <f>'5.2 Budgeted Enrollment YR2'!E63</f>
        <v>Imagine School Mountain View</v>
      </c>
      <c r="D66" s="9" t="str">
        <f>IF('2.9 PCFP Funding Comparison YR1'!$K$25="Yes","PCFP","FY 2020 Baseline")</f>
        <v>PCFP</v>
      </c>
      <c r="E66" s="1872">
        <f>ROUND(IF(D66="PCFP",'6.8 Alloc of Residual Rev. YR2'!G67,'1.4 FY 2020 Revenue Received'!Z61),0)</f>
        <v>6612920</v>
      </c>
      <c r="F66" s="149"/>
      <c r="G66" s="1873">
        <f>ROUND(IF(D66="PCFP",'6.8 Alloc of Residual Rev. YR2'!J67,('1.4 FY 2020 Revenue Received'!S61)+'1.4 FY 2020 Revenue Received'!T61),0)</f>
        <v>350624</v>
      </c>
      <c r="H66" s="1874">
        <f>ROUND(IF(D66="PCFP",'6.8 Alloc of Residual Rev. YR2'!K67,('1.4 FY 2020 Revenue Received'!S61)+'1.4 FY 2020 Revenue Received'!U61),0)</f>
        <v>0</v>
      </c>
      <c r="I66" s="1874">
        <f>ROUND(IF(D66="PCFP",'6.8 Alloc of Residual Rev. YR2'!L67,'1.4 FY 2020 Revenue Received'!V61),0)</f>
        <v>0</v>
      </c>
      <c r="J66" s="1876">
        <f t="shared" si="5"/>
        <v>350624</v>
      </c>
      <c r="K66" s="149"/>
      <c r="L66" s="671">
        <f>'6.1 Auxiliary Services YR2'!G112</f>
        <v>0</v>
      </c>
      <c r="M66" s="1887">
        <v>0</v>
      </c>
      <c r="N66" s="796">
        <v>0</v>
      </c>
      <c r="O66" s="796"/>
      <c r="P66" s="1872">
        <f t="shared" si="6"/>
        <v>0</v>
      </c>
      <c r="Q66" s="149"/>
      <c r="R66" s="1875">
        <f>ROUND(IF(D66="PCFP",'6.8 Alloc of Residual Rev. YR2'!I67,'1.4 FY 2020 Revenue Received'!Y61),0)</f>
        <v>271262</v>
      </c>
      <c r="S66" s="149"/>
      <c r="T66" s="1872">
        <f t="shared" si="4"/>
        <v>7234806</v>
      </c>
      <c r="U66" s="149"/>
    </row>
    <row r="67" spans="1:21" x14ac:dyDescent="0.3">
      <c r="A67" s="4"/>
      <c r="B67" s="9" t="str">
        <f>'5.2 Budgeted Enrollment YR2'!E64</f>
        <v>Innovations Int'l Charter</v>
      </c>
      <c r="D67" s="9" t="str">
        <f>IF('2.9 PCFP Funding Comparison YR1'!$K$25="Yes","PCFP","FY 2020 Baseline")</f>
        <v>PCFP</v>
      </c>
      <c r="E67" s="1872">
        <f>ROUND(IF(D67="PCFP",'6.8 Alloc of Residual Rev. YR2'!G68,'1.4 FY 2020 Revenue Received'!Z62),0)</f>
        <v>6481739</v>
      </c>
      <c r="F67" s="149"/>
      <c r="G67" s="1873">
        <f>ROUND(IF(D67="PCFP",'6.8 Alloc of Residual Rev. YR2'!J68,('1.4 FY 2020 Revenue Received'!S62)+'1.4 FY 2020 Revenue Received'!T62),0)</f>
        <v>769662</v>
      </c>
      <c r="H67" s="1874">
        <f>ROUND(IF(D67="PCFP",'6.8 Alloc of Residual Rev. YR2'!K68,('1.4 FY 2020 Revenue Received'!S62)+'1.4 FY 2020 Revenue Received'!U62),0)</f>
        <v>202868</v>
      </c>
      <c r="I67" s="1874">
        <f>ROUND(IF(D67="PCFP",'6.8 Alloc of Residual Rev. YR2'!L68,'1.4 FY 2020 Revenue Received'!V62),0)</f>
        <v>0</v>
      </c>
      <c r="J67" s="1876">
        <f t="shared" si="5"/>
        <v>972530</v>
      </c>
      <c r="K67" s="149"/>
      <c r="L67" s="671">
        <f>'6.1 Auxiliary Services YR2'!G113</f>
        <v>0</v>
      </c>
      <c r="M67" s="1887">
        <v>0</v>
      </c>
      <c r="N67" s="796">
        <v>0</v>
      </c>
      <c r="O67" s="796"/>
      <c r="P67" s="1872">
        <f t="shared" si="6"/>
        <v>0</v>
      </c>
      <c r="Q67" s="149"/>
      <c r="R67" s="1875">
        <f>ROUND(IF(D67="PCFP",'6.8 Alloc of Residual Rev. YR2'!I68,'1.4 FY 2020 Revenue Received'!Y62),0)</f>
        <v>73393</v>
      </c>
      <c r="S67" s="149"/>
      <c r="T67" s="1872">
        <f t="shared" si="4"/>
        <v>7527662</v>
      </c>
      <c r="U67" s="149"/>
    </row>
    <row r="68" spans="1:21" x14ac:dyDescent="0.3">
      <c r="A68" s="4"/>
      <c r="B68" s="9" t="str">
        <f>'5.2 Budgeted Enrollment YR2'!E65</f>
        <v>Leadership Academy of Nevada</v>
      </c>
      <c r="D68" s="9" t="str">
        <f>IF('2.9 PCFP Funding Comparison YR1'!$K$25="Yes","PCFP","FY 2020 Baseline")</f>
        <v>PCFP</v>
      </c>
      <c r="E68" s="1872">
        <f>ROUND(IF(D68="PCFP",'6.8 Alloc of Residual Rev. YR2'!G69,'1.4 FY 2020 Revenue Received'!Z63),0)</f>
        <v>2730940</v>
      </c>
      <c r="F68" s="149"/>
      <c r="G68" s="1873">
        <f>ROUND(IF(D68="PCFP",'6.8 Alloc of Residual Rev. YR2'!J69,('1.4 FY 2020 Revenue Received'!S63)+'1.4 FY 2020 Revenue Received'!T63),0)</f>
        <v>21380</v>
      </c>
      <c r="H68" s="1874">
        <f>ROUND(IF(D68="PCFP",'6.8 Alloc of Residual Rev. YR2'!K69,('1.4 FY 2020 Revenue Received'!S63)+'1.4 FY 2020 Revenue Received'!U63),0)</f>
        <v>23280</v>
      </c>
      <c r="I68" s="1874">
        <f>ROUND(IF(D68="PCFP",'6.8 Alloc of Residual Rev. YR2'!L69,'1.4 FY 2020 Revenue Received'!V63),0)</f>
        <v>0</v>
      </c>
      <c r="J68" s="1876">
        <f t="shared" si="5"/>
        <v>44660</v>
      </c>
      <c r="K68" s="149"/>
      <c r="L68" s="671">
        <f>'6.1 Auxiliary Services YR2'!G114</f>
        <v>0</v>
      </c>
      <c r="M68" s="1887">
        <v>0</v>
      </c>
      <c r="N68" s="796">
        <v>0</v>
      </c>
      <c r="O68" s="796"/>
      <c r="P68" s="1872">
        <f t="shared" si="6"/>
        <v>0</v>
      </c>
      <c r="Q68" s="149"/>
      <c r="R68" s="1875">
        <f>ROUND(IF(D68="PCFP",'6.8 Alloc of Residual Rev. YR2'!I69,'1.4 FY 2020 Revenue Received'!Y63),0)</f>
        <v>210794</v>
      </c>
      <c r="S68" s="149"/>
      <c r="T68" s="1872">
        <f t="shared" si="4"/>
        <v>2986394</v>
      </c>
      <c r="U68" s="149"/>
    </row>
    <row r="69" spans="1:21" x14ac:dyDescent="0.3">
      <c r="A69" s="4"/>
      <c r="B69" s="9" t="str">
        <f>'5.2 Budgeted Enrollment YR2'!E66</f>
        <v>Learning Bridge</v>
      </c>
      <c r="D69" s="9" t="str">
        <f>IF('2.9 PCFP Funding Comparison YR1'!$K$25="Yes","PCFP","FY 2020 Baseline")</f>
        <v>PCFP</v>
      </c>
      <c r="E69" s="1872">
        <f>ROUND(IF(D69="PCFP",'6.8 Alloc of Residual Rev. YR2'!G70,'1.4 FY 2020 Revenue Received'!Z64),0)</f>
        <v>2369194</v>
      </c>
      <c r="F69" s="149"/>
      <c r="G69" s="1873">
        <f>ROUND(IF(D69="PCFP",'6.8 Alloc of Residual Rev. YR2'!J70,('1.4 FY 2020 Revenue Received'!S64)+'1.4 FY 2020 Revenue Received'!T64),0)</f>
        <v>0</v>
      </c>
      <c r="H69" s="1874">
        <f>ROUND(IF(D69="PCFP",'6.8 Alloc of Residual Rev. YR2'!K70,('1.4 FY 2020 Revenue Received'!S64)+'1.4 FY 2020 Revenue Received'!U64),0)</f>
        <v>0</v>
      </c>
      <c r="I69" s="1874">
        <f>ROUND(IF(D69="PCFP",'6.8 Alloc of Residual Rev. YR2'!L70,'1.4 FY 2020 Revenue Received'!V64),0)</f>
        <v>0</v>
      </c>
      <c r="J69" s="1876">
        <f t="shared" si="5"/>
        <v>0</v>
      </c>
      <c r="K69" s="149"/>
      <c r="L69" s="671">
        <f>'6.1 Auxiliary Services YR2'!G115</f>
        <v>0</v>
      </c>
      <c r="M69" s="1887">
        <v>0</v>
      </c>
      <c r="N69" s="796">
        <v>0</v>
      </c>
      <c r="O69" s="796"/>
      <c r="P69" s="1872">
        <f t="shared" si="6"/>
        <v>0</v>
      </c>
      <c r="Q69" s="149"/>
      <c r="R69" s="1875">
        <f>ROUND(IF(D69="PCFP",'6.8 Alloc of Residual Rev. YR2'!I70,'1.4 FY 2020 Revenue Received'!Y64),0)</f>
        <v>0</v>
      </c>
      <c r="S69" s="149"/>
      <c r="T69" s="1872">
        <f t="shared" ref="T69:T99" si="10">P69+J69+E69+R69</f>
        <v>2369194</v>
      </c>
      <c r="U69" s="149"/>
    </row>
    <row r="70" spans="1:21" x14ac:dyDescent="0.3">
      <c r="A70" s="4"/>
      <c r="B70" s="9" t="str">
        <f>'5.2 Budgeted Enrollment YR2'!E67</f>
        <v>Legacy Traditional Schools</v>
      </c>
      <c r="D70" s="9" t="str">
        <f>IF('2.9 PCFP Funding Comparison YR1'!$K$25="Yes","PCFP","FY 2020 Baseline")</f>
        <v>PCFP</v>
      </c>
      <c r="E70" s="1872">
        <f>ROUND(IF(D70="PCFP",'6.8 Alloc of Residual Rev. YR2'!G71,'1.4 FY 2020 Revenue Received'!Z65),0)</f>
        <v>39197155</v>
      </c>
      <c r="F70" s="149"/>
      <c r="G70" s="1873">
        <f>ROUND(IF(D70="PCFP",'6.8 Alloc of Residual Rev. YR2'!J71,('1.4 FY 2020 Revenue Received'!S65)+'1.4 FY 2020 Revenue Received'!T65),0)</f>
        <v>1197252</v>
      </c>
      <c r="H70" s="1874">
        <f>ROUND(IF(D70="PCFP",'6.8 Alloc of Residual Rev. YR2'!K71,('1.4 FY 2020 Revenue Received'!S65)+'1.4 FY 2020 Revenue Received'!U65),0)</f>
        <v>119725</v>
      </c>
      <c r="I70" s="1874">
        <f>ROUND(IF(D70="PCFP",'6.8 Alloc of Residual Rev. YR2'!L71,'1.4 FY 2020 Revenue Received'!V65),0)</f>
        <v>238310</v>
      </c>
      <c r="J70" s="1876">
        <f t="shared" si="5"/>
        <v>1555287</v>
      </c>
      <c r="K70" s="149"/>
      <c r="L70" s="671">
        <f>'6.1 Auxiliary Services YR2'!G116</f>
        <v>0</v>
      </c>
      <c r="M70" s="1887">
        <v>0</v>
      </c>
      <c r="N70" s="796">
        <v>0</v>
      </c>
      <c r="O70" s="796"/>
      <c r="P70" s="1872">
        <f t="shared" si="6"/>
        <v>0</v>
      </c>
      <c r="Q70" s="149"/>
      <c r="R70" s="1875">
        <f>ROUND(IF(D70="PCFP",'6.8 Alloc of Residual Rev. YR2'!I71,'1.4 FY 2020 Revenue Received'!Y65),0)</f>
        <v>1929178</v>
      </c>
      <c r="S70" s="149"/>
      <c r="T70" s="1872">
        <f t="shared" si="10"/>
        <v>42681620</v>
      </c>
      <c r="U70" s="149"/>
    </row>
    <row r="71" spans="1:21" x14ac:dyDescent="0.3">
      <c r="A71" s="4"/>
      <c r="B71" s="9" t="str">
        <f>'5.2 Budgeted Enrollment YR2'!E68</f>
        <v xml:space="preserve">Mariposa Language and Learning Academy </v>
      </c>
      <c r="D71" s="9" t="str">
        <f>IF('2.9 PCFP Funding Comparison YR1'!$K$25="Yes","PCFP","FY 2020 Baseline")</f>
        <v>PCFP</v>
      </c>
      <c r="E71" s="1872">
        <f>ROUND(IF(D71="PCFP",'6.8 Alloc of Residual Rev. YR2'!G72,'1.4 FY 2020 Revenue Received'!Z66),0)</f>
        <v>1562076</v>
      </c>
      <c r="F71" s="149"/>
      <c r="G71" s="1873">
        <f>ROUND(IF(D71="PCFP",'6.8 Alloc of Residual Rev. YR2'!J72,('1.4 FY 2020 Revenue Received'!S66)+'1.4 FY 2020 Revenue Received'!T66),0)</f>
        <v>196691</v>
      </c>
      <c r="H71" s="1874">
        <f>ROUND(IF(D71="PCFP",'6.8 Alloc of Residual Rev. YR2'!K72,('1.4 FY 2020 Revenue Received'!S66)+'1.4 FY 2020 Revenue Received'!U66),0)</f>
        <v>0</v>
      </c>
      <c r="I71" s="1874">
        <f>ROUND(IF(D71="PCFP",'6.8 Alloc of Residual Rev. YR2'!L72,'1.4 FY 2020 Revenue Received'!V66),0)</f>
        <v>0</v>
      </c>
      <c r="J71" s="1876">
        <f t="shared" si="5"/>
        <v>196691</v>
      </c>
      <c r="K71" s="149"/>
      <c r="L71" s="671">
        <f>'6.1 Auxiliary Services YR2'!G117</f>
        <v>0</v>
      </c>
      <c r="M71" s="1887">
        <v>0</v>
      </c>
      <c r="N71" s="796">
        <v>0</v>
      </c>
      <c r="O71" s="796"/>
      <c r="P71" s="1872">
        <f t="shared" si="6"/>
        <v>0</v>
      </c>
      <c r="Q71" s="149"/>
      <c r="R71" s="1875">
        <f>ROUND(IF(D71="PCFP",'6.8 Alloc of Residual Rev. YR2'!I72,'1.4 FY 2020 Revenue Received'!Y66),0)</f>
        <v>60742</v>
      </c>
      <c r="S71" s="149"/>
      <c r="T71" s="1872">
        <f t="shared" si="10"/>
        <v>1819509</v>
      </c>
      <c r="U71" s="149"/>
    </row>
    <row r="72" spans="1:21" x14ac:dyDescent="0.3">
      <c r="A72" s="4"/>
      <c r="B72" s="9" t="str">
        <f>'5.2 Budgeted Enrollment YR2'!E69</f>
        <v>Mater Academy</v>
      </c>
      <c r="D72" s="9" t="str">
        <f>IF('2.9 PCFP Funding Comparison YR1'!$K$25="Yes","PCFP","FY 2020 Baseline")</f>
        <v>PCFP</v>
      </c>
      <c r="E72" s="1872">
        <f>ROUND(IF(D72="PCFP",'6.8 Alloc of Residual Rev. YR2'!G73,'1.4 FY 2020 Revenue Received'!Z67),0)</f>
        <v>42663367</v>
      </c>
      <c r="F72" s="149"/>
      <c r="G72" s="1873">
        <f>ROUND(IF(D72="PCFP",'6.8 Alloc of Residual Rev. YR2'!J73,('1.4 FY 2020 Revenue Received'!S67)+'1.4 FY 2020 Revenue Received'!T67),0)</f>
        <v>6238538</v>
      </c>
      <c r="H72" s="1874">
        <f>ROUND(IF(D72="PCFP",'6.8 Alloc of Residual Rev. YR2'!K73,('1.4 FY 2020 Revenue Received'!S67)+'1.4 FY 2020 Revenue Received'!U67),0)</f>
        <v>16629</v>
      </c>
      <c r="I72" s="1874">
        <f>ROUND(IF(D72="PCFP",'6.8 Alloc of Residual Rev. YR2'!L73,'1.4 FY 2020 Revenue Received'!V67),0)</f>
        <v>0</v>
      </c>
      <c r="J72" s="1876">
        <f t="shared" si="5"/>
        <v>6255167</v>
      </c>
      <c r="K72" s="149"/>
      <c r="L72" s="671">
        <f>'6.1 Auxiliary Services YR2'!G118</f>
        <v>0</v>
      </c>
      <c r="M72" s="1887">
        <v>0</v>
      </c>
      <c r="N72" s="796">
        <v>0</v>
      </c>
      <c r="O72" s="796"/>
      <c r="P72" s="1872">
        <f t="shared" si="6"/>
        <v>0</v>
      </c>
      <c r="Q72" s="149"/>
      <c r="R72" s="1875">
        <f>ROUND(IF(D72="PCFP",'6.8 Alloc of Residual Rev. YR2'!I73,'1.4 FY 2020 Revenue Received'!Y67),0)</f>
        <v>1865315</v>
      </c>
      <c r="S72" s="149"/>
      <c r="T72" s="1872">
        <f t="shared" si="10"/>
        <v>50783849</v>
      </c>
      <c r="U72" s="149"/>
    </row>
    <row r="73" spans="1:21" x14ac:dyDescent="0.3">
      <c r="A73" s="4"/>
      <c r="B73" s="9" t="str">
        <f>'5.2 Budgeted Enrollment YR2'!E70</f>
        <v>Mater Academy of Northern Nevada</v>
      </c>
      <c r="D73" s="9" t="str">
        <f>IF('2.9 PCFP Funding Comparison YR1'!$K$25="Yes","PCFP","FY 2020 Baseline")</f>
        <v>PCFP</v>
      </c>
      <c r="E73" s="1872">
        <f>ROUND(IF(D73="PCFP",'6.8 Alloc of Residual Rev. YR2'!G74,'1.4 FY 2020 Revenue Received'!Z68),0)</f>
        <v>4778111</v>
      </c>
      <c r="F73" s="149"/>
      <c r="G73" s="1873">
        <f>ROUND(IF(D73="PCFP",'6.8 Alloc of Residual Rev. YR2'!J74,('1.4 FY 2020 Revenue Received'!S68)+'1.4 FY 2020 Revenue Received'!T68),0)</f>
        <v>568695</v>
      </c>
      <c r="H73" s="1874">
        <f>ROUND(IF(D73="PCFP",'6.8 Alloc of Residual Rev. YR2'!K74,('1.4 FY 2020 Revenue Received'!S68)+'1.4 FY 2020 Revenue Received'!U68),0)</f>
        <v>6651</v>
      </c>
      <c r="I73" s="1874">
        <f>ROUND(IF(D73="PCFP",'6.8 Alloc of Residual Rev. YR2'!L74,'1.4 FY 2020 Revenue Received'!V68),0)</f>
        <v>0</v>
      </c>
      <c r="J73" s="1876">
        <f t="shared" si="5"/>
        <v>575346</v>
      </c>
      <c r="K73" s="149"/>
      <c r="L73" s="671">
        <f>'6.1 Auxiliary Services YR2'!G119</f>
        <v>0</v>
      </c>
      <c r="M73" s="1887">
        <v>0</v>
      </c>
      <c r="N73" s="796">
        <v>0</v>
      </c>
      <c r="O73" s="796"/>
      <c r="P73" s="1872">
        <f t="shared" si="6"/>
        <v>0</v>
      </c>
      <c r="Q73" s="149"/>
      <c r="R73" s="1875">
        <f>ROUND(IF(D73="PCFP",'6.8 Alloc of Residual Rev. YR2'!I74,'1.4 FY 2020 Revenue Received'!Y68),0)</f>
        <v>53862</v>
      </c>
      <c r="S73" s="149"/>
      <c r="T73" s="1872">
        <f t="shared" si="10"/>
        <v>5407319</v>
      </c>
      <c r="U73" s="149"/>
    </row>
    <row r="74" spans="1:21" x14ac:dyDescent="0.3">
      <c r="A74" s="4"/>
      <c r="B74" s="9" t="str">
        <f>'5.2 Budgeted Enrollment YR2'!E71</f>
        <v>Nevada Connections Academy</v>
      </c>
      <c r="D74" s="9" t="str">
        <f>IF('2.9 PCFP Funding Comparison YR1'!$K$25="Yes","PCFP","FY 2020 Baseline")</f>
        <v>PCFP</v>
      </c>
      <c r="E74" s="1872">
        <f>ROUND(IF(D74="PCFP",'6.8 Alloc of Residual Rev. YR2'!G75,'1.4 FY 2020 Revenue Received'!Z69),0)</f>
        <v>11410065</v>
      </c>
      <c r="F74" s="149"/>
      <c r="G74" s="1873">
        <f>ROUND(IF(D74="PCFP",'6.8 Alloc of Residual Rev. YR2'!J75,('1.4 FY 2020 Revenue Received'!S69)+'1.4 FY 2020 Revenue Received'!T69),0)</f>
        <v>162484</v>
      </c>
      <c r="H74" s="1874">
        <f>ROUND(IF(D74="PCFP",'6.8 Alloc of Residual Rev. YR2'!K75,('1.4 FY 2020 Revenue Received'!S69)+'1.4 FY 2020 Revenue Received'!U69),0)</f>
        <v>99771</v>
      </c>
      <c r="I74" s="1874">
        <f>ROUND(IF(D74="PCFP",'6.8 Alloc of Residual Rev. YR2'!L75,'1.4 FY 2020 Revenue Received'!V69),0)</f>
        <v>0</v>
      </c>
      <c r="J74" s="1876">
        <f t="shared" si="5"/>
        <v>262255</v>
      </c>
      <c r="K74" s="149"/>
      <c r="L74" s="671">
        <f>'6.1 Auxiliary Services YR2'!G120</f>
        <v>0</v>
      </c>
      <c r="M74" s="1887">
        <v>0</v>
      </c>
      <c r="N74" s="796">
        <v>0</v>
      </c>
      <c r="O74" s="796"/>
      <c r="P74" s="1872">
        <f t="shared" si="6"/>
        <v>0</v>
      </c>
      <c r="Q74" s="149"/>
      <c r="R74" s="1875">
        <f>ROUND(IF(D74="PCFP",'6.8 Alloc of Residual Rev. YR2'!I75,'1.4 FY 2020 Revenue Received'!Y69),0)</f>
        <v>0</v>
      </c>
      <c r="S74" s="149"/>
      <c r="T74" s="1872">
        <f t="shared" si="10"/>
        <v>11672320</v>
      </c>
      <c r="U74" s="149"/>
    </row>
    <row r="75" spans="1:21" x14ac:dyDescent="0.3">
      <c r="A75" s="4"/>
      <c r="B75" s="9" t="str">
        <f>'5.2 Budgeted Enrollment YR2'!E72</f>
        <v>Nevada Prep</v>
      </c>
      <c r="D75" s="9" t="str">
        <f>IF('2.9 PCFP Funding Comparison YR1'!$K$25="Yes","PCFP","FY 2020 Baseline")</f>
        <v>PCFP</v>
      </c>
      <c r="E75" s="1872">
        <f>ROUND(IF(D75="PCFP",'6.8 Alloc of Residual Rev. YR2'!G76,'1.4 FY 2020 Revenue Received'!Z70),0)</f>
        <v>2900375</v>
      </c>
      <c r="F75" s="149"/>
      <c r="G75" s="1873">
        <f>ROUND(IF(D75="PCFP",'6.8 Alloc of Residual Rev. YR2'!J76,('1.4 FY 2020 Revenue Received'!S70)+'1.4 FY 2020 Revenue Received'!T70),0)</f>
        <v>316417</v>
      </c>
      <c r="H75" s="1874">
        <f>ROUND(IF(D75="PCFP",'6.8 Alloc of Residual Rev. YR2'!K76,('1.4 FY 2020 Revenue Received'!S70)+'1.4 FY 2020 Revenue Received'!U70),0)</f>
        <v>93120</v>
      </c>
      <c r="I75" s="1874">
        <f>ROUND(IF(D75="PCFP",'6.8 Alloc of Residual Rev. YR2'!L76,'1.4 FY 2020 Revenue Received'!V70),0)</f>
        <v>0</v>
      </c>
      <c r="J75" s="1876">
        <f t="shared" si="5"/>
        <v>409537</v>
      </c>
      <c r="K75" s="149"/>
      <c r="L75" s="671">
        <f>'6.1 Auxiliary Services YR2'!G121</f>
        <v>0</v>
      </c>
      <c r="M75" s="1887">
        <v>0</v>
      </c>
      <c r="N75" s="796">
        <v>0</v>
      </c>
      <c r="O75" s="796"/>
      <c r="P75" s="1872">
        <f t="shared" si="6"/>
        <v>0</v>
      </c>
      <c r="Q75" s="149"/>
      <c r="R75" s="1875">
        <f>ROUND(IF(D75="PCFP",'6.8 Alloc of Residual Rev. YR2'!I76,'1.4 FY 2020 Revenue Received'!Y70),0)</f>
        <v>180975</v>
      </c>
      <c r="S75" s="149"/>
      <c r="T75" s="1872">
        <f t="shared" si="10"/>
        <v>3490887</v>
      </c>
      <c r="U75" s="149"/>
    </row>
    <row r="76" spans="1:21" x14ac:dyDescent="0.3">
      <c r="A76" s="4"/>
      <c r="B76" s="9" t="str">
        <f>'5.2 Budgeted Enrollment YR2'!E73</f>
        <v xml:space="preserve">Nevada Rise </v>
      </c>
      <c r="D76" s="9" t="str">
        <f>IF('2.9 PCFP Funding Comparison YR1'!$K$25="Yes","PCFP","FY 2020 Baseline")</f>
        <v>PCFP</v>
      </c>
      <c r="E76" s="1872">
        <f>ROUND(IF(D76="PCFP",'6.8 Alloc of Residual Rev. YR2'!G77,'1.4 FY 2020 Revenue Received'!Z71),0)</f>
        <v>3540212</v>
      </c>
      <c r="F76" s="149"/>
      <c r="G76" s="1873">
        <f>ROUND(IF(D76="PCFP",'6.8 Alloc of Residual Rev. YR2'!J77,('1.4 FY 2020 Revenue Received'!S71)+'1.4 FY 2020 Revenue Received'!T71),0)</f>
        <v>149657</v>
      </c>
      <c r="H76" s="1874">
        <f>ROUND(IF(D76="PCFP",'6.8 Alloc of Residual Rev. YR2'!K77,('1.4 FY 2020 Revenue Received'!S71)+'1.4 FY 2020 Revenue Received'!U71),0)</f>
        <v>3326</v>
      </c>
      <c r="I76" s="1874">
        <f>ROUND(IF(D76="PCFP",'6.8 Alloc of Residual Rev. YR2'!L77,'1.4 FY 2020 Revenue Received'!V71),0)</f>
        <v>0</v>
      </c>
      <c r="J76" s="1876">
        <f t="shared" si="5"/>
        <v>152983</v>
      </c>
      <c r="K76" s="149"/>
      <c r="L76" s="671">
        <f>'6.1 Auxiliary Services YR2'!G122</f>
        <v>0</v>
      </c>
      <c r="M76" s="1887">
        <v>0</v>
      </c>
      <c r="N76" s="796">
        <v>0</v>
      </c>
      <c r="O76" s="796"/>
      <c r="P76" s="1872">
        <f t="shared" si="6"/>
        <v>0</v>
      </c>
      <c r="Q76" s="149"/>
      <c r="R76" s="1875">
        <f>ROUND(IF(D76="PCFP",'6.8 Alloc of Residual Rev. YR2'!I77,'1.4 FY 2020 Revenue Received'!Y71),0)</f>
        <v>334053</v>
      </c>
      <c r="S76" s="149"/>
      <c r="T76" s="1872">
        <f t="shared" si="10"/>
        <v>4027248</v>
      </c>
      <c r="U76" s="149"/>
    </row>
    <row r="77" spans="1:21" x14ac:dyDescent="0.3">
      <c r="A77" s="4"/>
      <c r="B77" s="9" t="str">
        <f>'5.2 Budgeted Enrollment YR2'!E74</f>
        <v>Nevada State High School</v>
      </c>
      <c r="D77" s="9" t="str">
        <f>IF('2.9 PCFP Funding Comparison YR1'!$K$25="Yes","PCFP","FY 2020 Baseline")</f>
        <v>PCFP</v>
      </c>
      <c r="E77" s="1872">
        <f>ROUND(IF(D77="PCFP",'6.8 Alloc of Residual Rev. YR2'!G78,'1.4 FY 2020 Revenue Received'!Z72),0)</f>
        <v>8677915</v>
      </c>
      <c r="F77" s="149"/>
      <c r="G77" s="1873">
        <f>ROUND(IF(D77="PCFP",'6.8 Alloc of Residual Rev. YR2'!J78,('1.4 FY 2020 Revenue Received'!S72)+'1.4 FY 2020 Revenue Received'!T72),0)</f>
        <v>102622</v>
      </c>
      <c r="H77" s="1874">
        <f>ROUND(IF(D77="PCFP",'6.8 Alloc of Residual Rev. YR2'!K78,('1.4 FY 2020 Revenue Received'!S72)+'1.4 FY 2020 Revenue Received'!U72),0)</f>
        <v>3326</v>
      </c>
      <c r="I77" s="1874">
        <f>ROUND(IF(D77="PCFP",'6.8 Alloc of Residual Rev. YR2'!L78,'1.4 FY 2020 Revenue Received'!V72),0)</f>
        <v>0</v>
      </c>
      <c r="J77" s="1876">
        <f t="shared" si="5"/>
        <v>105948</v>
      </c>
      <c r="K77" s="149"/>
      <c r="L77" s="671">
        <f>'6.1 Auxiliary Services YR2'!G123</f>
        <v>0</v>
      </c>
      <c r="M77" s="1887">
        <v>0</v>
      </c>
      <c r="N77" s="796">
        <v>0</v>
      </c>
      <c r="O77" s="796"/>
      <c r="P77" s="1872">
        <f t="shared" si="6"/>
        <v>0</v>
      </c>
      <c r="Q77" s="149"/>
      <c r="R77" s="1875">
        <f>ROUND(IF(D77="PCFP",'6.8 Alloc of Residual Rev. YR2'!I78,'1.4 FY 2020 Revenue Received'!Y72),0)</f>
        <v>9728</v>
      </c>
      <c r="S77" s="149"/>
      <c r="T77" s="1872">
        <f t="shared" si="10"/>
        <v>8793591</v>
      </c>
      <c r="U77" s="149"/>
    </row>
    <row r="78" spans="1:21" x14ac:dyDescent="0.3">
      <c r="A78" s="4"/>
      <c r="B78" s="9" t="str">
        <f>'5.2 Budgeted Enrollment YR2'!E75</f>
        <v>Nevada State High School-Meadowwood</v>
      </c>
      <c r="D78" s="9" t="str">
        <f>IF('2.9 PCFP Funding Comparison YR1'!$K$25="Yes","PCFP","FY 2020 Baseline")</f>
        <v>PCFP</v>
      </c>
      <c r="E78" s="1872">
        <f>ROUND(IF(D78="PCFP",'6.8 Alloc of Residual Rev. YR2'!G79,'1.4 FY 2020 Revenue Received'!Z73),0)</f>
        <v>286928</v>
      </c>
      <c r="F78" s="149"/>
      <c r="G78" s="1873">
        <f>ROUND(IF(D78="PCFP",'6.8 Alloc of Residual Rev. YR2'!J79,('1.4 FY 2020 Revenue Received'!S73)+'1.4 FY 2020 Revenue Received'!T73),0)</f>
        <v>0</v>
      </c>
      <c r="H78" s="1874">
        <f>ROUND(IF(D78="PCFP",'6.8 Alloc of Residual Rev. YR2'!K79,('1.4 FY 2020 Revenue Received'!S73)+'1.4 FY 2020 Revenue Received'!U73),0)</f>
        <v>0</v>
      </c>
      <c r="I78" s="1874">
        <f>ROUND(IF(D78="PCFP",'6.8 Alloc of Residual Rev. YR2'!L79,'1.4 FY 2020 Revenue Received'!V73),0)</f>
        <v>0</v>
      </c>
      <c r="J78" s="1876">
        <f t="shared" si="5"/>
        <v>0</v>
      </c>
      <c r="K78" s="149"/>
      <c r="L78" s="671">
        <f>'6.1 Auxiliary Services YR2'!G124</f>
        <v>0</v>
      </c>
      <c r="M78" s="1887">
        <v>0</v>
      </c>
      <c r="N78" s="796">
        <v>0</v>
      </c>
      <c r="O78" s="796"/>
      <c r="P78" s="1872">
        <f t="shared" si="6"/>
        <v>0</v>
      </c>
      <c r="Q78" s="149"/>
      <c r="R78" s="1875">
        <f>ROUND(IF(D78="PCFP",'6.8 Alloc of Residual Rev. YR2'!I79,'1.4 FY 2020 Revenue Received'!Y73),0)</f>
        <v>0</v>
      </c>
      <c r="S78" s="149"/>
      <c r="T78" s="1872">
        <f t="shared" si="10"/>
        <v>286928</v>
      </c>
      <c r="U78" s="149"/>
    </row>
    <row r="79" spans="1:21" x14ac:dyDescent="0.3">
      <c r="A79" s="4"/>
      <c r="B79" s="9" t="str">
        <f>'5.2 Budgeted Enrollment YR2'!E76</f>
        <v>Nevada Virtual Academy</v>
      </c>
      <c r="D79" s="9" t="str">
        <f>IF('2.9 PCFP Funding Comparison YR1'!$K$25="Yes","PCFP","FY 2020 Baseline")</f>
        <v>PCFP</v>
      </c>
      <c r="E79" s="1872">
        <f>ROUND(IF(D79="PCFP",'6.8 Alloc of Residual Rev. YR2'!G80,'1.4 FY 2020 Revenue Received'!Z74),0)</f>
        <v>17293362</v>
      </c>
      <c r="F79" s="149"/>
      <c r="G79" s="1873">
        <f>ROUND(IF(D79="PCFP",'6.8 Alloc of Residual Rev. YR2'!J80,('1.4 FY 2020 Revenue Received'!S74)+'1.4 FY 2020 Revenue Received'!T74),0)</f>
        <v>337796</v>
      </c>
      <c r="H79" s="1874">
        <f>ROUND(IF(D79="PCFP",'6.8 Alloc of Residual Rev. YR2'!K80,('1.4 FY 2020 Revenue Received'!S74)+'1.4 FY 2020 Revenue Received'!U74),0)</f>
        <v>259405</v>
      </c>
      <c r="I79" s="1874">
        <f>ROUND(IF(D79="PCFP",'6.8 Alloc of Residual Rev. YR2'!L80,'1.4 FY 2020 Revenue Received'!V74),0)</f>
        <v>0</v>
      </c>
      <c r="J79" s="1876">
        <f t="shared" si="5"/>
        <v>597201</v>
      </c>
      <c r="K79" s="149"/>
      <c r="L79" s="671">
        <f>'6.1 Auxiliary Services YR2'!G125</f>
        <v>0</v>
      </c>
      <c r="M79" s="1887">
        <v>0</v>
      </c>
      <c r="N79" s="796">
        <v>0</v>
      </c>
      <c r="O79" s="796"/>
      <c r="P79" s="1872">
        <f t="shared" si="6"/>
        <v>0</v>
      </c>
      <c r="Q79" s="149"/>
      <c r="R79" s="1875">
        <f>ROUND(IF(D79="PCFP",'6.8 Alloc of Residual Rev. YR2'!I80,'1.4 FY 2020 Revenue Received'!Y74),0)</f>
        <v>513939</v>
      </c>
      <c r="S79" s="149"/>
      <c r="T79" s="1872">
        <f t="shared" si="10"/>
        <v>18404502</v>
      </c>
      <c r="U79" s="149"/>
    </row>
    <row r="80" spans="1:21" x14ac:dyDescent="0.3">
      <c r="A80" s="4"/>
      <c r="B80" s="9" t="str">
        <f>'5.2 Budgeted Enrollment YR2'!E77</f>
        <v>Oasis Academy</v>
      </c>
      <c r="D80" s="9" t="str">
        <f>IF('2.9 PCFP Funding Comparison YR1'!$K$25="Yes","PCFP","FY 2020 Baseline")</f>
        <v>PCFP</v>
      </c>
      <c r="E80" s="1872">
        <f>ROUND(IF(D80="PCFP",'6.8 Alloc of Residual Rev. YR2'!G81,'1.4 FY 2020 Revenue Received'!Z75),0)</f>
        <v>8535245</v>
      </c>
      <c r="F80" s="149"/>
      <c r="G80" s="1873">
        <f>ROUND(IF(D80="PCFP",'6.8 Alloc of Residual Rev. YR2'!J81,('1.4 FY 2020 Revenue Received'!S75)+'1.4 FY 2020 Revenue Received'!T75),0)</f>
        <v>85518</v>
      </c>
      <c r="H80" s="1874">
        <f>ROUND(IF(D80="PCFP",'6.8 Alloc of Residual Rev. YR2'!K81,('1.4 FY 2020 Revenue Received'!S75)+'1.4 FY 2020 Revenue Received'!U75),0)</f>
        <v>0</v>
      </c>
      <c r="I80" s="1874">
        <f>ROUND(IF(D80="PCFP",'6.8 Alloc of Residual Rev. YR2'!L81,'1.4 FY 2020 Revenue Received'!V75),0)</f>
        <v>0</v>
      </c>
      <c r="J80" s="1876">
        <f t="shared" si="5"/>
        <v>85518</v>
      </c>
      <c r="K80" s="149"/>
      <c r="L80" s="671">
        <f>'6.1 Auxiliary Services YR2'!G126</f>
        <v>0</v>
      </c>
      <c r="M80" s="1887">
        <v>0</v>
      </c>
      <c r="N80" s="796">
        <v>0</v>
      </c>
      <c r="O80" s="796"/>
      <c r="P80" s="1872">
        <f t="shared" si="6"/>
        <v>0</v>
      </c>
      <c r="Q80" s="149"/>
      <c r="R80" s="1875">
        <f>ROUND(IF(D80="PCFP",'6.8 Alloc of Residual Rev. YR2'!I81,'1.4 FY 2020 Revenue Received'!Y75),0)</f>
        <v>573004</v>
      </c>
      <c r="S80" s="149"/>
      <c r="T80" s="1872">
        <f t="shared" si="10"/>
        <v>9193767</v>
      </c>
      <c r="U80" s="149"/>
    </row>
    <row r="81" spans="1:21" x14ac:dyDescent="0.3">
      <c r="A81" s="4"/>
      <c r="B81" s="9" t="str">
        <f>'5.2 Budgeted Enrollment YR2'!E78</f>
        <v>Odyssey Charter Schools</v>
      </c>
      <c r="D81" s="9" t="str">
        <f>IF('2.9 PCFP Funding Comparison YR1'!$K$25="Yes","PCFP","FY 2020 Baseline")</f>
        <v>PCFP</v>
      </c>
      <c r="E81" s="1872">
        <f>ROUND(IF(D81="PCFP",'6.8 Alloc of Residual Rev. YR2'!G82,'1.4 FY 2020 Revenue Received'!Z76),0)</f>
        <v>22812305</v>
      </c>
      <c r="F81" s="149"/>
      <c r="G81" s="1873">
        <f>ROUND(IF(D81="PCFP",'6.8 Alloc of Residual Rev. YR2'!J82,('1.4 FY 2020 Revenue Received'!S76)+'1.4 FY 2020 Revenue Received'!T76),0)</f>
        <v>474625</v>
      </c>
      <c r="H81" s="1874">
        <f>ROUND(IF(D81="PCFP",'6.8 Alloc of Residual Rev. YR2'!K82,('1.4 FY 2020 Revenue Received'!S76)+'1.4 FY 2020 Revenue Received'!U76),0)</f>
        <v>934522</v>
      </c>
      <c r="I81" s="1874">
        <f>ROUND(IF(D81="PCFP",'6.8 Alloc of Residual Rev. YR2'!L82,'1.4 FY 2020 Revenue Received'!V76),0)</f>
        <v>0</v>
      </c>
      <c r="J81" s="1876">
        <f t="shared" si="5"/>
        <v>1409147</v>
      </c>
      <c r="K81" s="149"/>
      <c r="L81" s="671">
        <f>'6.1 Auxiliary Services YR2'!G127</f>
        <v>0</v>
      </c>
      <c r="M81" s="1887">
        <v>0</v>
      </c>
      <c r="N81" s="796">
        <v>0</v>
      </c>
      <c r="O81" s="796"/>
      <c r="P81" s="1872">
        <f t="shared" si="6"/>
        <v>0</v>
      </c>
      <c r="Q81" s="149"/>
      <c r="R81" s="1875">
        <f>ROUND(IF(D81="PCFP",'6.8 Alloc of Residual Rev. YR2'!I82,'1.4 FY 2020 Revenue Received'!Y76),0)</f>
        <v>2396373</v>
      </c>
      <c r="S81" s="149"/>
      <c r="T81" s="1872">
        <f t="shared" si="10"/>
        <v>26617825</v>
      </c>
      <c r="U81" s="149"/>
    </row>
    <row r="82" spans="1:21" x14ac:dyDescent="0.3">
      <c r="A82" s="4"/>
      <c r="B82" s="9" t="str">
        <f>'5.2 Budgeted Enrollment YR2'!E79</f>
        <v>Pinecrest Academy of Northern Nevada</v>
      </c>
      <c r="D82" s="9" t="str">
        <f>IF('2.9 PCFP Funding Comparison YR1'!$K$25="Yes","PCFP","FY 2020 Baseline")</f>
        <v>PCFP</v>
      </c>
      <c r="E82" s="1872">
        <f>ROUND(IF(D82="PCFP",'6.8 Alloc of Residual Rev. YR2'!G83,'1.4 FY 2020 Revenue Received'!Z77),0)</f>
        <v>9714769</v>
      </c>
      <c r="F82" s="149"/>
      <c r="G82" s="1873">
        <f>ROUND(IF(D82="PCFP",'6.8 Alloc of Residual Rev. YR2'!J83,('1.4 FY 2020 Revenue Received'!S77)+'1.4 FY 2020 Revenue Received'!T77),0)</f>
        <v>76966</v>
      </c>
      <c r="H82" s="1874">
        <f>ROUND(IF(D82="PCFP",'6.8 Alloc of Residual Rev. YR2'!K83,('1.4 FY 2020 Revenue Received'!S77)+'1.4 FY 2020 Revenue Received'!U77),0)</f>
        <v>0</v>
      </c>
      <c r="I82" s="1874">
        <f>ROUND(IF(D82="PCFP",'6.8 Alloc of Residual Rev. YR2'!L83,'1.4 FY 2020 Revenue Received'!V77),0)</f>
        <v>70695</v>
      </c>
      <c r="J82" s="1876">
        <f t="shared" si="5"/>
        <v>147661</v>
      </c>
      <c r="K82" s="149"/>
      <c r="L82" s="671">
        <f>'6.1 Auxiliary Services YR2'!G128</f>
        <v>0</v>
      </c>
      <c r="M82" s="1887">
        <v>0</v>
      </c>
      <c r="N82" s="796">
        <v>0</v>
      </c>
      <c r="O82" s="796"/>
      <c r="P82" s="1872">
        <f t="shared" si="6"/>
        <v>0</v>
      </c>
      <c r="Q82" s="149"/>
      <c r="R82" s="1875">
        <f>ROUND(IF(D82="PCFP",'6.8 Alloc of Residual Rev. YR2'!I83,'1.4 FY 2020 Revenue Received'!Y77),0)</f>
        <v>1248935</v>
      </c>
      <c r="S82" s="149"/>
      <c r="T82" s="1872">
        <f t="shared" si="10"/>
        <v>11111365</v>
      </c>
      <c r="U82" s="149"/>
    </row>
    <row r="83" spans="1:21" x14ac:dyDescent="0.3">
      <c r="A83" s="4"/>
      <c r="B83" s="9" t="str">
        <f>'5.2 Budgeted Enrollment YR2'!E80</f>
        <v>Pinecrest Academy of Nevada</v>
      </c>
      <c r="D83" s="9" t="str">
        <f>IF('2.9 PCFP Funding Comparison YR1'!$K$25="Yes","PCFP","FY 2020 Baseline")</f>
        <v>PCFP</v>
      </c>
      <c r="E83" s="1872">
        <f>ROUND(IF(D83="PCFP",'6.8 Alloc of Residual Rev. YR2'!G84,'1.4 FY 2020 Revenue Received'!Z78),0)</f>
        <v>76537199</v>
      </c>
      <c r="F83" s="149"/>
      <c r="G83" s="1873">
        <f>ROUND(IF(D83="PCFP",'6.8 Alloc of Residual Rev. YR2'!J84,('1.4 FY 2020 Revenue Received'!S78)+'1.4 FY 2020 Revenue Received'!T78),0)</f>
        <v>833801</v>
      </c>
      <c r="H83" s="1874">
        <f>ROUND(IF(D83="PCFP",'6.8 Alloc of Residual Rev. YR2'!K84,('1.4 FY 2020 Revenue Received'!S78)+'1.4 FY 2020 Revenue Received'!U78),0)</f>
        <v>422364</v>
      </c>
      <c r="I83" s="1874">
        <f>ROUND(IF(D83="PCFP",'6.8 Alloc of Residual Rev. YR2'!L84,'1.4 FY 2020 Revenue Received'!V78),0)</f>
        <v>451535</v>
      </c>
      <c r="J83" s="1876">
        <f t="shared" si="5"/>
        <v>1707700</v>
      </c>
      <c r="K83" s="149"/>
      <c r="L83" s="671">
        <f>'6.1 Auxiliary Services YR2'!G129</f>
        <v>0</v>
      </c>
      <c r="M83" s="1887">
        <v>0</v>
      </c>
      <c r="N83" s="796">
        <v>0</v>
      </c>
      <c r="O83" s="796"/>
      <c r="P83" s="1872">
        <f t="shared" si="6"/>
        <v>0</v>
      </c>
      <c r="Q83" s="149"/>
      <c r="R83" s="1875">
        <f>ROUND(IF(D83="PCFP",'6.8 Alloc of Residual Rev. YR2'!I84,'1.4 FY 2020 Revenue Received'!Y78),0)</f>
        <v>143895</v>
      </c>
      <c r="S83" s="149"/>
      <c r="T83" s="1872">
        <f t="shared" si="10"/>
        <v>78388794</v>
      </c>
      <c r="U83" s="149"/>
    </row>
    <row r="84" spans="1:21" x14ac:dyDescent="0.3">
      <c r="A84" s="4"/>
      <c r="B84" s="9" t="str">
        <f>'5.2 Budgeted Enrollment YR2'!E81</f>
        <v>Pioneer Technical Arts Academy</v>
      </c>
      <c r="D84" s="9" t="str">
        <f>IF('2.9 PCFP Funding Comparison YR1'!$K$25="Yes","PCFP","FY 2020 Baseline")</f>
        <v>PCFP</v>
      </c>
      <c r="E84" s="1872">
        <f>ROUND(IF(D84="PCFP",'6.8 Alloc of Residual Rev. YR2'!G85,'1.4 FY 2020 Revenue Received'!Z79),0)</f>
        <v>2507329</v>
      </c>
      <c r="F84" s="149"/>
      <c r="G84" s="1873">
        <f>ROUND(IF(D84="PCFP",'6.8 Alloc of Residual Rev. YR2'!J85,('1.4 FY 2020 Revenue Received'!S79)+'1.4 FY 2020 Revenue Received'!T79),0)</f>
        <v>0</v>
      </c>
      <c r="H84" s="1874">
        <f>ROUND(IF(D84="PCFP",'6.8 Alloc of Residual Rev. YR2'!K85,('1.4 FY 2020 Revenue Received'!S79)+'1.4 FY 2020 Revenue Received'!U79),0)</f>
        <v>0</v>
      </c>
      <c r="I84" s="1874">
        <f>ROUND(IF(D84="PCFP",'6.8 Alloc of Residual Rev. YR2'!L85,'1.4 FY 2020 Revenue Received'!V79),0)</f>
        <v>0</v>
      </c>
      <c r="J84" s="1876">
        <f t="shared" ref="J84:J85" si="11">SUM(G84:I84)</f>
        <v>0</v>
      </c>
      <c r="K84" s="149"/>
      <c r="L84" s="671">
        <f>'6.1 Auxiliary Services YR2'!G130</f>
        <v>0</v>
      </c>
      <c r="M84" s="1887">
        <v>0</v>
      </c>
      <c r="N84" s="796">
        <v>0</v>
      </c>
      <c r="O84" s="796"/>
      <c r="P84" s="1872">
        <f t="shared" ref="P84:P85" si="12">SUM(L84:N84)</f>
        <v>0</v>
      </c>
      <c r="Q84" s="149"/>
      <c r="R84" s="1875">
        <f>ROUND(IF(D84="PCFP",'6.8 Alloc of Residual Rev. YR2'!I85,'1.4 FY 2020 Revenue Received'!Y79),0)</f>
        <v>0</v>
      </c>
      <c r="S84" s="149"/>
      <c r="T84" s="1872">
        <f t="shared" ref="T84:T85" si="13">P84+J84+E84+R84</f>
        <v>2507329</v>
      </c>
      <c r="U84" s="149" t="s">
        <v>370</v>
      </c>
    </row>
    <row r="85" spans="1:21" x14ac:dyDescent="0.3">
      <c r="A85" s="4"/>
      <c r="B85" s="9" t="str">
        <f>'5.2 Budgeted Enrollment YR2'!E82</f>
        <v>Quest Academy</v>
      </c>
      <c r="D85" s="9" t="str">
        <f>IF('2.9 PCFP Funding Comparison YR1'!$K$25="Yes","PCFP","FY 2020 Baseline")</f>
        <v>PCFP</v>
      </c>
      <c r="E85" s="1872">
        <f>ROUND(IF(D85="PCFP",'6.8 Alloc of Residual Rev. YR2'!G86,'1.4 FY 2020 Revenue Received'!Z80),0)</f>
        <v>4328860</v>
      </c>
      <c r="F85" s="149"/>
      <c r="G85" s="1873">
        <f>ROUND(IF(D85="PCFP",'6.8 Alloc of Residual Rev. YR2'!J86,('1.4 FY 2020 Revenue Received'!S80)+'1.4 FY 2020 Revenue Received'!T80),0)</f>
        <v>205243</v>
      </c>
      <c r="H85" s="1874">
        <f>ROUND(IF(D85="PCFP",'6.8 Alloc of Residual Rev. YR2'!K86,('1.4 FY 2020 Revenue Received'!S80)+'1.4 FY 2020 Revenue Received'!U80),0)</f>
        <v>53211</v>
      </c>
      <c r="I85" s="1874">
        <f>ROUND(IF(D85="PCFP",'6.8 Alloc of Residual Rev. YR2'!L86,'1.4 FY 2020 Revenue Received'!V80),0)</f>
        <v>0</v>
      </c>
      <c r="J85" s="1876">
        <f t="shared" si="11"/>
        <v>258454</v>
      </c>
      <c r="K85" s="149"/>
      <c r="L85" s="671">
        <f>'6.1 Auxiliary Services YR2'!G131</f>
        <v>0</v>
      </c>
      <c r="M85" s="1887">
        <v>0</v>
      </c>
      <c r="N85" s="796">
        <v>0</v>
      </c>
      <c r="O85" s="796"/>
      <c r="P85" s="1872">
        <f t="shared" si="12"/>
        <v>0</v>
      </c>
      <c r="Q85" s="149"/>
      <c r="R85" s="1875">
        <f>ROUND(IF(D85="PCFP",'6.8 Alloc of Residual Rev. YR2'!I86,'1.4 FY 2020 Revenue Received'!Y80),0)</f>
        <v>46203</v>
      </c>
      <c r="S85" s="149"/>
      <c r="T85" s="1872">
        <f t="shared" si="13"/>
        <v>4633517</v>
      </c>
      <c r="U85" s="149"/>
    </row>
    <row r="86" spans="1:21" x14ac:dyDescent="0.3">
      <c r="A86" s="4"/>
      <c r="B86" s="9" t="str">
        <f>'5.2 Budgeted Enrollment YR2'!E83</f>
        <v>Rainbow Dreams Academy</v>
      </c>
      <c r="D86" s="9" t="str">
        <f>IF('2.9 PCFP Funding Comparison YR1'!$K$25="Yes","PCFP","FY 2020 Baseline")</f>
        <v>PCFP</v>
      </c>
      <c r="E86" s="1872">
        <f>ROUND(IF(D86="PCFP",'6.8 Alloc of Residual Rev. YR2'!G87,'1.4 FY 2020 Revenue Received'!Z81),0)</f>
        <v>602266</v>
      </c>
      <c r="F86" s="149"/>
      <c r="G86" s="1873">
        <f>ROUND(IF(D86="PCFP",'6.8 Alloc of Residual Rev. YR2'!J87,('1.4 FY 2020 Revenue Received'!S81)+'1.4 FY 2020 Revenue Received'!T81),0)</f>
        <v>25655</v>
      </c>
      <c r="H86" s="1874">
        <f>ROUND(IF(D86="PCFP",'6.8 Alloc of Residual Rev. YR2'!K87,('1.4 FY 2020 Revenue Received'!S81)+'1.4 FY 2020 Revenue Received'!U81),0)</f>
        <v>16629</v>
      </c>
      <c r="I86" s="1874">
        <f>ROUND(IF(D86="PCFP",'6.8 Alloc of Residual Rev. YR2'!L87,'1.4 FY 2020 Revenue Received'!V81),0)</f>
        <v>0</v>
      </c>
      <c r="J86" s="1876">
        <f t="shared" si="5"/>
        <v>42284</v>
      </c>
      <c r="K86" s="149"/>
      <c r="L86" s="671">
        <f>'6.1 Auxiliary Services YR2'!G132</f>
        <v>0</v>
      </c>
      <c r="M86" s="1887">
        <v>0</v>
      </c>
      <c r="N86" s="796">
        <v>0</v>
      </c>
      <c r="O86" s="796"/>
      <c r="P86" s="1872">
        <f t="shared" si="6"/>
        <v>0</v>
      </c>
      <c r="Q86" s="149"/>
      <c r="R86" s="1875">
        <f>ROUND(IF(D86="PCFP",'6.8 Alloc of Residual Rev. YR2'!I87,'1.4 FY 2020 Revenue Received'!Y81),0)</f>
        <v>40634</v>
      </c>
      <c r="S86" s="149"/>
      <c r="T86" s="1872">
        <f t="shared" si="10"/>
        <v>685184</v>
      </c>
      <c r="U86" s="149"/>
    </row>
    <row r="87" spans="1:21" x14ac:dyDescent="0.3">
      <c r="A87" s="4"/>
      <c r="B87" s="9" t="str">
        <f>'5.2 Budgeted Enrollment YR2'!E84</f>
        <v>Rooted Charter School</v>
      </c>
      <c r="D87" s="9" t="str">
        <f>IF('2.9 PCFP Funding Comparison YR1'!$K$25="Yes","PCFP","FY 2020 Baseline")</f>
        <v>PCFP</v>
      </c>
      <c r="E87" s="1872">
        <f>ROUND(IF(D87="PCFP",'6.8 Alloc of Residual Rev. YR2'!G88,'1.4 FY 2020 Revenue Received'!Z82),0)</f>
        <v>224391</v>
      </c>
      <c r="F87" s="149"/>
      <c r="G87" s="1873">
        <f>ROUND(IF(D87="PCFP",'6.8 Alloc of Residual Rev. YR2'!J88,('1.4 FY 2020 Revenue Received'!S82)+'1.4 FY 2020 Revenue Received'!T82),0)</f>
        <v>0</v>
      </c>
      <c r="H87" s="1874">
        <f>ROUND(IF(D87="PCFP",'6.8 Alloc of Residual Rev. YR2'!K88,('1.4 FY 2020 Revenue Received'!S82)+'1.4 FY 2020 Revenue Received'!U82),0)</f>
        <v>0</v>
      </c>
      <c r="I87" s="1874">
        <f>ROUND(IF(D87="PCFP",'6.8 Alloc of Residual Rev. YR2'!L88,'1.4 FY 2020 Revenue Received'!V82),0)</f>
        <v>0</v>
      </c>
      <c r="J87" s="1876">
        <f t="shared" ref="J87" si="14">SUM(G87:I87)</f>
        <v>0</v>
      </c>
      <c r="K87" s="149"/>
      <c r="L87" s="671">
        <f>'6.1 Auxiliary Services YR2'!G133</f>
        <v>0</v>
      </c>
      <c r="M87" s="1887">
        <v>0</v>
      </c>
      <c r="N87" s="796">
        <v>0</v>
      </c>
      <c r="O87" s="796"/>
      <c r="P87" s="1872">
        <f t="shared" ref="P87" si="15">SUM(L87:N87)</f>
        <v>0</v>
      </c>
      <c r="Q87" s="149"/>
      <c r="R87" s="1875">
        <f>ROUND(IF(D87="PCFP",'6.8 Alloc of Residual Rev. YR2'!I88,'1.4 FY 2020 Revenue Received'!Y82),0)</f>
        <v>0</v>
      </c>
      <c r="S87" s="149"/>
      <c r="T87" s="1872">
        <f t="shared" ref="T87" si="16">P87+J87+E87+R87</f>
        <v>224391</v>
      </c>
      <c r="U87" s="149"/>
    </row>
    <row r="88" spans="1:21" x14ac:dyDescent="0.3">
      <c r="A88" s="4"/>
      <c r="B88" s="9" t="str">
        <f>'5.2 Budgeted Enrollment YR2'!E85</f>
        <v>Sage Collegiate Academy</v>
      </c>
      <c r="D88" s="9" t="str">
        <f>IF('2.9 PCFP Funding Comparison YR1'!$K$25="Yes","PCFP","FY 2020 Baseline")</f>
        <v>PCFP</v>
      </c>
      <c r="E88" s="1872">
        <f>ROUND(IF(D88="PCFP",'6.8 Alloc of Residual Rev. YR2'!G89,'1.4 FY 2020 Revenue Received'!Z83),0)</f>
        <v>2243718</v>
      </c>
      <c r="F88" s="149"/>
      <c r="G88" s="1873">
        <f>ROUND(IF(D88="PCFP",'6.8 Alloc of Residual Rev. YR2'!J89,('1.4 FY 2020 Revenue Received'!S83)+'1.4 FY 2020 Revenue Received'!T83),0)</f>
        <v>295037</v>
      </c>
      <c r="H88" s="1874">
        <f>ROUND(IF(D88="PCFP",'6.8 Alloc of Residual Rev. YR2'!K89,('1.4 FY 2020 Revenue Received'!S83)+'1.4 FY 2020 Revenue Received'!U83),0)</f>
        <v>0</v>
      </c>
      <c r="I88" s="1874">
        <f>ROUND(IF(D88="PCFP",'6.8 Alloc of Residual Rev. YR2'!L89,'1.4 FY 2020 Revenue Received'!V83),0)</f>
        <v>0</v>
      </c>
      <c r="J88" s="1876">
        <f t="shared" si="5"/>
        <v>295037</v>
      </c>
      <c r="K88" s="149"/>
      <c r="L88" s="671">
        <f>'6.1 Auxiliary Services YR2'!G134</f>
        <v>0</v>
      </c>
      <c r="M88" s="1887">
        <v>0</v>
      </c>
      <c r="N88" s="796">
        <v>0</v>
      </c>
      <c r="O88" s="796"/>
      <c r="P88" s="1872">
        <f t="shared" si="6"/>
        <v>0</v>
      </c>
      <c r="Q88" s="149"/>
      <c r="R88" s="1875">
        <f>ROUND(IF(D88="PCFP",'6.8 Alloc of Residual Rev. YR2'!I89,'1.4 FY 2020 Revenue Received'!Y83),0)</f>
        <v>93023</v>
      </c>
      <c r="S88" s="149"/>
      <c r="T88" s="1872">
        <f t="shared" si="10"/>
        <v>2631778</v>
      </c>
      <c r="U88" s="149"/>
    </row>
    <row r="89" spans="1:21" x14ac:dyDescent="0.3">
      <c r="A89" s="4"/>
      <c r="B89" s="9" t="str">
        <f>'5.2 Budgeted Enrollment YR2'!E86</f>
        <v>Sierra Nevada Academy Charter</v>
      </c>
      <c r="D89" s="9" t="str">
        <f>IF('2.9 PCFP Funding Comparison YR1'!$K$25="Yes","PCFP","FY 2020 Baseline")</f>
        <v>PCFP</v>
      </c>
      <c r="E89" s="1872">
        <f>ROUND(IF(D89="PCFP",'6.8 Alloc of Residual Rev. YR2'!G90,'1.4 FY 2020 Revenue Received'!Z84),0)</f>
        <v>2718316</v>
      </c>
      <c r="F89" s="149"/>
      <c r="G89" s="1873">
        <f>ROUND(IF(D89="PCFP",'6.8 Alloc of Residual Rev. YR2'!J90,('1.4 FY 2020 Revenue Received'!S84)+'1.4 FY 2020 Revenue Received'!T84),0)</f>
        <v>94070</v>
      </c>
      <c r="H89" s="1874">
        <f>ROUND(IF(D89="PCFP",'6.8 Alloc of Residual Rev. YR2'!K90,('1.4 FY 2020 Revenue Received'!S84)+'1.4 FY 2020 Revenue Received'!U84),0)</f>
        <v>99771</v>
      </c>
      <c r="I89" s="1874">
        <f>ROUND(IF(D89="PCFP",'6.8 Alloc of Residual Rev. YR2'!L90,'1.4 FY 2020 Revenue Received'!V84),0)</f>
        <v>0</v>
      </c>
      <c r="J89" s="1876">
        <f t="shared" si="5"/>
        <v>193841</v>
      </c>
      <c r="K89" s="149"/>
      <c r="L89" s="671">
        <f>'6.1 Auxiliary Services YR2'!G135</f>
        <v>0</v>
      </c>
      <c r="M89" s="1887">
        <v>0</v>
      </c>
      <c r="N89" s="796">
        <v>0</v>
      </c>
      <c r="O89" s="796"/>
      <c r="P89" s="1872">
        <f t="shared" si="6"/>
        <v>0</v>
      </c>
      <c r="Q89" s="149"/>
      <c r="R89" s="1875">
        <f>ROUND(IF(D89="PCFP",'6.8 Alloc of Residual Rev. YR2'!I90,'1.4 FY 2020 Revenue Received'!Y84),0)</f>
        <v>265057</v>
      </c>
      <c r="S89" s="149"/>
      <c r="T89" s="1872">
        <f t="shared" si="10"/>
        <v>3177214</v>
      </c>
      <c r="U89" s="149"/>
    </row>
    <row r="90" spans="1:21" x14ac:dyDescent="0.3">
      <c r="A90" s="4"/>
      <c r="B90" s="9" t="str">
        <f>'5.2 Budgeted Enrollment YR2'!E87</f>
        <v>Signature Preparatory</v>
      </c>
      <c r="D90" s="9" t="str">
        <f>IF('2.9 PCFP Funding Comparison YR1'!$K$25="Yes","PCFP","FY 2020 Baseline")</f>
        <v>PCFP</v>
      </c>
      <c r="E90" s="1872">
        <f>ROUND(IF(D90="PCFP",'6.8 Alloc of Residual Rev. YR2'!G91,'1.4 FY 2020 Revenue Received'!Z85),0)</f>
        <v>9458231</v>
      </c>
      <c r="F90" s="149"/>
      <c r="G90" s="1873">
        <f>ROUND(IF(D90="PCFP",'6.8 Alloc of Residual Rev. YR2'!J91,('1.4 FY 2020 Revenue Received'!S85)+'1.4 FY 2020 Revenue Received'!T85),0)</f>
        <v>286485</v>
      </c>
      <c r="H90" s="1874">
        <f>ROUND(IF(D90="PCFP",'6.8 Alloc of Residual Rev. YR2'!K91,('1.4 FY 2020 Revenue Received'!S85)+'1.4 FY 2020 Revenue Received'!U85),0)</f>
        <v>56537</v>
      </c>
      <c r="I90" s="1874">
        <f>ROUND(IF(D90="PCFP",'6.8 Alloc of Residual Rev. YR2'!L91,'1.4 FY 2020 Revenue Received'!V85),0)</f>
        <v>0</v>
      </c>
      <c r="J90" s="1876">
        <f t="shared" si="5"/>
        <v>343022</v>
      </c>
      <c r="K90" s="149"/>
      <c r="L90" s="671">
        <f>'6.1 Auxiliary Services YR2'!G136</f>
        <v>0</v>
      </c>
      <c r="M90" s="1887">
        <v>0</v>
      </c>
      <c r="N90" s="796">
        <v>0</v>
      </c>
      <c r="O90" s="796"/>
      <c r="P90" s="1872">
        <f t="shared" si="6"/>
        <v>0</v>
      </c>
      <c r="Q90" s="149"/>
      <c r="R90" s="1875">
        <f>ROUND(IF(D90="PCFP",'6.8 Alloc of Residual Rev. YR2'!I91,'1.4 FY 2020 Revenue Received'!Y85),0)</f>
        <v>281852</v>
      </c>
      <c r="S90" s="149"/>
      <c r="T90" s="1872">
        <f t="shared" si="10"/>
        <v>10083105</v>
      </c>
      <c r="U90" s="149"/>
    </row>
    <row r="91" spans="1:21" x14ac:dyDescent="0.3">
      <c r="A91" s="4"/>
      <c r="B91" s="9" t="str">
        <f>'5.2 Budgeted Enrollment YR2'!E88</f>
        <v>Silver Sands Montessori</v>
      </c>
      <c r="D91" s="9" t="str">
        <f>IF('2.9 PCFP Funding Comparison YR1'!$K$25="Yes","PCFP","FY 2020 Baseline")</f>
        <v>PCFP</v>
      </c>
      <c r="E91" s="1872">
        <f>ROUND(IF(D91="PCFP",'6.8 Alloc of Residual Rev. YR2'!G92,'1.4 FY 2020 Revenue Received'!Z86),0)</f>
        <v>2278235</v>
      </c>
      <c r="F91" s="149"/>
      <c r="G91" s="1873">
        <f>ROUND(IF(D91="PCFP",'6.8 Alloc of Residual Rev. YR2'!J92,('1.4 FY 2020 Revenue Received'!S86)+'1.4 FY 2020 Revenue Received'!T86),0)</f>
        <v>102622</v>
      </c>
      <c r="H91" s="1874">
        <f>ROUND(IF(D91="PCFP",'6.8 Alloc of Residual Rev. YR2'!K92,('1.4 FY 2020 Revenue Received'!S86)+'1.4 FY 2020 Revenue Received'!U86),0)</f>
        <v>0</v>
      </c>
      <c r="I91" s="1874">
        <f>ROUND(IF(D91="PCFP",'6.8 Alloc of Residual Rev. YR2'!L92,'1.4 FY 2020 Revenue Received'!V86),0)</f>
        <v>0</v>
      </c>
      <c r="J91" s="1876">
        <f t="shared" si="5"/>
        <v>102622</v>
      </c>
      <c r="K91" s="149"/>
      <c r="L91" s="671">
        <f>'6.1 Auxiliary Services YR2'!G137</f>
        <v>0</v>
      </c>
      <c r="M91" s="1887">
        <v>0</v>
      </c>
      <c r="N91" s="796">
        <v>0</v>
      </c>
      <c r="O91" s="796"/>
      <c r="P91" s="1872">
        <f t="shared" si="6"/>
        <v>0</v>
      </c>
      <c r="Q91" s="149"/>
      <c r="R91" s="1875">
        <f>ROUND(IF(D91="PCFP",'6.8 Alloc of Residual Rev. YR2'!I92,'1.4 FY 2020 Revenue Received'!Y86),0)</f>
        <v>0</v>
      </c>
      <c r="S91" s="149"/>
      <c r="T91" s="1872">
        <f t="shared" si="10"/>
        <v>2380857</v>
      </c>
      <c r="U91" s="149"/>
    </row>
    <row r="92" spans="1:21" x14ac:dyDescent="0.3">
      <c r="A92" s="4"/>
      <c r="B92" s="9" t="str">
        <f>'5.2 Budgeted Enrollment YR2'!E89</f>
        <v>Somerset Academy</v>
      </c>
      <c r="D92" s="9" t="str">
        <f>IF('2.9 PCFP Funding Comparison YR1'!$K$25="Yes","PCFP","FY 2020 Baseline")</f>
        <v>PCFP</v>
      </c>
      <c r="E92" s="1872">
        <f>ROUND(IF(D92="PCFP",'6.8 Alloc of Residual Rev. YR2'!G93,'1.4 FY 2020 Revenue Received'!Z87),0)</f>
        <v>91343134</v>
      </c>
      <c r="F92" s="149"/>
      <c r="G92" s="1873">
        <f>ROUND(IF(D92="PCFP",'6.8 Alloc of Residual Rev. YR2'!J93,('1.4 FY 2020 Revenue Received'!S87)+'1.4 FY 2020 Revenue Received'!T87),0)</f>
        <v>1479461</v>
      </c>
      <c r="H92" s="1874">
        <f>ROUND(IF(D92="PCFP",'6.8 Alloc of Residual Rev. YR2'!K93,('1.4 FY 2020 Revenue Received'!S87)+'1.4 FY 2020 Revenue Received'!U87),0)</f>
        <v>362501</v>
      </c>
      <c r="I92" s="1874">
        <f>ROUND(IF(D92="PCFP",'6.8 Alloc of Residual Rev. YR2'!L93,'1.4 FY 2020 Revenue Received'!V87),0)</f>
        <v>277078</v>
      </c>
      <c r="J92" s="1876">
        <f t="shared" si="5"/>
        <v>2119040</v>
      </c>
      <c r="K92" s="149"/>
      <c r="L92" s="671">
        <f>'6.1 Auxiliary Services YR2'!G138</f>
        <v>0</v>
      </c>
      <c r="M92" s="1887">
        <v>0</v>
      </c>
      <c r="N92" s="796">
        <v>0</v>
      </c>
      <c r="O92" s="796"/>
      <c r="P92" s="1872">
        <f t="shared" si="6"/>
        <v>0</v>
      </c>
      <c r="Q92" s="149"/>
      <c r="R92" s="1875">
        <f>ROUND(IF(D92="PCFP",'6.8 Alloc of Residual Rev. YR2'!I93,'1.4 FY 2020 Revenue Received'!Y87),0)</f>
        <v>4081801</v>
      </c>
      <c r="S92" s="149"/>
      <c r="T92" s="1872">
        <f t="shared" si="10"/>
        <v>97543975</v>
      </c>
      <c r="U92" s="149"/>
    </row>
    <row r="93" spans="1:21" x14ac:dyDescent="0.3">
      <c r="A93" s="4"/>
      <c r="B93" s="9" t="str">
        <f>'5.2 Budgeted Enrollment YR2'!E90</f>
        <v>Southern Nevada Trade High School</v>
      </c>
      <c r="D93" s="9" t="str">
        <f>IF('2.9 PCFP Funding Comparison YR1'!$K$25="Yes","PCFP","FY 2020 Baseline")</f>
        <v>PCFP</v>
      </c>
      <c r="E93" s="1872">
        <f>ROUND(IF(D93="PCFP",'6.8 Alloc of Residual Rev. YR2'!G94,'1.4 FY 2020 Revenue Received'!Z88),0)</f>
        <v>770453</v>
      </c>
      <c r="F93" s="149"/>
      <c r="G93" s="1873">
        <f>ROUND(IF(D93="PCFP",'6.8 Alloc of Residual Rev. YR2'!J94,('1.4 FY 2020 Revenue Received'!S88)+'1.4 FY 2020 Revenue Received'!T88),0)</f>
        <v>106898</v>
      </c>
      <c r="H93" s="1874">
        <f>ROUND(IF(D93="PCFP",'6.8 Alloc of Residual Rev. YR2'!K94,('1.4 FY 2020 Revenue Received'!S88)+'1.4 FY 2020 Revenue Received'!U88),0)</f>
        <v>106422</v>
      </c>
      <c r="I93" s="1874">
        <f>ROUND(IF(D93="PCFP",'6.8 Alloc of Residual Rev. YR2'!L94,'1.4 FY 2020 Revenue Received'!V88),0)</f>
        <v>0</v>
      </c>
      <c r="J93" s="1876">
        <f t="shared" ref="J93" si="17">SUM(G93:I93)</f>
        <v>213320</v>
      </c>
      <c r="K93" s="149"/>
      <c r="L93" s="671">
        <f>'6.1 Auxiliary Services YR2'!G139</f>
        <v>0</v>
      </c>
      <c r="M93" s="1887">
        <v>0</v>
      </c>
      <c r="N93" s="796">
        <v>0</v>
      </c>
      <c r="O93" s="796"/>
      <c r="P93" s="1872">
        <f t="shared" ref="P93" si="18">SUM(L93:N93)</f>
        <v>0</v>
      </c>
      <c r="Q93" s="149"/>
      <c r="R93" s="1875">
        <f>ROUND(IF(D93="PCFP",'6.8 Alloc of Residual Rev. YR2'!I94,'1.4 FY 2020 Revenue Received'!Y88),0)</f>
        <v>0</v>
      </c>
      <c r="S93" s="149"/>
      <c r="T93" s="1872">
        <f t="shared" ref="T93" si="19">P93+J93+E93+R93</f>
        <v>983773</v>
      </c>
      <c r="U93" s="149"/>
    </row>
    <row r="94" spans="1:21" x14ac:dyDescent="0.3">
      <c r="A94" s="4"/>
      <c r="B94" s="9" t="str">
        <f>'5.2 Budgeted Enrollment YR2'!E91</f>
        <v>Sports Leadership and Management Academy</v>
      </c>
      <c r="D94" s="9" t="str">
        <f>IF('2.9 PCFP Funding Comparison YR1'!$K$25="Yes","PCFP","FY 2020 Baseline")</f>
        <v>PCFP</v>
      </c>
      <c r="E94" s="1872">
        <f>ROUND(IF(D94="PCFP",'6.8 Alloc of Residual Rev. YR2'!G95,'1.4 FY 2020 Revenue Received'!Z89),0)</f>
        <v>17756944</v>
      </c>
      <c r="F94" s="149"/>
      <c r="G94" s="1873">
        <f>ROUND(IF(D94="PCFP",'6.8 Alloc of Residual Rev. YR2'!J95,('1.4 FY 2020 Revenue Received'!S89)+'1.4 FY 2020 Revenue Received'!T89),0)</f>
        <v>829525</v>
      </c>
      <c r="H94" s="1874">
        <f>ROUND(IF(D94="PCFP",'6.8 Alloc of Residual Rev. YR2'!K95,('1.4 FY 2020 Revenue Received'!S89)+'1.4 FY 2020 Revenue Received'!U89),0)</f>
        <v>73165</v>
      </c>
      <c r="I94" s="1874">
        <f>ROUND(IF(D94="PCFP",'6.8 Alloc of Residual Rev. YR2'!L95,'1.4 FY 2020 Revenue Received'!V89),0)</f>
        <v>0</v>
      </c>
      <c r="J94" s="1876">
        <f t="shared" si="5"/>
        <v>902690</v>
      </c>
      <c r="K94" s="149"/>
      <c r="L94" s="671">
        <f>'6.1 Auxiliary Services YR2'!G140</f>
        <v>0</v>
      </c>
      <c r="M94" s="1887">
        <v>0</v>
      </c>
      <c r="N94" s="796">
        <v>0</v>
      </c>
      <c r="O94" s="796"/>
      <c r="P94" s="1872">
        <f t="shared" si="6"/>
        <v>0</v>
      </c>
      <c r="Q94" s="149"/>
      <c r="R94" s="1875">
        <f>ROUND(IF(D94="PCFP",'6.8 Alloc of Residual Rev. YR2'!I95,'1.4 FY 2020 Revenue Received'!Y89),0)</f>
        <v>1415450</v>
      </c>
      <c r="S94" s="149"/>
      <c r="T94" s="1872">
        <f t="shared" si="10"/>
        <v>20075084</v>
      </c>
      <c r="U94" s="149"/>
    </row>
    <row r="95" spans="1:21" x14ac:dyDescent="0.3">
      <c r="A95" s="4"/>
      <c r="B95" s="9" t="str">
        <f>'5.2 Budgeted Enrollment YR2'!E92</f>
        <v>Strong Start Academy</v>
      </c>
      <c r="D95" s="9" t="str">
        <f>IF('2.9 PCFP Funding Comparison YR1'!$K$25="Yes","PCFP","FY 2020 Baseline")</f>
        <v>PCFP</v>
      </c>
      <c r="E95" s="1872">
        <f>ROUND(IF(D95="PCFP",'6.8 Alloc of Residual Rev. YR2'!G96,'1.4 FY 2020 Revenue Received'!Z90),0)</f>
        <v>1401763</v>
      </c>
      <c r="F95" s="149"/>
      <c r="G95" s="1873">
        <f>ROUND(IF(D95="PCFP",'6.8 Alloc of Residual Rev. YR2'!J96,('1.4 FY 2020 Revenue Received'!S90)+'1.4 FY 2020 Revenue Received'!T90),0)</f>
        <v>239450</v>
      </c>
      <c r="H95" s="1874">
        <f>ROUND(IF(D95="PCFP",'6.8 Alloc of Residual Rev. YR2'!K96,('1.4 FY 2020 Revenue Received'!S90)+'1.4 FY 2020 Revenue Received'!U90),0)</f>
        <v>0</v>
      </c>
      <c r="I95" s="1874">
        <f>ROUND(IF(D95="PCFP",'6.8 Alloc of Residual Rev. YR2'!L96,'1.4 FY 2020 Revenue Received'!V90),0)</f>
        <v>0</v>
      </c>
      <c r="J95" s="1876">
        <f t="shared" si="5"/>
        <v>239450</v>
      </c>
      <c r="K95" s="149"/>
      <c r="L95" s="671">
        <f>'6.1 Auxiliary Services YR2'!G141</f>
        <v>0</v>
      </c>
      <c r="M95" s="1887">
        <v>0</v>
      </c>
      <c r="N95" s="796">
        <v>0</v>
      </c>
      <c r="O95" s="796"/>
      <c r="P95" s="1872">
        <f t="shared" si="6"/>
        <v>0</v>
      </c>
      <c r="Q95" s="149"/>
      <c r="R95" s="1875">
        <f>ROUND(IF(D95="PCFP",'6.8 Alloc of Residual Rev. YR2'!I96,'1.4 FY 2020 Revenue Received'!Y90),0)</f>
        <v>219797</v>
      </c>
      <c r="S95" s="149"/>
      <c r="T95" s="1872">
        <f t="shared" si="10"/>
        <v>1861010</v>
      </c>
      <c r="U95" s="149"/>
    </row>
    <row r="96" spans="1:21" x14ac:dyDescent="0.3">
      <c r="A96" s="4"/>
      <c r="B96" s="9" t="str">
        <f>'5.2 Budgeted Enrollment YR2'!E93</f>
        <v>ThrivePoint</v>
      </c>
      <c r="D96" s="9" t="str">
        <f>IF('2.9 PCFP Funding Comparison YR1'!$K$25="Yes","PCFP","FY 2020 Baseline")</f>
        <v>PCFP</v>
      </c>
      <c r="E96" s="1872">
        <f>ROUND(IF(D96="PCFP",'6.8 Alloc of Residual Rev. YR2'!G97,'1.4 FY 2020 Revenue Received'!#REF!),0)</f>
        <v>1453666</v>
      </c>
      <c r="F96" s="149"/>
      <c r="G96" s="1873">
        <f>ROUND(IF(D96="PCFP",'6.8 Alloc of Residual Rev. YR2'!J97,('1.4 FY 2020 Revenue Received'!#REF!)+'1.4 FY 2020 Revenue Received'!#REF!),0)</f>
        <v>179588</v>
      </c>
      <c r="H96" s="1874">
        <f>ROUND(IF(D96="PCFP",'6.8 Alloc of Residual Rev. YR2'!K97,('1.4 FY 2020 Revenue Received'!#REF!)+'1.4 FY 2020 Revenue Received'!#REF!),0)</f>
        <v>162959</v>
      </c>
      <c r="I96" s="1874">
        <f>ROUND(IF(D96="PCFP",'6.8 Alloc of Residual Rev. YR2'!L97,'1.4 FY 2020 Revenue Received'!#REF!),0)</f>
        <v>0</v>
      </c>
      <c r="J96" s="1876">
        <f t="shared" si="5"/>
        <v>342547</v>
      </c>
      <c r="K96" s="149"/>
      <c r="L96" s="671">
        <f>'6.1 Auxiliary Services YR2'!G142</f>
        <v>0</v>
      </c>
      <c r="M96" s="1887">
        <v>0</v>
      </c>
      <c r="N96" s="796">
        <v>0</v>
      </c>
      <c r="O96" s="796"/>
      <c r="P96" s="1872">
        <f t="shared" si="6"/>
        <v>0</v>
      </c>
      <c r="Q96" s="149"/>
      <c r="R96" s="1875">
        <f>ROUND(IF(D96="PCFP",'6.8 Alloc of Residual Rev. YR2'!I97,'1.4 FY 2020 Revenue Received'!Y91),0)</f>
        <v>0</v>
      </c>
      <c r="S96" s="149"/>
      <c r="T96" s="1872">
        <f t="shared" si="10"/>
        <v>1796213</v>
      </c>
      <c r="U96" s="149" t="s">
        <v>370</v>
      </c>
    </row>
    <row r="97" spans="1:22" x14ac:dyDescent="0.3">
      <c r="A97" s="4"/>
      <c r="B97" s="9" t="str">
        <f>'5.2 Budgeted Enrollment YR2'!E94</f>
        <v>Vegas Vista Academy</v>
      </c>
      <c r="D97" s="9" t="str">
        <f>IF('2.9 PCFP Funding Comparison YR1'!$K$25="Yes","PCFP","FY 2020 Baseline")</f>
        <v>PCFP</v>
      </c>
      <c r="E97" s="1872">
        <f>ROUND(IF(D97="PCFP",'6.8 Alloc of Residual Rev. YR2'!G98,'1.4 FY 2020 Revenue Received'!Z92),0)</f>
        <v>995127</v>
      </c>
      <c r="F97" s="149"/>
      <c r="G97" s="1873">
        <f>ROUND(IF(D97="PCFP",'6.8 Alloc of Residual Rev. YR2'!J98,('1.4 FY 2020 Revenue Received'!S92)+'1.4 FY 2020 Revenue Received'!T92),0)</f>
        <v>153932</v>
      </c>
      <c r="H97" s="1874">
        <f>ROUND(IF(D97="PCFP",'6.8 Alloc of Residual Rev. YR2'!K98,('1.4 FY 2020 Revenue Received'!S92)+'1.4 FY 2020 Revenue Received'!U92),0)</f>
        <v>0</v>
      </c>
      <c r="I97" s="1874">
        <f>ROUND(IF(D97="PCFP",'6.8 Alloc of Residual Rev. YR2'!L98,'1.4 FY 2020 Revenue Received'!V92),0)</f>
        <v>0</v>
      </c>
      <c r="J97" s="1876">
        <f t="shared" ref="J97" si="20">SUM(G97:I97)</f>
        <v>153932</v>
      </c>
      <c r="K97" s="149"/>
      <c r="L97" s="671">
        <f>'6.1 Auxiliary Services YR2'!G143</f>
        <v>0</v>
      </c>
      <c r="M97" s="1887">
        <v>0</v>
      </c>
      <c r="N97" s="796">
        <v>0</v>
      </c>
      <c r="O97" s="796"/>
      <c r="P97" s="1872">
        <f t="shared" ref="P97" si="21">SUM(L97:N97)</f>
        <v>0</v>
      </c>
      <c r="Q97" s="149"/>
      <c r="R97" s="1875">
        <f>ROUND(IF(D97="PCFP",'6.8 Alloc of Residual Rev. YR2'!I98,'1.4 FY 2020 Revenue Received'!Y92),0)</f>
        <v>0</v>
      </c>
      <c r="S97" s="149"/>
      <c r="T97" s="1872">
        <f t="shared" ref="T97" si="22">P97+J97+E97+R97</f>
        <v>1149059</v>
      </c>
      <c r="U97" s="149" t="s">
        <v>370</v>
      </c>
    </row>
    <row r="98" spans="1:22" x14ac:dyDescent="0.3">
      <c r="A98" s="135"/>
      <c r="B98" s="137" t="str">
        <f>'5.2 Budgeted Enrollment YR2'!E95</f>
        <v>Young Women's Leadership Academy</v>
      </c>
      <c r="C98" s="137"/>
      <c r="D98" s="137" t="str">
        <f>IF('2.9 PCFP Funding Comparison YR1'!$K$25="Yes","PCFP","FY 2020 Baseline")</f>
        <v>PCFP</v>
      </c>
      <c r="E98" s="1872">
        <f>ROUND(IF(D98="PCFP",'6.8 Alloc of Residual Rev. YR2'!G99,'1.4 FY 2020 Revenue Received'!Z93),0)</f>
        <v>1129430</v>
      </c>
      <c r="F98" s="149"/>
      <c r="G98" s="1873">
        <f>ROUND(IF(D98="PCFP",'6.8 Alloc of Residual Rev. YR2'!J99,('1.4 FY 2020 Revenue Received'!S93)+'1.4 FY 2020 Revenue Received'!T93),0)</f>
        <v>81242</v>
      </c>
      <c r="H98" s="1874">
        <f>ROUND(IF(D98="PCFP",'6.8 Alloc of Residual Rev. YR2'!K99,('1.4 FY 2020 Revenue Received'!S93)+'1.4 FY 2020 Revenue Received'!U93),0)</f>
        <v>6651</v>
      </c>
      <c r="I98" s="1874">
        <f>ROUND(IF(D98="PCFP",'6.8 Alloc of Residual Rev. YR2'!L99,'1.4 FY 2020 Revenue Received'!V93),0)</f>
        <v>0</v>
      </c>
      <c r="J98" s="1876">
        <f t="shared" si="5"/>
        <v>87893</v>
      </c>
      <c r="K98" s="149"/>
      <c r="L98" s="1888">
        <f>'6.1 Auxiliary Services YR2'!G144</f>
        <v>0</v>
      </c>
      <c r="M98" s="1888">
        <v>0</v>
      </c>
      <c r="N98" s="1262">
        <v>0</v>
      </c>
      <c r="O98" s="1262"/>
      <c r="P98" s="1878">
        <f t="shared" si="6"/>
        <v>0</v>
      </c>
      <c r="Q98" s="149"/>
      <c r="R98" s="1875">
        <f>ROUND(IF(D98="PCFP",'6.8 Alloc of Residual Rev. YR2'!I99,'1.4 FY 2020 Revenue Received'!Y93),0)</f>
        <v>122895</v>
      </c>
      <c r="S98" s="149"/>
      <c r="T98" s="1878">
        <f t="shared" si="10"/>
        <v>1340218</v>
      </c>
      <c r="U98" s="149"/>
    </row>
    <row r="99" spans="1:22" s="4" customFormat="1" x14ac:dyDescent="0.3">
      <c r="B99" s="4" t="str">
        <f>'1.2 Budgeted Enrollment YR1'!E102</f>
        <v>Total University Schools</v>
      </c>
      <c r="E99" s="1882">
        <f>SUM(E37:E98)</f>
        <v>689476468</v>
      </c>
      <c r="F99" s="149"/>
      <c r="G99" s="2089">
        <f>SUM(G37:G98)</f>
        <v>27297350</v>
      </c>
      <c r="H99" s="2090">
        <f>SUM(H37:H98)</f>
        <v>6674683</v>
      </c>
      <c r="I99" s="2090">
        <f>SUM(I37:I98)</f>
        <v>1700097</v>
      </c>
      <c r="J99" s="1669">
        <f>SUM(J37:J98)</f>
        <v>35672130</v>
      </c>
      <c r="K99" s="149"/>
      <c r="L99" s="1893">
        <f>'6.1 Auxiliary Services YR2'!D29</f>
        <v>0</v>
      </c>
      <c r="M99" s="1893">
        <f>SUM(M37:M98)</f>
        <v>0</v>
      </c>
      <c r="N99" s="1894">
        <f>SUM(N37:N98)</f>
        <v>0</v>
      </c>
      <c r="O99" s="1894">
        <f>'6.1 Auxiliary Services YR2'!I29</f>
        <v>0</v>
      </c>
      <c r="P99" s="1892">
        <f>SUM(L99:O99)</f>
        <v>0</v>
      </c>
      <c r="Q99" s="149"/>
      <c r="R99" s="1892">
        <f>SUM(R37:R98)</f>
        <v>24608056</v>
      </c>
      <c r="S99" s="149"/>
      <c r="T99" s="1878">
        <f t="shared" si="10"/>
        <v>749756654</v>
      </c>
      <c r="U99" s="149"/>
      <c r="V99" s="149"/>
    </row>
    <row r="100" spans="1:22" ht="15.75" customHeight="1" x14ac:dyDescent="0.3">
      <c r="E100" s="131">
        <f>E99-E29</f>
        <v>0</v>
      </c>
      <c r="F100" s="149"/>
      <c r="G100" s="131">
        <f>G99-G29</f>
        <v>0</v>
      </c>
      <c r="H100" s="131">
        <f>H99-H29</f>
        <v>0</v>
      </c>
      <c r="I100" s="131">
        <f>I99-I29</f>
        <v>0</v>
      </c>
      <c r="J100" s="131">
        <f>J99-J29</f>
        <v>0</v>
      </c>
      <c r="K100" s="149"/>
      <c r="L100" s="131">
        <f>L99-L29</f>
        <v>0</v>
      </c>
      <c r="M100" s="131">
        <f>M99-M29</f>
        <v>0</v>
      </c>
      <c r="N100" s="131">
        <f>N99-N29</f>
        <v>0</v>
      </c>
      <c r="O100" s="131"/>
      <c r="P100" s="131">
        <f>P99-P29</f>
        <v>0</v>
      </c>
      <c r="Q100" s="149"/>
      <c r="R100" s="131">
        <f>R99-R29</f>
        <v>0</v>
      </c>
      <c r="S100" s="149"/>
      <c r="T100" s="131">
        <f>T99-T29</f>
        <v>0</v>
      </c>
      <c r="U100" s="149"/>
    </row>
    <row r="101" spans="1:22" ht="15.75" customHeight="1" x14ac:dyDescent="0.3">
      <c r="A101" s="135" t="str">
        <f>B30</f>
        <v>University Schools</v>
      </c>
      <c r="B101" s="137"/>
      <c r="C101" s="137"/>
      <c r="D101" s="137"/>
      <c r="E101" s="1725"/>
      <c r="F101" s="149"/>
      <c r="G101" s="1725"/>
      <c r="H101" s="1725"/>
      <c r="I101" s="1725"/>
      <c r="J101" s="1725"/>
      <c r="K101" s="149"/>
      <c r="L101" s="1725"/>
      <c r="M101" s="1725"/>
      <c r="N101" s="1725"/>
      <c r="O101" s="1725"/>
      <c r="P101" s="1725"/>
      <c r="Q101" s="149"/>
      <c r="R101" s="1725"/>
      <c r="S101" s="149"/>
      <c r="T101" s="1725"/>
      <c r="U101" s="149"/>
    </row>
    <row r="102" spans="1:22" x14ac:dyDescent="0.3">
      <c r="A102" s="4"/>
      <c r="B102" s="9" t="str">
        <f>'5.2 Budgeted Enrollment YR2'!E100</f>
        <v>Davidson Academy</v>
      </c>
      <c r="D102" s="112" t="str">
        <f>IF('2.9 PCFP Funding Comparison YR1'!$K$25="Yes","PCFP","FY 2020 Baseline")</f>
        <v>PCFP</v>
      </c>
      <c r="E102" s="1872">
        <f>ROUND(IF(D102="PCFP",'6.8 Alloc of Residual Rev. YR2'!G103,'1.4 FY 2020 Revenue Received'!Z97),0)</f>
        <v>1595237</v>
      </c>
      <c r="F102" s="149"/>
      <c r="G102" s="1873">
        <f>IF(D102="PCFP",'6.8 Alloc of Residual Rev. YR2'!J103,('1.4 FY 2020 Revenue Received'!S98*0.5)+'1.4 FY 2020 Revenue Received'!T98)</f>
        <v>0</v>
      </c>
      <c r="H102" s="1874">
        <f>IF(D102="PCFP",'6.8 Alloc of Residual Rev. YR2'!K103,('1.4 FY 2020 Revenue Received'!S98*0.5)+'1.4 FY 2020 Revenue Received'!U98)</f>
        <v>0</v>
      </c>
      <c r="I102" s="1874">
        <f>IF(D102="PCFP",'6.8 Alloc of Residual Rev. YR2'!L103,'1.4 FY 2020 Revenue Received'!V98)</f>
        <v>0</v>
      </c>
      <c r="J102" s="1876">
        <f>SUM(G102:I102)</f>
        <v>0</v>
      </c>
      <c r="K102" s="149"/>
      <c r="L102" s="1887">
        <v>0</v>
      </c>
      <c r="M102" s="1887">
        <v>0</v>
      </c>
      <c r="N102" s="1887">
        <v>0</v>
      </c>
      <c r="O102" s="1887"/>
      <c r="P102" s="1872">
        <f>SUM(L102:N102)</f>
        <v>0</v>
      </c>
      <c r="Q102" s="149"/>
      <c r="R102" s="1875">
        <f>IF(D102="PCFP",'6.8 Alloc of Residual Rev. YR2'!I103,'1.4 FY 2020 Revenue Received'!Y98)</f>
        <v>52268</v>
      </c>
      <c r="S102" s="149"/>
      <c r="T102" s="1872">
        <f>P102+J102+E102+R102</f>
        <v>1647505</v>
      </c>
      <c r="U102" s="149"/>
    </row>
    <row r="103" spans="1:22" x14ac:dyDescent="0.3">
      <c r="A103" s="135"/>
      <c r="B103" s="137" t="str">
        <f>'5.2 Budgeted Enrollment YR2'!E101</f>
        <v>TBD</v>
      </c>
      <c r="C103" s="137"/>
      <c r="D103" s="128" t="str">
        <f>IF('2.9 PCFP Funding Comparison YR1'!$K$25="Yes","PCFP","FY 2020 Baseline")</f>
        <v>PCFP</v>
      </c>
      <c r="E103" s="1878">
        <f>ROUND(IF(D103="PCFP",'6.8 Alloc of Residual Rev. YR2'!G104,'1.4 FY 2020 Revenue Received'!Z98),0)</f>
        <v>0</v>
      </c>
      <c r="F103" s="149"/>
      <c r="G103" s="1877">
        <f>IF(D103="PCFP",'6.8 Alloc of Residual Rev. YR2'!J104,('1.4 FY 2020 Revenue Received'!S99*0.5)+'1.4 FY 2020 Revenue Received'!T99)</f>
        <v>0</v>
      </c>
      <c r="H103" s="1879">
        <f>IF(D103="PCFP",'6.8 Alloc of Residual Rev. YR2'!K104,('1.4 FY 2020 Revenue Received'!S99*0.5)+'1.4 FY 2020 Revenue Received'!U99)</f>
        <v>0</v>
      </c>
      <c r="I103" s="1879">
        <f>IF(D103="PCFP",'6.8 Alloc of Residual Rev. YR2'!L104,'1.4 FY 2020 Revenue Received'!V99)</f>
        <v>0</v>
      </c>
      <c r="J103" s="1667">
        <f>SUM(G103:I103)</f>
        <v>0</v>
      </c>
      <c r="K103" s="149"/>
      <c r="L103" s="1888">
        <v>0</v>
      </c>
      <c r="M103" s="1888">
        <v>0</v>
      </c>
      <c r="N103" s="1888">
        <v>0</v>
      </c>
      <c r="O103" s="1888"/>
      <c r="P103" s="1878">
        <f>SUM(L103:N103)</f>
        <v>0</v>
      </c>
      <c r="Q103" s="149"/>
      <c r="R103" s="1875">
        <f>'6.2 Spec Ed Local YR2'!L100</f>
        <v>0</v>
      </c>
      <c r="S103" s="149"/>
      <c r="T103" s="1872">
        <f>P103+J103+E103+R103</f>
        <v>0</v>
      </c>
      <c r="U103" s="149"/>
    </row>
    <row r="104" spans="1:22" s="4" customFormat="1" x14ac:dyDescent="0.3">
      <c r="B104" s="4" t="str">
        <f>'1.2 Budgeted Enrollment YR1'!E119</f>
        <v>Al Seeliger Elementary</v>
      </c>
      <c r="E104" s="1889">
        <f>SUM(E102:E103)</f>
        <v>1595237</v>
      </c>
      <c r="F104" s="149"/>
      <c r="G104" s="1890">
        <f>SUM(G102:G103)</f>
        <v>0</v>
      </c>
      <c r="H104" s="1891">
        <f>SUM(H102:H103)</f>
        <v>0</v>
      </c>
      <c r="I104" s="1891">
        <f>SUM(I102:I103)</f>
        <v>0</v>
      </c>
      <c r="J104" s="1892">
        <f>SUM(J102:J103)</f>
        <v>0</v>
      </c>
      <c r="K104" s="149"/>
      <c r="L104" s="1893">
        <f>SUM(L102:L103)</f>
        <v>0</v>
      </c>
      <c r="M104" s="1893">
        <f>SUM(M102:M103)</f>
        <v>0</v>
      </c>
      <c r="N104" s="1893">
        <f>SUM(N102:N103)</f>
        <v>0</v>
      </c>
      <c r="O104" s="1893"/>
      <c r="P104" s="1892">
        <f>SUM(P102:P103)</f>
        <v>0</v>
      </c>
      <c r="Q104" s="149"/>
      <c r="R104" s="1669">
        <f>SUM(R102:R103)</f>
        <v>52268</v>
      </c>
      <c r="S104" s="149"/>
      <c r="T104" s="1669">
        <f>SUM(T102:T103)</f>
        <v>1647505</v>
      </c>
      <c r="U104" s="149"/>
      <c r="V104" s="149"/>
    </row>
    <row r="105" spans="1:22" x14ac:dyDescent="0.3">
      <c r="E105" s="131"/>
      <c r="F105" s="149"/>
      <c r="G105" s="131"/>
      <c r="H105" s="131"/>
      <c r="I105" s="131"/>
      <c r="J105" s="131"/>
      <c r="K105" s="149"/>
      <c r="L105" s="131"/>
      <c r="M105" s="131"/>
      <c r="N105" s="131"/>
      <c r="O105" s="131"/>
      <c r="P105" s="131"/>
      <c r="Q105" s="149"/>
      <c r="R105" s="131"/>
      <c r="S105" s="149"/>
      <c r="T105" s="131"/>
      <c r="U105" s="149"/>
    </row>
    <row r="106" spans="1:22" x14ac:dyDescent="0.3">
      <c r="E106" s="131"/>
      <c r="F106" s="149"/>
      <c r="G106" s="131"/>
      <c r="H106" s="131"/>
      <c r="I106" s="131"/>
      <c r="J106" s="131"/>
      <c r="K106" s="149"/>
      <c r="L106" s="131"/>
      <c r="M106" s="131"/>
      <c r="N106" s="131"/>
      <c r="O106" s="131"/>
      <c r="P106" s="131"/>
      <c r="Q106" s="149"/>
      <c r="R106" s="131"/>
      <c r="S106" s="149"/>
      <c r="T106" s="131"/>
      <c r="U106" s="149"/>
    </row>
    <row r="107" spans="1:22" ht="15.75" customHeight="1" x14ac:dyDescent="0.3">
      <c r="A107" s="4" t="str">
        <f>B31</f>
        <v>City of Henderson</v>
      </c>
      <c r="E107" s="131"/>
      <c r="F107" s="149"/>
      <c r="G107" s="131"/>
      <c r="H107" s="131"/>
      <c r="I107" s="131"/>
      <c r="J107" s="131"/>
      <c r="K107" s="149"/>
      <c r="L107" s="1725"/>
      <c r="M107" s="1725"/>
      <c r="N107" s="1725"/>
      <c r="O107" s="1725"/>
      <c r="P107" s="1725"/>
      <c r="Q107" s="149"/>
      <c r="R107" s="1725"/>
      <c r="S107" s="149"/>
      <c r="T107" s="1725"/>
      <c r="U107" s="149"/>
    </row>
    <row r="108" spans="1:22" x14ac:dyDescent="0.3">
      <c r="A108" s="300"/>
      <c r="B108" s="207" t="str">
        <f>'5.2 Budgeted Enrollment YR2'!E107</f>
        <v>TBD</v>
      </c>
      <c r="C108" s="207"/>
      <c r="D108" s="207" t="str">
        <f>IF('2.9 PCFP Funding Comparison YR1'!$K$25="Yes","PCFP","FY 2020 Baseline")</f>
        <v>PCFP</v>
      </c>
      <c r="E108" s="1895">
        <f>ROUND(IF(D108="PCFP",'6.8 Alloc of Residual Rev. YR2'!G110,'1.4 FY 2020 Revenue Received'!Z103),0)</f>
        <v>0</v>
      </c>
      <c r="F108" s="149"/>
      <c r="G108" s="1896">
        <f>IF(D108="PCFP",'6.8 Alloc of Residual Rev. YR2'!J110,('1.4 FY 2020 Revenue Received'!S103*0.5)+'1.4 FY 2020 Revenue Received'!T103)</f>
        <v>0</v>
      </c>
      <c r="H108" s="1897">
        <f>IF(D108="PCFP",'6.8 Alloc of Residual Rev. YR2'!K110,('1.4 FY 2020 Revenue Received'!S103*0.5)+'1.4 FY 2020 Revenue Received'!U103)</f>
        <v>0</v>
      </c>
      <c r="I108" s="1897">
        <f>IF(D108="PCFP",'6.8 Alloc of Residual Rev. YR2'!L110,'1.4 FY 2020 Revenue Received'!V103)</f>
        <v>0</v>
      </c>
      <c r="J108" s="1898">
        <f>SUM(G108:I108)</f>
        <v>0</v>
      </c>
      <c r="K108" s="149"/>
      <c r="L108" s="1887">
        <v>0</v>
      </c>
      <c r="M108" s="1887">
        <v>0</v>
      </c>
      <c r="N108" s="1887">
        <v>0</v>
      </c>
      <c r="O108" s="1887"/>
      <c r="P108" s="1872">
        <f>SUM(L108:N108)</f>
        <v>0</v>
      </c>
      <c r="Q108" s="149"/>
      <c r="R108" s="1875">
        <f>IF(D108="PCFP",'6.8 Alloc of Residual Rev. YR2'!I109,'1.4 FY 2020 Revenue Received'!Y103)</f>
        <v>0</v>
      </c>
      <c r="S108" s="149"/>
      <c r="T108" s="1872">
        <f>P108+J108+E108+R108</f>
        <v>0</v>
      </c>
      <c r="U108" s="149"/>
    </row>
    <row r="109" spans="1:22" x14ac:dyDescent="0.3">
      <c r="A109" s="204"/>
      <c r="B109" s="137" t="str">
        <f>'5.2 Budgeted Enrollment YR2'!E108</f>
        <v>TBD</v>
      </c>
      <c r="C109" s="137"/>
      <c r="D109" s="137" t="str">
        <f>IF('2.9 PCFP Funding Comparison YR1'!$K$25="Yes","PCFP","FY 2020 Baseline")</f>
        <v>PCFP</v>
      </c>
      <c r="E109" s="1899">
        <f>ROUND(IF(D109="PCFP",'6.8 Alloc of Residual Rev. YR2'!G111,'1.4 FY 2020 Revenue Received'!Z104),0)</f>
        <v>0</v>
      </c>
      <c r="F109" s="149"/>
      <c r="G109" s="1877">
        <f>IF(D109="PCFP",'6.8 Alloc of Residual Rev. YR2'!J111,('1.4 FY 2020 Revenue Received'!S104*0.5)+'1.4 FY 2020 Revenue Received'!T104)</f>
        <v>0</v>
      </c>
      <c r="H109" s="1879">
        <f>IF(D109="PCFP",'6.8 Alloc of Residual Rev. YR2'!K111,('1.4 FY 2020 Revenue Received'!S104*0.5)+'1.4 FY 2020 Revenue Received'!U104)</f>
        <v>0</v>
      </c>
      <c r="I109" s="1879">
        <f>IF(D109="PCFP",'6.8 Alloc of Residual Rev. YR2'!L111,'1.4 FY 2020 Revenue Received'!V104)</f>
        <v>0</v>
      </c>
      <c r="J109" s="1900">
        <f>SUM(G109:I109)</f>
        <v>0</v>
      </c>
      <c r="K109" s="149"/>
      <c r="L109" s="1888">
        <v>0</v>
      </c>
      <c r="M109" s="1888">
        <v>0</v>
      </c>
      <c r="N109" s="1888">
        <v>0</v>
      </c>
      <c r="O109" s="1888"/>
      <c r="P109" s="1878">
        <f>SUM(L109:N109)</f>
        <v>0</v>
      </c>
      <c r="Q109" s="149"/>
      <c r="R109" s="1875">
        <f>IF(D109="PCFP",'6.8 Alloc of Residual Rev. YR2'!I110,'1.4 FY 2020 Revenue Received'!Y104)</f>
        <v>0</v>
      </c>
      <c r="S109" s="149"/>
      <c r="T109" s="1872">
        <f>P109+J109+E109+R109</f>
        <v>0</v>
      </c>
      <c r="U109" s="149"/>
    </row>
    <row r="110" spans="1:22" s="4" customFormat="1" x14ac:dyDescent="0.3">
      <c r="B110" s="4" t="str">
        <f>'1.2 Budgeted Enrollment YR1'!E125</f>
        <v>Edith W. Fritsch Elementary</v>
      </c>
      <c r="E110" s="1889">
        <f>SUM(E108:E109)</f>
        <v>0</v>
      </c>
      <c r="F110" s="149"/>
      <c r="G110" s="1890">
        <f>SUM(G108:G109)</f>
        <v>0</v>
      </c>
      <c r="H110" s="1891">
        <f>SUM(H108:H109)</f>
        <v>0</v>
      </c>
      <c r="I110" s="1891">
        <f>SUM(I108:I109)</f>
        <v>0</v>
      </c>
      <c r="J110" s="1892">
        <f>SUM(J108:J109)</f>
        <v>0</v>
      </c>
      <c r="K110" s="149"/>
      <c r="L110" s="1893">
        <f>SUM(L108:L109)</f>
        <v>0</v>
      </c>
      <c r="M110" s="1893">
        <f>SUM(M108:M109)</f>
        <v>0</v>
      </c>
      <c r="N110" s="1893">
        <f>SUM(N108:N109)</f>
        <v>0</v>
      </c>
      <c r="O110" s="1893"/>
      <c r="P110" s="1892">
        <f>SUM(P108:P109)</f>
        <v>0</v>
      </c>
      <c r="Q110" s="149"/>
      <c r="R110" s="1669">
        <f>SUM(R108:R109)</f>
        <v>0</v>
      </c>
      <c r="S110" s="149"/>
      <c r="T110" s="1669">
        <f>SUM(T108:T109)</f>
        <v>0</v>
      </c>
      <c r="U110" s="149"/>
      <c r="V110" s="149"/>
    </row>
    <row r="111" spans="1:22" x14ac:dyDescent="0.3">
      <c r="E111" s="131"/>
      <c r="F111" s="149"/>
      <c r="G111" s="131"/>
      <c r="H111" s="131"/>
      <c r="I111" s="131"/>
      <c r="J111" s="131"/>
      <c r="K111" s="149"/>
      <c r="L111" s="131"/>
      <c r="M111" s="131"/>
      <c r="N111" s="131"/>
      <c r="O111" s="131"/>
      <c r="P111" s="131"/>
      <c r="Q111" s="149"/>
      <c r="R111" s="131"/>
      <c r="S111" s="149"/>
      <c r="T111" s="131"/>
      <c r="U111" s="149"/>
    </row>
    <row r="112" spans="1:22" x14ac:dyDescent="0.3">
      <c r="E112" s="131"/>
      <c r="F112" s="149"/>
      <c r="G112" s="131"/>
      <c r="H112" s="131"/>
      <c r="I112" s="131"/>
      <c r="J112" s="131"/>
      <c r="K112" s="149"/>
      <c r="L112" s="131"/>
      <c r="M112" s="131"/>
      <c r="N112" s="131"/>
      <c r="O112" s="131"/>
      <c r="P112" s="131"/>
      <c r="Q112" s="149"/>
      <c r="R112" s="131"/>
      <c r="S112" s="149"/>
      <c r="T112" s="131"/>
      <c r="U112" s="149"/>
    </row>
    <row r="113" spans="1:22" ht="15.75" customHeight="1" x14ac:dyDescent="0.3">
      <c r="A113" s="4" t="str">
        <f>B32</f>
        <v>City of North Las Vegas</v>
      </c>
      <c r="E113" s="131"/>
      <c r="F113" s="149"/>
      <c r="G113" s="1725"/>
      <c r="H113" s="1725"/>
      <c r="I113" s="1725"/>
      <c r="J113" s="1725"/>
      <c r="K113" s="149"/>
      <c r="L113" s="1725"/>
      <c r="M113" s="1725"/>
      <c r="N113" s="1725"/>
      <c r="O113" s="1725"/>
      <c r="P113" s="1725"/>
      <c r="Q113" s="149"/>
      <c r="R113" s="1725"/>
      <c r="S113" s="149"/>
      <c r="T113" s="1725"/>
      <c r="U113" s="149"/>
    </row>
    <row r="114" spans="1:22" x14ac:dyDescent="0.3">
      <c r="A114" s="300"/>
      <c r="B114" s="207" t="str">
        <f>'5.2 Budgeted Enrollment YR2'!E113</f>
        <v>TBD</v>
      </c>
      <c r="C114" s="207"/>
      <c r="D114" s="207" t="str">
        <f>IF('2.9 PCFP Funding Comparison YR1'!$K$25="Yes","PCFP","FY 2020 Baseline")</f>
        <v>PCFP</v>
      </c>
      <c r="E114" s="1895">
        <f>ROUND(IF(D114="PCFP",'6.8 Alloc of Residual Rev. YR2'!G115,'1.4 FY 2020 Revenue Received'!Z109),0)</f>
        <v>0</v>
      </c>
      <c r="F114" s="149"/>
      <c r="G114" s="1873">
        <f>IF(D114="PCFP",'6.8 Alloc of Residual Rev. YR2'!J115,('1.4 FY 2020 Revenue Received'!S110*0.5)+'1.4 FY 2020 Revenue Received'!T110)</f>
        <v>0</v>
      </c>
      <c r="H114" s="1874">
        <f>IF(D114="PCFP",'6.8 Alloc of Residual Rev. YR2'!K115,('1.4 FY 2020 Revenue Received'!S110*0.5)+'1.4 FY 2020 Revenue Received'!U110)</f>
        <v>0</v>
      </c>
      <c r="I114" s="1874">
        <f>IF(D114="PCFP",'6.8 Alloc of Residual Rev. YR2'!L115,'1.4 FY 2020 Revenue Received'!V110)</f>
        <v>0</v>
      </c>
      <c r="J114" s="1876">
        <f>SUM(G114:I114)</f>
        <v>0</v>
      </c>
      <c r="K114" s="149"/>
      <c r="L114" s="1887">
        <v>0</v>
      </c>
      <c r="M114" s="1887">
        <v>0</v>
      </c>
      <c r="N114" s="1887">
        <v>0</v>
      </c>
      <c r="O114" s="1887"/>
      <c r="P114" s="1872">
        <f>SUM(L114:N114)</f>
        <v>0</v>
      </c>
      <c r="Q114" s="149"/>
      <c r="R114" s="1875">
        <f>IF(D114="PCFP",'6.8 Alloc of Residual Rev. YR2'!I115,'1.4 FY 2020 Revenue Received'!Y110)</f>
        <v>0</v>
      </c>
      <c r="S114" s="149"/>
      <c r="T114" s="1872">
        <f>P114+J114+E114+R114</f>
        <v>0</v>
      </c>
      <c r="U114" s="149"/>
    </row>
    <row r="115" spans="1:22" x14ac:dyDescent="0.3">
      <c r="A115" s="204"/>
      <c r="B115" s="137" t="str">
        <f>'5.2 Budgeted Enrollment YR2'!E114</f>
        <v>TBD</v>
      </c>
      <c r="C115" s="137"/>
      <c r="D115" s="137" t="str">
        <f>IF('2.9 PCFP Funding Comparison YR1'!$K$25="Yes","PCFP","FY 2020 Baseline")</f>
        <v>PCFP</v>
      </c>
      <c r="E115" s="1899">
        <f>ROUND(IF(D115="PCFP",'6.8 Alloc of Residual Rev. YR2'!G116,'1.4 FY 2020 Revenue Received'!Z110),0)</f>
        <v>0</v>
      </c>
      <c r="F115" s="149"/>
      <c r="G115" s="1877">
        <f>IF(D115="PCFP",'6.8 Alloc of Residual Rev. YR2'!J116,('1.4 FY 2020 Revenue Received'!S111*0.5)+'1.4 FY 2020 Revenue Received'!T111)</f>
        <v>0</v>
      </c>
      <c r="H115" s="1879">
        <f>IF(D115="PCFP",'6.8 Alloc of Residual Rev. YR2'!K116,('1.4 FY 2020 Revenue Received'!S111*0.5)+'1.4 FY 2020 Revenue Received'!U111)</f>
        <v>0</v>
      </c>
      <c r="I115" s="1879">
        <f>IF(D115="PCFP",'6.8 Alloc of Residual Rev. YR2'!L116,'1.4 FY 2020 Revenue Received'!V111)</f>
        <v>0</v>
      </c>
      <c r="J115" s="1667">
        <f>SUM(G115:I115)</f>
        <v>0</v>
      </c>
      <c r="K115" s="149"/>
      <c r="L115" s="1888">
        <v>0</v>
      </c>
      <c r="M115" s="1888">
        <v>0</v>
      </c>
      <c r="N115" s="1888">
        <v>0</v>
      </c>
      <c r="O115" s="1888"/>
      <c r="P115" s="1878">
        <f>SUM(L115:N115)</f>
        <v>0</v>
      </c>
      <c r="Q115" s="149"/>
      <c r="R115" s="1875">
        <f>'6.2 Spec Ed Local YR2'!L111</f>
        <v>0</v>
      </c>
      <c r="S115" s="149"/>
      <c r="T115" s="1872">
        <f>P115+J115+E115+R115</f>
        <v>0</v>
      </c>
      <c r="U115" s="149"/>
    </row>
    <row r="116" spans="1:22" s="4" customFormat="1" x14ac:dyDescent="0.3">
      <c r="B116" s="4" t="str">
        <f>'1.2 Budgeted Enrollment YR1'!E131</f>
        <v>Churchill County Middle School</v>
      </c>
      <c r="E116" s="1889">
        <f>SUM(E114:E115)</f>
        <v>0</v>
      </c>
      <c r="F116" s="149"/>
      <c r="G116" s="1890">
        <f>SUM(G114:G115)</f>
        <v>0</v>
      </c>
      <c r="H116" s="1891">
        <f>SUM(H114:H115)</f>
        <v>0</v>
      </c>
      <c r="I116" s="1891">
        <f>SUM(I114:I115)</f>
        <v>0</v>
      </c>
      <c r="J116" s="1892">
        <f>SUM(J114:J115)</f>
        <v>0</v>
      </c>
      <c r="K116" s="149"/>
      <c r="L116" s="1893">
        <f>SUM(L114:L115)</f>
        <v>0</v>
      </c>
      <c r="M116" s="1893">
        <f>SUM(M114:M115)</f>
        <v>0</v>
      </c>
      <c r="N116" s="1893">
        <f>SUM(N114:N115)</f>
        <v>0</v>
      </c>
      <c r="O116" s="1893"/>
      <c r="P116" s="1892">
        <f>SUM(P114:P115)</f>
        <v>0</v>
      </c>
      <c r="Q116" s="149"/>
      <c r="R116" s="1669">
        <f>SUM(R114:R115)</f>
        <v>0</v>
      </c>
      <c r="S116" s="149"/>
      <c r="T116" s="1669">
        <f>SUM(T114:T115)</f>
        <v>0</v>
      </c>
      <c r="U116" s="149"/>
      <c r="V116" s="149"/>
    </row>
    <row r="120" spans="1:22" x14ac:dyDescent="0.3">
      <c r="B120" s="9" t="s">
        <v>1354</v>
      </c>
      <c r="E120" s="9">
        <v>4557386632.7000008</v>
      </c>
      <c r="G120" s="9">
        <v>232643989</v>
      </c>
      <c r="H120" s="9">
        <v>164975980</v>
      </c>
      <c r="I120" s="9">
        <v>9853068</v>
      </c>
      <c r="J120" s="9">
        <v>407473037</v>
      </c>
      <c r="L120" s="9">
        <v>200112974</v>
      </c>
      <c r="M120" s="9">
        <v>0</v>
      </c>
      <c r="N120" s="9">
        <v>1499704</v>
      </c>
      <c r="O120" s="9">
        <v>143941393</v>
      </c>
      <c r="P120" s="9">
        <v>345554071</v>
      </c>
      <c r="R120" s="9">
        <v>597293832</v>
      </c>
      <c r="T120" s="9">
        <v>5907707572.7000008</v>
      </c>
    </row>
    <row r="121" spans="1:22" x14ac:dyDescent="0.3">
      <c r="E121" s="131">
        <f>E120-E33</f>
        <v>-7220929.2999992371</v>
      </c>
      <c r="F121" s="131">
        <f t="shared" ref="F121:T121" si="23">F120-F33</f>
        <v>0</v>
      </c>
      <c r="G121" s="131">
        <f t="shared" si="23"/>
        <v>-2174316</v>
      </c>
      <c r="H121" s="131">
        <f t="shared" si="23"/>
        <v>-1541943</v>
      </c>
      <c r="I121" s="131">
        <f t="shared" si="23"/>
        <v>-92104</v>
      </c>
      <c r="J121" s="131">
        <f t="shared" si="23"/>
        <v>-3808363</v>
      </c>
      <c r="K121" s="131">
        <f t="shared" si="23"/>
        <v>0</v>
      </c>
      <c r="L121" s="131">
        <f t="shared" si="23"/>
        <v>8000000</v>
      </c>
      <c r="M121" s="131">
        <f t="shared" si="23"/>
        <v>0</v>
      </c>
      <c r="N121" s="131">
        <f t="shared" si="23"/>
        <v>0</v>
      </c>
      <c r="O121" s="131">
        <f t="shared" si="23"/>
        <v>143941393</v>
      </c>
      <c r="P121" s="131">
        <f t="shared" si="23"/>
        <v>151941393</v>
      </c>
      <c r="Q121" s="131">
        <f t="shared" si="23"/>
        <v>0</v>
      </c>
      <c r="R121" s="131">
        <f t="shared" si="23"/>
        <v>-2535610</v>
      </c>
      <c r="S121" s="131">
        <f t="shared" si="23"/>
        <v>0</v>
      </c>
      <c r="T121" s="131">
        <f t="shared" si="23"/>
        <v>138376490.70000076</v>
      </c>
    </row>
  </sheetData>
  <pageMargins left="0.7" right="0.7" top="0.75" bottom="0.75" header="0.3" footer="0.3"/>
  <pageSetup paperSize="3" scale="65" fitToHeight="0" orientation="landscape" r:id="rId1"/>
  <headerFooter>
    <oddHeader>&amp;R&amp;"Arial Narrow,Regular"&amp;10&amp;A
&amp;P</oddHeader>
  </headerFooter>
  <rowBreaks count="2" manualBreakCount="2">
    <brk id="33" max="16383" man="1"/>
    <brk id="81" max="15"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9009-A229-44E5-B225-8C0217A9C7EE}">
  <sheetPr>
    <tabColor theme="3" tint="-0.499984740745262"/>
    <pageSetUpPr autoPageBreaks="0" fitToPage="1"/>
  </sheetPr>
  <dimension ref="A1:AD115"/>
  <sheetViews>
    <sheetView showGridLines="0" zoomScale="85" zoomScaleNormal="85" workbookViewId="0">
      <selection activeCell="I33" sqref="I33"/>
    </sheetView>
  </sheetViews>
  <sheetFormatPr defaultColWidth="9" defaultRowHeight="16.5" x14ac:dyDescent="0.3"/>
  <cols>
    <col min="1" max="1" width="7.140625" style="9" customWidth="1"/>
    <col min="2" max="2" width="38.42578125" style="9" bestFit="1" customWidth="1"/>
    <col min="3" max="3" width="2.7109375" style="9" customWidth="1"/>
    <col min="4" max="4" width="19.140625" style="9" hidden="1" customWidth="1"/>
    <col min="5" max="5" width="15" style="9" bestFit="1" customWidth="1"/>
    <col min="6" max="6" width="17" style="9" bestFit="1" customWidth="1"/>
    <col min="7" max="7" width="11" style="9" bestFit="1" customWidth="1"/>
    <col min="8" max="8" width="2.42578125" style="4" customWidth="1"/>
    <col min="9" max="9" width="15.5703125" style="9" bestFit="1" customWidth="1"/>
    <col min="10" max="10" width="20.140625" style="9" bestFit="1" customWidth="1"/>
    <col min="11" max="11" width="13.5703125" style="9" bestFit="1" customWidth="1"/>
    <col min="12" max="12" width="15.5703125" style="9" bestFit="1" customWidth="1"/>
    <col min="13" max="13" width="2.5703125" style="4" customWidth="1"/>
    <col min="14" max="14" width="15.5703125" style="9" bestFit="1" customWidth="1"/>
    <col min="15" max="15" width="14.5703125" style="9" bestFit="1" customWidth="1"/>
    <col min="16" max="16" width="13.5703125" style="9" customWidth="1"/>
    <col min="17" max="17" width="18" style="9" customWidth="1"/>
    <col min="18" max="18" width="15.5703125" style="9" bestFit="1" customWidth="1"/>
    <col min="19" max="19" width="2.42578125" style="4" customWidth="1"/>
    <col min="20" max="20" width="15.140625" style="9" customWidth="1"/>
    <col min="21" max="21" width="2.140625" style="4" customWidth="1"/>
    <col min="22" max="22" width="18.140625" style="9" bestFit="1" customWidth="1"/>
    <col min="23" max="23" width="2.5703125" style="4" customWidth="1"/>
    <col min="24" max="24" width="22.140625" style="9" bestFit="1" customWidth="1"/>
    <col min="25" max="25" width="5.42578125" style="9" bestFit="1" customWidth="1"/>
    <col min="26" max="26" width="17" style="9" bestFit="1" customWidth="1"/>
    <col min="27" max="27" width="20.7109375" style="9" bestFit="1" customWidth="1"/>
    <col min="28" max="28" width="15" style="9" bestFit="1" customWidth="1"/>
    <col min="29" max="29" width="14.5703125" style="9" bestFit="1" customWidth="1"/>
    <col min="30" max="16384" width="9" style="9"/>
  </cols>
  <sheetData>
    <row r="1" spans="1:30" s="4" customFormat="1" x14ac:dyDescent="0.3">
      <c r="A1" s="4" t="s">
        <v>15</v>
      </c>
      <c r="J1" s="13" t="s">
        <v>1795</v>
      </c>
      <c r="K1" s="28">
        <v>1</v>
      </c>
    </row>
    <row r="2" spans="1:30" ht="17.25" thickBot="1" x14ac:dyDescent="0.35">
      <c r="A2" s="9" t="str">
        <f>CONCATENATE("Pupil Center Funding Plan | FY",'5.1 Assumption Control YR2'!D5)</f>
        <v>Pupil Center Funding Plan | FY2027</v>
      </c>
      <c r="J2" s="13" t="s">
        <v>1657</v>
      </c>
      <c r="K2" s="1308">
        <f>'7.1a Initial Allocations YR2'!W41</f>
        <v>-1.6573452629226899E-3</v>
      </c>
    </row>
    <row r="3" spans="1:30" ht="17.25" thickBot="1" x14ac:dyDescent="0.35">
      <c r="A3" s="9" t="s">
        <v>1796</v>
      </c>
      <c r="J3" s="13" t="s">
        <v>1658</v>
      </c>
      <c r="K3" s="212">
        <f>SUM(K1:K2)</f>
        <v>0.99834265473707728</v>
      </c>
      <c r="L3" s="15"/>
      <c r="N3" s="15"/>
      <c r="P3" s="108"/>
      <c r="V3" s="108"/>
    </row>
    <row r="4" spans="1:30" x14ac:dyDescent="0.3">
      <c r="F4" s="15"/>
      <c r="X4" s="230"/>
    </row>
    <row r="5" spans="1:30" s="4" customFormat="1" ht="19.5" thickBot="1" x14ac:dyDescent="0.35">
      <c r="A5" s="225"/>
      <c r="B5" s="129"/>
      <c r="C5" s="129"/>
      <c r="D5" s="129"/>
      <c r="E5" s="766" t="s">
        <v>1659</v>
      </c>
      <c r="F5" s="766" t="s">
        <v>1660</v>
      </c>
      <c r="G5" s="636"/>
      <c r="H5" s="637"/>
      <c r="I5" s="767" t="s">
        <v>1661</v>
      </c>
      <c r="J5" s="767" t="s">
        <v>1662</v>
      </c>
      <c r="K5" s="767" t="s">
        <v>1663</v>
      </c>
      <c r="L5" s="636"/>
      <c r="M5" s="637"/>
      <c r="N5" s="767" t="s">
        <v>1664</v>
      </c>
      <c r="O5" s="636"/>
      <c r="P5" s="767" t="s">
        <v>1665</v>
      </c>
      <c r="Q5" s="767"/>
      <c r="R5" s="636"/>
      <c r="S5" s="636"/>
      <c r="T5" s="767" t="s">
        <v>1666</v>
      </c>
      <c r="V5" s="129"/>
      <c r="X5" s="129"/>
    </row>
    <row r="6" spans="1:30" s="4" customFormat="1" x14ac:dyDescent="0.3">
      <c r="A6" s="2063"/>
      <c r="B6" s="217"/>
      <c r="C6" s="217"/>
      <c r="D6" s="218" t="s">
        <v>1630</v>
      </c>
      <c r="E6" s="219">
        <f>'5.1 Assumption Control YR2'!D5</f>
        <v>2027</v>
      </c>
      <c r="F6" s="220" t="s">
        <v>1631</v>
      </c>
      <c r="G6" s="220">
        <f>E6</f>
        <v>2027</v>
      </c>
      <c r="I6" s="218" t="s">
        <v>1581</v>
      </c>
      <c r="J6" s="221"/>
      <c r="K6" s="221" t="s">
        <v>1632</v>
      </c>
      <c r="L6" s="220" t="s">
        <v>156</v>
      </c>
      <c r="N6" s="220" t="s">
        <v>156</v>
      </c>
      <c r="O6" s="220" t="s">
        <v>1667</v>
      </c>
      <c r="P6" s="220" t="s">
        <v>156</v>
      </c>
      <c r="Q6" s="220" t="s">
        <v>156</v>
      </c>
      <c r="R6" s="220" t="s">
        <v>156</v>
      </c>
      <c r="T6" s="220" t="s">
        <v>156</v>
      </c>
      <c r="V6" s="2000" t="s">
        <v>156</v>
      </c>
      <c r="X6" s="2000" t="s">
        <v>1668</v>
      </c>
      <c r="Z6" s="2000" t="s">
        <v>1669</v>
      </c>
      <c r="AA6" s="2000" t="s">
        <v>1633</v>
      </c>
      <c r="AB6" s="301" t="s">
        <v>1670</v>
      </c>
      <c r="AC6" s="2064" t="s">
        <v>1797</v>
      </c>
    </row>
    <row r="7" spans="1:30" s="4" customFormat="1" x14ac:dyDescent="0.3">
      <c r="A7" s="222"/>
      <c r="D7" s="97" t="s">
        <v>1634</v>
      </c>
      <c r="E7" s="98" t="s">
        <v>1671</v>
      </c>
      <c r="F7" s="118" t="s">
        <v>1393</v>
      </c>
      <c r="G7" s="118" t="s">
        <v>1672</v>
      </c>
      <c r="I7" s="97" t="s">
        <v>1585</v>
      </c>
      <c r="J7" s="17" t="s">
        <v>1586</v>
      </c>
      <c r="K7" s="17" t="s">
        <v>1587</v>
      </c>
      <c r="L7" s="118" t="s">
        <v>1635</v>
      </c>
      <c r="N7" s="118" t="s">
        <v>1223</v>
      </c>
      <c r="O7" s="118" t="s">
        <v>1223</v>
      </c>
      <c r="P7" s="118" t="s">
        <v>1338</v>
      </c>
      <c r="Q7" s="118" t="s">
        <v>2223</v>
      </c>
      <c r="R7" s="118" t="s">
        <v>1637</v>
      </c>
      <c r="T7" s="118" t="s">
        <v>1638</v>
      </c>
      <c r="V7" s="118" t="s">
        <v>1639</v>
      </c>
      <c r="X7" s="118" t="s">
        <v>1673</v>
      </c>
      <c r="Z7" s="228" t="s">
        <v>1674</v>
      </c>
      <c r="AA7" s="118" t="s">
        <v>1640</v>
      </c>
      <c r="AB7" s="456" t="s">
        <v>1675</v>
      </c>
      <c r="AC7" s="764" t="s">
        <v>1676</v>
      </c>
    </row>
    <row r="8" spans="1:30" s="4" customFormat="1" ht="17.25" thickBot="1" x14ac:dyDescent="0.35">
      <c r="A8" s="223"/>
      <c r="B8" s="103"/>
      <c r="C8" s="103"/>
      <c r="D8" s="174" t="s">
        <v>1641</v>
      </c>
      <c r="E8" s="119" t="s">
        <v>1677</v>
      </c>
      <c r="F8" s="132" t="s">
        <v>139</v>
      </c>
      <c r="G8" s="132" t="s">
        <v>1152</v>
      </c>
      <c r="I8" s="133" t="s">
        <v>139</v>
      </c>
      <c r="J8" s="109" t="s">
        <v>139</v>
      </c>
      <c r="K8" s="109" t="s">
        <v>139</v>
      </c>
      <c r="L8" s="132" t="s">
        <v>139</v>
      </c>
      <c r="N8" s="132" t="s">
        <v>1470</v>
      </c>
      <c r="O8" s="132" t="s">
        <v>1470</v>
      </c>
      <c r="P8" s="132" t="s">
        <v>1470</v>
      </c>
      <c r="Q8" s="132" t="s">
        <v>1470</v>
      </c>
      <c r="R8" s="132" t="s">
        <v>1470</v>
      </c>
      <c r="T8" s="132" t="s">
        <v>1470</v>
      </c>
      <c r="V8" s="118" t="s">
        <v>1470</v>
      </c>
      <c r="X8" s="118" t="s">
        <v>1678</v>
      </c>
      <c r="Z8" s="118" t="s">
        <v>1677</v>
      </c>
      <c r="AA8" s="118" t="s">
        <v>1642</v>
      </c>
      <c r="AB8" s="456" t="s">
        <v>213</v>
      </c>
      <c r="AC8" s="762" t="s">
        <v>1679</v>
      </c>
    </row>
    <row r="9" spans="1:30" s="4" customFormat="1" ht="17.25" thickBot="1" x14ac:dyDescent="0.35">
      <c r="A9" s="224"/>
      <c r="B9" s="147"/>
      <c r="C9" s="210" t="s">
        <v>1346</v>
      </c>
      <c r="D9" s="216"/>
      <c r="E9" s="216"/>
      <c r="F9" s="152" t="s">
        <v>1798</v>
      </c>
      <c r="G9" s="668" t="s">
        <v>1799</v>
      </c>
      <c r="I9" s="151" t="s">
        <v>1798</v>
      </c>
      <c r="J9" s="151" t="s">
        <v>1798</v>
      </c>
      <c r="K9" s="151" t="s">
        <v>1798</v>
      </c>
      <c r="L9" s="151" t="s">
        <v>1798</v>
      </c>
      <c r="N9" s="151" t="s">
        <v>2234</v>
      </c>
      <c r="O9" s="151" t="s">
        <v>2234</v>
      </c>
      <c r="P9" s="151" t="s">
        <v>1741</v>
      </c>
      <c r="Q9" s="151" t="s">
        <v>1741</v>
      </c>
      <c r="R9" s="151" t="s">
        <v>1741</v>
      </c>
      <c r="T9" s="151" t="s">
        <v>1741</v>
      </c>
      <c r="V9" s="524" t="s">
        <v>1682</v>
      </c>
      <c r="X9" s="524" t="s">
        <v>1800</v>
      </c>
      <c r="Z9" s="478"/>
      <c r="AA9" s="629" t="s">
        <v>1684</v>
      </c>
      <c r="AB9" s="612" t="s">
        <v>1685</v>
      </c>
      <c r="AC9" s="763" t="s">
        <v>1686</v>
      </c>
    </row>
    <row r="10" spans="1:30" x14ac:dyDescent="0.3">
      <c r="A10" s="222" t="s">
        <v>1228</v>
      </c>
      <c r="F10" s="106"/>
      <c r="G10" s="102"/>
      <c r="I10" s="106"/>
      <c r="L10" s="102"/>
      <c r="N10" s="102"/>
      <c r="O10" s="102"/>
      <c r="P10" s="102"/>
      <c r="Q10" s="102"/>
      <c r="R10" s="102"/>
      <c r="T10" s="102"/>
      <c r="V10" s="102"/>
      <c r="X10" s="102"/>
      <c r="Z10" s="102"/>
      <c r="AA10" s="229"/>
      <c r="AB10" s="112"/>
      <c r="AC10" s="102"/>
    </row>
    <row r="11" spans="1:30" x14ac:dyDescent="0.3">
      <c r="A11" s="188"/>
      <c r="B11" s="9" t="str">
        <f>'5.2 Budgeted Enrollment YR2'!E9</f>
        <v>Carson City</v>
      </c>
      <c r="D11" s="9" t="str">
        <f>IF('2.9 PCFP Funding Comparison YR1'!K8="Yes","PCFP","Hold Harmless")</f>
        <v>PCFP</v>
      </c>
      <c r="E11" s="471" t="str">
        <f>'7.1a Initial Allocations YR2'!D12</f>
        <v>PCFP</v>
      </c>
      <c r="F11" s="859">
        <f>ROUND('7.1a Initial Allocations YR2'!E12*$K$3+H11,0)</f>
        <v>71063644</v>
      </c>
      <c r="G11" s="430">
        <f>ROUND(F11/'6.9 PCFP Funding Comparison YR2'!D8,0)</f>
        <v>10195</v>
      </c>
      <c r="H11" s="1448"/>
      <c r="I11" s="380">
        <f>ROUND('7.1a Initial Allocations YR2'!G12*$K$3,0)</f>
        <v>3329674</v>
      </c>
      <c r="J11" s="380">
        <f>ROUND('7.1a Initial Allocations YR2'!H12*$K$3,2)</f>
        <v>733761.88</v>
      </c>
      <c r="K11" s="380">
        <f>ROUND('7.1a Initial Allocations YR2'!I12*$K$3,2)</f>
        <v>324429.42</v>
      </c>
      <c r="L11" s="375">
        <f>ROUND(SUM(I11:K11),2)</f>
        <v>4387865.3</v>
      </c>
      <c r="M11" s="8"/>
      <c r="N11" s="375">
        <f>ROUND('7.1a Initial Allocations YR2'!L12,0)</f>
        <v>2868747</v>
      </c>
      <c r="O11" s="375">
        <f>ROUND('7.1a Initial Allocations YR2'!M12,2)</f>
        <v>0</v>
      </c>
      <c r="P11" s="375">
        <f>ROUND('7.1a Initial Allocations YR2'!N12,0)</f>
        <v>334457</v>
      </c>
      <c r="Q11" s="375">
        <f>'7.1a Initial Allocations YR2'!O12</f>
        <v>0</v>
      </c>
      <c r="R11" s="375">
        <f>ROUND(SUM(N11:Q11),2)</f>
        <v>3203204</v>
      </c>
      <c r="S11" s="8"/>
      <c r="T11" s="375">
        <f>ROUND('7.1a Initial Allocations YR2'!R12,0)</f>
        <v>6741119</v>
      </c>
      <c r="U11" s="74"/>
      <c r="V11" s="394">
        <f>ROUND(F11+L11+R11+T11,0)</f>
        <v>85395832</v>
      </c>
      <c r="W11" s="467"/>
      <c r="X11" s="104">
        <f>ROUND(V11/'6.9 PCFP Funding Comparison YR2'!D8,0)</f>
        <v>12251</v>
      </c>
      <c r="Y11" s="195"/>
      <c r="Z11" s="102" t="str">
        <f>'6.9 PCFP Funding Comparison YR2'!V8</f>
        <v>PCFP</v>
      </c>
      <c r="AA11" s="394">
        <f>V11-'6.9 PCFP Funding Comparison YR2'!H8</f>
        <v>12561655</v>
      </c>
      <c r="AB11" s="663" t="str">
        <f>IF('6.9 PCFP Funding Comparison YR2'!K8="Yes","PCFP","FY 2020 Baseline")</f>
        <v>PCFP</v>
      </c>
      <c r="AC11" s="117">
        <f>V11-'Biennial Comparison'!D7</f>
        <v>13421423.185817733</v>
      </c>
      <c r="AD11" s="12"/>
    </row>
    <row r="12" spans="1:30" x14ac:dyDescent="0.3">
      <c r="A12" s="188"/>
      <c r="B12" s="9" t="str">
        <f>'5.2 Budgeted Enrollment YR2'!E10</f>
        <v>Churchill</v>
      </c>
      <c r="D12" s="9" t="str">
        <f>IF('2.9 PCFP Funding Comparison YR1'!K9="Yes","PCFP","Hold Harmless")</f>
        <v>PCFP</v>
      </c>
      <c r="E12" s="471" t="str">
        <f>'7.1a Initial Allocations YR2'!D13</f>
        <v>PCFP</v>
      </c>
      <c r="F12" s="859">
        <f>ROUND('7.1a Initial Allocations YR2'!E13*$K$3+H12,0)</f>
        <v>33342516</v>
      </c>
      <c r="G12" s="430">
        <f>ROUND(F12/'6.9 PCFP Funding Comparison YR2'!D9,0)</f>
        <v>10846</v>
      </c>
      <c r="H12" s="1448"/>
      <c r="I12" s="380">
        <f>ROUND('7.1a Initial Allocations YR2'!G13*$K$3,2)</f>
        <v>486645.12</v>
      </c>
      <c r="J12" s="380">
        <f>ROUND('7.1a Initial Allocations YR2'!H13*$K$3,2)</f>
        <v>288856.46999999997</v>
      </c>
      <c r="K12" s="380">
        <f>ROUND('7.1a Initial Allocations YR2'!I13*$K$3,2)</f>
        <v>0</v>
      </c>
      <c r="L12" s="375">
        <f t="shared" ref="L12:L27" si="0">ROUND(SUM(I12:K12),2)</f>
        <v>775501.59</v>
      </c>
      <c r="M12" s="8"/>
      <c r="N12" s="375">
        <f>ROUND('7.1a Initial Allocations YR2'!L13,0)</f>
        <v>1665797</v>
      </c>
      <c r="O12" s="375">
        <f>ROUND('7.1a Initial Allocations YR2'!M13,2)</f>
        <v>0</v>
      </c>
      <c r="P12" s="375">
        <f>ROUND('7.1a Initial Allocations YR2'!N13,0)</f>
        <v>0</v>
      </c>
      <c r="Q12" s="375">
        <f>'7.1a Initial Allocations YR2'!O13</f>
        <v>0</v>
      </c>
      <c r="R12" s="375">
        <f t="shared" ref="R12:R27" si="1">ROUND(SUM(N12:Q12),2)</f>
        <v>1665797</v>
      </c>
      <c r="S12" s="8"/>
      <c r="T12" s="375">
        <f>ROUND('7.1a Initial Allocations YR2'!R13,0)</f>
        <v>2215685</v>
      </c>
      <c r="U12" s="74"/>
      <c r="V12" s="394">
        <f>ROUND(F12+L12+R12+T12,0)</f>
        <v>37999500</v>
      </c>
      <c r="W12" s="467"/>
      <c r="X12" s="104">
        <f>ROUND(V12/'6.9 PCFP Funding Comparison YR2'!D9,0)</f>
        <v>12361</v>
      </c>
      <c r="Y12" s="195"/>
      <c r="Z12" s="102" t="str">
        <f>'6.9 PCFP Funding Comparison YR2'!V9</f>
        <v>PCFP</v>
      </c>
      <c r="AA12" s="373">
        <f>V12-'6.9 PCFP Funding Comparison YR2'!H9</f>
        <v>8606621</v>
      </c>
      <c r="AB12" s="663" t="str">
        <f>IF('6.9 PCFP Funding Comparison YR2'!K9="Yes","PCFP","FY 2020 Baseline")</f>
        <v>PCFP</v>
      </c>
      <c r="AC12" s="117">
        <f>V12-'Biennial Comparison'!D8</f>
        <v>6941032.2800339162</v>
      </c>
      <c r="AD12" s="12"/>
    </row>
    <row r="13" spans="1:30" x14ac:dyDescent="0.3">
      <c r="A13" s="188"/>
      <c r="B13" s="9" t="str">
        <f>'5.2 Budgeted Enrollment YR2'!E11</f>
        <v>Clark</v>
      </c>
      <c r="D13" s="9" t="str">
        <f>IF('2.9 PCFP Funding Comparison YR1'!K10="Yes","PCFP","Hold Harmless")</f>
        <v>PCFP</v>
      </c>
      <c r="E13" s="471" t="str">
        <f>'7.1a Initial Allocations YR2'!D14</f>
        <v>PCFP</v>
      </c>
      <c r="F13" s="859">
        <f>ROUND('7.1a Initial Allocations YR2'!E14*$K$3+H13,0)</f>
        <v>2736315565</v>
      </c>
      <c r="G13" s="430">
        <f>ROUND(F13/'6.9 PCFP Funding Comparison YR2'!D10,0)</f>
        <v>9572</v>
      </c>
      <c r="H13" s="1448"/>
      <c r="I13" s="380">
        <f>ROUND('7.1a Initial Allocations YR2'!G14*$K$3,2)</f>
        <v>165749484.84</v>
      </c>
      <c r="J13" s="380">
        <f>ROUND('7.1a Initial Allocations YR2'!H14*$K$3,2)</f>
        <v>138365521.87</v>
      </c>
      <c r="K13" s="380">
        <f>ROUND('7.1a Initial Allocations YR2'!I14*$K$3,2)</f>
        <v>6188072.2000000002</v>
      </c>
      <c r="L13" s="375">
        <f t="shared" si="0"/>
        <v>310303078.91000003</v>
      </c>
      <c r="M13" s="8"/>
      <c r="N13" s="375">
        <f>ROUND('7.1a Initial Allocations YR2'!L14,0)</f>
        <v>135130854</v>
      </c>
      <c r="O13" s="375">
        <f>ROUND('7.1a Initial Allocations YR2'!M14,2)</f>
        <v>0</v>
      </c>
      <c r="P13" s="375">
        <f>ROUND('7.1a Initial Allocations YR2'!N14,0)</f>
        <v>0</v>
      </c>
      <c r="Q13" s="375">
        <f>'7.1a Initial Allocations YR2'!O14</f>
        <v>0</v>
      </c>
      <c r="R13" s="375">
        <f t="shared" si="1"/>
        <v>135130854</v>
      </c>
      <c r="S13" s="8"/>
      <c r="T13" s="375">
        <f>ROUND('7.1a Initial Allocations YR2'!R14,0)</f>
        <v>453025801</v>
      </c>
      <c r="U13" s="74"/>
      <c r="V13" s="394">
        <f t="shared" ref="V13:V31" si="2">ROUND(F13+L13+R13+T13,0)</f>
        <v>3634775299</v>
      </c>
      <c r="W13" s="467"/>
      <c r="X13" s="104">
        <f>ROUND(V13/'6.9 PCFP Funding Comparison YR2'!D10,0)</f>
        <v>12714</v>
      </c>
      <c r="Y13" s="195"/>
      <c r="Z13" s="102" t="str">
        <f>'6.9 PCFP Funding Comparison YR2'!V10</f>
        <v>PCFP</v>
      </c>
      <c r="AA13" s="373">
        <f>V13-'6.9 PCFP Funding Comparison YR2'!H10</f>
        <v>1050287799</v>
      </c>
      <c r="AB13" s="663" t="str">
        <f>IF('6.9 PCFP Funding Comparison YR2'!K10="Yes","PCFP","FY 2020 Baseline")</f>
        <v>PCFP</v>
      </c>
      <c r="AC13" s="117">
        <f>V13-'Biennial Comparison'!D9</f>
        <v>749994401.3060236</v>
      </c>
      <c r="AD13" s="12"/>
    </row>
    <row r="14" spans="1:30" x14ac:dyDescent="0.3">
      <c r="A14" s="188"/>
      <c r="B14" s="9" t="str">
        <f>'5.2 Budgeted Enrollment YR2'!E12</f>
        <v>Douglas</v>
      </c>
      <c r="D14" s="9" t="str">
        <f>IF('2.9 PCFP Funding Comparison YR1'!K11="Yes","PCFP","Hold Harmless")</f>
        <v>PCFP</v>
      </c>
      <c r="E14" s="471" t="str">
        <f>'7.1a Initial Allocations YR2'!D15</f>
        <v>PCFP</v>
      </c>
      <c r="F14" s="859">
        <f>ROUND('7.1a Initial Allocations YR2'!E15*$K$3+H14,0)</f>
        <v>51262896</v>
      </c>
      <c r="G14" s="430">
        <f>ROUND(F14/'6.9 PCFP Funding Comparison YR2'!D11,0)</f>
        <v>10701</v>
      </c>
      <c r="H14" s="1448"/>
      <c r="I14" s="380">
        <f>ROUND('7.1a Initial Allocations YR2'!G15*$K$3,2)</f>
        <v>687279.05</v>
      </c>
      <c r="J14" s="380">
        <f>ROUND('7.1a Initial Allocations YR2'!H15*$K$3,2)</f>
        <v>478107.3</v>
      </c>
      <c r="K14" s="380">
        <f>ROUND('7.1a Initial Allocations YR2'!I15*$K$3,2)</f>
        <v>134325.01</v>
      </c>
      <c r="L14" s="375">
        <f t="shared" si="0"/>
        <v>1299711.3600000001</v>
      </c>
      <c r="M14" s="8"/>
      <c r="N14" s="375">
        <f>ROUND('7.1a Initial Allocations YR2'!L15,0)</f>
        <v>3977265</v>
      </c>
      <c r="O14" s="375">
        <f>ROUND('7.1a Initial Allocations YR2'!M15,2)</f>
        <v>0</v>
      </c>
      <c r="P14" s="375">
        <f>ROUND('7.1a Initial Allocations YR2'!N15,0)</f>
        <v>0</v>
      </c>
      <c r="Q14" s="375">
        <f>'7.1a Initial Allocations YR2'!O15</f>
        <v>0</v>
      </c>
      <c r="R14" s="375">
        <f t="shared" si="1"/>
        <v>3977265</v>
      </c>
      <c r="S14" s="8"/>
      <c r="T14" s="375">
        <f>ROUND('7.1a Initial Allocations YR2'!R15,0)</f>
        <v>5428400</v>
      </c>
      <c r="U14" s="74"/>
      <c r="V14" s="394">
        <f t="shared" si="2"/>
        <v>61968272</v>
      </c>
      <c r="W14" s="467"/>
      <c r="X14" s="104">
        <f>ROUND(V14/'6.9 PCFP Funding Comparison YR2'!D11,0)</f>
        <v>12935</v>
      </c>
      <c r="Y14" s="195"/>
      <c r="Z14" s="102" t="str">
        <f>'6.9 PCFP Funding Comparison YR2'!V11</f>
        <v>PCFP</v>
      </c>
      <c r="AA14" s="373">
        <f>V14-'6.9 PCFP Funding Comparison YR2'!H11</f>
        <v>5222246</v>
      </c>
      <c r="AB14" s="663" t="str">
        <f>IF('6.9 PCFP Funding Comparison YR2'!K11="Yes","PCFP","FY 2020 Baseline")</f>
        <v>PCFP</v>
      </c>
      <c r="AC14" s="117">
        <f>V14-'Biennial Comparison'!D10</f>
        <v>4364252.6706231236</v>
      </c>
      <c r="AD14" s="12"/>
    </row>
    <row r="15" spans="1:30" x14ac:dyDescent="0.3">
      <c r="A15" s="188"/>
      <c r="B15" s="9" t="str">
        <f>'5.2 Budgeted Enrollment YR2'!E13</f>
        <v>Elko</v>
      </c>
      <c r="D15" s="9" t="str">
        <f>IF('2.9 PCFP Funding Comparison YR1'!K12="Yes","PCFP","Hold Harmless")</f>
        <v>PCFP</v>
      </c>
      <c r="E15" s="471" t="str">
        <f>'7.1a Initial Allocations YR2'!D16</f>
        <v>PCFP</v>
      </c>
      <c r="F15" s="859">
        <f>ROUND('7.1a Initial Allocations YR2'!E16*$K$3+H15,0)</f>
        <v>108457980</v>
      </c>
      <c r="G15" s="430">
        <f>ROUND(F15/'6.9 PCFP Funding Comparison YR2'!D12,0)</f>
        <v>11745</v>
      </c>
      <c r="H15" s="1448"/>
      <c r="I15" s="380">
        <f>ROUND('7.1a Initial Allocations YR2'!G16*$K$3,2)</f>
        <v>2855836.04</v>
      </c>
      <c r="J15" s="380">
        <f>ROUND('7.1a Initial Allocations YR2'!H16*$K$3,2)</f>
        <v>1500724.65</v>
      </c>
      <c r="K15" s="380">
        <f>ROUND('7.1a Initial Allocations YR2'!I16*$K$3,2)</f>
        <v>43257.19</v>
      </c>
      <c r="L15" s="375">
        <f t="shared" si="0"/>
        <v>4399817.88</v>
      </c>
      <c r="M15" s="8"/>
      <c r="N15" s="375">
        <f>ROUND('7.1a Initial Allocations YR2'!L16,0)</f>
        <v>5601775</v>
      </c>
      <c r="O15" s="375">
        <f>ROUND('7.1a Initial Allocations YR2'!M16,2)</f>
        <v>0</v>
      </c>
      <c r="P15" s="375">
        <f>ROUND('7.1a Initial Allocations YR2'!N16,0)</f>
        <v>350372</v>
      </c>
      <c r="Q15" s="375">
        <f>'7.1a Initial Allocations YR2'!O16</f>
        <v>0</v>
      </c>
      <c r="R15" s="375">
        <f t="shared" si="1"/>
        <v>5952147</v>
      </c>
      <c r="S15" s="8"/>
      <c r="T15" s="375">
        <f>ROUND('7.1a Initial Allocations YR2'!R16,0)</f>
        <v>6815778</v>
      </c>
      <c r="U15" s="74"/>
      <c r="V15" s="394">
        <f t="shared" si="2"/>
        <v>125625723</v>
      </c>
      <c r="W15" s="467"/>
      <c r="X15" s="104">
        <f>ROUND(V15/'6.9 PCFP Funding Comparison YR2'!D12,0)</f>
        <v>13604</v>
      </c>
      <c r="Y15" s="195"/>
      <c r="Z15" s="102" t="str">
        <f>'6.9 PCFP Funding Comparison YR2'!V12</f>
        <v>PCFP</v>
      </c>
      <c r="AA15" s="373">
        <f>V15-'6.9 PCFP Funding Comparison YR2'!H12</f>
        <v>23291777</v>
      </c>
      <c r="AB15" s="663" t="str">
        <f>IF('6.9 PCFP Funding Comparison YR2'!K12="Yes","PCFP","FY 2020 Baseline")</f>
        <v>PCFP</v>
      </c>
      <c r="AC15" s="117">
        <f>V15-'Biennial Comparison'!D11</f>
        <v>23468412.352724597</v>
      </c>
      <c r="AD15" s="12"/>
    </row>
    <row r="16" spans="1:30" x14ac:dyDescent="0.3">
      <c r="A16" s="188"/>
      <c r="B16" s="9" t="str">
        <f>'5.2 Budgeted Enrollment YR2'!E14</f>
        <v>Esmeralda</v>
      </c>
      <c r="D16" s="9" t="str">
        <f>IF('2.9 PCFP Funding Comparison YR1'!K13="Yes","PCFP","Hold Harmless")</f>
        <v>Hold Harmless</v>
      </c>
      <c r="E16" s="471" t="str">
        <f>'7.1a Initial Allocations YR2'!D17</f>
        <v>FY 2020 Baseline</v>
      </c>
      <c r="F16" s="2194">
        <f>ROUND('7.1a Initial Allocations YR2'!E17*$K$3+H16,0)</f>
        <v>2535333</v>
      </c>
      <c r="G16" s="430">
        <f>ROUND(F16/'6.9 PCFP Funding Comparison YR2'!D13,0)</f>
        <v>31442</v>
      </c>
      <c r="H16" s="1448"/>
      <c r="I16" s="2181">
        <f>ROUND('7.1a Initial Allocations YR2'!G17*$K$3,2)</f>
        <v>17401.11</v>
      </c>
      <c r="J16" s="2181">
        <f>ROUND('7.1a Initial Allocations YR2'!H17*$K$3,2)</f>
        <v>8386.08</v>
      </c>
      <c r="K16" s="2181">
        <f>ROUND('7.1a Initial Allocations YR2'!I17*$K$3,2)</f>
        <v>0</v>
      </c>
      <c r="L16" s="2178">
        <f t="shared" si="0"/>
        <v>25787.19</v>
      </c>
      <c r="M16" s="8"/>
      <c r="N16" s="2178">
        <f>ROUND('7.1a Initial Allocations YR2'!L17,0)</f>
        <v>328550</v>
      </c>
      <c r="O16" s="2178">
        <f>ROUND('7.1a Initial Allocations YR2'!M17,2)</f>
        <v>0</v>
      </c>
      <c r="P16" s="2178">
        <f>ROUND('7.1a Initial Allocations YR2'!N17,0)</f>
        <v>49284</v>
      </c>
      <c r="Q16" s="2178">
        <f>'7.1a Initial Allocations YR2'!O17</f>
        <v>0</v>
      </c>
      <c r="R16" s="2178">
        <f t="shared" si="1"/>
        <v>377834</v>
      </c>
      <c r="S16" s="8"/>
      <c r="T16" s="2178">
        <f>ROUND('7.1a Initial Allocations YR2'!R17,0)</f>
        <v>44620</v>
      </c>
      <c r="U16" s="74"/>
      <c r="V16" s="2202">
        <f t="shared" si="2"/>
        <v>2983574</v>
      </c>
      <c r="W16" s="467"/>
      <c r="X16" s="104">
        <f>ROUND(V16/'6.9 PCFP Funding Comparison YR2'!D13,0)</f>
        <v>37001</v>
      </c>
      <c r="Y16" s="195"/>
      <c r="Z16" s="102" t="str">
        <f>'6.9 PCFP Funding Comparison YR2'!V13</f>
        <v>FY 2020 Baseline</v>
      </c>
      <c r="AA16" s="373">
        <f>V16-'6.9 PCFP Funding Comparison YR2'!H13</f>
        <v>363646</v>
      </c>
      <c r="AB16" s="663" t="str">
        <f>IF('6.9 PCFP Funding Comparison YR2'!K13="Yes","PCFP","FY 2020 Baseline")</f>
        <v>FY 2020 Baseline</v>
      </c>
      <c r="AC16" s="117">
        <f>V16-'Biennial Comparison'!D12</f>
        <v>415707.00005141646</v>
      </c>
      <c r="AD16" s="12"/>
    </row>
    <row r="17" spans="1:30" x14ac:dyDescent="0.3">
      <c r="A17" s="188"/>
      <c r="B17" s="9" t="str">
        <f>'5.2 Budgeted Enrollment YR2'!E15</f>
        <v>Eureka</v>
      </c>
      <c r="D17" s="9" t="str">
        <f>IF('2.9 PCFP Funding Comparison YR1'!K14="Yes","PCFP","Hold Harmless")</f>
        <v>Hold Harmless</v>
      </c>
      <c r="E17" s="471" t="str">
        <f>'7.1a Initial Allocations YR2'!D18</f>
        <v>FY 2020 Baseline</v>
      </c>
      <c r="F17" s="2194">
        <f>ROUND('7.1a Initial Allocations YR2'!E18*$K$3+H17,0)</f>
        <v>10643117</v>
      </c>
      <c r="G17" s="430">
        <f>ROUND(F17/'6.9 PCFP Funding Comparison YR2'!D14,0)</f>
        <v>35765</v>
      </c>
      <c r="H17" s="1448"/>
      <c r="I17" s="2181">
        <f>ROUND('7.1a Initial Allocations YR2'!G18*$K$3,2)</f>
        <v>10213.049999999999</v>
      </c>
      <c r="J17" s="2181">
        <f>ROUND('7.1a Initial Allocations YR2'!H18*$K$3,2)</f>
        <v>1198.01</v>
      </c>
      <c r="K17" s="2181">
        <f>ROUND('7.1a Initial Allocations YR2'!I18*$K$3,2)</f>
        <v>0</v>
      </c>
      <c r="L17" s="2178">
        <f t="shared" si="0"/>
        <v>11411.06</v>
      </c>
      <c r="M17" s="8"/>
      <c r="N17" s="2178">
        <f>ROUND('7.1a Initial Allocations YR2'!L18,0)</f>
        <v>434259</v>
      </c>
      <c r="O17" s="2178">
        <f>ROUND('7.1a Initial Allocations YR2'!M18,2)</f>
        <v>0</v>
      </c>
      <c r="P17" s="2178">
        <f>ROUND('7.1a Initial Allocations YR2'!N18,0)</f>
        <v>399223</v>
      </c>
      <c r="Q17" s="2178">
        <f>'7.1a Initial Allocations YR2'!O18</f>
        <v>0</v>
      </c>
      <c r="R17" s="2178">
        <f t="shared" si="1"/>
        <v>833482</v>
      </c>
      <c r="S17" s="8"/>
      <c r="T17" s="2178">
        <f>ROUND('7.1a Initial Allocations YR2'!R18,0)</f>
        <v>200000</v>
      </c>
      <c r="U17" s="74"/>
      <c r="V17" s="2202">
        <f t="shared" si="2"/>
        <v>11688010</v>
      </c>
      <c r="W17" s="467"/>
      <c r="X17" s="104">
        <f>ROUND(V17/'6.9 PCFP Funding Comparison YR2'!D14,0)</f>
        <v>39277</v>
      </c>
      <c r="Y17" s="195"/>
      <c r="Z17" s="102" t="str">
        <f>'6.9 PCFP Funding Comparison YR2'!V14</f>
        <v>FY 2020 Baseline</v>
      </c>
      <c r="AA17" s="373">
        <f>V17-'6.9 PCFP Funding Comparison YR2'!H14</f>
        <v>-356685</v>
      </c>
      <c r="AB17" s="663" t="str">
        <f>IF('6.9 PCFP Funding Comparison YR2'!K14="Yes","PCFP","FY 2020 Baseline")</f>
        <v>FY 2020 Baseline</v>
      </c>
      <c r="AC17" s="117">
        <f>V17-'Biennial Comparison'!D13</f>
        <v>-283726.74663439021</v>
      </c>
      <c r="AD17" s="12"/>
    </row>
    <row r="18" spans="1:30" x14ac:dyDescent="0.3">
      <c r="A18" s="188"/>
      <c r="B18" s="9" t="str">
        <f>'5.2 Budgeted Enrollment YR2'!E16</f>
        <v>Humboldt</v>
      </c>
      <c r="D18" s="9" t="str">
        <f>IF('2.9 PCFP Funding Comparison YR1'!K15="Yes","PCFP","Hold Harmless")</f>
        <v>PCFP</v>
      </c>
      <c r="E18" s="471" t="str">
        <f>'7.1a Initial Allocations YR2'!D19</f>
        <v>PCFP</v>
      </c>
      <c r="F18" s="859">
        <f>ROUND('7.1a Initial Allocations YR2'!E19*$K$3+H18,0)</f>
        <v>36634630</v>
      </c>
      <c r="G18" s="430">
        <f>ROUND(F18/'6.9 PCFP Funding Comparison YR2'!D15,0)</f>
        <v>11682</v>
      </c>
      <c r="H18" s="1448"/>
      <c r="I18" s="380">
        <f>ROUND('7.1a Initial Allocations YR2'!G19*$K$3,2)</f>
        <v>840955.93</v>
      </c>
      <c r="J18" s="380">
        <f>ROUND('7.1a Initial Allocations YR2'!H19*$K$3,2)</f>
        <v>351939.75</v>
      </c>
      <c r="K18" s="380">
        <f>ROUND('7.1a Initial Allocations YR2'!I19*$K$3,2)</f>
        <v>0</v>
      </c>
      <c r="L18" s="375">
        <f t="shared" si="0"/>
        <v>1192895.68</v>
      </c>
      <c r="M18" s="8"/>
      <c r="N18" s="375">
        <f>ROUND('7.1a Initial Allocations YR2'!L19,0)</f>
        <v>2016344</v>
      </c>
      <c r="O18" s="375">
        <f>ROUND('7.1a Initial Allocations YR2'!M19,2)</f>
        <v>0</v>
      </c>
      <c r="P18" s="375">
        <f>ROUND('7.1a Initial Allocations YR2'!N19,0)</f>
        <v>4765</v>
      </c>
      <c r="Q18" s="375">
        <f>'7.1a Initial Allocations YR2'!O19</f>
        <v>0</v>
      </c>
      <c r="R18" s="375">
        <f t="shared" si="1"/>
        <v>2021109</v>
      </c>
      <c r="S18" s="8"/>
      <c r="T18" s="375">
        <f>ROUND('7.1a Initial Allocations YR2'!R19,0)</f>
        <v>3147883</v>
      </c>
      <c r="U18" s="74"/>
      <c r="V18" s="394">
        <f t="shared" si="2"/>
        <v>42996518</v>
      </c>
      <c r="W18" s="467"/>
      <c r="X18" s="104">
        <f>ROUND(V18/'6.9 PCFP Funding Comparison YR2'!D15,0)</f>
        <v>13711</v>
      </c>
      <c r="Y18" s="195"/>
      <c r="Z18" s="102" t="str">
        <f>'6.9 PCFP Funding Comparison YR2'!V15</f>
        <v>PCFP</v>
      </c>
      <c r="AA18" s="373">
        <f>V18-'6.9 PCFP Funding Comparison YR2'!H15</f>
        <v>4893027</v>
      </c>
      <c r="AB18" s="663" t="str">
        <f>IF('6.9 PCFP Funding Comparison YR2'!K15="Yes","PCFP","FY 2020 Baseline")</f>
        <v>PCFP</v>
      </c>
      <c r="AC18" s="117">
        <f>V18-'Biennial Comparison'!D14</f>
        <v>6074450.1708133966</v>
      </c>
      <c r="AD18" s="12"/>
    </row>
    <row r="19" spans="1:30" x14ac:dyDescent="0.3">
      <c r="A19" s="188"/>
      <c r="B19" s="9" t="str">
        <f>'5.2 Budgeted Enrollment YR2'!E17</f>
        <v>Lander</v>
      </c>
      <c r="D19" s="9" t="str">
        <f>IF('2.9 PCFP Funding Comparison YR1'!K16="Yes","PCFP","Hold Harmless")</f>
        <v>PCFP</v>
      </c>
      <c r="E19" s="471" t="str">
        <f>'7.1a Initial Allocations YR2'!D20</f>
        <v>PCFP</v>
      </c>
      <c r="F19" s="859">
        <f>ROUND('7.1a Initial Allocations YR2'!E20*$K$3+H19,0)</f>
        <v>13783210</v>
      </c>
      <c r="G19" s="430">
        <f>ROUND(F19/'6.9 PCFP Funding Comparison YR2'!D16,0)</f>
        <v>14205</v>
      </c>
      <c r="H19" s="1448"/>
      <c r="I19" s="380">
        <f>ROUND('7.1a Initial Allocations YR2'!G20*$K$3,2)</f>
        <v>166483.62</v>
      </c>
      <c r="J19" s="380">
        <f>ROUND('7.1a Initial Allocations YR2'!H20*$K$3,2)</f>
        <v>262294.57</v>
      </c>
      <c r="K19" s="380">
        <f>ROUND('7.1a Initial Allocations YR2'!I20*$K$3,2)</f>
        <v>0</v>
      </c>
      <c r="L19" s="375">
        <f t="shared" si="0"/>
        <v>428778.19</v>
      </c>
      <c r="M19" s="8"/>
      <c r="N19" s="375">
        <f>ROUND('7.1a Initial Allocations YR2'!L20,0)</f>
        <v>400471</v>
      </c>
      <c r="O19" s="375">
        <f>ROUND('7.1a Initial Allocations YR2'!M20,2)</f>
        <v>0</v>
      </c>
      <c r="P19" s="375">
        <f>ROUND('7.1a Initial Allocations YR2'!N20,0)</f>
        <v>15558</v>
      </c>
      <c r="Q19" s="375">
        <f>'7.1a Initial Allocations YR2'!O20</f>
        <v>0</v>
      </c>
      <c r="R19" s="375">
        <f t="shared" si="1"/>
        <v>416029</v>
      </c>
      <c r="S19" s="8"/>
      <c r="T19" s="375">
        <f>ROUND('7.1a Initial Allocations YR2'!R20,0)</f>
        <v>828068</v>
      </c>
      <c r="U19" s="74"/>
      <c r="V19" s="394">
        <f t="shared" si="2"/>
        <v>15456085</v>
      </c>
      <c r="W19" s="467"/>
      <c r="X19" s="104">
        <f>ROUND(V19/'6.9 PCFP Funding Comparison YR2'!D16,0)</f>
        <v>15929</v>
      </c>
      <c r="Y19" s="195"/>
      <c r="Z19" s="102" t="str">
        <f>'6.9 PCFP Funding Comparison YR2'!V16</f>
        <v>PCFP</v>
      </c>
      <c r="AA19" s="373">
        <f>V19-'6.9 PCFP Funding Comparison YR2'!H16</f>
        <v>3627865</v>
      </c>
      <c r="AB19" s="663" t="str">
        <f>IF('6.9 PCFP Funding Comparison YR2'!K16="Yes","PCFP","FY 2020 Baseline")</f>
        <v>PCFP</v>
      </c>
      <c r="AC19" s="117">
        <f>V19-'Biennial Comparison'!D15</f>
        <v>3242466.416235216</v>
      </c>
      <c r="AD19" s="12"/>
    </row>
    <row r="20" spans="1:30" x14ac:dyDescent="0.3">
      <c r="A20" s="188"/>
      <c r="B20" s="9" t="str">
        <f>'5.2 Budgeted Enrollment YR2'!E18</f>
        <v>Lincoln</v>
      </c>
      <c r="D20" s="9" t="str">
        <f>IF('2.9 PCFP Funding Comparison YR1'!K17="Yes","PCFP","Hold Harmless")</f>
        <v>PCFP</v>
      </c>
      <c r="E20" s="471" t="str">
        <f>'7.1a Initial Allocations YR2'!D21</f>
        <v>PCFP</v>
      </c>
      <c r="F20" s="859">
        <f>ROUND('7.1a Initial Allocations YR2'!E21*$K$3+H20,0)</f>
        <v>15046383</v>
      </c>
      <c r="G20" s="430">
        <f>ROUND(F20/'6.9 PCFP Funding Comparison YR2'!D17,0)</f>
        <v>17294</v>
      </c>
      <c r="H20" s="1448"/>
      <c r="I20" s="380">
        <f>ROUND('7.1a Initial Allocations YR2'!G21*$K$3,2)</f>
        <v>34150.31</v>
      </c>
      <c r="J20" s="380">
        <f>ROUND('7.1a Initial Allocations YR2'!H21*$K$3,2)</f>
        <v>136128.01</v>
      </c>
      <c r="K20" s="380">
        <f>ROUND('7.1a Initial Allocations YR2'!I21*$K$3,2)</f>
        <v>0</v>
      </c>
      <c r="L20" s="375">
        <f t="shared" si="0"/>
        <v>170278.32</v>
      </c>
      <c r="M20" s="8"/>
      <c r="N20" s="375">
        <f>ROUND('7.1a Initial Allocations YR2'!L21,0)</f>
        <v>635350</v>
      </c>
      <c r="O20" s="375">
        <f>ROUND('7.1a Initial Allocations YR2'!M21,2)</f>
        <v>0</v>
      </c>
      <c r="P20" s="375">
        <f>ROUND('7.1a Initial Allocations YR2'!N21,0)</f>
        <v>66961</v>
      </c>
      <c r="Q20" s="375">
        <f>'7.1a Initial Allocations YR2'!O21</f>
        <v>0</v>
      </c>
      <c r="R20" s="375">
        <f t="shared" si="1"/>
        <v>702311</v>
      </c>
      <c r="S20" s="8"/>
      <c r="T20" s="375">
        <f>ROUND('7.1a Initial Allocations YR2'!R21,0)</f>
        <v>0</v>
      </c>
      <c r="U20" s="74"/>
      <c r="V20" s="394">
        <f t="shared" si="2"/>
        <v>15918972</v>
      </c>
      <c r="W20" s="467"/>
      <c r="X20" s="104">
        <f>ROUND(V20/'6.9 PCFP Funding Comparison YR2'!D17,0)</f>
        <v>18297</v>
      </c>
      <c r="Y20" s="195"/>
      <c r="Z20" s="102" t="str">
        <f>'6.9 PCFP Funding Comparison YR2'!V17</f>
        <v>PCFP</v>
      </c>
      <c r="AA20" s="373">
        <f>V20-'6.9 PCFP Funding Comparison YR2'!H17</f>
        <v>3197234</v>
      </c>
      <c r="AB20" s="663" t="str">
        <f>IF('6.9 PCFP Funding Comparison YR2'!K17="Yes","PCFP","FY 2020 Baseline")</f>
        <v>PCFP</v>
      </c>
      <c r="AC20" s="117">
        <f>V20-'Biennial Comparison'!D16</f>
        <v>3301465.9012485184</v>
      </c>
      <c r="AD20" s="12"/>
    </row>
    <row r="21" spans="1:30" x14ac:dyDescent="0.3">
      <c r="A21" s="188"/>
      <c r="B21" s="9" t="str">
        <f>'5.2 Budgeted Enrollment YR2'!E19</f>
        <v>Lyon</v>
      </c>
      <c r="D21" s="9" t="str">
        <f>IF('2.9 PCFP Funding Comparison YR1'!K18="Yes","PCFP","Hold Harmless")</f>
        <v>PCFP</v>
      </c>
      <c r="E21" s="471" t="str">
        <f>'7.1a Initial Allocations YR2'!D22</f>
        <v>PCFP</v>
      </c>
      <c r="F21" s="859">
        <f>ROUND('7.1a Initial Allocations YR2'!E22*$K$3+H21,0)</f>
        <v>103426552</v>
      </c>
      <c r="G21" s="430">
        <f>ROUND(F21/'6.9 PCFP Funding Comparison YR2'!D18,0)</f>
        <v>11577</v>
      </c>
      <c r="H21" s="1448"/>
      <c r="I21" s="380">
        <f>ROUND('7.1a Initial Allocations YR2'!G22*$K$3,2)</f>
        <v>2288083.56</v>
      </c>
      <c r="J21" s="380">
        <f>ROUND('7.1a Initial Allocations YR2'!H22*$K$3,2)</f>
        <v>1291552.8999999999</v>
      </c>
      <c r="K21" s="380">
        <f>ROUND('7.1a Initial Allocations YR2'!I22*$K$3,2)</f>
        <v>68300.61</v>
      </c>
      <c r="L21" s="375">
        <f t="shared" si="0"/>
        <v>3647937.07</v>
      </c>
      <c r="M21" s="8"/>
      <c r="N21" s="375">
        <f>ROUND('7.1a Initial Allocations YR2'!L22,0)</f>
        <v>5367830</v>
      </c>
      <c r="O21" s="375">
        <f>ROUND('7.1a Initial Allocations YR2'!M22,2)</f>
        <v>0</v>
      </c>
      <c r="P21" s="375">
        <f>ROUND('7.1a Initial Allocations YR2'!N22,0)</f>
        <v>0</v>
      </c>
      <c r="Q21" s="375">
        <f>'7.1a Initial Allocations YR2'!O22</f>
        <v>0</v>
      </c>
      <c r="R21" s="375">
        <f t="shared" si="1"/>
        <v>5367830</v>
      </c>
      <c r="S21" s="8"/>
      <c r="T21" s="375">
        <f>ROUND('7.1a Initial Allocations YR2'!R22,0)</f>
        <v>11959030</v>
      </c>
      <c r="U21" s="74"/>
      <c r="V21" s="394">
        <f t="shared" si="2"/>
        <v>124401349</v>
      </c>
      <c r="W21" s="467"/>
      <c r="X21" s="104">
        <f>ROUND(V21/'6.9 PCFP Funding Comparison YR2'!D18,0)</f>
        <v>13925</v>
      </c>
      <c r="Y21" s="195"/>
      <c r="Z21" s="102" t="str">
        <f>'6.9 PCFP Funding Comparison YR2'!V18</f>
        <v>PCFP</v>
      </c>
      <c r="AA21" s="373">
        <f>V21-'6.9 PCFP Funding Comparison YR2'!H18</f>
        <v>40025226</v>
      </c>
      <c r="AB21" s="663" t="str">
        <f>IF('6.9 PCFP Funding Comparison YR2'!K18="Yes","PCFP","FY 2020 Baseline")</f>
        <v>PCFP</v>
      </c>
      <c r="AC21" s="117">
        <f>V21-'Biennial Comparison'!D17</f>
        <v>32003870.507377848</v>
      </c>
      <c r="AD21" s="12"/>
    </row>
    <row r="22" spans="1:30" x14ac:dyDescent="0.3">
      <c r="A22" s="188"/>
      <c r="B22" s="9" t="str">
        <f>'5.2 Budgeted Enrollment YR2'!E20</f>
        <v>Mineral</v>
      </c>
      <c r="D22" s="9" t="str">
        <f>IF('2.9 PCFP Funding Comparison YR1'!K19="Yes","PCFP","Hold Harmless")</f>
        <v>PCFP</v>
      </c>
      <c r="E22" s="471" t="str">
        <f>'7.1a Initial Allocations YR2'!D23</f>
        <v>PCFP</v>
      </c>
      <c r="F22" s="859">
        <f>ROUND('7.1a Initial Allocations YR2'!E23*$K$3+H22,0)</f>
        <v>8461394</v>
      </c>
      <c r="G22" s="430">
        <f>ROUND(F22/'6.9 PCFP Funding Comparison YR2'!D19,0)</f>
        <v>16604</v>
      </c>
      <c r="H22" s="1448"/>
      <c r="I22" s="380">
        <f>ROUND('7.1a Initial Allocations YR2'!G23*$K$3,2)</f>
        <v>145140.04999999999</v>
      </c>
      <c r="J22" s="380">
        <f>ROUND('7.1a Initial Allocations YR2'!H23*$K$3,2)</f>
        <v>142767.99</v>
      </c>
      <c r="K22" s="380">
        <f>ROUND('7.1a Initial Allocations YR2'!I23*$K$3,2)</f>
        <v>0</v>
      </c>
      <c r="L22" s="375">
        <f t="shared" si="0"/>
        <v>287908.03999999998</v>
      </c>
      <c r="M22" s="8"/>
      <c r="N22" s="375">
        <f>ROUND('7.1a Initial Allocations YR2'!L23,0)</f>
        <v>388223</v>
      </c>
      <c r="O22" s="375">
        <f>ROUND('7.1a Initial Allocations YR2'!M23,2)</f>
        <v>0</v>
      </c>
      <c r="P22" s="375">
        <f>ROUND('7.1a Initial Allocations YR2'!N23,0)</f>
        <v>200104</v>
      </c>
      <c r="Q22" s="375">
        <f>'7.1a Initial Allocations YR2'!O23</f>
        <v>0</v>
      </c>
      <c r="R22" s="375">
        <f t="shared" si="1"/>
        <v>588327</v>
      </c>
      <c r="S22" s="8"/>
      <c r="T22" s="375">
        <f>ROUND('7.1a Initial Allocations YR2'!R23,0)</f>
        <v>110574</v>
      </c>
      <c r="U22" s="74"/>
      <c r="V22" s="394">
        <f t="shared" si="2"/>
        <v>9448203</v>
      </c>
      <c r="W22" s="467"/>
      <c r="X22" s="104">
        <f>ROUND(V22/'6.9 PCFP Funding Comparison YR2'!D19,0)</f>
        <v>18540</v>
      </c>
      <c r="Y22" s="195"/>
      <c r="Z22" s="102" t="str">
        <f>'6.9 PCFP Funding Comparison YR2'!V19</f>
        <v>PCFP</v>
      </c>
      <c r="AA22" s="373">
        <f>V22-'6.9 PCFP Funding Comparison YR2'!H19</f>
        <v>1926943</v>
      </c>
      <c r="AB22" s="663" t="str">
        <f>IF('6.9 PCFP Funding Comparison YR2'!K19="Yes","PCFP","FY 2020 Baseline")</f>
        <v>PCFP</v>
      </c>
      <c r="AC22" s="117">
        <f>V22-'Biennial Comparison'!D18</f>
        <v>1732256.79807318</v>
      </c>
      <c r="AD22" s="12"/>
    </row>
    <row r="23" spans="1:30" x14ac:dyDescent="0.3">
      <c r="A23" s="188"/>
      <c r="B23" s="9" t="str">
        <f>'5.2 Budgeted Enrollment YR2'!E21</f>
        <v>Nye</v>
      </c>
      <c r="D23" s="9" t="str">
        <f>IF('2.9 PCFP Funding Comparison YR1'!K20="Yes","PCFP","Hold Harmless")</f>
        <v>PCFP</v>
      </c>
      <c r="E23" s="471" t="str">
        <f>'7.1a Initial Allocations YR2'!D24</f>
        <v>PCFP</v>
      </c>
      <c r="F23" s="859">
        <f>ROUND('7.1a Initial Allocations YR2'!E24*$K$3+H23,0)</f>
        <v>62804123</v>
      </c>
      <c r="G23" s="430">
        <f>ROUND(F23/'6.9 PCFP Funding Comparison YR2'!D20,0)</f>
        <v>11509</v>
      </c>
      <c r="H23" s="1448"/>
      <c r="I23" s="380">
        <f>ROUND('7.1a Initial Allocations YR2'!G24*$K$3,2)</f>
        <v>1609342.34</v>
      </c>
      <c r="J23" s="380">
        <f>ROUND('7.1a Initial Allocations YR2'!H24*$K$3,2)</f>
        <v>899771.29</v>
      </c>
      <c r="K23" s="380">
        <f>ROUND('7.1a Initial Allocations YR2'!I24*$K$3,2)</f>
        <v>0</v>
      </c>
      <c r="L23" s="375">
        <f t="shared" si="0"/>
        <v>2509113.63</v>
      </c>
      <c r="M23" s="8"/>
      <c r="N23" s="375">
        <f>ROUND('7.1a Initial Allocations YR2'!L24,0)</f>
        <v>4888451</v>
      </c>
      <c r="O23" s="375">
        <f>ROUND('7.1a Initial Allocations YR2'!M24,2)</f>
        <v>0</v>
      </c>
      <c r="P23" s="375">
        <f>ROUND('7.1a Initial Allocations YR2'!N24,0)</f>
        <v>0</v>
      </c>
      <c r="Q23" s="375">
        <f>'7.1a Initial Allocations YR2'!O24</f>
        <v>0</v>
      </c>
      <c r="R23" s="375">
        <f t="shared" si="1"/>
        <v>4888451</v>
      </c>
      <c r="S23" s="8"/>
      <c r="T23" s="375">
        <f>ROUND('7.1a Initial Allocations YR2'!R24,0)</f>
        <v>12987281</v>
      </c>
      <c r="U23" s="74"/>
      <c r="V23" s="394">
        <f t="shared" si="2"/>
        <v>83188969</v>
      </c>
      <c r="W23" s="467"/>
      <c r="X23" s="104">
        <f>ROUND(V23/'6.9 PCFP Funding Comparison YR2'!D20,0)</f>
        <v>15244</v>
      </c>
      <c r="Y23" s="195"/>
      <c r="Z23" s="102" t="str">
        <f>'6.9 PCFP Funding Comparison YR2'!V20</f>
        <v>PCFP</v>
      </c>
      <c r="AA23" s="373">
        <f>V23-'6.9 PCFP Funding Comparison YR2'!H20</f>
        <v>25580268</v>
      </c>
      <c r="AB23" s="663" t="str">
        <f>IF('6.9 PCFP Funding Comparison YR2'!K20="Yes","PCFP","FY 2020 Baseline")</f>
        <v>PCFP</v>
      </c>
      <c r="AC23" s="117">
        <f>V23-'Biennial Comparison'!D19</f>
        <v>22780960.259723119</v>
      </c>
      <c r="AD23" s="12"/>
    </row>
    <row r="24" spans="1:30" x14ac:dyDescent="0.3">
      <c r="A24" s="188"/>
      <c r="B24" s="9" t="str">
        <f>'5.2 Budgeted Enrollment YR2'!E22</f>
        <v>Pershing</v>
      </c>
      <c r="D24" s="9" t="str">
        <f>IF('2.9 PCFP Funding Comparison YR1'!K21="Yes","PCFP","Hold Harmless")</f>
        <v>PCFP</v>
      </c>
      <c r="E24" s="471" t="str">
        <f>'7.1a Initial Allocations YR2'!D25</f>
        <v>PCFP</v>
      </c>
      <c r="F24" s="859">
        <f>ROUND('7.1a Initial Allocations YR2'!E25*$K$3+H24,0)</f>
        <v>9796875</v>
      </c>
      <c r="G24" s="430">
        <f>ROUND(F24/'6.9 PCFP Funding Comparison YR2'!D21,0)</f>
        <v>15407</v>
      </c>
      <c r="H24" s="1448"/>
      <c r="I24" s="380">
        <f>ROUND('7.1a Initial Allocations YR2'!G25*$K$3,2)</f>
        <v>123795.49</v>
      </c>
      <c r="J24" s="380">
        <f>ROUND('7.1a Initial Allocations YR2'!H25*$K$3,2)</f>
        <v>92965.67</v>
      </c>
      <c r="K24" s="380">
        <f>ROUND('7.1a Initial Allocations YR2'!I25*$K$3,2)</f>
        <v>0</v>
      </c>
      <c r="L24" s="375">
        <f t="shared" si="0"/>
        <v>216761.16</v>
      </c>
      <c r="M24" s="8"/>
      <c r="N24" s="375">
        <f>ROUND('7.1a Initial Allocations YR2'!L25,0)</f>
        <v>918038</v>
      </c>
      <c r="O24" s="375">
        <f>ROUND('7.1a Initial Allocations YR2'!M25,2)</f>
        <v>0</v>
      </c>
      <c r="P24" s="375">
        <f>ROUND('7.1a Initial Allocations YR2'!N25,0)</f>
        <v>26439</v>
      </c>
      <c r="Q24" s="375">
        <f>'7.1a Initial Allocations YR2'!O25</f>
        <v>0</v>
      </c>
      <c r="R24" s="375">
        <f t="shared" si="1"/>
        <v>944477</v>
      </c>
      <c r="S24" s="8"/>
      <c r="T24" s="375">
        <f>ROUND('7.1a Initial Allocations YR2'!R25,0)</f>
        <v>0</v>
      </c>
      <c r="U24" s="74"/>
      <c r="V24" s="394">
        <f t="shared" si="2"/>
        <v>10958113</v>
      </c>
      <c r="W24" s="467"/>
      <c r="X24" s="104">
        <f>ROUND(V24/'6.9 PCFP Funding Comparison YR2'!D21,0)</f>
        <v>17234</v>
      </c>
      <c r="Y24" s="195"/>
      <c r="Z24" s="102" t="str">
        <f>'6.9 PCFP Funding Comparison YR2'!V21</f>
        <v>PCFP</v>
      </c>
      <c r="AA24" s="373">
        <f>V24-'6.9 PCFP Funding Comparison YR2'!H21</f>
        <v>1896703</v>
      </c>
      <c r="AB24" s="663" t="str">
        <f>IF('6.9 PCFP Funding Comparison YR2'!K21="Yes","PCFP","FY 2020 Baseline")</f>
        <v>PCFP</v>
      </c>
      <c r="AC24" s="117">
        <f>V24-'Biennial Comparison'!D20</f>
        <v>1889703.5274799708</v>
      </c>
      <c r="AD24" s="12"/>
    </row>
    <row r="25" spans="1:30" x14ac:dyDescent="0.3">
      <c r="A25" s="188"/>
      <c r="B25" s="9" t="str">
        <f>'5.2 Budgeted Enrollment YR2'!E23</f>
        <v>Storey</v>
      </c>
      <c r="D25" s="9" t="str">
        <f>IF('2.9 PCFP Funding Comparison YR1'!K22="Yes","PCFP","Hold Harmless")</f>
        <v>Hold Harmless</v>
      </c>
      <c r="E25" s="471" t="str">
        <f>'7.1a Initial Allocations YR2'!D26</f>
        <v>FY 2020 Baseline</v>
      </c>
      <c r="F25" s="2194">
        <f>ROUND('7.1a Initial Allocations YR2'!E26*$K$3+H25,0)</f>
        <v>9609908</v>
      </c>
      <c r="G25" s="430">
        <f>ROUND(F25/'6.9 PCFP Funding Comparison YR2'!D22,0)</f>
        <v>24308</v>
      </c>
      <c r="H25" s="1448"/>
      <c r="I25" s="2181">
        <f>ROUND('7.1a Initial Allocations YR2'!G26*$K$3,2)</f>
        <v>13777.13</v>
      </c>
      <c r="J25" s="2181">
        <f>ROUND('7.1a Initial Allocations YR2'!H26*$K$3,2)</f>
        <v>13777.13</v>
      </c>
      <c r="K25" s="2181">
        <f>ROUND('7.1a Initial Allocations YR2'!I26*$K$3,2)</f>
        <v>0</v>
      </c>
      <c r="L25" s="2178">
        <f t="shared" si="0"/>
        <v>27554.26</v>
      </c>
      <c r="M25" s="8"/>
      <c r="N25" s="2178">
        <f>ROUND('7.1a Initial Allocations YR2'!L26,0)</f>
        <v>547375</v>
      </c>
      <c r="O25" s="2178">
        <f>ROUND('7.1a Initial Allocations YR2'!M26,2)</f>
        <v>0</v>
      </c>
      <c r="P25" s="2178">
        <f>ROUND('7.1a Initial Allocations YR2'!N26,0)</f>
        <v>23002</v>
      </c>
      <c r="Q25" s="2178">
        <f>'7.1a Initial Allocations YR2'!O26</f>
        <v>0</v>
      </c>
      <c r="R25" s="2178">
        <f t="shared" si="1"/>
        <v>570377</v>
      </c>
      <c r="S25" s="8"/>
      <c r="T25" s="2178">
        <f>ROUND('7.1a Initial Allocations YR2'!R26,0)</f>
        <v>55048</v>
      </c>
      <c r="U25" s="74"/>
      <c r="V25" s="2202">
        <f t="shared" si="2"/>
        <v>10262887</v>
      </c>
      <c r="W25" s="467"/>
      <c r="X25" s="104">
        <f>ROUND(V25/'6.9 PCFP Funding Comparison YR2'!D22,0)</f>
        <v>25960</v>
      </c>
      <c r="Y25" s="12"/>
      <c r="Z25" s="102" t="str">
        <f>'6.9 PCFP Funding Comparison YR2'!V22</f>
        <v>FY 2020 Baseline</v>
      </c>
      <c r="AA25" s="373">
        <f>V25-'6.9 PCFP Funding Comparison YR2'!H22</f>
        <v>-1120336</v>
      </c>
      <c r="AB25" s="663" t="str">
        <f>IF('6.9 PCFP Funding Comparison YR2'!K22="Yes","PCFP","FY 2020 Baseline")</f>
        <v>FY 2020 Baseline</v>
      </c>
      <c r="AC25" s="117">
        <f>V25-'Biennial Comparison'!D21</f>
        <v>-1051384.5881363284</v>
      </c>
      <c r="AD25" s="12"/>
    </row>
    <row r="26" spans="1:30" x14ac:dyDescent="0.3">
      <c r="A26" s="188"/>
      <c r="B26" s="9" t="str">
        <f>'5.2 Budgeted Enrollment YR2'!E24</f>
        <v>Washoe</v>
      </c>
      <c r="D26" s="9" t="str">
        <f>IF('2.9 PCFP Funding Comparison YR1'!K23="Yes","PCFP","Hold Harmless")</f>
        <v>PCFP</v>
      </c>
      <c r="E26" s="471" t="str">
        <f>'7.1a Initial Allocations YR2'!D27</f>
        <v>PCFP</v>
      </c>
      <c r="F26" s="859">
        <f>ROUND('7.1a Initial Allocations YR2'!E27*$K$3+H26,0)</f>
        <v>575261104</v>
      </c>
      <c r="G26" s="430">
        <f>ROUND(F26/'6.9 PCFP Funding Comparison YR2'!D23,0)</f>
        <v>9781</v>
      </c>
      <c r="H26" s="1448"/>
      <c r="I26" s="380">
        <f>ROUND('7.1a Initial Allocations YR2'!G27*$K$3,2)</f>
        <v>28754726.379999999</v>
      </c>
      <c r="J26" s="380">
        <f>ROUND('7.1a Initial Allocations YR2'!H27*$K$3,2)</f>
        <v>14612148.42</v>
      </c>
      <c r="K26" s="380">
        <f>ROUND('7.1a Initial Allocations YR2'!I27*$K$3,2)</f>
        <v>1473025.64</v>
      </c>
      <c r="L26" s="375">
        <f t="shared" si="0"/>
        <v>44839900.439999998</v>
      </c>
      <c r="M26" s="8"/>
      <c r="N26" s="375">
        <f>ROUND('7.1a Initial Allocations YR2'!L27,0)</f>
        <v>25630842</v>
      </c>
      <c r="O26" s="375">
        <f>ROUND('7.1a Initial Allocations YR2'!M27,2)</f>
        <v>0</v>
      </c>
      <c r="P26" s="375">
        <f>ROUND('7.1a Initial Allocations YR2'!N27,0)</f>
        <v>0</v>
      </c>
      <c r="Q26" s="375">
        <f>'7.1a Initial Allocations YR2'!O27</f>
        <v>0</v>
      </c>
      <c r="R26" s="375">
        <f t="shared" si="1"/>
        <v>25630842</v>
      </c>
      <c r="S26" s="8"/>
      <c r="T26" s="375">
        <f>ROUND('7.1a Initial Allocations YR2'!R27,0)</f>
        <v>70479875</v>
      </c>
      <c r="U26" s="74"/>
      <c r="V26" s="394">
        <f t="shared" si="2"/>
        <v>716211721</v>
      </c>
      <c r="W26" s="467"/>
      <c r="X26" s="104">
        <f>ROUND(V26/'6.9 PCFP Funding Comparison YR2'!D23,0)</f>
        <v>12177</v>
      </c>
      <c r="Y26" s="195"/>
      <c r="Z26" s="102" t="str">
        <f>'6.9 PCFP Funding Comparison YR2'!V23</f>
        <v>PCFP</v>
      </c>
      <c r="AA26" s="373">
        <f>V26-'6.9 PCFP Funding Comparison YR2'!H23</f>
        <v>182324820</v>
      </c>
      <c r="AB26" s="663" t="str">
        <f>IF('6.9 PCFP Funding Comparison YR2'!K23="Yes","PCFP","FY 2020 Baseline")</f>
        <v>PCFP</v>
      </c>
      <c r="AC26" s="117">
        <f>V26-'Biennial Comparison'!D22</f>
        <v>165716922.38395596</v>
      </c>
      <c r="AD26" s="12"/>
    </row>
    <row r="27" spans="1:30" x14ac:dyDescent="0.3">
      <c r="A27" s="190"/>
      <c r="B27" s="137" t="str">
        <f>'5.2 Budgeted Enrollment YR2'!E25</f>
        <v>White Pine</v>
      </c>
      <c r="C27" s="137"/>
      <c r="D27" s="137" t="str">
        <f>IF('2.9 PCFP Funding Comparison YR1'!K23="Yes","PCFP","Hold Harmless")</f>
        <v>PCFP</v>
      </c>
      <c r="E27" s="384" t="str">
        <f>'7.1a Initial Allocations YR2'!D28</f>
        <v>PCFP</v>
      </c>
      <c r="F27" s="856">
        <f>ROUND('7.1a Initial Allocations YR2'!E28*$K$3+H27,0)</f>
        <v>18670841</v>
      </c>
      <c r="G27" s="856">
        <f>ROUND(F27/'6.9 PCFP Funding Comparison YR2'!D24,0)</f>
        <v>15167</v>
      </c>
      <c r="H27" s="1448"/>
      <c r="I27" s="380">
        <f>ROUND('7.1a Initial Allocations YR2'!G28*$K$3,2)</f>
        <v>64032.7</v>
      </c>
      <c r="J27" s="380">
        <f>ROUND('7.1a Initial Allocations YR2'!H28*$K$3,2)</f>
        <v>398422.58</v>
      </c>
      <c r="K27" s="376">
        <f>ROUND('7.1a Initial Allocations YR2'!I28*$K$3,2)</f>
        <v>0</v>
      </c>
      <c r="L27" s="375">
        <f t="shared" si="0"/>
        <v>462455.28</v>
      </c>
      <c r="M27" s="8"/>
      <c r="N27" s="375">
        <f>ROUND('7.1a Initial Allocations YR2'!L28,0)</f>
        <v>1312803</v>
      </c>
      <c r="O27" s="375">
        <f>ROUND('7.1a Initial Allocations YR2'!M28,2)</f>
        <v>0</v>
      </c>
      <c r="P27" s="375">
        <f>ROUND('7.1a Initial Allocations YR2'!N28,0)</f>
        <v>29539</v>
      </c>
      <c r="Q27" s="376">
        <f>'7.1a Initial Allocations YR2'!O28</f>
        <v>0</v>
      </c>
      <c r="R27" s="376">
        <f t="shared" si="1"/>
        <v>1342342</v>
      </c>
      <c r="S27" s="8"/>
      <c r="T27" s="375">
        <f>ROUND('7.1a Initial Allocations YR2'!R28,0)</f>
        <v>1129956</v>
      </c>
      <c r="U27" s="74"/>
      <c r="V27" s="394">
        <f t="shared" si="2"/>
        <v>21605594</v>
      </c>
      <c r="W27" s="467"/>
      <c r="X27" s="104">
        <f>ROUND(V27/'6.9 PCFP Funding Comparison YR2'!D24,0)</f>
        <v>17551</v>
      </c>
      <c r="Y27" s="195"/>
      <c r="Z27" s="102" t="str">
        <f>'6.9 PCFP Funding Comparison YR2'!V24</f>
        <v>PCFP</v>
      </c>
      <c r="AA27" s="373">
        <f>V27-'6.9 PCFP Funding Comparison YR2'!H24</f>
        <v>6375021</v>
      </c>
      <c r="AB27" s="663" t="str">
        <f>IF('6.9 PCFP Funding Comparison YR2'!K24="Yes","PCFP","FY 2020 Baseline")</f>
        <v>PCFP</v>
      </c>
      <c r="AC27" s="117">
        <f>V27-'Biennial Comparison'!D23</f>
        <v>5624676.8150211833</v>
      </c>
      <c r="AD27" s="12"/>
    </row>
    <row r="28" spans="1:30" x14ac:dyDescent="0.3">
      <c r="A28" s="188"/>
      <c r="B28" s="9" t="str">
        <f>'5.2 Budgeted Enrollment YR2'!E26</f>
        <v>Charter Schools</v>
      </c>
      <c r="D28" s="9" t="str">
        <f>IF('2.9 PCFP Funding Comparison YR1'!K24="Yes","PCFP","Hold Harmless")</f>
        <v>PCFP</v>
      </c>
      <c r="E28" s="471" t="str">
        <f>'7.1a Initial Allocations YR2'!D29</f>
        <v>PCFP</v>
      </c>
      <c r="F28" s="859">
        <f>ROUND('7.1a Initial Allocations YR2'!E29*$K$3+H28,0)</f>
        <v>688333767</v>
      </c>
      <c r="G28" s="1931">
        <f>ROUND(F28/'6.9 PCFP Funding Comparison YR2'!D25,0)</f>
        <v>9520</v>
      </c>
      <c r="H28" s="1448"/>
      <c r="I28" s="2011">
        <f>I99</f>
        <v>27252109</v>
      </c>
      <c r="J28" s="2011">
        <f>J99</f>
        <v>6663618</v>
      </c>
      <c r="K28" s="385">
        <f>K99</f>
        <v>1697280</v>
      </c>
      <c r="L28" s="2011">
        <f>ROUND(SUM(I28:K28),0)</f>
        <v>35613007</v>
      </c>
      <c r="M28" s="8"/>
      <c r="N28" s="2011">
        <f>N99</f>
        <v>0</v>
      </c>
      <c r="O28" s="2011">
        <f>O99</f>
        <v>0</v>
      </c>
      <c r="P28" s="2011">
        <f>P99</f>
        <v>0</v>
      </c>
      <c r="Q28" s="375">
        <f>'7.1a Initial Allocations YR2'!O29</f>
        <v>0</v>
      </c>
      <c r="R28" s="375">
        <f t="shared" ref="R28:R31" si="3">ROUND(SUM(N28:Q28),0)</f>
        <v>0</v>
      </c>
      <c r="S28" s="8"/>
      <c r="T28" s="2011">
        <f>ROUND('7.1a Initial Allocations YR2'!R29,0)</f>
        <v>24608056</v>
      </c>
      <c r="U28" s="74"/>
      <c r="V28" s="2011">
        <f t="shared" si="2"/>
        <v>748554830</v>
      </c>
      <c r="W28" s="467"/>
      <c r="X28" s="2013">
        <f>ROUND(V28/'6.9 PCFP Funding Comparison YR2'!D25,0)</f>
        <v>10353</v>
      </c>
      <c r="Y28" s="195"/>
      <c r="Z28" s="102" t="str">
        <f>'6.9 PCFP Funding Comparison YR2'!V25</f>
        <v>PCFP</v>
      </c>
      <c r="AA28" s="373">
        <f>V28-'6.9 PCFP Funding Comparison YR2'!H25</f>
        <v>314748306</v>
      </c>
      <c r="AB28" s="663" t="str">
        <f>IF('6.9 PCFP Funding Comparison YR2'!K25="Yes","PCFP","FY 2020 Baseline")</f>
        <v>PCFP</v>
      </c>
      <c r="AC28" s="117">
        <f>V28-'Biennial Comparison'!D24</f>
        <v>257667328.73884052</v>
      </c>
      <c r="AD28" s="12"/>
    </row>
    <row r="29" spans="1:30" x14ac:dyDescent="0.3">
      <c r="A29" s="188"/>
      <c r="B29" s="9" t="str">
        <f>'5.2 Budgeted Enrollment YR2'!E27</f>
        <v>University Schools</v>
      </c>
      <c r="D29" s="9" t="str">
        <f>IF('2.9 PCFP Funding Comparison YR1'!K25="Yes","PCFP","Hold Harmless")</f>
        <v>PCFP</v>
      </c>
      <c r="E29" s="471" t="str">
        <f>'7.1a Initial Allocations YR2'!D30</f>
        <v>PCFP</v>
      </c>
      <c r="F29" s="859">
        <f>ROUND('7.1a Initial Allocations YR2'!E30*$K$3+H29,0)</f>
        <v>1592593</v>
      </c>
      <c r="G29" s="430">
        <f>ROUND(F29/'6.9 PCFP Funding Comparison YR2'!D26,0)</f>
        <v>9486</v>
      </c>
      <c r="H29" s="1448"/>
      <c r="I29" s="375">
        <f>I104</f>
        <v>0</v>
      </c>
      <c r="J29" s="375">
        <f>J104</f>
        <v>0</v>
      </c>
      <c r="K29" s="385">
        <f>K104</f>
        <v>0</v>
      </c>
      <c r="L29" s="375">
        <f t="shared" ref="L29:L31" si="4">ROUND(SUM(I29:K29),0)</f>
        <v>0</v>
      </c>
      <c r="M29" s="8"/>
      <c r="N29" s="375">
        <f>N104</f>
        <v>0</v>
      </c>
      <c r="O29" s="385">
        <f>O104</f>
        <v>0</v>
      </c>
      <c r="P29" s="375">
        <f>P104</f>
        <v>0</v>
      </c>
      <c r="Q29" s="375"/>
      <c r="R29" s="375">
        <f t="shared" si="3"/>
        <v>0</v>
      </c>
      <c r="S29" s="8"/>
      <c r="T29" s="375">
        <f>ROUND('7.1a Initial Allocations YR2'!R30,0)</f>
        <v>52268</v>
      </c>
      <c r="U29" s="74"/>
      <c r="V29" s="375">
        <f t="shared" si="2"/>
        <v>1644861</v>
      </c>
      <c r="W29" s="467"/>
      <c r="X29" s="104">
        <f>ROUND(V29/'6.9 PCFP Funding Comparison YR2'!D26,0)</f>
        <v>9798</v>
      </c>
      <c r="Y29" s="195"/>
      <c r="Z29" s="143" t="str">
        <f>'6.9 PCFP Funding Comparison YR2'!V26</f>
        <v>PCFP</v>
      </c>
      <c r="AA29" s="374">
        <f>V29-'6.9 PCFP Funding Comparison YR2'!H26</f>
        <v>483455</v>
      </c>
      <c r="AB29" s="664" t="str">
        <f>IF('6.9 PCFP Funding Comparison YR2'!K26="Yes","PCFP","FY 2020 Baseline")</f>
        <v>PCFP</v>
      </c>
      <c r="AC29" s="164">
        <f>V29-'Biennial Comparison'!D25</f>
        <v>415813.02072744351</v>
      </c>
      <c r="AD29" s="12"/>
    </row>
    <row r="30" spans="1:30" x14ac:dyDescent="0.3">
      <c r="B30" s="9" t="str">
        <f>'5.2 Budgeted Enrollment YR2'!E28</f>
        <v>City of Henderson</v>
      </c>
      <c r="E30" s="471" t="str">
        <f>'7.1a Initial Allocations YR2'!D31</f>
        <v>PCFP</v>
      </c>
      <c r="F30" s="429">
        <f>F109</f>
        <v>0</v>
      </c>
      <c r="G30" s="430">
        <f>IF(F30=0,0,ROUND(F30/'6.9 PCFP Funding Comparison YR2'!D27,0))</f>
        <v>0</v>
      </c>
      <c r="H30" s="1448"/>
      <c r="I30" s="375">
        <f>I109</f>
        <v>0</v>
      </c>
      <c r="J30" s="375">
        <f>J109</f>
        <v>0</v>
      </c>
      <c r="K30" s="385">
        <f>K109</f>
        <v>0</v>
      </c>
      <c r="L30" s="375">
        <f t="shared" si="4"/>
        <v>0</v>
      </c>
      <c r="M30" s="8"/>
      <c r="N30" s="375">
        <f>N109</f>
        <v>0</v>
      </c>
      <c r="O30" s="385">
        <f>O109</f>
        <v>0</v>
      </c>
      <c r="P30" s="375">
        <f>P109</f>
        <v>0</v>
      </c>
      <c r="Q30" s="375"/>
      <c r="R30" s="375">
        <f t="shared" si="3"/>
        <v>0</v>
      </c>
      <c r="S30" s="8"/>
      <c r="T30" s="375">
        <f>ROUND('7.1a Initial Allocations YR2'!R31,0)</f>
        <v>0</v>
      </c>
      <c r="U30" s="74"/>
      <c r="V30" s="375">
        <f t="shared" si="2"/>
        <v>0</v>
      </c>
      <c r="X30" s="104">
        <f>IF(V30=0,0,ROUND(V30/'6.9 PCFP Funding Comparison YR2'!D27,0))</f>
        <v>0</v>
      </c>
      <c r="Z30" s="1445">
        <f>V32-'6.9 PCFP Funding Comparison YR2'!T30</f>
        <v>-36246769</v>
      </c>
      <c r="AA30" s="1446" t="s">
        <v>1688</v>
      </c>
      <c r="AB30" s="87"/>
      <c r="AC30" s="8">
        <f>SUM(AC11:AC29)</f>
        <v>1297720032</v>
      </c>
      <c r="AD30" s="12"/>
    </row>
    <row r="31" spans="1:30" x14ac:dyDescent="0.3">
      <c r="A31" s="137"/>
      <c r="B31" s="137" t="str">
        <f>'5.2 Budgeted Enrollment YR2'!E29</f>
        <v>City of North Las Vegas</v>
      </c>
      <c r="C31" s="137"/>
      <c r="D31" s="137"/>
      <c r="E31" s="384" t="str">
        <f>'7.1a Initial Allocations YR2'!D32</f>
        <v>PCFP</v>
      </c>
      <c r="F31" s="1247">
        <f>F114</f>
        <v>0</v>
      </c>
      <c r="G31" s="856">
        <f>IF(F31=0,0,ROUND(F31/'6.9 PCFP Funding Comparison YR2'!D28,0))</f>
        <v>0</v>
      </c>
      <c r="H31" s="1448"/>
      <c r="I31" s="376">
        <f>I114</f>
        <v>0</v>
      </c>
      <c r="J31" s="376">
        <f>J114</f>
        <v>0</v>
      </c>
      <c r="K31" s="391">
        <f>K114</f>
        <v>0</v>
      </c>
      <c r="L31" s="376">
        <f t="shared" si="4"/>
        <v>0</v>
      </c>
      <c r="M31" s="8"/>
      <c r="N31" s="376">
        <f>N114</f>
        <v>0</v>
      </c>
      <c r="O31" s="391">
        <f>O114</f>
        <v>0</v>
      </c>
      <c r="P31" s="376">
        <f>P114</f>
        <v>0</v>
      </c>
      <c r="Q31" s="376"/>
      <c r="R31" s="376">
        <f t="shared" si="3"/>
        <v>0</v>
      </c>
      <c r="S31" s="8"/>
      <c r="T31" s="376">
        <f>ROUND('7.1a Initial Allocations YR2'!R32,0)</f>
        <v>0</v>
      </c>
      <c r="U31" s="74"/>
      <c r="V31" s="376">
        <f t="shared" si="2"/>
        <v>0</v>
      </c>
      <c r="X31" s="104">
        <f>IF(V31=0,0,ROUND(V31/'6.9 PCFP Funding Comparison YR2'!D28,0))</f>
        <v>0</v>
      </c>
      <c r="Z31" s="1447">
        <f>(V32-'5.3 Budgeted Revenues YR2'!C40)/V32</f>
        <v>-5.2073530554490251E-10</v>
      </c>
      <c r="AA31" s="128" t="s">
        <v>1615</v>
      </c>
      <c r="AB31" s="87"/>
      <c r="AC31" s="12"/>
      <c r="AD31" s="12"/>
    </row>
    <row r="32" spans="1:30" s="4" customFormat="1" ht="17.25" thickBot="1" x14ac:dyDescent="0.35">
      <c r="A32" s="204"/>
      <c r="B32" s="135" t="s">
        <v>1354</v>
      </c>
      <c r="C32" s="135"/>
      <c r="D32" s="135"/>
      <c r="E32" s="135"/>
      <c r="F32" s="1442">
        <f>SUM(F11:F31)</f>
        <v>4557042431</v>
      </c>
      <c r="G32" s="858">
        <f>ROUND(F32/'6.9 PCFP Funding Comparison YR2'!D29,0)</f>
        <v>9826</v>
      </c>
      <c r="H32" s="1448"/>
      <c r="I32" s="1288">
        <f>ROUND(SUM(I11:I31),0)</f>
        <v>234429130</v>
      </c>
      <c r="J32" s="1289">
        <f>ROUND(SUM(J11:J31),0)</f>
        <v>166241943</v>
      </c>
      <c r="K32" s="1289">
        <f>ROUND(SUM(K11:K31),0)</f>
        <v>9928690</v>
      </c>
      <c r="L32" s="388">
        <f>ROUND(SUM(L11:L31),0)</f>
        <v>410599762</v>
      </c>
      <c r="M32" s="8"/>
      <c r="N32" s="1288">
        <f>ROUND(SUM(N11:N31),0)</f>
        <v>192112974</v>
      </c>
      <c r="O32" s="388">
        <f>ROUND(SUM(O11:O31),0)</f>
        <v>0</v>
      </c>
      <c r="P32" s="1288">
        <f>ROUND(SUM(P11:P31),0)</f>
        <v>1499704</v>
      </c>
      <c r="Q32" s="1288">
        <f>ROUND(SUM(Q11:Q31),0)</f>
        <v>0</v>
      </c>
      <c r="R32" s="1288">
        <f>ROUND(SUM(N32:Q32),0)</f>
        <v>193612678</v>
      </c>
      <c r="S32" s="8"/>
      <c r="T32" s="1288">
        <f>ROUND(SUM(T11:T31),0)</f>
        <v>599829442</v>
      </c>
      <c r="U32" s="8"/>
      <c r="V32" s="1288">
        <f>F32+L32+R32+T32</f>
        <v>5761084313</v>
      </c>
      <c r="X32" s="618">
        <f>ROUND(V32/'6.9 PCFP Funding Comparison YR2'!D29,0)</f>
        <v>12423</v>
      </c>
    </row>
    <row r="33" spans="1:27" ht="17.25" thickBot="1" x14ac:dyDescent="0.35">
      <c r="B33" s="192"/>
      <c r="C33" s="192"/>
      <c r="D33" s="192"/>
      <c r="E33" s="192"/>
      <c r="F33" s="192"/>
      <c r="G33" s="192"/>
      <c r="H33" s="192"/>
      <c r="I33" s="192"/>
      <c r="J33" s="192"/>
      <c r="K33" s="192"/>
      <c r="L33" s="192"/>
      <c r="M33" s="192"/>
      <c r="N33" s="192"/>
      <c r="O33" s="192"/>
      <c r="P33" s="192"/>
      <c r="Q33" s="192"/>
      <c r="R33" s="192"/>
      <c r="S33" s="192"/>
      <c r="T33" s="192"/>
      <c r="U33" s="192"/>
      <c r="V33" s="192"/>
      <c r="X33" s="17" t="s">
        <v>1687</v>
      </c>
      <c r="Y33" s="1444">
        <v>0</v>
      </c>
    </row>
    <row r="34" spans="1:27" x14ac:dyDescent="0.3">
      <c r="B34" s="192"/>
      <c r="C34" s="192"/>
      <c r="D34" s="192"/>
      <c r="E34" s="192"/>
      <c r="F34" s="192"/>
      <c r="G34" s="192"/>
      <c r="H34" s="192"/>
      <c r="I34" s="192"/>
      <c r="J34" s="192"/>
      <c r="K34" s="192"/>
      <c r="L34" s="192"/>
      <c r="M34" s="192"/>
      <c r="N34" s="192"/>
      <c r="O34" s="192"/>
      <c r="P34" s="192"/>
      <c r="Q34" s="192"/>
      <c r="R34" s="192"/>
      <c r="S34" s="192"/>
      <c r="T34" s="192"/>
      <c r="U34" s="192"/>
      <c r="V34" s="192"/>
      <c r="X34" s="17"/>
      <c r="Y34" s="2203"/>
      <c r="AA34" s="12"/>
    </row>
    <row r="35" spans="1:27" x14ac:dyDescent="0.3">
      <c r="A35" s="289"/>
      <c r="B35" s="226"/>
      <c r="C35" s="203" t="s">
        <v>1346</v>
      </c>
      <c r="D35" s="203"/>
      <c r="E35" s="1441"/>
      <c r="F35" s="347" t="str">
        <f>F9</f>
        <v>Tab 7.1a * K3</v>
      </c>
      <c r="G35" s="812" t="str">
        <f>G9</f>
        <v>F / Tab 6.9</v>
      </c>
      <c r="H35" s="1449"/>
      <c r="I35" s="811" t="str">
        <f>I9</f>
        <v>Tab 7.1a * K3</v>
      </c>
      <c r="J35" s="347" t="str">
        <f>J9</f>
        <v>Tab 7.1a * K3</v>
      </c>
      <c r="K35" s="812" t="str">
        <f>K9</f>
        <v>Tab 7.1a * K3</v>
      </c>
      <c r="L35" s="347" t="str">
        <f>L9</f>
        <v>Tab 7.1a * K3</v>
      </c>
      <c r="N35" s="2195" t="str">
        <f>N9</f>
        <v xml:space="preserve">Tab 7.1a </v>
      </c>
      <c r="O35" s="2196" t="str">
        <f>O9</f>
        <v xml:space="preserve">Tab 7.1a </v>
      </c>
      <c r="P35" s="2197" t="str">
        <f>P9</f>
        <v>Tab 7.1a</v>
      </c>
      <c r="Q35" s="2197"/>
      <c r="R35" s="2196" t="str">
        <f>R9</f>
        <v>Tab 7.1a</v>
      </c>
      <c r="T35" s="2196" t="str">
        <f>T9</f>
        <v>Tab 7.1a</v>
      </c>
      <c r="V35" s="347" t="str">
        <f>V9</f>
        <v>=F11+L11+Q11+S11</v>
      </c>
      <c r="X35" s="347" t="str">
        <f>X9</f>
        <v>= U / Tab 6.9</v>
      </c>
      <c r="Y35" s="211"/>
    </row>
    <row r="36" spans="1:27" x14ac:dyDescent="0.3">
      <c r="A36" s="4" t="s">
        <v>1654</v>
      </c>
      <c r="B36" s="106"/>
      <c r="E36" s="112"/>
      <c r="F36" s="2013"/>
      <c r="G36" s="606"/>
      <c r="H36" s="1449"/>
      <c r="I36" s="455"/>
      <c r="J36" s="2027"/>
      <c r="K36" s="207"/>
      <c r="L36" s="2027"/>
      <c r="N36" s="455"/>
      <c r="O36" s="2027"/>
      <c r="P36" s="207"/>
      <c r="Q36" s="207"/>
      <c r="R36" s="2027"/>
      <c r="T36" s="2027"/>
      <c r="V36" s="2027"/>
      <c r="X36" s="2027"/>
      <c r="Y36" s="215"/>
    </row>
    <row r="37" spans="1:27" x14ac:dyDescent="0.3">
      <c r="A37" s="4"/>
      <c r="B37" s="106" t="str">
        <f>'5.2 Budgeted Enrollment YR2'!E34</f>
        <v>FuturEdge (Formerly 100 Academy Of Excellence)</v>
      </c>
      <c r="D37" s="9" t="str">
        <f>$D$29</f>
        <v>PCFP</v>
      </c>
      <c r="E37" s="112" t="str">
        <f>$E$28</f>
        <v>PCFP</v>
      </c>
      <c r="F37" s="430" cm="1">
        <f t="array" ref="F37">ROUND(SUM('7.1a Initial Allocations YR2'!E37:E37+H37)*$K$3,0)</f>
        <v>2284872</v>
      </c>
      <c r="G37" s="854">
        <f>ROUND(IF(F37=0,0,F37/'6.9 PCFP Funding Comparison YR2'!D32),0)</f>
        <v>9486</v>
      </c>
      <c r="H37" s="1448">
        <f>$Y$33*'6.8 Alloc of Residual Rev. YR2'!D38</f>
        <v>0</v>
      </c>
      <c r="I37" s="859">
        <f>ROUND('7.1a Initial Allocations YR2'!G37*$K$3,2)</f>
        <v>115257.66</v>
      </c>
      <c r="J37" s="430">
        <f>ROUND('7.1a Initial Allocations YR2'!H37*$K$3,0)</f>
        <v>262295</v>
      </c>
      <c r="K37" s="854">
        <f>ROUND('7.1a Initial Allocations YR2'!I37*$K$3,0)</f>
        <v>0</v>
      </c>
      <c r="L37" s="430">
        <f>ROUND('7.1a Initial Allocations YR2'!J37*$K$3,0)</f>
        <v>377552</v>
      </c>
      <c r="M37" s="467"/>
      <c r="N37" s="158">
        <f>ROUND('7.1a Initial Allocations YR2'!L37,2)</f>
        <v>0</v>
      </c>
      <c r="O37" s="141">
        <v>0</v>
      </c>
      <c r="P37" s="115">
        <v>0</v>
      </c>
      <c r="Q37" s="115"/>
      <c r="R37" s="430">
        <f>SUM(N37:P37)</f>
        <v>0</v>
      </c>
      <c r="S37" s="467"/>
      <c r="T37" s="430">
        <f>ROUND('7.1a Initial Allocations YR2'!R37,0)</f>
        <v>190820</v>
      </c>
      <c r="U37" s="467"/>
      <c r="V37" s="430">
        <f>ROUND(R37+L37+F37+T37,0)</f>
        <v>2853244</v>
      </c>
      <c r="X37" s="375">
        <f>IF(F37=0,0,IF(V37=0,0,V37/'6.9 PCFP Funding Comparison YR2'!D32))</f>
        <v>11846.000971512702</v>
      </c>
      <c r="Y37" s="215"/>
      <c r="Z37" s="215"/>
    </row>
    <row r="38" spans="1:27" x14ac:dyDescent="0.3">
      <c r="A38" s="4"/>
      <c r="B38" s="106" t="str">
        <f>'5.2 Budgeted Enrollment YR2'!E35</f>
        <v>Academy For Career Education</v>
      </c>
      <c r="D38" s="9" t="str">
        <f t="shared" ref="D38:D98" si="5">$D$29</f>
        <v>PCFP</v>
      </c>
      <c r="E38" s="112" t="str">
        <f t="shared" ref="E38:E98" si="6">$E$28</f>
        <v>PCFP</v>
      </c>
      <c r="F38" s="430" cm="1">
        <f t="array" ref="F38">ROUND(SUM('7.1a Initial Allocations YR2'!E38:E38+H38)*$K$3,0)</f>
        <v>2405511</v>
      </c>
      <c r="G38" s="854">
        <f>ROUND(IF(F38=0,0,F38/'6.9 PCFP Funding Comparison YR2'!D33),0)</f>
        <v>9486</v>
      </c>
      <c r="H38" s="1448">
        <f>$Y$33*'6.8 Alloc of Residual Rev. YR2'!D39</f>
        <v>0</v>
      </c>
      <c r="I38" s="859">
        <f>ROUND('7.1a Initial Allocations YR2'!G38*$K$3,2)</f>
        <v>115257.66</v>
      </c>
      <c r="J38" s="430">
        <f>ROUND('7.1a Initial Allocations YR2'!H38*$K$3,0)</f>
        <v>13281</v>
      </c>
      <c r="K38" s="854">
        <f>ROUND('7.1a Initial Allocations YR2'!I38*$K$3,0)</f>
        <v>0</v>
      </c>
      <c r="L38" s="430">
        <f>ROUND('7.1a Initial Allocations YR2'!J38*$K$3,0)</f>
        <v>128539</v>
      </c>
      <c r="M38" s="467"/>
      <c r="N38" s="158">
        <f>ROUND('7.1a Initial Allocations YR2'!L38,2)</f>
        <v>0</v>
      </c>
      <c r="O38" s="141">
        <v>0</v>
      </c>
      <c r="P38" s="115">
        <v>0</v>
      </c>
      <c r="Q38" s="115"/>
      <c r="R38" s="430">
        <f t="shared" ref="R38:R98" si="7">SUM(N38:P38)</f>
        <v>0</v>
      </c>
      <c r="S38" s="467"/>
      <c r="T38" s="430">
        <f>ROUND('7.1a Initial Allocations YR2'!R38,0)</f>
        <v>0</v>
      </c>
      <c r="U38" s="467"/>
      <c r="V38" s="430">
        <f t="shared" ref="V38:V99" si="8">ROUND(R38+L38+F38+T38,0)</f>
        <v>2534050</v>
      </c>
      <c r="X38" s="375">
        <f>IF(F38=0,0,IF(V38=0,0,V38/'6.9 PCFP Funding Comparison YR2'!D33))</f>
        <v>9993.1520452389559</v>
      </c>
    </row>
    <row r="39" spans="1:27" x14ac:dyDescent="0.3">
      <c r="A39" s="4"/>
      <c r="B39" s="106" t="str">
        <f>'5.2 Budgeted Enrollment YR2'!E36</f>
        <v xml:space="preserve">Alpine Academy </v>
      </c>
      <c r="D39" s="9" t="str">
        <f t="shared" si="5"/>
        <v>PCFP</v>
      </c>
      <c r="E39" s="112" t="str">
        <f t="shared" si="6"/>
        <v>PCFP</v>
      </c>
      <c r="F39" s="430" cm="1">
        <f t="array" ref="F39">ROUND(SUM('7.1a Initial Allocations YR2'!E39:E39+H39)*$K$3,0)</f>
        <v>1558766</v>
      </c>
      <c r="G39" s="854">
        <f>ROUND(IF(F39=0,0,F39/'6.9 PCFP Funding Comparison YR2'!D34),0)</f>
        <v>9486</v>
      </c>
      <c r="H39" s="1448">
        <f>$Y$33*'6.8 Alloc of Residual Rev. YR2'!D40</f>
        <v>0</v>
      </c>
      <c r="I39" s="859">
        <f>ROUND('7.1a Initial Allocations YR2'!G39*$K$3,2)</f>
        <v>21344.57</v>
      </c>
      <c r="J39" s="430">
        <f>ROUND('7.1a Initial Allocations YR2'!H39*$K$3,0)</f>
        <v>26562</v>
      </c>
      <c r="K39" s="854">
        <f>ROUND('7.1a Initial Allocations YR2'!I39*$K$3,0)</f>
        <v>0</v>
      </c>
      <c r="L39" s="430">
        <f>ROUND('7.1a Initial Allocations YR2'!J39*$K$3,0)</f>
        <v>47906</v>
      </c>
      <c r="M39" s="467"/>
      <c r="N39" s="158">
        <f>ROUND('7.1a Initial Allocations YR2'!L39,2)</f>
        <v>0</v>
      </c>
      <c r="O39" s="141">
        <v>0</v>
      </c>
      <c r="P39" s="115">
        <v>0</v>
      </c>
      <c r="Q39" s="115"/>
      <c r="R39" s="430">
        <f t="shared" si="7"/>
        <v>0</v>
      </c>
      <c r="S39" s="467"/>
      <c r="T39" s="430">
        <f>ROUND('7.1a Initial Allocations YR2'!R39,0)</f>
        <v>30681</v>
      </c>
      <c r="U39" s="467"/>
      <c r="V39" s="430">
        <f t="shared" si="8"/>
        <v>1637353</v>
      </c>
      <c r="X39" s="375">
        <f>IF(F39=0,0,IF(V39=0,0,V39/'6.9 PCFP Funding Comparison YR2'!D34))</f>
        <v>9964.5111420660796</v>
      </c>
    </row>
    <row r="40" spans="1:27" x14ac:dyDescent="0.3">
      <c r="A40" s="4"/>
      <c r="B40" s="106" t="str">
        <f>'5.2 Budgeted Enrollment YR2'!E37</f>
        <v xml:space="preserve">Amplus (Formerly American Preparatory Academy) </v>
      </c>
      <c r="D40" s="9" t="str">
        <f t="shared" si="5"/>
        <v>PCFP</v>
      </c>
      <c r="E40" s="112" t="str">
        <f t="shared" si="6"/>
        <v>PCFP</v>
      </c>
      <c r="F40" s="430" cm="1">
        <f t="array" ref="F40">ROUND(SUM('7.1a Initial Allocations YR2'!E40:E40+H40)*$K$3,0)</f>
        <v>22471993</v>
      </c>
      <c r="G40" s="854">
        <f>ROUND(IF(F40=0,0,F40/'6.9 PCFP Funding Comparison YR2'!D35),0)</f>
        <v>9486</v>
      </c>
      <c r="H40" s="1448">
        <f>$Y$33*'6.8 Alloc of Residual Rev. YR2'!D41</f>
        <v>0</v>
      </c>
      <c r="I40" s="859">
        <f>ROUND('7.1a Initial Allocations YR2'!G40*$K$3,2)</f>
        <v>636053.09</v>
      </c>
      <c r="J40" s="430">
        <f>ROUND('7.1a Initial Allocations YR2'!H40*$K$3,0)</f>
        <v>29881</v>
      </c>
      <c r="K40" s="854">
        <f>ROUND('7.1a Initial Allocations YR2'!I40*$K$3,0)</f>
        <v>67163</v>
      </c>
      <c r="L40" s="430">
        <f>ROUND('7.1a Initial Allocations YR2'!J40*$K$3,0)</f>
        <v>733097</v>
      </c>
      <c r="M40" s="467"/>
      <c r="N40" s="158">
        <f>ROUND('7.1a Initial Allocations YR2'!L40,2)</f>
        <v>0</v>
      </c>
      <c r="O40" s="141">
        <v>0</v>
      </c>
      <c r="P40" s="115">
        <v>0</v>
      </c>
      <c r="Q40" s="115"/>
      <c r="R40" s="430">
        <f t="shared" si="7"/>
        <v>0</v>
      </c>
      <c r="S40" s="467"/>
      <c r="T40" s="430">
        <f>ROUND('7.1a Initial Allocations YR2'!R40,0)</f>
        <v>419964</v>
      </c>
      <c r="U40" s="467"/>
      <c r="V40" s="430">
        <f t="shared" si="8"/>
        <v>23625054</v>
      </c>
      <c r="X40" s="375">
        <f>IF(F40=0,0,IF(V40=0,0,V40/'6.9 PCFP Funding Comparison YR2'!D35))</f>
        <v>9973.0010620268913</v>
      </c>
    </row>
    <row r="41" spans="1:27" x14ac:dyDescent="0.3">
      <c r="A41" s="4"/>
      <c r="B41" s="106" t="str">
        <f>'5.2 Budgeted Enrollment YR2'!E38</f>
        <v>Bailey Charter School</v>
      </c>
      <c r="D41" s="9" t="str">
        <f t="shared" si="5"/>
        <v>PCFP</v>
      </c>
      <c r="E41" s="112" t="str">
        <f t="shared" si="6"/>
        <v>PCFP</v>
      </c>
      <c r="F41" s="430" cm="1">
        <f t="array" ref="F41">ROUND(SUM('7.1a Initial Allocations YR2'!E41:E41+H41)*$K$3,0)</f>
        <v>1579833</v>
      </c>
      <c r="G41" s="854">
        <f>ROUND(IF(F41=0,0,F41/'6.9 PCFP Funding Comparison YR2'!D36),0)</f>
        <v>9486</v>
      </c>
      <c r="H41" s="1448">
        <f>$Y$33*'6.8 Alloc of Residual Rev. YR2'!D42</f>
        <v>0</v>
      </c>
      <c r="I41" s="859">
        <f>ROUND('7.1a Initial Allocations YR2'!G41*$K$3,2)</f>
        <v>277473.37</v>
      </c>
      <c r="J41" s="430">
        <f>ROUND('7.1a Initial Allocations YR2'!H41*$K$3,0)</f>
        <v>102926</v>
      </c>
      <c r="K41" s="854">
        <f>ROUND('7.1a Initial Allocations YR2'!I41*$K$3,0)</f>
        <v>0</v>
      </c>
      <c r="L41" s="430">
        <f>ROUND('7.1a Initial Allocations YR2'!J41*$K$3,0)</f>
        <v>380400</v>
      </c>
      <c r="M41" s="467"/>
      <c r="N41" s="158">
        <f>ROUND('7.1a Initial Allocations YR2'!L41,2)</f>
        <v>0</v>
      </c>
      <c r="O41" s="141">
        <v>0</v>
      </c>
      <c r="P41" s="115">
        <v>0</v>
      </c>
      <c r="Q41" s="115"/>
      <c r="R41" s="430">
        <f t="shared" si="7"/>
        <v>0</v>
      </c>
      <c r="S41" s="467"/>
      <c r="T41" s="430">
        <f>ROUND('7.1a Initial Allocations YR2'!R41,0)</f>
        <v>33894</v>
      </c>
      <c r="U41" s="467"/>
      <c r="V41" s="430">
        <f t="shared" si="8"/>
        <v>1994127</v>
      </c>
      <c r="X41" s="375">
        <f>IF(F41=0,0,IF(V41=0,0,V41/'6.9 PCFP Funding Comparison YR2'!D36))</f>
        <v>11973.912466641557</v>
      </c>
    </row>
    <row r="42" spans="1:27" x14ac:dyDescent="0.3">
      <c r="A42" s="4"/>
      <c r="B42" s="106" t="str">
        <f>'5.2 Budgeted Enrollment YR2'!E39</f>
        <v>Battle Born Academy</v>
      </c>
      <c r="D42" s="9" t="str">
        <f t="shared" si="5"/>
        <v>PCFP</v>
      </c>
      <c r="E42" s="112" t="str">
        <f t="shared" si="6"/>
        <v>PCFP</v>
      </c>
      <c r="F42" s="430" cm="1">
        <f t="array" ref="F42">ROUND(SUM('7.1a Initial Allocations YR2'!E42:E42+H42)*$K$3,0)</f>
        <v>2566348</v>
      </c>
      <c r="G42" s="854">
        <f>ROUND(IF(F42=0,0,F42/'6.9 PCFP Funding Comparison YR2'!D37),0)</f>
        <v>9486</v>
      </c>
      <c r="H42" s="1448">
        <f>$Y$33*'6.8 Alloc of Residual Rev. YR2'!D43</f>
        <v>0</v>
      </c>
      <c r="I42" s="859">
        <f>ROUND('7.1a Initial Allocations YR2'!G42*$K$3,2)</f>
        <v>601902.78</v>
      </c>
      <c r="J42" s="430">
        <f>ROUND('7.1a Initial Allocations YR2'!H42*$K$3,0)</f>
        <v>0</v>
      </c>
      <c r="K42" s="854">
        <f>ROUND('7.1a Initial Allocations YR2'!I42*$K$3,0)</f>
        <v>0</v>
      </c>
      <c r="L42" s="430">
        <f>ROUND('7.1a Initial Allocations YR2'!J42*$K$3,0)</f>
        <v>601903</v>
      </c>
      <c r="M42" s="467"/>
      <c r="N42" s="158">
        <f>ROUND('7.1a Initial Allocations YR2'!L42,2)</f>
        <v>0</v>
      </c>
      <c r="O42" s="141">
        <v>0</v>
      </c>
      <c r="P42" s="115">
        <v>0</v>
      </c>
      <c r="Q42" s="115"/>
      <c r="R42" s="430">
        <f t="shared" si="7"/>
        <v>0</v>
      </c>
      <c r="S42" s="467"/>
      <c r="T42" s="430">
        <f>ROUND('7.1a Initial Allocations YR2'!R42,0)</f>
        <v>153810</v>
      </c>
      <c r="U42" s="467"/>
      <c r="V42" s="430">
        <f t="shared" si="8"/>
        <v>3322061</v>
      </c>
      <c r="X42" s="375">
        <f>IF(F42=0,0,IF(V42=0,0,V42/'6.9 PCFP Funding Comparison YR2'!D37))</f>
        <v>12279.674382831268</v>
      </c>
    </row>
    <row r="43" spans="1:27" x14ac:dyDescent="0.3">
      <c r="A43" s="4"/>
      <c r="B43" s="106" t="str">
        <f>'5.2 Budgeted Enrollment YR2'!E40</f>
        <v>Beacon Academy</v>
      </c>
      <c r="D43" s="9" t="str">
        <f t="shared" si="5"/>
        <v>PCFP</v>
      </c>
      <c r="E43" s="112" t="str">
        <f t="shared" si="6"/>
        <v>PCFP</v>
      </c>
      <c r="F43" s="430" cm="1">
        <f t="array" ref="F43">ROUND(SUM('7.1a Initial Allocations YR2'!E43:E43+H43)*$K$3,0)</f>
        <v>8134643</v>
      </c>
      <c r="G43" s="854">
        <f>ROUND(IF(F43=0,0,F43/'6.9 PCFP Funding Comparison YR2'!D38),0)</f>
        <v>9486</v>
      </c>
      <c r="H43" s="1448">
        <f>$Y$33*'6.8 Alloc of Residual Rev. YR2'!D44</f>
        <v>0</v>
      </c>
      <c r="I43" s="859">
        <f>ROUND('7.1a Initial Allocations YR2'!G43*$K$3,2)</f>
        <v>525064.34</v>
      </c>
      <c r="J43" s="430">
        <f>ROUND('7.1a Initial Allocations YR2'!H43*$K$3,0)</f>
        <v>866569</v>
      </c>
      <c r="K43" s="854">
        <f>ROUND('7.1a Initial Allocations YR2'!I43*$K$3,0)</f>
        <v>0</v>
      </c>
      <c r="L43" s="430">
        <f>ROUND('7.1a Initial Allocations YR2'!J43*$K$3,0)</f>
        <v>1391634</v>
      </c>
      <c r="M43" s="467"/>
      <c r="N43" s="158">
        <f>ROUND('7.1a Initial Allocations YR2'!L43,2)</f>
        <v>0</v>
      </c>
      <c r="O43" s="141">
        <v>0</v>
      </c>
      <c r="P43" s="115">
        <v>0</v>
      </c>
      <c r="Q43" s="115"/>
      <c r="R43" s="430">
        <f t="shared" si="7"/>
        <v>0</v>
      </c>
      <c r="S43" s="467"/>
      <c r="T43" s="430">
        <f>ROUND('7.1a Initial Allocations YR2'!R43,0)</f>
        <v>801317</v>
      </c>
      <c r="U43" s="467"/>
      <c r="V43" s="430">
        <f t="shared" si="8"/>
        <v>10327594</v>
      </c>
      <c r="X43" s="375">
        <f>IF(F43=0,0,IF(V43=0,0,V43/'6.9 PCFP Funding Comparison YR2'!D38))</f>
        <v>12043.572833506274</v>
      </c>
    </row>
    <row r="44" spans="1:27" x14ac:dyDescent="0.3">
      <c r="A44" s="4"/>
      <c r="B44" s="106" t="str">
        <f>'5.2 Budgeted Enrollment YR2'!E41</f>
        <v>Cactus Park</v>
      </c>
      <c r="D44" s="9" t="str">
        <f t="shared" si="5"/>
        <v>PCFP</v>
      </c>
      <c r="E44" s="112" t="str">
        <f t="shared" si="6"/>
        <v>PCFP</v>
      </c>
      <c r="F44" s="430" cm="1">
        <f t="array" ref="F44">ROUND(SUM('7.1a Initial Allocations YR2'!E44:E44+H44)*$K$3,0)</f>
        <v>2860981</v>
      </c>
      <c r="G44" s="854">
        <f>ROUND(IF(F44=0,0,F44/'6.9 PCFP Funding Comparison YR2'!D39),0)</f>
        <v>9486</v>
      </c>
      <c r="H44" s="1448">
        <f>$Y$33*'6.8 Alloc of Residual Rev. YR2'!D45</f>
        <v>0</v>
      </c>
      <c r="I44" s="859">
        <f>ROUND('7.1a Initial Allocations YR2'!G44*$K$3,2)</f>
        <v>273204.45</v>
      </c>
      <c r="J44" s="430">
        <f>ROUND('7.1a Initial Allocations YR2'!H44*$K$3,0)</f>
        <v>0</v>
      </c>
      <c r="K44" s="854">
        <f>ROUND('7.1a Initial Allocations YR2'!I44*$K$3,0)</f>
        <v>0</v>
      </c>
      <c r="L44" s="430">
        <f>ROUND('7.1a Initial Allocations YR2'!J44*$K$3,0)</f>
        <v>273204</v>
      </c>
      <c r="M44" s="467"/>
      <c r="N44" s="158">
        <f>ROUND('7.1a Initial Allocations YR2'!L44,2)</f>
        <v>0</v>
      </c>
      <c r="O44" s="141">
        <v>0</v>
      </c>
      <c r="P44" s="115">
        <v>0</v>
      </c>
      <c r="Q44" s="115"/>
      <c r="R44" s="430">
        <f t="shared" si="7"/>
        <v>0</v>
      </c>
      <c r="S44" s="467"/>
      <c r="T44" s="430">
        <f>ROUND('7.1a Initial Allocations YR2'!R44,0)</f>
        <v>31624</v>
      </c>
      <c r="U44" s="467"/>
      <c r="V44" s="430">
        <f t="shared" si="8"/>
        <v>3165809</v>
      </c>
      <c r="X44" s="375">
        <f>IF(F44=0,0,IF(V44=0,0,V44/'6.9 PCFP Funding Comparison YR2'!D39))</f>
        <v>10496.978930901087</v>
      </c>
    </row>
    <row r="45" spans="1:27" x14ac:dyDescent="0.3">
      <c r="A45" s="4"/>
      <c r="B45" s="106" t="str">
        <f>'5.2 Budgeted Enrollment YR2'!E42</f>
        <v>Carson Montessori</v>
      </c>
      <c r="D45" s="9" t="str">
        <f t="shared" si="5"/>
        <v>PCFP</v>
      </c>
      <c r="E45" s="112" t="str">
        <f t="shared" si="6"/>
        <v>PCFP</v>
      </c>
      <c r="F45" s="430" cm="1">
        <f t="array" ref="F45">ROUND(SUM('7.1a Initial Allocations YR2'!E45:E45+H45)*$K$3,0)</f>
        <v>3023382</v>
      </c>
      <c r="G45" s="854">
        <f>ROUND(IF(F45=0,0,F45/'6.9 PCFP Funding Comparison YR2'!D40),0)</f>
        <v>10195</v>
      </c>
      <c r="H45" s="1448">
        <f>$Y$33*'6.8 Alloc of Residual Rev. YR2'!D46</f>
        <v>0</v>
      </c>
      <c r="I45" s="859">
        <f>ROUND('7.1a Initial Allocations YR2'!G45*$K$3,2)</f>
        <v>21344.57</v>
      </c>
      <c r="J45" s="430">
        <f>ROUND('7.1a Initial Allocations YR2'!H45*$K$3,0)</f>
        <v>3320</v>
      </c>
      <c r="K45" s="854">
        <f>ROUND('7.1a Initial Allocations YR2'!I45*$K$3,0)</f>
        <v>1138</v>
      </c>
      <c r="L45" s="430">
        <f>ROUND('7.1a Initial Allocations YR2'!J45*$K$3,0)</f>
        <v>25803</v>
      </c>
      <c r="M45" s="467"/>
      <c r="N45" s="158">
        <f>ROUND('7.1a Initial Allocations YR2'!L45,2)</f>
        <v>0</v>
      </c>
      <c r="O45" s="141">
        <v>0</v>
      </c>
      <c r="P45" s="115">
        <v>0</v>
      </c>
      <c r="Q45" s="115"/>
      <c r="R45" s="430">
        <f t="shared" si="7"/>
        <v>0</v>
      </c>
      <c r="S45" s="467"/>
      <c r="T45" s="430">
        <f>ROUND('7.1a Initial Allocations YR2'!R45,0)</f>
        <v>67318</v>
      </c>
      <c r="U45" s="467"/>
      <c r="V45" s="430">
        <f t="shared" si="8"/>
        <v>3116503</v>
      </c>
      <c r="X45" s="375">
        <f>IF(F45=0,0,IF(V45=0,0,V45/'6.9 PCFP Funding Comparison YR2'!D40))</f>
        <v>10508.942949876435</v>
      </c>
    </row>
    <row r="46" spans="1:27" x14ac:dyDescent="0.3">
      <c r="A46" s="4"/>
      <c r="B46" s="106" t="str">
        <f>'5.2 Budgeted Enrollment YR2'!E43</f>
        <v>CIVICA Nevada Career &amp; Collegiate Academy</v>
      </c>
      <c r="D46" s="9" t="str">
        <f t="shared" si="5"/>
        <v>PCFP</v>
      </c>
      <c r="E46" s="112" t="str">
        <f t="shared" si="6"/>
        <v>PCFP</v>
      </c>
      <c r="F46" s="430" cm="1">
        <f t="array" ref="F46">ROUND(SUM('7.1a Initial Allocations YR2'!E46:E46+H46)*$K$3,0)</f>
        <v>8692626</v>
      </c>
      <c r="G46" s="854">
        <f>ROUND(IF(F46=0,0,F46/'6.9 PCFP Funding Comparison YR2'!D41),0)</f>
        <v>9486</v>
      </c>
      <c r="H46" s="1448">
        <f>$Y$33*'6.8 Alloc of Residual Rev. YR2'!D47</f>
        <v>0</v>
      </c>
      <c r="I46" s="859">
        <f>ROUND('7.1a Initial Allocations YR2'!G46*$K$3,2)</f>
        <v>1442858.72</v>
      </c>
      <c r="J46" s="430">
        <f>ROUND('7.1a Initial Allocations YR2'!H46*$K$3,0)</f>
        <v>16601</v>
      </c>
      <c r="K46" s="854">
        <f>ROUND('7.1a Initial Allocations YR2'!I46*$K$3,0)</f>
        <v>0</v>
      </c>
      <c r="L46" s="430">
        <f>ROUND('7.1a Initial Allocations YR2'!J46*$K$3,0)</f>
        <v>1459460</v>
      </c>
      <c r="M46" s="467"/>
      <c r="N46" s="158">
        <f>ROUND('7.1a Initial Allocations YR2'!L46,2)</f>
        <v>0</v>
      </c>
      <c r="O46" s="141">
        <v>0</v>
      </c>
      <c r="P46" s="115">
        <v>0</v>
      </c>
      <c r="Q46" s="115"/>
      <c r="R46" s="430">
        <f t="shared" si="7"/>
        <v>0</v>
      </c>
      <c r="S46" s="467"/>
      <c r="T46" s="430">
        <f>ROUND('7.1a Initial Allocations YR2'!R46,0)</f>
        <v>257639</v>
      </c>
      <c r="U46" s="467"/>
      <c r="V46" s="430">
        <f t="shared" si="8"/>
        <v>10409725</v>
      </c>
      <c r="X46" s="375">
        <f>IF(F46=0,0,IF(V46=0,0,V46/'6.9 PCFP Funding Comparison YR2'!D41))</f>
        <v>11360.119751137545</v>
      </c>
    </row>
    <row r="47" spans="1:27" x14ac:dyDescent="0.3">
      <c r="A47" s="4"/>
      <c r="B47" s="106" t="str">
        <f>'5.2 Budgeted Enrollment YR2'!E44</f>
        <v>Coral Academy of Science Las Vegas</v>
      </c>
      <c r="D47" s="9" t="str">
        <f t="shared" si="5"/>
        <v>PCFP</v>
      </c>
      <c r="E47" s="112" t="str">
        <f t="shared" si="6"/>
        <v>PCFP</v>
      </c>
      <c r="F47" s="430" cm="1">
        <f t="array" ref="F47">ROUND(SUM('7.1a Initial Allocations YR2'!E47:E47+H47)*$K$3,0)</f>
        <v>51987567</v>
      </c>
      <c r="G47" s="854">
        <f>ROUND(IF(F47=0,0,F47/'6.9 PCFP Funding Comparison YR2'!D42),0)</f>
        <v>9486</v>
      </c>
      <c r="H47" s="1448">
        <f>$Y$33*'6.8 Alloc of Residual Rev. YR2'!D48</f>
        <v>0</v>
      </c>
      <c r="I47" s="859">
        <f>ROUND('7.1a Initial Allocations YR2'!G47*$K$3,2)</f>
        <v>1126967.1299999999</v>
      </c>
      <c r="J47" s="430">
        <f>ROUND('7.1a Initial Allocations YR2'!H47*$K$3,0)</f>
        <v>56443</v>
      </c>
      <c r="K47" s="854">
        <f>ROUND('7.1a Initial Allocations YR2'!I47*$K$3,0)</f>
        <v>69440</v>
      </c>
      <c r="L47" s="430">
        <f>ROUND('7.1a Initial Allocations YR2'!J47*$K$3,0)</f>
        <v>1252850</v>
      </c>
      <c r="M47" s="467"/>
      <c r="N47" s="158">
        <f>ROUND('7.1a Initial Allocations YR2'!L47,2)</f>
        <v>0</v>
      </c>
      <c r="O47" s="141">
        <v>0</v>
      </c>
      <c r="P47" s="115">
        <v>0</v>
      </c>
      <c r="Q47" s="115"/>
      <c r="R47" s="430">
        <f t="shared" si="7"/>
        <v>0</v>
      </c>
      <c r="S47" s="467"/>
      <c r="T47" s="430">
        <f>ROUND('7.1a Initial Allocations YR2'!R47,0)</f>
        <v>620880</v>
      </c>
      <c r="U47" s="467"/>
      <c r="V47" s="430">
        <f t="shared" si="8"/>
        <v>53861297</v>
      </c>
      <c r="X47" s="375">
        <f>IF(F47=0,0,IF(V47=0,0,V47/'6.9 PCFP Funding Comparison YR2'!D42))</f>
        <v>9828.1543609120527</v>
      </c>
    </row>
    <row r="48" spans="1:27" ht="15.75" customHeight="1" x14ac:dyDescent="0.3">
      <c r="A48" s="4"/>
      <c r="B48" s="106" t="str">
        <f>'5.2 Budgeted Enrollment YR2'!E45</f>
        <v>Coral Academy Washoe</v>
      </c>
      <c r="D48" s="9" t="str">
        <f t="shared" si="5"/>
        <v>PCFP</v>
      </c>
      <c r="E48" s="112" t="str">
        <f t="shared" si="6"/>
        <v>PCFP</v>
      </c>
      <c r="F48" s="430" cm="1">
        <f t="array" ref="F48">ROUND(SUM('7.1a Initial Allocations YR2'!E48:E48+H48)*$K$3,0)</f>
        <v>19238117</v>
      </c>
      <c r="G48" s="854">
        <f>ROUND(IF(F48=0,0,F48/'6.9 PCFP Funding Comparison YR2'!D43),0)</f>
        <v>9486</v>
      </c>
      <c r="H48" s="1448">
        <f>$Y$33*'6.8 Alloc of Residual Rev. YR2'!D49</f>
        <v>0</v>
      </c>
      <c r="I48" s="859">
        <f>ROUND('7.1a Initial Allocations YR2'!G48*$K$3,2)</f>
        <v>691547.96</v>
      </c>
      <c r="J48" s="430">
        <f>ROUND('7.1a Initial Allocations YR2'!H48*$K$3,0)</f>
        <v>139448</v>
      </c>
      <c r="K48" s="854">
        <f>ROUND('7.1a Initial Allocations YR2'!I48*$K$3,0)</f>
        <v>1138</v>
      </c>
      <c r="L48" s="430">
        <f>ROUND('7.1a Initial Allocations YR2'!J48*$K$3,0)</f>
        <v>832134</v>
      </c>
      <c r="M48" s="467"/>
      <c r="N48" s="158">
        <f>ROUND('7.1a Initial Allocations YR2'!L48,2)</f>
        <v>0</v>
      </c>
      <c r="O48" s="141">
        <v>0</v>
      </c>
      <c r="P48" s="115">
        <v>0</v>
      </c>
      <c r="Q48" s="115"/>
      <c r="R48" s="430">
        <f t="shared" si="7"/>
        <v>0</v>
      </c>
      <c r="S48" s="467"/>
      <c r="T48" s="430">
        <f>ROUND('7.1a Initial Allocations YR2'!R48,0)</f>
        <v>342530</v>
      </c>
      <c r="U48" s="467"/>
      <c r="V48" s="430">
        <f t="shared" si="8"/>
        <v>20412781</v>
      </c>
      <c r="X48" s="375">
        <f>IF(F48=0,0,IF(V48=0,0,V48/'6.9 PCFP Funding Comparison YR2'!D43))</f>
        <v>10065.474855917357</v>
      </c>
    </row>
    <row r="49" spans="1:26" x14ac:dyDescent="0.3">
      <c r="B49" s="106" t="str">
        <f>'5.2 Budgeted Enrollment YR2'!E46</f>
        <v>Delta Academy</v>
      </c>
      <c r="D49" s="9" t="str">
        <f t="shared" si="5"/>
        <v>PCFP</v>
      </c>
      <c r="E49" s="112" t="str">
        <f t="shared" si="6"/>
        <v>PCFP</v>
      </c>
      <c r="F49" s="430" cm="1">
        <f t="array" ref="F49">ROUND(SUM('7.1a Initial Allocations YR2'!E49:E49+H49)*$K$3,0)</f>
        <v>13328260</v>
      </c>
      <c r="G49" s="854">
        <f>ROUND(IF(F49=0,0,F49/'6.9 PCFP Funding Comparison YR2'!D44),0)</f>
        <v>9486</v>
      </c>
      <c r="H49" s="1448">
        <f>$Y$33*'6.8 Alloc of Residual Rev. YR2'!D50</f>
        <v>0</v>
      </c>
      <c r="I49" s="859">
        <f>ROUND('7.1a Initial Allocations YR2'!G49*$K$3,2)</f>
        <v>443956.99</v>
      </c>
      <c r="J49" s="430">
        <f>ROUND('7.1a Initial Allocations YR2'!H49*$K$3,0)</f>
        <v>1045860</v>
      </c>
      <c r="K49" s="854">
        <f>ROUND('7.1a Initial Allocations YR2'!I49*$K$3,0)</f>
        <v>0</v>
      </c>
      <c r="L49" s="430">
        <f>ROUND('7.1a Initial Allocations YR2'!J49*$K$3,0)</f>
        <v>1489817</v>
      </c>
      <c r="M49" s="467"/>
      <c r="N49" s="158">
        <f>ROUND('7.1a Initial Allocations YR2'!L49,2)</f>
        <v>0</v>
      </c>
      <c r="O49" s="141">
        <v>0</v>
      </c>
      <c r="P49" s="115">
        <v>0</v>
      </c>
      <c r="Q49" s="115"/>
      <c r="R49" s="430">
        <f t="shared" si="7"/>
        <v>0</v>
      </c>
      <c r="S49" s="467"/>
      <c r="T49" s="430">
        <f>ROUND('7.1a Initial Allocations YR2'!R49,0)</f>
        <v>423899</v>
      </c>
      <c r="U49" s="467"/>
      <c r="V49" s="430">
        <f t="shared" si="8"/>
        <v>15241976</v>
      </c>
      <c r="X49" s="375">
        <f>IF(F49=0,0,IF(V49=0,0,V49/'6.9 PCFP Funding Comparison YR2'!D44))</f>
        <v>10848.319354792753</v>
      </c>
    </row>
    <row r="50" spans="1:26" x14ac:dyDescent="0.3">
      <c r="A50" s="4"/>
      <c r="B50" s="106" t="str">
        <f>'5.2 Budgeted Enrollment YR2'!E47</f>
        <v>Democracy Prep</v>
      </c>
      <c r="D50" s="9" t="str">
        <f t="shared" si="5"/>
        <v>PCFP</v>
      </c>
      <c r="E50" s="112" t="str">
        <f t="shared" si="6"/>
        <v>PCFP</v>
      </c>
      <c r="F50" s="430" cm="1">
        <f t="array" ref="F50">ROUND(SUM('7.1a Initial Allocations YR2'!E50:E50+H50)*$K$3,0)</f>
        <v>12132961</v>
      </c>
      <c r="G50" s="854">
        <f>ROUND(IF(F50=0,0,F50/'6.9 PCFP Funding Comparison YR2'!D45),0)</f>
        <v>9486</v>
      </c>
      <c r="H50" s="1448">
        <f>$Y$33*'6.8 Alloc of Residual Rev. YR2'!D51</f>
        <v>0</v>
      </c>
      <c r="I50" s="859">
        <f>ROUND('7.1a Initial Allocations YR2'!G50*$K$3,2)</f>
        <v>443956.99</v>
      </c>
      <c r="J50" s="430">
        <f>ROUND('7.1a Initial Allocations YR2'!H50*$K$3,0)</f>
        <v>587673</v>
      </c>
      <c r="K50" s="854">
        <f>ROUND('7.1a Initial Allocations YR2'!I50*$K$3,0)</f>
        <v>0</v>
      </c>
      <c r="L50" s="430">
        <f>ROUND('7.1a Initial Allocations YR2'!J50*$K$3,0)</f>
        <v>1031630</v>
      </c>
      <c r="M50" s="467"/>
      <c r="N50" s="158">
        <f>ROUND('7.1a Initial Allocations YR2'!L50,2)</f>
        <v>0</v>
      </c>
      <c r="O50" s="141">
        <v>0</v>
      </c>
      <c r="P50" s="115">
        <v>0</v>
      </c>
      <c r="Q50" s="115"/>
      <c r="R50" s="430">
        <f t="shared" si="7"/>
        <v>0</v>
      </c>
      <c r="S50" s="467"/>
      <c r="T50" s="430">
        <f>ROUND('7.1a Initial Allocations YR2'!R50,0)</f>
        <v>0</v>
      </c>
      <c r="U50" s="467"/>
      <c r="V50" s="430">
        <f t="shared" si="8"/>
        <v>13164591</v>
      </c>
      <c r="X50" s="375">
        <f>IF(F50=0,0,IF(V50=0,0,V50/'6.9 PCFP Funding Comparison YR2'!D45))</f>
        <v>10292.840225637654</v>
      </c>
    </row>
    <row r="51" spans="1:26" x14ac:dyDescent="0.3">
      <c r="A51" s="4"/>
      <c r="B51" s="106" t="str">
        <f>'5.2 Budgeted Enrollment YR2'!E48</f>
        <v>Discovery Charter</v>
      </c>
      <c r="D51" s="9" t="str">
        <f t="shared" si="5"/>
        <v>PCFP</v>
      </c>
      <c r="E51" s="112" t="str">
        <f t="shared" si="6"/>
        <v>PCFP</v>
      </c>
      <c r="F51" s="430" cm="1">
        <f t="array" ref="F51">ROUND(SUM('7.1a Initial Allocations YR2'!E51:E51+H51)*$K$3,0)</f>
        <v>4741225</v>
      </c>
      <c r="G51" s="854">
        <f>ROUND(IF(F51=0,0,F51/'6.9 PCFP Funding Comparison YR2'!D46),0)</f>
        <v>9486</v>
      </c>
      <c r="H51" s="1448">
        <f>$Y$33*'6.8 Alloc of Residual Rev. YR2'!D52</f>
        <v>0</v>
      </c>
      <c r="I51" s="859">
        <f>ROUND('7.1a Initial Allocations YR2'!G51*$K$3,2)</f>
        <v>234785.23</v>
      </c>
      <c r="J51" s="430">
        <f>ROUND('7.1a Initial Allocations YR2'!H51*$K$3,0)</f>
        <v>9960</v>
      </c>
      <c r="K51" s="854">
        <f>ROUND('7.1a Initial Allocations YR2'!I51*$K$3,0)</f>
        <v>0</v>
      </c>
      <c r="L51" s="430">
        <f>ROUND('7.1a Initial Allocations YR2'!J51*$K$3,0)</f>
        <v>244746</v>
      </c>
      <c r="M51" s="467"/>
      <c r="N51" s="158">
        <f>ROUND('7.1a Initial Allocations YR2'!L51,2)</f>
        <v>0</v>
      </c>
      <c r="O51" s="141">
        <v>0</v>
      </c>
      <c r="P51" s="115">
        <v>0</v>
      </c>
      <c r="Q51" s="115"/>
      <c r="R51" s="430">
        <f t="shared" si="7"/>
        <v>0</v>
      </c>
      <c r="S51" s="467"/>
      <c r="T51" s="430">
        <f>ROUND('7.1a Initial Allocations YR2'!R51,0)</f>
        <v>130158</v>
      </c>
      <c r="U51" s="467"/>
      <c r="V51" s="430">
        <f t="shared" si="8"/>
        <v>5116129</v>
      </c>
      <c r="X51" s="375">
        <f>IF(F51=0,0,IF(V51=0,0,V51/'6.9 PCFP Funding Comparison YR2'!D46))</f>
        <v>10236.360036899308</v>
      </c>
    </row>
    <row r="52" spans="1:26" x14ac:dyDescent="0.3">
      <c r="A52" s="4"/>
      <c r="B52" s="106" t="str">
        <f>'5.2 Budgeted Enrollment YR2'!E49</f>
        <v>Do and Be Academy of Excellence</v>
      </c>
      <c r="D52" s="9" t="str">
        <f t="shared" si="5"/>
        <v>PCFP</v>
      </c>
      <c r="E52" s="112" t="str">
        <f t="shared" si="6"/>
        <v>PCFP</v>
      </c>
      <c r="F52" s="430" cm="1">
        <f t="array" ref="F52">ROUND(SUM('7.1a Initial Allocations YR2'!E52:E52+H52)*$K$3,0)</f>
        <v>525959</v>
      </c>
      <c r="G52" s="854">
        <f>ROUND(IF(F52=0,0,F52/'6.9 PCFP Funding Comparison YR2'!D47),0)</f>
        <v>9486</v>
      </c>
      <c r="H52" s="1448">
        <f>$Y$33*'6.8 Alloc of Residual Rev. YR2'!D53</f>
        <v>0</v>
      </c>
      <c r="I52" s="859">
        <f>ROUND('7.1a Initial Allocations YR2'!G52*$K$3,2)</f>
        <v>0</v>
      </c>
      <c r="J52" s="430">
        <f>ROUND('7.1a Initial Allocations YR2'!H52*$K$3,0)</f>
        <v>0</v>
      </c>
      <c r="K52" s="854">
        <f>ROUND('7.1a Initial Allocations YR2'!I52*$K$3,0)</f>
        <v>0</v>
      </c>
      <c r="L52" s="430">
        <f>ROUND('7.1a Initial Allocations YR2'!J52*$K$3,0)</f>
        <v>0</v>
      </c>
      <c r="M52" s="467"/>
      <c r="N52" s="158">
        <f>ROUND('7.1a Initial Allocations YR2'!L52,2)</f>
        <v>0</v>
      </c>
      <c r="O52" s="141">
        <v>0</v>
      </c>
      <c r="P52" s="115">
        <v>0</v>
      </c>
      <c r="Q52" s="115"/>
      <c r="R52" s="430">
        <f t="shared" ref="R52" si="9">SUM(N52:P52)</f>
        <v>0</v>
      </c>
      <c r="S52" s="467"/>
      <c r="T52" s="430">
        <f>ROUND('7.1a Initial Allocations YR2'!R52,0)</f>
        <v>0</v>
      </c>
      <c r="U52" s="467"/>
      <c r="V52" s="430">
        <f t="shared" si="8"/>
        <v>525959</v>
      </c>
      <c r="X52" s="375">
        <f>IF(F52=0,0,IF(V52=0,0,V52/'6.9 PCFP Funding Comparison YR2'!D47))</f>
        <v>9486.2578180576566</v>
      </c>
      <c r="Z52" s="9" t="s">
        <v>370</v>
      </c>
    </row>
    <row r="53" spans="1:26" x14ac:dyDescent="0.3">
      <c r="A53" s="4"/>
      <c r="B53" s="106" t="str">
        <f>'5.2 Budgeted Enrollment YR2'!E50</f>
        <v>Doral Academy</v>
      </c>
      <c r="D53" s="9" t="str">
        <f t="shared" si="5"/>
        <v>PCFP</v>
      </c>
      <c r="E53" s="112" t="str">
        <f t="shared" si="6"/>
        <v>PCFP</v>
      </c>
      <c r="F53" s="430" cm="1">
        <f t="array" ref="F53">ROUND(SUM('7.1a Initial Allocations YR2'!E53:E53+H53)*$K$3,0)</f>
        <v>61316555</v>
      </c>
      <c r="G53" s="854">
        <f>ROUND(IF(F53=0,0,F53/'6.9 PCFP Funding Comparison YR2'!D48),0)</f>
        <v>9486</v>
      </c>
      <c r="H53" s="1448">
        <f>$Y$33*'6.8 Alloc of Residual Rev. YR2'!D54</f>
        <v>0</v>
      </c>
      <c r="I53" s="859">
        <f>ROUND('7.1a Initial Allocations YR2'!G53*$K$3,2)</f>
        <v>990364.9</v>
      </c>
      <c r="J53" s="430">
        <f>ROUND('7.1a Initial Allocations YR2'!H53*$K$3,0)</f>
        <v>23241</v>
      </c>
      <c r="K53" s="854">
        <f>ROUND('7.1a Initial Allocations YR2'!I53*$K$3,0)</f>
        <v>375655</v>
      </c>
      <c r="L53" s="430">
        <f>ROUND('7.1a Initial Allocations YR2'!J53*$K$3,0)</f>
        <v>1389262</v>
      </c>
      <c r="M53" s="467"/>
      <c r="N53" s="158">
        <f>ROUND('7.1a Initial Allocations YR2'!L53,2)</f>
        <v>0</v>
      </c>
      <c r="O53" s="141">
        <v>0</v>
      </c>
      <c r="P53" s="115">
        <v>0</v>
      </c>
      <c r="Q53" s="115"/>
      <c r="R53" s="430">
        <f t="shared" si="7"/>
        <v>0</v>
      </c>
      <c r="S53" s="467"/>
      <c r="T53" s="430">
        <f>ROUND('7.1a Initial Allocations YR2'!R53,0)</f>
        <v>2791360</v>
      </c>
      <c r="U53" s="467"/>
      <c r="V53" s="430">
        <f t="shared" si="8"/>
        <v>65497177</v>
      </c>
      <c r="X53" s="375">
        <f>IF(F53=0,0,IF(V53=0,0,V53/'6.9 PCFP Funding Comparison YR2'!D48))</f>
        <v>10133.033863439628</v>
      </c>
    </row>
    <row r="54" spans="1:26" x14ac:dyDescent="0.3">
      <c r="A54" s="4"/>
      <c r="B54" s="106" t="str">
        <f>'5.2 Budgeted Enrollment YR2'!E51</f>
        <v>Doral Academy of Northern Nevada</v>
      </c>
      <c r="D54" s="9" t="str">
        <f t="shared" si="5"/>
        <v>PCFP</v>
      </c>
      <c r="E54" s="112" t="str">
        <f t="shared" si="6"/>
        <v>PCFP</v>
      </c>
      <c r="F54" s="430" cm="1">
        <f t="array" ref="F54">ROUND(SUM('7.1a Initial Allocations YR2'!E54:E54+H54)*$K$3,0)</f>
        <v>9664383</v>
      </c>
      <c r="G54" s="854">
        <f>ROUND(IF(F54=0,0,F54/'6.9 PCFP Funding Comparison YR2'!D49),0)</f>
        <v>9486</v>
      </c>
      <c r="H54" s="1448">
        <f>$Y$33*'6.8 Alloc of Residual Rev. YR2'!D55</f>
        <v>0</v>
      </c>
      <c r="I54" s="859">
        <f>ROUND('7.1a Initial Allocations YR2'!G54*$K$3,2)</f>
        <v>42688.13</v>
      </c>
      <c r="J54" s="430">
        <f>ROUND('7.1a Initial Allocations YR2'!H54*$K$3,0)</f>
        <v>0</v>
      </c>
      <c r="K54" s="854">
        <f>ROUND('7.1a Initial Allocations YR2'!I54*$K$3,0)</f>
        <v>89930</v>
      </c>
      <c r="L54" s="430">
        <f>ROUND('7.1a Initial Allocations YR2'!J54*$K$3,0)</f>
        <v>132618</v>
      </c>
      <c r="M54" s="467"/>
      <c r="N54" s="158">
        <f>ROUND('7.1a Initial Allocations YR2'!L54,2)</f>
        <v>0</v>
      </c>
      <c r="O54" s="141">
        <v>0</v>
      </c>
      <c r="P54" s="115">
        <v>0</v>
      </c>
      <c r="Q54" s="115"/>
      <c r="R54" s="430">
        <f t="shared" si="7"/>
        <v>0</v>
      </c>
      <c r="S54" s="467"/>
      <c r="T54" s="430">
        <f>ROUND('7.1a Initial Allocations YR2'!R54,0)</f>
        <v>85050</v>
      </c>
      <c r="U54" s="467"/>
      <c r="V54" s="430">
        <f t="shared" si="8"/>
        <v>9882051</v>
      </c>
      <c r="X54" s="375">
        <f>IF(F54=0,0,IF(V54=0,0,V54/'6.9 PCFP Funding Comparison YR2'!D49))</f>
        <v>9699.9074489616942</v>
      </c>
    </row>
    <row r="55" spans="1:26" x14ac:dyDescent="0.3">
      <c r="A55" s="4"/>
      <c r="B55" s="106" t="str">
        <f>'5.2 Budgeted Enrollment YR2'!E52</f>
        <v>Eagle Charter School (CLOSED)</v>
      </c>
      <c r="D55" s="9" t="str">
        <f t="shared" si="5"/>
        <v>PCFP</v>
      </c>
      <c r="E55" s="112" t="str">
        <f t="shared" si="6"/>
        <v>PCFP</v>
      </c>
      <c r="F55" s="430" cm="1">
        <f t="array" ref="F55">ROUND(SUM('7.1a Initial Allocations YR2'!E55:E55+H55)*$K$3,0)</f>
        <v>0</v>
      </c>
      <c r="G55" s="854">
        <f>ROUND(IF(F55=0,0,F55/'6.9 PCFP Funding Comparison YR2'!D50),0)</f>
        <v>0</v>
      </c>
      <c r="H55" s="1448">
        <f>$Y$33*'6.8 Alloc of Residual Rev. YR2'!D56</f>
        <v>0</v>
      </c>
      <c r="I55" s="859">
        <f>ROUND('7.1a Initial Allocations YR2'!G55*$K$3,2)</f>
        <v>0</v>
      </c>
      <c r="J55" s="430">
        <f>ROUND('7.1a Initial Allocations YR2'!H55*$K$3,0)</f>
        <v>0</v>
      </c>
      <c r="K55" s="854">
        <f>ROUND('7.1a Initial Allocations YR2'!I55*$K$3,0)</f>
        <v>0</v>
      </c>
      <c r="L55" s="430">
        <f>ROUND('7.1a Initial Allocations YR2'!J55*$K$3,0)</f>
        <v>0</v>
      </c>
      <c r="M55" s="467"/>
      <c r="N55" s="158">
        <f>ROUND('7.1a Initial Allocations YR2'!L55,2)</f>
        <v>0</v>
      </c>
      <c r="O55" s="141">
        <v>0</v>
      </c>
      <c r="P55" s="115">
        <v>0</v>
      </c>
      <c r="Q55" s="115"/>
      <c r="R55" s="430">
        <f t="shared" si="7"/>
        <v>0</v>
      </c>
      <c r="S55" s="467"/>
      <c r="T55" s="430">
        <f>ROUND('7.1a Initial Allocations YR2'!R55,0)</f>
        <v>0</v>
      </c>
      <c r="U55" s="467"/>
      <c r="V55" s="430">
        <f t="shared" si="8"/>
        <v>0</v>
      </c>
      <c r="X55" s="375">
        <f>IF(F55=0,0,IF(V55=0,0,V55/'6.9 PCFP Funding Comparison YR2'!D50))</f>
        <v>0</v>
      </c>
    </row>
    <row r="56" spans="1:26" x14ac:dyDescent="0.3">
      <c r="A56" s="4"/>
      <c r="B56" s="106" t="str">
        <f>'5.2 Budgeted Enrollment YR2'!E53</f>
        <v>Elko Institute for Academic Achievement</v>
      </c>
      <c r="D56" s="9" t="str">
        <f t="shared" si="5"/>
        <v>PCFP</v>
      </c>
      <c r="E56" s="112" t="str">
        <f t="shared" si="6"/>
        <v>PCFP</v>
      </c>
      <c r="F56" s="430" cm="1">
        <f t="array" ref="F56">ROUND(SUM('7.1a Initial Allocations YR2'!E56:E56+H56)*$K$3,0)</f>
        <v>3232290</v>
      </c>
      <c r="G56" s="854">
        <f>ROUND(IF(F56=0,0,F56/'6.9 PCFP Funding Comparison YR2'!D51),0)</f>
        <v>10238</v>
      </c>
      <c r="H56" s="1448">
        <f>$Y$33*'6.8 Alloc of Residual Rev. YR2'!D57</f>
        <v>0</v>
      </c>
      <c r="I56" s="859">
        <f>ROUND('7.1a Initial Allocations YR2'!G56*$K$3,2)</f>
        <v>34150.31</v>
      </c>
      <c r="J56" s="430">
        <f>ROUND('7.1a Initial Allocations YR2'!H56*$K$3,0)</f>
        <v>26562</v>
      </c>
      <c r="K56" s="854">
        <f>ROUND('7.1a Initial Allocations YR2'!I56*$K$3,0)</f>
        <v>0</v>
      </c>
      <c r="L56" s="430">
        <f>ROUND('7.1a Initial Allocations YR2'!J56*$K$3,0)</f>
        <v>60712</v>
      </c>
      <c r="M56" s="467"/>
      <c r="N56" s="158">
        <f>ROUND('7.1a Initial Allocations YR2'!L56,2)</f>
        <v>0</v>
      </c>
      <c r="O56" s="141">
        <v>0</v>
      </c>
      <c r="P56" s="115">
        <v>0</v>
      </c>
      <c r="Q56" s="115"/>
      <c r="R56" s="430">
        <f t="shared" si="7"/>
        <v>0</v>
      </c>
      <c r="S56" s="467"/>
      <c r="T56" s="430">
        <f>ROUND('7.1a Initial Allocations YR2'!R56,0)</f>
        <v>140428</v>
      </c>
      <c r="U56" s="467"/>
      <c r="V56" s="430">
        <f t="shared" si="8"/>
        <v>3433430</v>
      </c>
      <c r="X56" s="375">
        <f>IF(F56=0,0,IF(V56=0,0,V56/'6.9 PCFP Funding Comparison YR2'!D51))</f>
        <v>10874.623271956938</v>
      </c>
    </row>
    <row r="57" spans="1:26" x14ac:dyDescent="0.3">
      <c r="A57" s="4"/>
      <c r="B57" s="106" t="str">
        <f>'5.2 Budgeted Enrollment YR2'!E54</f>
        <v>enCompass Academy</v>
      </c>
      <c r="D57" s="9" t="str">
        <f t="shared" si="5"/>
        <v>PCFP</v>
      </c>
      <c r="E57" s="112" t="str">
        <f t="shared" si="6"/>
        <v>PCFP</v>
      </c>
      <c r="F57" s="430" cm="1">
        <f t="array" ref="F57">ROUND(SUM('7.1a Initial Allocations YR2'!E57:E57+H57)*$K$3,0)</f>
        <v>1231951</v>
      </c>
      <c r="G57" s="854">
        <f>ROUND(IF(F57=0,0,F57/'6.9 PCFP Funding Comparison YR2'!D52),0)</f>
        <v>9486</v>
      </c>
      <c r="H57" s="1448">
        <f>$Y$33*'6.8 Alloc of Residual Rev. YR2'!D58</f>
        <v>0</v>
      </c>
      <c r="I57" s="859">
        <f>ROUND('7.1a Initial Allocations YR2'!G57*$K$3,2)</f>
        <v>64032.7</v>
      </c>
      <c r="J57" s="430">
        <f>ROUND('7.1a Initial Allocations YR2'!H57*$K$3,0)</f>
        <v>33202</v>
      </c>
      <c r="K57" s="854">
        <f>ROUND('7.1a Initial Allocations YR2'!I57*$K$3,0)</f>
        <v>0</v>
      </c>
      <c r="L57" s="430">
        <f>ROUND('7.1a Initial Allocations YR2'!J57*$K$3,0)</f>
        <v>97235</v>
      </c>
      <c r="M57" s="467"/>
      <c r="N57" s="158">
        <f>ROUND('7.1a Initial Allocations YR2'!L57,2)</f>
        <v>0</v>
      </c>
      <c r="O57" s="141">
        <v>0</v>
      </c>
      <c r="P57" s="115">
        <v>0</v>
      </c>
      <c r="Q57" s="115"/>
      <c r="R57" s="430">
        <f t="shared" si="7"/>
        <v>0</v>
      </c>
      <c r="S57" s="467"/>
      <c r="T57" s="430">
        <f>ROUND('7.1a Initial Allocations YR2'!R57,0)</f>
        <v>0</v>
      </c>
      <c r="U57" s="467"/>
      <c r="V57" s="430">
        <f t="shared" si="8"/>
        <v>1329186</v>
      </c>
      <c r="X57" s="375">
        <f>IF(F57=0,0,IF(V57=0,0,V57/'6.9 PCFP Funding Comparison YR2'!D52))</f>
        <v>10234.979081937903</v>
      </c>
    </row>
    <row r="58" spans="1:26" x14ac:dyDescent="0.3">
      <c r="A58" s="4"/>
      <c r="B58" s="106" t="str">
        <f>'5.2 Budgeted Enrollment YR2'!E55</f>
        <v>Equipo Academy</v>
      </c>
      <c r="D58" s="9" t="str">
        <f t="shared" si="5"/>
        <v>PCFP</v>
      </c>
      <c r="E58" s="112" t="str">
        <f t="shared" si="6"/>
        <v>PCFP</v>
      </c>
      <c r="F58" s="430" cm="1">
        <f t="array" ref="F58">ROUND(SUM('7.1a Initial Allocations YR2'!E58:E58+H58)*$K$3,0)</f>
        <v>8544900</v>
      </c>
      <c r="G58" s="854">
        <f>ROUND(IF(F58=0,0,F58/'6.9 PCFP Funding Comparison YR2'!D53),0)</f>
        <v>9486</v>
      </c>
      <c r="H58" s="1448">
        <f>$Y$33*'6.8 Alloc of Residual Rev. YR2'!D59</f>
        <v>0</v>
      </c>
      <c r="I58" s="859">
        <f>ROUND('7.1a Initial Allocations YR2'!G58*$K$3,2)</f>
        <v>1062934.43</v>
      </c>
      <c r="J58" s="430">
        <f>ROUND('7.1a Initial Allocations YR2'!H58*$K$3,0)</f>
        <v>73044</v>
      </c>
      <c r="K58" s="854">
        <f>ROUND('7.1a Initial Allocations YR2'!I58*$K$3,0)</f>
        <v>0</v>
      </c>
      <c r="L58" s="430">
        <f>ROUND('7.1a Initial Allocations YR2'!J58*$K$3,0)</f>
        <v>1135978</v>
      </c>
      <c r="M58" s="467"/>
      <c r="N58" s="158">
        <f>ROUND('7.1a Initial Allocations YR2'!L58,2)</f>
        <v>0</v>
      </c>
      <c r="O58" s="141">
        <v>0</v>
      </c>
      <c r="P58" s="115">
        <v>0</v>
      </c>
      <c r="Q58" s="115"/>
      <c r="R58" s="430">
        <f t="shared" si="7"/>
        <v>0</v>
      </c>
      <c r="S58" s="467"/>
      <c r="T58" s="430">
        <f>ROUND('7.1a Initial Allocations YR2'!R58,0)</f>
        <v>349906</v>
      </c>
      <c r="U58" s="467"/>
      <c r="V58" s="430">
        <f t="shared" si="8"/>
        <v>10030784</v>
      </c>
      <c r="X58" s="375">
        <f>IF(F58=0,0,IF(V58=0,0,V58/'6.9 PCFP Funding Comparison YR2'!D53))</f>
        <v>11135.828957627455</v>
      </c>
    </row>
    <row r="59" spans="1:26" x14ac:dyDescent="0.3">
      <c r="A59" s="4"/>
      <c r="B59" s="106" t="str">
        <f>'5.2 Budgeted Enrollment YR2'!E56</f>
        <v>Explore Academy</v>
      </c>
      <c r="D59" s="9" t="str">
        <f t="shared" si="5"/>
        <v>PCFP</v>
      </c>
      <c r="E59" s="112" t="str">
        <f t="shared" si="6"/>
        <v>PCFP</v>
      </c>
      <c r="F59" s="430" cm="1">
        <f t="array" ref="F59">ROUND(SUM('7.1a Initial Allocations YR2'!E59:E59+H59)*$K$3,0)</f>
        <v>2712261</v>
      </c>
      <c r="G59" s="854">
        <f>ROUND(IF(F59=0,0,F59/'6.9 PCFP Funding Comparison YR2'!D54),0)</f>
        <v>9486</v>
      </c>
      <c r="H59" s="1448">
        <f>$Y$33*'6.8 Alloc of Residual Rev. YR2'!D60</f>
        <v>0</v>
      </c>
      <c r="I59" s="859">
        <f>ROUND('7.1a Initial Allocations YR2'!G59*$K$3,2)</f>
        <v>175021.45</v>
      </c>
      <c r="J59" s="430">
        <f>ROUND('7.1a Initial Allocations YR2'!H59*$K$3,0)</f>
        <v>9960</v>
      </c>
      <c r="K59" s="854">
        <f>ROUND('7.1a Initial Allocations YR2'!I59*$K$3,0)</f>
        <v>0</v>
      </c>
      <c r="L59" s="430">
        <f>ROUND('7.1a Initial Allocations YR2'!J59*$K$3,0)</f>
        <v>184982</v>
      </c>
      <c r="M59" s="467"/>
      <c r="N59" s="158">
        <f>ROUND('7.1a Initial Allocations YR2'!L59,2)</f>
        <v>0</v>
      </c>
      <c r="O59" s="141">
        <v>0</v>
      </c>
      <c r="P59" s="115">
        <v>0</v>
      </c>
      <c r="Q59" s="115"/>
      <c r="R59" s="430">
        <f t="shared" si="7"/>
        <v>0</v>
      </c>
      <c r="S59" s="467"/>
      <c r="T59" s="430">
        <f>ROUND('7.1a Initial Allocations YR2'!R59,0)</f>
        <v>0</v>
      </c>
      <c r="U59" s="467"/>
      <c r="V59" s="430">
        <f t="shared" si="8"/>
        <v>2897243</v>
      </c>
      <c r="X59" s="375">
        <f>IF(F59=0,0,IF(V59=0,0,V59/'6.9 PCFP Funding Comparison YR2'!D54))</f>
        <v>10133.231833027099</v>
      </c>
    </row>
    <row r="60" spans="1:26" x14ac:dyDescent="0.3">
      <c r="A60" s="4"/>
      <c r="B60" s="106" t="str">
        <f>'5.2 Budgeted Enrollment YR2'!E57</f>
        <v>Explore Knowledge Academy</v>
      </c>
      <c r="D60" s="9" t="str">
        <f t="shared" si="5"/>
        <v>PCFP</v>
      </c>
      <c r="E60" s="112" t="str">
        <f t="shared" si="6"/>
        <v>PCFP</v>
      </c>
      <c r="F60" s="430" cm="1">
        <f t="array" ref="F60">ROUND(SUM('7.1a Initial Allocations YR2'!E60:E60+H60)*$K$3,0)</f>
        <v>6304472</v>
      </c>
      <c r="G60" s="854">
        <f>ROUND(IF(F60=0,0,F60/'6.9 PCFP Funding Comparison YR2'!D55),0)</f>
        <v>9486</v>
      </c>
      <c r="H60" s="1448">
        <f>$Y$33*'6.8 Alloc of Residual Rev. YR2'!D61</f>
        <v>0</v>
      </c>
      <c r="I60" s="859">
        <f>ROUND('7.1a Initial Allocations YR2'!G60*$K$3,2)</f>
        <v>200633.93</v>
      </c>
      <c r="J60" s="430">
        <f>ROUND('7.1a Initial Allocations YR2'!H60*$K$3,0)</f>
        <v>69724</v>
      </c>
      <c r="K60" s="854">
        <f>ROUND('7.1a Initial Allocations YR2'!I60*$K$3,0)</f>
        <v>0</v>
      </c>
      <c r="L60" s="430">
        <f>ROUND('7.1a Initial Allocations YR2'!J60*$K$3,0)</f>
        <v>270358</v>
      </c>
      <c r="M60" s="467"/>
      <c r="N60" s="158">
        <f>ROUND('7.1a Initial Allocations YR2'!L60,2)</f>
        <v>0</v>
      </c>
      <c r="O60" s="141">
        <v>0</v>
      </c>
      <c r="P60" s="115">
        <v>0</v>
      </c>
      <c r="Q60" s="115"/>
      <c r="R60" s="430">
        <f t="shared" si="7"/>
        <v>0</v>
      </c>
      <c r="S60" s="467"/>
      <c r="T60" s="430">
        <f>ROUND('7.1a Initial Allocations YR2'!R60,0)</f>
        <v>27133</v>
      </c>
      <c r="U60" s="467"/>
      <c r="V60" s="430">
        <f t="shared" si="8"/>
        <v>6601963</v>
      </c>
      <c r="X60" s="375">
        <f>IF(F60=0,0,IF(V60=0,0,V60/'6.9 PCFP Funding Comparison YR2'!D55))</f>
        <v>9933.8828115048527</v>
      </c>
    </row>
    <row r="61" spans="1:26" x14ac:dyDescent="0.3">
      <c r="A61" s="4"/>
      <c r="B61" s="106" t="str">
        <f>'5.2 Budgeted Enrollment YR2'!E58</f>
        <v>Founders Academy of Las Vegas</v>
      </c>
      <c r="D61" s="9" t="str">
        <f t="shared" si="5"/>
        <v>PCFP</v>
      </c>
      <c r="E61" s="112" t="str">
        <f t="shared" si="6"/>
        <v>PCFP</v>
      </c>
      <c r="F61" s="430" cm="1">
        <f t="array" ref="F61">ROUND(SUM('7.1a Initial Allocations YR2'!E61:E61+H61)*$K$3,0)</f>
        <v>10532459</v>
      </c>
      <c r="G61" s="854">
        <f>ROUND(IF(F61=0,0,F61/'6.9 PCFP Funding Comparison YR2'!D56),0)</f>
        <v>9486</v>
      </c>
      <c r="H61" s="1448">
        <f>$Y$33*'6.8 Alloc of Residual Rev. YR2'!D62</f>
        <v>0</v>
      </c>
      <c r="I61" s="859">
        <f>ROUND('7.1a Initial Allocations YR2'!G61*$K$3,2)</f>
        <v>367117.55</v>
      </c>
      <c r="J61" s="430">
        <f>ROUND('7.1a Initial Allocations YR2'!H61*$K$3,0)</f>
        <v>26562</v>
      </c>
      <c r="K61" s="854">
        <f>ROUND('7.1a Initial Allocations YR2'!I61*$K$3,0)</f>
        <v>0</v>
      </c>
      <c r="L61" s="430">
        <f>ROUND('7.1a Initial Allocations YR2'!J61*$K$3,0)</f>
        <v>393679</v>
      </c>
      <c r="M61" s="467"/>
      <c r="N61" s="158">
        <f>ROUND('7.1a Initial Allocations YR2'!L61,2)</f>
        <v>0</v>
      </c>
      <c r="O61" s="141">
        <v>0</v>
      </c>
      <c r="P61" s="115">
        <v>0</v>
      </c>
      <c r="Q61" s="115"/>
      <c r="R61" s="430">
        <f t="shared" si="7"/>
        <v>0</v>
      </c>
      <c r="S61" s="467"/>
      <c r="T61" s="430">
        <f>ROUND('7.1a Initial Allocations YR2'!R61,0)</f>
        <v>168554</v>
      </c>
      <c r="U61" s="467"/>
      <c r="V61" s="430">
        <f t="shared" si="8"/>
        <v>11094692</v>
      </c>
      <c r="X61" s="375">
        <f>IF(F61=0,0,IF(V61=0,0,V61/'6.9 PCFP Funding Comparison YR2'!D56))</f>
        <v>9992.6375619571336</v>
      </c>
    </row>
    <row r="62" spans="1:26" x14ac:dyDescent="0.3">
      <c r="A62" s="4"/>
      <c r="B62" s="106" t="str">
        <f>'5.2 Budgeted Enrollment YR2'!E59</f>
        <v>Freedom Classical Academy</v>
      </c>
      <c r="D62" s="9" t="str">
        <f t="shared" si="5"/>
        <v>PCFP</v>
      </c>
      <c r="E62" s="112" t="str">
        <f t="shared" si="6"/>
        <v>PCFP</v>
      </c>
      <c r="F62" s="430" cm="1">
        <f t="array" ref="F62">ROUND(SUM('7.1a Initial Allocations YR2'!E62:E62+H62)*$K$3,0)</f>
        <v>10195095</v>
      </c>
      <c r="G62" s="854">
        <f>ROUND(IF(F62=0,0,F62/'6.9 PCFP Funding Comparison YR2'!D57),0)</f>
        <v>9486</v>
      </c>
      <c r="H62" s="1448">
        <f>$Y$33*'6.8 Alloc of Residual Rev. YR2'!D63</f>
        <v>0</v>
      </c>
      <c r="I62" s="859">
        <f>ROUND('7.1a Initial Allocations YR2'!G62*$K$3,2)</f>
        <v>584827.13</v>
      </c>
      <c r="J62" s="430">
        <f>ROUND('7.1a Initial Allocations YR2'!H62*$K$3,0)</f>
        <v>69724</v>
      </c>
      <c r="K62" s="854">
        <f>ROUND('7.1a Initial Allocations YR2'!I62*$K$3,0)</f>
        <v>54641</v>
      </c>
      <c r="L62" s="430">
        <f>ROUND('7.1a Initial Allocations YR2'!J62*$K$3,0)</f>
        <v>709193</v>
      </c>
      <c r="M62" s="467"/>
      <c r="N62" s="158">
        <f>ROUND('7.1a Initial Allocations YR2'!L62,2)</f>
        <v>0</v>
      </c>
      <c r="O62" s="141">
        <v>0</v>
      </c>
      <c r="P62" s="115">
        <v>0</v>
      </c>
      <c r="Q62" s="115"/>
      <c r="R62" s="430">
        <f t="shared" si="7"/>
        <v>0</v>
      </c>
      <c r="S62" s="467"/>
      <c r="T62" s="430">
        <f>ROUND('7.1a Initial Allocations YR2'!R62,0)</f>
        <v>545399</v>
      </c>
      <c r="U62" s="467"/>
      <c r="V62" s="430">
        <f t="shared" si="8"/>
        <v>11449687</v>
      </c>
      <c r="X62" s="375">
        <f>IF(F62=0,0,IF(V62=0,0,V62/'6.9 PCFP Funding Comparison YR2'!D57))</f>
        <v>10653.614561222419</v>
      </c>
    </row>
    <row r="63" spans="1:26" x14ac:dyDescent="0.3">
      <c r="A63" s="4"/>
      <c r="B63" s="106" t="str">
        <f>'5.2 Budgeted Enrollment YR2'!E60</f>
        <v>Futuro Academy Elementary</v>
      </c>
      <c r="D63" s="9" t="str">
        <f t="shared" si="5"/>
        <v>PCFP</v>
      </c>
      <c r="E63" s="112" t="str">
        <f t="shared" si="6"/>
        <v>PCFP</v>
      </c>
      <c r="F63" s="430" cm="1">
        <f t="array" ref="F63">ROUND(SUM('7.1a Initial Allocations YR2'!E63:E63+H63)*$K$3,0)</f>
        <v>4438449</v>
      </c>
      <c r="G63" s="854">
        <f>ROUND(IF(F63=0,0,F63/'6.9 PCFP Funding Comparison YR2'!D58),0)</f>
        <v>9486</v>
      </c>
      <c r="H63" s="1448">
        <f>$Y$33*'6.8 Alloc of Residual Rev. YR2'!D64</f>
        <v>0</v>
      </c>
      <c r="I63" s="859">
        <f>ROUND('7.1a Initial Allocations YR2'!G63*$K$3,2)</f>
        <v>738505.01</v>
      </c>
      <c r="J63" s="430">
        <f>ROUND('7.1a Initial Allocations YR2'!H63*$K$3,0)</f>
        <v>0</v>
      </c>
      <c r="K63" s="854">
        <f>ROUND('7.1a Initial Allocations YR2'!I63*$K$3,0)</f>
        <v>0</v>
      </c>
      <c r="L63" s="430">
        <f>ROUND('7.1a Initial Allocations YR2'!J63*$K$3,0)</f>
        <v>738505</v>
      </c>
      <c r="M63" s="467"/>
      <c r="N63" s="158">
        <f>ROUND('7.1a Initial Allocations YR2'!L63,2)</f>
        <v>0</v>
      </c>
      <c r="O63" s="141">
        <v>0</v>
      </c>
      <c r="P63" s="115">
        <v>0</v>
      </c>
      <c r="Q63" s="115"/>
      <c r="R63" s="430">
        <f t="shared" si="7"/>
        <v>0</v>
      </c>
      <c r="S63" s="467"/>
      <c r="T63" s="430">
        <f>ROUND('7.1a Initial Allocations YR2'!R63,0)</f>
        <v>332462</v>
      </c>
      <c r="U63" s="467"/>
      <c r="V63" s="430">
        <f t="shared" si="8"/>
        <v>5509416</v>
      </c>
      <c r="X63" s="375">
        <f>IF(F63=0,0,IF(V63=0,0,V63/'6.9 PCFP Funding Comparison YR2'!D58))</f>
        <v>11775.220493706824</v>
      </c>
    </row>
    <row r="64" spans="1:26" x14ac:dyDescent="0.3">
      <c r="A64" s="4"/>
      <c r="B64" s="106" t="str">
        <f>'5.2 Budgeted Enrollment YR2'!E61</f>
        <v>High Desert Montessori</v>
      </c>
      <c r="D64" s="9" t="str">
        <f t="shared" si="5"/>
        <v>PCFP</v>
      </c>
      <c r="E64" s="112" t="str">
        <f t="shared" si="6"/>
        <v>PCFP</v>
      </c>
      <c r="F64" s="430" cm="1">
        <f t="array" ref="F64">ROUND(SUM('7.1a Initial Allocations YR2'!E64:E64+H64)*$K$3,0)</f>
        <v>3907815</v>
      </c>
      <c r="G64" s="854">
        <f>ROUND(IF(F64=0,0,F64/'6.9 PCFP Funding Comparison YR2'!D59),0)</f>
        <v>9486</v>
      </c>
      <c r="H64" s="1448">
        <f>$Y$33*'6.8 Alloc of Residual Rev. YR2'!D65</f>
        <v>0</v>
      </c>
      <c r="I64" s="859">
        <f>ROUND('7.1a Initial Allocations YR2'!G64*$K$3,2)</f>
        <v>76838.44</v>
      </c>
      <c r="J64" s="430">
        <f>ROUND('7.1a Initial Allocations YR2'!H64*$K$3,0)</f>
        <v>53123</v>
      </c>
      <c r="K64" s="854">
        <f>ROUND('7.1a Initial Allocations YR2'!I64*$K$3,0)</f>
        <v>0</v>
      </c>
      <c r="L64" s="430">
        <f>ROUND('7.1a Initial Allocations YR2'!J64*$K$3,0)</f>
        <v>129961</v>
      </c>
      <c r="M64" s="467"/>
      <c r="N64" s="158">
        <f>ROUND('7.1a Initial Allocations YR2'!L64,2)</f>
        <v>0</v>
      </c>
      <c r="O64" s="141">
        <v>0</v>
      </c>
      <c r="P64" s="115">
        <v>0</v>
      </c>
      <c r="Q64" s="115"/>
      <c r="R64" s="430">
        <f t="shared" si="7"/>
        <v>0</v>
      </c>
      <c r="S64" s="467"/>
      <c r="T64" s="430">
        <f>ROUND('7.1a Initial Allocations YR2'!R64,0)</f>
        <v>0</v>
      </c>
      <c r="U64" s="467"/>
      <c r="V64" s="430">
        <f t="shared" si="8"/>
        <v>4037776</v>
      </c>
      <c r="X64" s="375">
        <f>IF(F64=0,0,IF(V64=0,0,V64/'6.9 PCFP Funding Comparison YR2'!D59))</f>
        <v>9801.7345317341897</v>
      </c>
    </row>
    <row r="65" spans="1:24" x14ac:dyDescent="0.3">
      <c r="A65" s="4"/>
      <c r="B65" s="106" t="str">
        <f>'5.2 Budgeted Enrollment YR2'!E62</f>
        <v>Honors Academy of Literature</v>
      </c>
      <c r="D65" s="9" t="str">
        <f t="shared" si="5"/>
        <v>PCFP</v>
      </c>
      <c r="E65" s="112" t="str">
        <f t="shared" si="6"/>
        <v>PCFP</v>
      </c>
      <c r="F65" s="430" cm="1">
        <f t="array" ref="F65">ROUND(SUM('7.1a Initial Allocations YR2'!E65:E65+H65)*$K$3,0)</f>
        <v>2079417</v>
      </c>
      <c r="G65" s="854">
        <f>ROUND(IF(F65=0,0,F65/'6.9 PCFP Funding Comparison YR2'!D60),0)</f>
        <v>9486</v>
      </c>
      <c r="H65" s="1448">
        <f>$Y$33*'6.8 Alloc of Residual Rev. YR2'!D66</f>
        <v>0</v>
      </c>
      <c r="I65" s="859">
        <f>ROUND('7.1a Initial Allocations YR2'!G65*$K$3,2)</f>
        <v>8537.83</v>
      </c>
      <c r="J65" s="430">
        <f>ROUND('7.1a Initial Allocations YR2'!H65*$K$3,0)</f>
        <v>0</v>
      </c>
      <c r="K65" s="854">
        <f>ROUND('7.1a Initial Allocations YR2'!I65*$K$3,0)</f>
        <v>2276</v>
      </c>
      <c r="L65" s="430">
        <f>ROUND('7.1a Initial Allocations YR2'!J65*$K$3,0)</f>
        <v>10814</v>
      </c>
      <c r="M65" s="467"/>
      <c r="N65" s="158">
        <f>ROUND('7.1a Initial Allocations YR2'!L65,2)</f>
        <v>0</v>
      </c>
      <c r="O65" s="141">
        <v>0</v>
      </c>
      <c r="P65" s="115">
        <v>0</v>
      </c>
      <c r="Q65" s="115"/>
      <c r="R65" s="430">
        <f t="shared" si="7"/>
        <v>0</v>
      </c>
      <c r="S65" s="467"/>
      <c r="T65" s="430">
        <f>ROUND('7.1a Initial Allocations YR2'!R65,0)</f>
        <v>231070</v>
      </c>
      <c r="U65" s="467"/>
      <c r="V65" s="430">
        <f t="shared" si="8"/>
        <v>2321301</v>
      </c>
      <c r="X65" s="375">
        <f>IF(F65=0,0,IF(V65=0,0,V65/'6.9 PCFP Funding Comparison YR2'!D60))</f>
        <v>10589.723265753946</v>
      </c>
    </row>
    <row r="66" spans="1:24" x14ac:dyDescent="0.3">
      <c r="A66" s="4"/>
      <c r="B66" s="106" t="str">
        <f>'5.2 Budgeted Enrollment YR2'!E63</f>
        <v>Imagine School Mountain View</v>
      </c>
      <c r="D66" s="9" t="str">
        <f t="shared" si="5"/>
        <v>PCFP</v>
      </c>
      <c r="E66" s="112" t="str">
        <f t="shared" si="6"/>
        <v>PCFP</v>
      </c>
      <c r="F66" s="430" cm="1">
        <f t="array" ref="F66">ROUND(SUM('7.1a Initial Allocations YR2'!E66:E66+H66)*$K$3,0)</f>
        <v>6601960</v>
      </c>
      <c r="G66" s="854">
        <f>ROUND(IF(F66=0,0,F66/'6.9 PCFP Funding Comparison YR2'!D61),0)</f>
        <v>9486</v>
      </c>
      <c r="H66" s="1448">
        <f>$Y$33*'6.8 Alloc of Residual Rev. YR2'!D67</f>
        <v>0</v>
      </c>
      <c r="I66" s="859">
        <f>ROUND('7.1a Initial Allocations YR2'!G66*$K$3,2)</f>
        <v>350042.89</v>
      </c>
      <c r="J66" s="430">
        <f>ROUND('7.1a Initial Allocations YR2'!H66*$K$3,0)</f>
        <v>0</v>
      </c>
      <c r="K66" s="854">
        <f>ROUND('7.1a Initial Allocations YR2'!I66*$K$3,0)</f>
        <v>0</v>
      </c>
      <c r="L66" s="430">
        <f>ROUND('7.1a Initial Allocations YR2'!J66*$K$3,0)</f>
        <v>350043</v>
      </c>
      <c r="M66" s="467"/>
      <c r="N66" s="158">
        <f>ROUND('7.1a Initial Allocations YR2'!L66,2)</f>
        <v>0</v>
      </c>
      <c r="O66" s="141">
        <v>0</v>
      </c>
      <c r="P66" s="115">
        <v>0</v>
      </c>
      <c r="Q66" s="115"/>
      <c r="R66" s="430">
        <f t="shared" si="7"/>
        <v>0</v>
      </c>
      <c r="S66" s="467"/>
      <c r="T66" s="430">
        <f>ROUND('7.1a Initial Allocations YR2'!R66,0)</f>
        <v>271262</v>
      </c>
      <c r="U66" s="467"/>
      <c r="V66" s="430">
        <f t="shared" si="8"/>
        <v>7223265</v>
      </c>
      <c r="X66" s="375">
        <f>IF(F66=0,0,IF(V66=0,0,V66/'6.9 PCFP Funding Comparison YR2'!D61))</f>
        <v>10378.995433055805</v>
      </c>
    </row>
    <row r="67" spans="1:24" x14ac:dyDescent="0.3">
      <c r="A67" s="4"/>
      <c r="B67" s="106" t="str">
        <f>'5.2 Budgeted Enrollment YR2'!E64</f>
        <v>Innovations Int'l Charter</v>
      </c>
      <c r="D67" s="9" t="str">
        <f t="shared" si="5"/>
        <v>PCFP</v>
      </c>
      <c r="E67" s="112" t="str">
        <f t="shared" si="6"/>
        <v>PCFP</v>
      </c>
      <c r="F67" s="430" cm="1">
        <f t="array" ref="F67">ROUND(SUM('7.1a Initial Allocations YR2'!E67:E67+H67)*$K$3,0)</f>
        <v>6470997</v>
      </c>
      <c r="G67" s="854">
        <f>ROUND(IF(F67=0,0,F67/'6.9 PCFP Funding Comparison YR2'!D62),0)</f>
        <v>9486</v>
      </c>
      <c r="H67" s="1448">
        <f>$Y$33*'6.8 Alloc of Residual Rev. YR2'!D68</f>
        <v>0</v>
      </c>
      <c r="I67" s="859">
        <f>ROUND('7.1a Initial Allocations YR2'!G67*$K$3,2)</f>
        <v>768386.4</v>
      </c>
      <c r="J67" s="430">
        <f>ROUND('7.1a Initial Allocations YR2'!H67*$K$3,0)</f>
        <v>202532</v>
      </c>
      <c r="K67" s="854">
        <f>ROUND('7.1a Initial Allocations YR2'!I67*$K$3,0)</f>
        <v>0</v>
      </c>
      <c r="L67" s="430">
        <f>ROUND('7.1a Initial Allocations YR2'!J67*$K$3,0)</f>
        <v>970918</v>
      </c>
      <c r="M67" s="467"/>
      <c r="N67" s="158">
        <f>ROUND('7.1a Initial Allocations YR2'!L67,2)</f>
        <v>0</v>
      </c>
      <c r="O67" s="141">
        <v>0</v>
      </c>
      <c r="P67" s="115">
        <v>0</v>
      </c>
      <c r="Q67" s="115"/>
      <c r="R67" s="430">
        <f t="shared" si="7"/>
        <v>0</v>
      </c>
      <c r="S67" s="467"/>
      <c r="T67" s="430">
        <f>ROUND('7.1a Initial Allocations YR2'!R67,0)</f>
        <v>73393</v>
      </c>
      <c r="U67" s="467"/>
      <c r="V67" s="430">
        <f t="shared" si="8"/>
        <v>7515308</v>
      </c>
      <c r="X67" s="375">
        <f>IF(F67=0,0,IF(V67=0,0,V67/'6.9 PCFP Funding Comparison YR2'!D62))</f>
        <v>11017.176186428656</v>
      </c>
    </row>
    <row r="68" spans="1:24" x14ac:dyDescent="0.3">
      <c r="A68" s="4"/>
      <c r="B68" s="106" t="str">
        <f>'5.2 Budgeted Enrollment YR2'!E65</f>
        <v>Leadership Academy of Nevada</v>
      </c>
      <c r="D68" s="9" t="str">
        <f t="shared" si="5"/>
        <v>PCFP</v>
      </c>
      <c r="E68" s="112" t="str">
        <f t="shared" si="6"/>
        <v>PCFP</v>
      </c>
      <c r="F68" s="430" cm="1">
        <f t="array" ref="F68">ROUND(SUM('7.1a Initial Allocations YR2'!E68:E68+H68)*$K$3,0)</f>
        <v>2726414</v>
      </c>
      <c r="G68" s="854">
        <f>ROUND(IF(F68=0,0,F68/'6.9 PCFP Funding Comparison YR2'!D63),0)</f>
        <v>9486</v>
      </c>
      <c r="H68" s="1448">
        <f>$Y$33*'6.8 Alloc of Residual Rev. YR2'!D69</f>
        <v>0</v>
      </c>
      <c r="I68" s="859">
        <f>ROUND('7.1a Initial Allocations YR2'!G68*$K$3,2)</f>
        <v>21344.57</v>
      </c>
      <c r="J68" s="430">
        <f>ROUND('7.1a Initial Allocations YR2'!H68*$K$3,0)</f>
        <v>23241</v>
      </c>
      <c r="K68" s="854">
        <f>ROUND('7.1a Initial Allocations YR2'!I68*$K$3,0)</f>
        <v>0</v>
      </c>
      <c r="L68" s="430">
        <f>ROUND('7.1a Initial Allocations YR2'!J68*$K$3,0)</f>
        <v>44586</v>
      </c>
      <c r="M68" s="467"/>
      <c r="N68" s="158">
        <f>ROUND('7.1a Initial Allocations YR2'!L68,2)</f>
        <v>0</v>
      </c>
      <c r="O68" s="141">
        <v>0</v>
      </c>
      <c r="P68" s="115">
        <v>0</v>
      </c>
      <c r="Q68" s="115"/>
      <c r="R68" s="430">
        <f t="shared" si="7"/>
        <v>0</v>
      </c>
      <c r="S68" s="467"/>
      <c r="T68" s="430">
        <f>ROUND('7.1a Initial Allocations YR2'!R68,0)</f>
        <v>210794</v>
      </c>
      <c r="U68" s="467"/>
      <c r="V68" s="430">
        <f t="shared" si="8"/>
        <v>2981794</v>
      </c>
      <c r="X68" s="375">
        <f>IF(F68=0,0,IF(V68=0,0,V68/'6.9 PCFP Funding Comparison YR2'!D63))</f>
        <v>10374.818305494693</v>
      </c>
    </row>
    <row r="69" spans="1:24" x14ac:dyDescent="0.3">
      <c r="A69" s="4"/>
      <c r="B69" s="106" t="str">
        <f>'5.2 Budgeted Enrollment YR2'!E66</f>
        <v>Learning Bridge</v>
      </c>
      <c r="D69" s="9" t="str">
        <f t="shared" si="5"/>
        <v>PCFP</v>
      </c>
      <c r="E69" s="112" t="str">
        <f t="shared" si="6"/>
        <v>PCFP</v>
      </c>
      <c r="F69" s="430" cm="1">
        <f t="array" ref="F69">ROUND(SUM('7.1a Initial Allocations YR2'!E69:E69+H69)*$K$3,0)</f>
        <v>2365267</v>
      </c>
      <c r="G69" s="854">
        <f>ROUND(IF(F69=0,0,F69/'6.9 PCFP Funding Comparison YR2'!D64),0)</f>
        <v>13869</v>
      </c>
      <c r="H69" s="1448">
        <f>$Y$33*'6.8 Alloc of Residual Rev. YR2'!D70</f>
        <v>0</v>
      </c>
      <c r="I69" s="859">
        <f>ROUND('7.1a Initial Allocations YR2'!G69*$K$3,2)</f>
        <v>0</v>
      </c>
      <c r="J69" s="430">
        <f>ROUND('7.1a Initial Allocations YR2'!H69*$K$3,0)</f>
        <v>0</v>
      </c>
      <c r="K69" s="854">
        <f>ROUND('7.1a Initial Allocations YR2'!I69*$K$3,0)</f>
        <v>0</v>
      </c>
      <c r="L69" s="430">
        <f>ROUND('7.1a Initial Allocations YR2'!J69*$K$3,0)</f>
        <v>0</v>
      </c>
      <c r="M69" s="467"/>
      <c r="N69" s="158">
        <f>ROUND('7.1a Initial Allocations YR2'!L69,2)</f>
        <v>0</v>
      </c>
      <c r="O69" s="141">
        <v>0</v>
      </c>
      <c r="P69" s="115">
        <v>0</v>
      </c>
      <c r="Q69" s="115"/>
      <c r="R69" s="430">
        <f t="shared" si="7"/>
        <v>0</v>
      </c>
      <c r="S69" s="467"/>
      <c r="T69" s="430">
        <f>ROUND('7.1a Initial Allocations YR2'!R69,0)</f>
        <v>0</v>
      </c>
      <c r="U69" s="467"/>
      <c r="V69" s="430">
        <f t="shared" si="8"/>
        <v>2365267</v>
      </c>
      <c r="X69" s="375">
        <f>IF(F69=0,0,IF(V69=0,0,V69/'6.9 PCFP Funding Comparison YR2'!D64))</f>
        <v>13869.487267884306</v>
      </c>
    </row>
    <row r="70" spans="1:24" x14ac:dyDescent="0.3">
      <c r="A70" s="4"/>
      <c r="B70" s="106" t="str">
        <f>'5.2 Budgeted Enrollment YR2'!E67</f>
        <v>Legacy Traditional Schools</v>
      </c>
      <c r="D70" s="9" t="str">
        <f t="shared" si="5"/>
        <v>PCFP</v>
      </c>
      <c r="E70" s="112" t="str">
        <f t="shared" si="6"/>
        <v>PCFP</v>
      </c>
      <c r="F70" s="430" cm="1">
        <f t="array" ref="F70">ROUND(SUM('7.1a Initial Allocations YR2'!E70:E70+H70)*$K$3,0)</f>
        <v>39132192</v>
      </c>
      <c r="G70" s="854">
        <f>ROUND(IF(F70=0,0,F70/'6.9 PCFP Funding Comparison YR2'!D65),0)</f>
        <v>9486</v>
      </c>
      <c r="H70" s="1448">
        <f>$Y$33*'6.8 Alloc of Residual Rev. YR2'!D71</f>
        <v>0</v>
      </c>
      <c r="I70" s="859">
        <f>ROUND('7.1a Initial Allocations YR2'!G70*$K$3,2)</f>
        <v>1195267.74</v>
      </c>
      <c r="J70" s="430">
        <f>ROUND('7.1a Initial Allocations YR2'!H70*$K$3,0)</f>
        <v>119527</v>
      </c>
      <c r="K70" s="854">
        <f>ROUND('7.1a Initial Allocations YR2'!I70*$K$3,0)</f>
        <v>237915</v>
      </c>
      <c r="L70" s="430">
        <f>ROUND('7.1a Initial Allocations YR2'!J70*$K$3,0)</f>
        <v>1552709</v>
      </c>
      <c r="M70" s="467"/>
      <c r="N70" s="158">
        <f>ROUND('7.1a Initial Allocations YR2'!L70,2)</f>
        <v>0</v>
      </c>
      <c r="O70" s="141">
        <v>0</v>
      </c>
      <c r="P70" s="115">
        <v>0</v>
      </c>
      <c r="Q70" s="115"/>
      <c r="R70" s="430">
        <f t="shared" si="7"/>
        <v>0</v>
      </c>
      <c r="S70" s="467"/>
      <c r="T70" s="430">
        <f>ROUND('7.1a Initial Allocations YR2'!R70,0)</f>
        <v>1929178</v>
      </c>
      <c r="U70" s="467"/>
      <c r="V70" s="430">
        <f t="shared" si="8"/>
        <v>42614079</v>
      </c>
      <c r="X70" s="375">
        <f>IF(F70=0,0,IF(V70=0,0,V70/'6.9 PCFP Funding Comparison YR2'!D65))</f>
        <v>10330.315444904971</v>
      </c>
    </row>
    <row r="71" spans="1:24" x14ac:dyDescent="0.3">
      <c r="A71" s="4"/>
      <c r="B71" s="106" t="str">
        <f>'5.2 Budgeted Enrollment YR2'!E68</f>
        <v xml:space="preserve">Mariposa Language and Learning Academy </v>
      </c>
      <c r="D71" s="9" t="str">
        <f t="shared" si="5"/>
        <v>PCFP</v>
      </c>
      <c r="E71" s="112" t="str">
        <f t="shared" si="6"/>
        <v>PCFP</v>
      </c>
      <c r="F71" s="430" cm="1">
        <f t="array" ref="F71">ROUND(SUM('7.1a Initial Allocations YR2'!E71:E71+H71)*$K$3,0)</f>
        <v>1559487</v>
      </c>
      <c r="G71" s="854">
        <f>ROUND(IF(F71=0,0,F71/'6.9 PCFP Funding Comparison YR2'!D66),0)</f>
        <v>9486</v>
      </c>
      <c r="H71" s="1448">
        <f>$Y$33*'6.8 Alloc of Residual Rev. YR2'!D72</f>
        <v>0</v>
      </c>
      <c r="I71" s="859">
        <f>ROUND('7.1a Initial Allocations YR2'!G71*$K$3,2)</f>
        <v>196365.02</v>
      </c>
      <c r="J71" s="430">
        <f>ROUND('7.1a Initial Allocations YR2'!H71*$K$3,0)</f>
        <v>0</v>
      </c>
      <c r="K71" s="854">
        <f>ROUND('7.1a Initial Allocations YR2'!I71*$K$3,0)</f>
        <v>0</v>
      </c>
      <c r="L71" s="430">
        <f>ROUND('7.1a Initial Allocations YR2'!J71*$K$3,0)</f>
        <v>196365</v>
      </c>
      <c r="M71" s="467"/>
      <c r="N71" s="158">
        <f>ROUND('7.1a Initial Allocations YR2'!L71,2)</f>
        <v>0</v>
      </c>
      <c r="O71" s="141">
        <v>0</v>
      </c>
      <c r="P71" s="115">
        <v>0</v>
      </c>
      <c r="Q71" s="115"/>
      <c r="R71" s="430">
        <f t="shared" si="7"/>
        <v>0</v>
      </c>
      <c r="S71" s="467"/>
      <c r="T71" s="430">
        <f>ROUND('7.1a Initial Allocations YR2'!R71,0)</f>
        <v>60742</v>
      </c>
      <c r="U71" s="467"/>
      <c r="V71" s="430">
        <f t="shared" si="8"/>
        <v>1816594</v>
      </c>
      <c r="X71" s="375">
        <f>IF(F71=0,0,IF(V71=0,0,V71/'6.9 PCFP Funding Comparison YR2'!D66))</f>
        <v>11050.21646490021</v>
      </c>
    </row>
    <row r="72" spans="1:24" x14ac:dyDescent="0.3">
      <c r="A72" s="4"/>
      <c r="B72" s="106" t="str">
        <f>'5.2 Budgeted Enrollment YR2'!E69</f>
        <v>Mater Academy</v>
      </c>
      <c r="D72" s="9" t="str">
        <f t="shared" si="5"/>
        <v>PCFP</v>
      </c>
      <c r="E72" s="112" t="str">
        <f t="shared" si="6"/>
        <v>PCFP</v>
      </c>
      <c r="F72" s="430" cm="1">
        <f t="array" ref="F72">ROUND(SUM('7.1a Initial Allocations YR2'!E72:E72+H72)*$K$3,0)</f>
        <v>42592659</v>
      </c>
      <c r="G72" s="854">
        <f>ROUND(IF(F72=0,0,F72/'6.9 PCFP Funding Comparison YR2'!D67),0)</f>
        <v>9486</v>
      </c>
      <c r="H72" s="1448">
        <f>$Y$33*'6.8 Alloc of Residual Rev. YR2'!D73</f>
        <v>0</v>
      </c>
      <c r="I72" s="859">
        <f>ROUND('7.1a Initial Allocations YR2'!G72*$K$3,2)</f>
        <v>6228198.5899999999</v>
      </c>
      <c r="J72" s="430">
        <f>ROUND('7.1a Initial Allocations YR2'!H72*$K$3,0)</f>
        <v>16601</v>
      </c>
      <c r="K72" s="854">
        <f>ROUND('7.1a Initial Allocations YR2'!I72*$K$3,0)</f>
        <v>0</v>
      </c>
      <c r="L72" s="430">
        <f>ROUND('7.1a Initial Allocations YR2'!J72*$K$3,0)</f>
        <v>6244800</v>
      </c>
      <c r="M72" s="467"/>
      <c r="N72" s="158">
        <f>ROUND('7.1a Initial Allocations YR2'!L72,2)</f>
        <v>0</v>
      </c>
      <c r="O72" s="141">
        <v>0</v>
      </c>
      <c r="P72" s="115">
        <v>0</v>
      </c>
      <c r="Q72" s="115"/>
      <c r="R72" s="430">
        <f t="shared" si="7"/>
        <v>0</v>
      </c>
      <c r="S72" s="467"/>
      <c r="T72" s="430">
        <f>ROUND('7.1a Initial Allocations YR2'!R72,0)</f>
        <v>1865315</v>
      </c>
      <c r="U72" s="467"/>
      <c r="V72" s="430">
        <f t="shared" si="8"/>
        <v>50702774</v>
      </c>
      <c r="X72" s="375">
        <f>IF(F72=0,0,IF(V72=0,0,V72/'6.9 PCFP Funding Comparison YR2'!D67))</f>
        <v>11292.539492587101</v>
      </c>
    </row>
    <row r="73" spans="1:24" x14ac:dyDescent="0.3">
      <c r="A73" s="4"/>
      <c r="B73" s="106" t="str">
        <f>'5.2 Budgeted Enrollment YR2'!E70</f>
        <v>Mater Academy of Northern Nevada</v>
      </c>
      <c r="D73" s="9" t="str">
        <f t="shared" si="5"/>
        <v>PCFP</v>
      </c>
      <c r="E73" s="112" t="str">
        <f t="shared" si="6"/>
        <v>PCFP</v>
      </c>
      <c r="F73" s="430" cm="1">
        <f t="array" ref="F73">ROUND(SUM('7.1a Initial Allocations YR2'!E73:E73+H73)*$K$3,0)</f>
        <v>4770192</v>
      </c>
      <c r="G73" s="854">
        <f>ROUND(IF(F73=0,0,F73/'6.9 PCFP Funding Comparison YR2'!D68),0)</f>
        <v>9486</v>
      </c>
      <c r="H73" s="1448">
        <f>$Y$33*'6.8 Alloc of Residual Rev. YR2'!D74</f>
        <v>0</v>
      </c>
      <c r="I73" s="859">
        <f>ROUND('7.1a Initial Allocations YR2'!G73*$K$3,2)</f>
        <v>567752.48</v>
      </c>
      <c r="J73" s="430">
        <f>ROUND('7.1a Initial Allocations YR2'!H73*$K$3,0)</f>
        <v>6640</v>
      </c>
      <c r="K73" s="854">
        <f>ROUND('7.1a Initial Allocations YR2'!I73*$K$3,0)</f>
        <v>0</v>
      </c>
      <c r="L73" s="430">
        <f>ROUND('7.1a Initial Allocations YR2'!J73*$K$3,0)</f>
        <v>574392</v>
      </c>
      <c r="M73" s="467"/>
      <c r="N73" s="158">
        <f>ROUND('7.1a Initial Allocations YR2'!L73,2)</f>
        <v>0</v>
      </c>
      <c r="O73" s="141">
        <v>0</v>
      </c>
      <c r="P73" s="115">
        <v>0</v>
      </c>
      <c r="Q73" s="115"/>
      <c r="R73" s="430">
        <f t="shared" si="7"/>
        <v>0</v>
      </c>
      <c r="S73" s="467"/>
      <c r="T73" s="430">
        <f>ROUND('7.1a Initial Allocations YR2'!R73,0)</f>
        <v>53862</v>
      </c>
      <c r="U73" s="467"/>
      <c r="V73" s="430">
        <f t="shared" si="8"/>
        <v>5398446</v>
      </c>
      <c r="X73" s="375">
        <f>IF(F73=0,0,IF(V73=0,0,V73/'6.9 PCFP Funding Comparison YR2'!D68))</f>
        <v>10735.630670991952</v>
      </c>
    </row>
    <row r="74" spans="1:24" x14ac:dyDescent="0.3">
      <c r="A74" s="4"/>
      <c r="B74" s="106" t="str">
        <f>'5.2 Budgeted Enrollment YR2'!E71</f>
        <v>Nevada Connections Academy</v>
      </c>
      <c r="D74" s="9" t="str">
        <f t="shared" si="5"/>
        <v>PCFP</v>
      </c>
      <c r="E74" s="112" t="str">
        <f t="shared" si="6"/>
        <v>PCFP</v>
      </c>
      <c r="F74" s="430" cm="1">
        <f t="array" ref="F74">ROUND(SUM('7.1a Initial Allocations YR2'!E74:E74+H74)*$K$3,0)</f>
        <v>11391155</v>
      </c>
      <c r="G74" s="854">
        <f>ROUND(IF(F74=0,0,F74/'6.9 PCFP Funding Comparison YR2'!D69),0)</f>
        <v>9486</v>
      </c>
      <c r="H74" s="1448">
        <f>$Y$33*'6.8 Alloc of Residual Rev. YR2'!D75</f>
        <v>0</v>
      </c>
      <c r="I74" s="859">
        <f>ROUND('7.1a Initial Allocations YR2'!G74*$K$3,2)</f>
        <v>162214.71</v>
      </c>
      <c r="J74" s="430">
        <f>ROUND('7.1a Initial Allocations YR2'!H74*$K$3,0)</f>
        <v>99606</v>
      </c>
      <c r="K74" s="854">
        <f>ROUND('7.1a Initial Allocations YR2'!I74*$K$3,0)</f>
        <v>0</v>
      </c>
      <c r="L74" s="430">
        <f>ROUND('7.1a Initial Allocations YR2'!J74*$K$3,0)</f>
        <v>261820</v>
      </c>
      <c r="M74" s="467"/>
      <c r="N74" s="158">
        <f>ROUND('7.1a Initial Allocations YR2'!L74,2)</f>
        <v>0</v>
      </c>
      <c r="O74" s="141">
        <v>0</v>
      </c>
      <c r="P74" s="115">
        <v>0</v>
      </c>
      <c r="Q74" s="115"/>
      <c r="R74" s="430">
        <f t="shared" si="7"/>
        <v>0</v>
      </c>
      <c r="S74" s="467"/>
      <c r="T74" s="430">
        <f>ROUND('7.1a Initial Allocations YR2'!R74,0)</f>
        <v>0</v>
      </c>
      <c r="U74" s="467"/>
      <c r="V74" s="430">
        <f t="shared" si="8"/>
        <v>11652975</v>
      </c>
      <c r="X74" s="375">
        <f>IF(F74=0,0,IF(V74=0,0,V74/'6.9 PCFP Funding Comparison YR2'!D69))</f>
        <v>9704.2891017347483</v>
      </c>
    </row>
    <row r="75" spans="1:24" x14ac:dyDescent="0.3">
      <c r="A75" s="4"/>
      <c r="B75" s="106" t="str">
        <f>'5.2 Budgeted Enrollment YR2'!E72</f>
        <v>Nevada Prep</v>
      </c>
      <c r="D75" s="9" t="str">
        <f t="shared" si="5"/>
        <v>PCFP</v>
      </c>
      <c r="E75" s="112" t="str">
        <f t="shared" si="6"/>
        <v>PCFP</v>
      </c>
      <c r="F75" s="430" cm="1">
        <f t="array" ref="F75">ROUND(SUM('7.1a Initial Allocations YR2'!E75:E75+H75)*$K$3,0)</f>
        <v>2895568</v>
      </c>
      <c r="G75" s="854">
        <f>ROUND(IF(F75=0,0,F75/'6.9 PCFP Funding Comparison YR2'!D70),0)</f>
        <v>9486</v>
      </c>
      <c r="H75" s="1448">
        <f>$Y$33*'6.8 Alloc of Residual Rev. YR2'!D76</f>
        <v>0</v>
      </c>
      <c r="I75" s="859">
        <f>ROUND('7.1a Initial Allocations YR2'!G75*$K$3,2)</f>
        <v>315892.59000000003</v>
      </c>
      <c r="J75" s="430">
        <f>ROUND('7.1a Initial Allocations YR2'!H75*$K$3,0)</f>
        <v>92966</v>
      </c>
      <c r="K75" s="854">
        <f>ROUND('7.1a Initial Allocations YR2'!I75*$K$3,0)</f>
        <v>0</v>
      </c>
      <c r="L75" s="430">
        <f>ROUND('7.1a Initial Allocations YR2'!J75*$K$3,0)</f>
        <v>408858</v>
      </c>
      <c r="M75" s="467"/>
      <c r="N75" s="158">
        <f>ROUND('7.1a Initial Allocations YR2'!L75,2)</f>
        <v>0</v>
      </c>
      <c r="O75" s="141">
        <v>0</v>
      </c>
      <c r="P75" s="115">
        <v>0</v>
      </c>
      <c r="Q75" s="115"/>
      <c r="R75" s="430">
        <f t="shared" si="7"/>
        <v>0</v>
      </c>
      <c r="S75" s="467"/>
      <c r="T75" s="430">
        <f>ROUND('7.1a Initial Allocations YR2'!R75,0)</f>
        <v>180975</v>
      </c>
      <c r="U75" s="467"/>
      <c r="V75" s="430">
        <f t="shared" si="8"/>
        <v>3485401</v>
      </c>
      <c r="X75" s="375">
        <f>IF(F75=0,0,IF(V75=0,0,V75/'6.9 PCFP Funding Comparison YR2'!D70))</f>
        <v>11418.62013912226</v>
      </c>
    </row>
    <row r="76" spans="1:24" x14ac:dyDescent="0.3">
      <c r="A76" s="4"/>
      <c r="B76" s="106" t="str">
        <f>'5.2 Budgeted Enrollment YR2'!E73</f>
        <v xml:space="preserve">Nevada Rise </v>
      </c>
      <c r="D76" s="9" t="str">
        <f t="shared" si="5"/>
        <v>PCFP</v>
      </c>
      <c r="E76" s="112" t="str">
        <f t="shared" si="6"/>
        <v>PCFP</v>
      </c>
      <c r="F76" s="430" cm="1">
        <f t="array" ref="F76">ROUND(SUM('7.1a Initial Allocations YR2'!E76:E76+H76)*$K$3,0)</f>
        <v>3534345</v>
      </c>
      <c r="G76" s="854">
        <f>ROUND(IF(F76=0,0,F76/'6.9 PCFP Funding Comparison YR2'!D71),0)</f>
        <v>9486</v>
      </c>
      <c r="H76" s="1448">
        <f>$Y$33*'6.8 Alloc of Residual Rev. YR2'!D77</f>
        <v>0</v>
      </c>
      <c r="I76" s="859">
        <f>ROUND('7.1a Initial Allocations YR2'!G76*$K$3,2)</f>
        <v>149408.97</v>
      </c>
      <c r="J76" s="430">
        <f>ROUND('7.1a Initial Allocations YR2'!H76*$K$3,0)</f>
        <v>3320</v>
      </c>
      <c r="K76" s="854">
        <f>ROUND('7.1a Initial Allocations YR2'!I76*$K$3,0)</f>
        <v>0</v>
      </c>
      <c r="L76" s="430">
        <f>ROUND('7.1a Initial Allocations YR2'!J76*$K$3,0)</f>
        <v>152729</v>
      </c>
      <c r="M76" s="467"/>
      <c r="N76" s="158">
        <f>ROUND('7.1a Initial Allocations YR2'!L76,2)</f>
        <v>0</v>
      </c>
      <c r="O76" s="141">
        <v>0</v>
      </c>
      <c r="P76" s="115">
        <v>0</v>
      </c>
      <c r="Q76" s="115"/>
      <c r="R76" s="430">
        <f t="shared" si="7"/>
        <v>0</v>
      </c>
      <c r="S76" s="467"/>
      <c r="T76" s="430">
        <f>ROUND('7.1a Initial Allocations YR2'!R76,0)</f>
        <v>334053</v>
      </c>
      <c r="U76" s="467"/>
      <c r="V76" s="430">
        <f t="shared" si="8"/>
        <v>4021127</v>
      </c>
      <c r="X76" s="375">
        <f>IF(F76=0,0,IF(V76=0,0,V76/'6.9 PCFP Funding Comparison YR2'!D71))</f>
        <v>10792.784798926445</v>
      </c>
    </row>
    <row r="77" spans="1:24" x14ac:dyDescent="0.3">
      <c r="A77" s="4"/>
      <c r="B77" s="106" t="str">
        <f>'5.2 Budgeted Enrollment YR2'!E74</f>
        <v>Nevada State High School</v>
      </c>
      <c r="D77" s="9" t="str">
        <f t="shared" si="5"/>
        <v>PCFP</v>
      </c>
      <c r="E77" s="112" t="str">
        <f t="shared" si="6"/>
        <v>PCFP</v>
      </c>
      <c r="F77" s="430" cm="1">
        <f t="array" ref="F77">ROUND(SUM('7.1a Initial Allocations YR2'!E77:E77+H77)*$K$3,0)</f>
        <v>8663533</v>
      </c>
      <c r="G77" s="854">
        <f>ROUND(IF(F77=0,0,F77/'6.9 PCFP Funding Comparison YR2'!D72),0)</f>
        <v>9486</v>
      </c>
      <c r="H77" s="1448">
        <f>$Y$33*'6.8 Alloc of Residual Rev. YR2'!D78</f>
        <v>0</v>
      </c>
      <c r="I77" s="859">
        <f>ROUND('7.1a Initial Allocations YR2'!G77*$K$3,2)</f>
        <v>102451.92</v>
      </c>
      <c r="J77" s="430">
        <f>ROUND('7.1a Initial Allocations YR2'!H77*$K$3,0)</f>
        <v>3320</v>
      </c>
      <c r="K77" s="854">
        <f>ROUND('7.1a Initial Allocations YR2'!I77*$K$3,0)</f>
        <v>0</v>
      </c>
      <c r="L77" s="430">
        <f>ROUND('7.1a Initial Allocations YR2'!J77*$K$3,0)</f>
        <v>105772</v>
      </c>
      <c r="M77" s="467"/>
      <c r="N77" s="158">
        <f>ROUND('7.1a Initial Allocations YR2'!L77,2)</f>
        <v>0</v>
      </c>
      <c r="O77" s="141">
        <v>0</v>
      </c>
      <c r="P77" s="115">
        <v>0</v>
      </c>
      <c r="Q77" s="115"/>
      <c r="R77" s="430">
        <f t="shared" si="7"/>
        <v>0</v>
      </c>
      <c r="S77" s="467"/>
      <c r="T77" s="430">
        <f>ROUND('7.1a Initial Allocations YR2'!R77,0)</f>
        <v>9728</v>
      </c>
      <c r="U77" s="467"/>
      <c r="V77" s="430">
        <f t="shared" si="8"/>
        <v>8779033</v>
      </c>
      <c r="X77" s="375">
        <f>IF(F77=0,0,IF(V77=0,0,V77/'6.9 PCFP Funding Comparison YR2'!D72))</f>
        <v>9612.7203956076883</v>
      </c>
    </row>
    <row r="78" spans="1:24" x14ac:dyDescent="0.3">
      <c r="A78" s="4"/>
      <c r="B78" s="106" t="str">
        <f>'5.2 Budgeted Enrollment YR2'!E75</f>
        <v>Nevada State High School-Meadowwood</v>
      </c>
      <c r="D78" s="9" t="str">
        <f t="shared" si="5"/>
        <v>PCFP</v>
      </c>
      <c r="E78" s="112" t="str">
        <f t="shared" si="6"/>
        <v>PCFP</v>
      </c>
      <c r="F78" s="430" cm="1">
        <f t="array" ref="F78">ROUND(SUM('7.1a Initial Allocations YR2'!E78:E78+H78)*$K$3,0)</f>
        <v>286452</v>
      </c>
      <c r="G78" s="854">
        <f>ROUND(IF(F78=0,0,F78/'6.9 PCFP Funding Comparison YR2'!D73),0)</f>
        <v>9486</v>
      </c>
      <c r="H78" s="1448">
        <f>$Y$33*'6.8 Alloc of Residual Rev. YR2'!D79</f>
        <v>0</v>
      </c>
      <c r="I78" s="859">
        <f>ROUND('7.1a Initial Allocations YR2'!G78*$K$3,2)</f>
        <v>0</v>
      </c>
      <c r="J78" s="430">
        <f>ROUND('7.1a Initial Allocations YR2'!H78*$K$3,0)</f>
        <v>0</v>
      </c>
      <c r="K78" s="854">
        <f>ROUND('7.1a Initial Allocations YR2'!I78*$K$3,0)</f>
        <v>0</v>
      </c>
      <c r="L78" s="430">
        <f>ROUND('7.1a Initial Allocations YR2'!J78*$K$3,0)</f>
        <v>0</v>
      </c>
      <c r="M78" s="467"/>
      <c r="N78" s="158">
        <f>ROUND('7.1a Initial Allocations YR2'!L78,2)</f>
        <v>0</v>
      </c>
      <c r="O78" s="141">
        <v>0</v>
      </c>
      <c r="P78" s="115">
        <v>0</v>
      </c>
      <c r="Q78" s="115"/>
      <c r="R78" s="430">
        <f t="shared" si="7"/>
        <v>0</v>
      </c>
      <c r="S78" s="467"/>
      <c r="T78" s="430">
        <f>ROUND('7.1a Initial Allocations YR2'!R78,0)</f>
        <v>0</v>
      </c>
      <c r="U78" s="467"/>
      <c r="V78" s="430">
        <f t="shared" si="8"/>
        <v>286452</v>
      </c>
      <c r="X78" s="375">
        <f>IF(F78=0,0,IF(V78=0,0,V78/'6.9 PCFP Funding Comparison YR2'!D73))</f>
        <v>9486.2294913584774</v>
      </c>
    </row>
    <row r="79" spans="1:24" x14ac:dyDescent="0.3">
      <c r="A79" s="4"/>
      <c r="B79" s="106" t="str">
        <f>'5.2 Budgeted Enrollment YR2'!E76</f>
        <v>Nevada Virtual Academy</v>
      </c>
      <c r="D79" s="9" t="str">
        <f t="shared" si="5"/>
        <v>PCFP</v>
      </c>
      <c r="E79" s="112" t="str">
        <f t="shared" si="6"/>
        <v>PCFP</v>
      </c>
      <c r="F79" s="430" cm="1">
        <f t="array" ref="F79">ROUND(SUM('7.1a Initial Allocations YR2'!E79:E79+H79)*$K$3,0)</f>
        <v>17264701</v>
      </c>
      <c r="G79" s="854">
        <f>ROUND(IF(F79=0,0,F79/'6.9 PCFP Funding Comparison YR2'!D74),0)</f>
        <v>9486</v>
      </c>
      <c r="H79" s="1448">
        <f>$Y$33*'6.8 Alloc of Residual Rev. YR2'!D80</f>
        <v>0</v>
      </c>
      <c r="I79" s="859">
        <f>ROUND('7.1a Initial Allocations YR2'!G79*$K$3,2)</f>
        <v>337236.16</v>
      </c>
      <c r="J79" s="430">
        <f>ROUND('7.1a Initial Allocations YR2'!H79*$K$3,0)</f>
        <v>258975</v>
      </c>
      <c r="K79" s="854">
        <f>ROUND('7.1a Initial Allocations YR2'!I79*$K$3,0)</f>
        <v>0</v>
      </c>
      <c r="L79" s="430">
        <f>ROUND('7.1a Initial Allocations YR2'!J79*$K$3,0)</f>
        <v>596211</v>
      </c>
      <c r="M79" s="467"/>
      <c r="N79" s="158">
        <f>ROUND('7.1a Initial Allocations YR2'!L79,2)</f>
        <v>0</v>
      </c>
      <c r="O79" s="141">
        <v>0</v>
      </c>
      <c r="P79" s="115">
        <v>0</v>
      </c>
      <c r="Q79" s="115"/>
      <c r="R79" s="430">
        <f t="shared" si="7"/>
        <v>0</v>
      </c>
      <c r="S79" s="467"/>
      <c r="T79" s="430">
        <f>ROUND('7.1a Initial Allocations YR2'!R79,0)</f>
        <v>513939</v>
      </c>
      <c r="U79" s="467"/>
      <c r="V79" s="430">
        <f t="shared" si="8"/>
        <v>18374851</v>
      </c>
      <c r="X79" s="375">
        <f>IF(F79=0,0,IF(V79=0,0,V79/'6.9 PCFP Funding Comparison YR2'!D74))</f>
        <v>10096.234496837935</v>
      </c>
    </row>
    <row r="80" spans="1:24" x14ac:dyDescent="0.3">
      <c r="A80" s="4"/>
      <c r="B80" s="106" t="str">
        <f>'5.2 Budgeted Enrollment YR2'!E77</f>
        <v>Oasis Academy</v>
      </c>
      <c r="D80" s="9" t="str">
        <f t="shared" si="5"/>
        <v>PCFP</v>
      </c>
      <c r="E80" s="112" t="str">
        <f t="shared" si="6"/>
        <v>PCFP</v>
      </c>
      <c r="F80" s="430" cm="1">
        <f t="array" ref="F80">ROUND(SUM('7.1a Initial Allocations YR2'!E80:E80+H80)*$K$3,0)</f>
        <v>8521099</v>
      </c>
      <c r="G80" s="854">
        <f>ROUND(IF(F80=0,0,F80/'6.9 PCFP Funding Comparison YR2'!D75),0)</f>
        <v>10846</v>
      </c>
      <c r="H80" s="1448">
        <f>$Y$33*'6.8 Alloc of Residual Rev. YR2'!D81</f>
        <v>0</v>
      </c>
      <c r="I80" s="859">
        <f>ROUND('7.1a Initial Allocations YR2'!G80*$K$3,2)</f>
        <v>85376.27</v>
      </c>
      <c r="J80" s="430">
        <f>ROUND('7.1a Initial Allocations YR2'!H80*$K$3,0)</f>
        <v>0</v>
      </c>
      <c r="K80" s="854">
        <f>ROUND('7.1a Initial Allocations YR2'!I80*$K$3,0)</f>
        <v>0</v>
      </c>
      <c r="L80" s="430">
        <f>ROUND('7.1a Initial Allocations YR2'!J80*$K$3,0)</f>
        <v>85376</v>
      </c>
      <c r="M80" s="467"/>
      <c r="N80" s="158">
        <f>ROUND('7.1a Initial Allocations YR2'!L80,2)</f>
        <v>0</v>
      </c>
      <c r="O80" s="141">
        <v>0</v>
      </c>
      <c r="P80" s="115">
        <v>0</v>
      </c>
      <c r="Q80" s="115"/>
      <c r="R80" s="430">
        <f t="shared" si="7"/>
        <v>0</v>
      </c>
      <c r="S80" s="467"/>
      <c r="T80" s="430">
        <f>ROUND('7.1a Initial Allocations YR2'!R80,0)</f>
        <v>573004</v>
      </c>
      <c r="U80" s="467"/>
      <c r="V80" s="430">
        <f t="shared" si="8"/>
        <v>9179479</v>
      </c>
      <c r="X80" s="375">
        <f>IF(F80=0,0,IF(V80=0,0,V80/'6.9 PCFP Funding Comparison YR2'!D75))</f>
        <v>11684.128465364158</v>
      </c>
    </row>
    <row r="81" spans="1:27" x14ac:dyDescent="0.3">
      <c r="A81" s="4"/>
      <c r="B81" s="106" t="str">
        <f>'5.2 Budgeted Enrollment YR2'!E78</f>
        <v>Odyssey Charter Schools</v>
      </c>
      <c r="D81" s="9" t="str">
        <f t="shared" si="5"/>
        <v>PCFP</v>
      </c>
      <c r="E81" s="112" t="str">
        <f t="shared" si="6"/>
        <v>PCFP</v>
      </c>
      <c r="F81" s="430" cm="1">
        <f t="array" ref="F81">ROUND(SUM('7.1a Initial Allocations YR2'!E81:E81+H81)*$K$3,0)</f>
        <v>22774497</v>
      </c>
      <c r="G81" s="854">
        <f>ROUND(IF(F81=0,0,F81/'6.9 PCFP Funding Comparison YR2'!D76),0)</f>
        <v>9486</v>
      </c>
      <c r="H81" s="1448">
        <f>$Y$33*'6.8 Alloc of Residual Rev. YR2'!D82</f>
        <v>0</v>
      </c>
      <c r="I81" s="859">
        <f>ROUND('7.1a Initial Allocations YR2'!G81*$K$3,2)</f>
        <v>473838.38</v>
      </c>
      <c r="J81" s="430">
        <f>ROUND('7.1a Initial Allocations YR2'!H81*$K$3,0)</f>
        <v>932973</v>
      </c>
      <c r="K81" s="854">
        <f>ROUND('7.1a Initial Allocations YR2'!I81*$K$3,0)</f>
        <v>0</v>
      </c>
      <c r="L81" s="430">
        <f>ROUND('7.1a Initial Allocations YR2'!J81*$K$3,0)</f>
        <v>1406812</v>
      </c>
      <c r="M81" s="467"/>
      <c r="N81" s="158">
        <f>ROUND('7.1a Initial Allocations YR2'!L81,2)</f>
        <v>0</v>
      </c>
      <c r="O81" s="141">
        <v>0</v>
      </c>
      <c r="P81" s="115">
        <v>0</v>
      </c>
      <c r="Q81" s="115"/>
      <c r="R81" s="430">
        <f t="shared" si="7"/>
        <v>0</v>
      </c>
      <c r="S81" s="467"/>
      <c r="T81" s="430">
        <f>ROUND('7.1a Initial Allocations YR2'!R81,0)</f>
        <v>2396373</v>
      </c>
      <c r="U81" s="467"/>
      <c r="V81" s="430">
        <f t="shared" si="8"/>
        <v>26577682</v>
      </c>
      <c r="X81" s="375">
        <f>IF(F81=0,0,IF(V81=0,0,V81/'6.9 PCFP Funding Comparison YR2'!D76))</f>
        <v>11070.390750401933</v>
      </c>
    </row>
    <row r="82" spans="1:27" x14ac:dyDescent="0.3">
      <c r="A82" s="4"/>
      <c r="B82" s="106" t="str">
        <f>'5.2 Budgeted Enrollment YR2'!E79</f>
        <v>Pinecrest Academy of Northern Nevada</v>
      </c>
      <c r="D82" s="9" t="str">
        <f t="shared" si="5"/>
        <v>PCFP</v>
      </c>
      <c r="E82" s="112" t="str">
        <f t="shared" si="6"/>
        <v>PCFP</v>
      </c>
      <c r="F82" s="430" cm="1">
        <f t="array" ref="F82">ROUND(SUM('7.1a Initial Allocations YR2'!E82:E82+H82)*$K$3,0)</f>
        <v>9698668</v>
      </c>
      <c r="G82" s="854">
        <f>ROUND(IF(F82=0,0,F82/'6.9 PCFP Funding Comparison YR2'!D77),0)</f>
        <v>9486</v>
      </c>
      <c r="H82" s="1448">
        <f>$Y$33*'6.8 Alloc of Residual Rev. YR2'!D83</f>
        <v>0</v>
      </c>
      <c r="I82" s="859">
        <f>ROUND('7.1a Initial Allocations YR2'!G82*$K$3,2)</f>
        <v>76838.44</v>
      </c>
      <c r="J82" s="430">
        <f>ROUND('7.1a Initial Allocations YR2'!H82*$K$3,0)</f>
        <v>0</v>
      </c>
      <c r="K82" s="854">
        <f>ROUND('7.1a Initial Allocations YR2'!I82*$K$3,0)</f>
        <v>70578</v>
      </c>
      <c r="L82" s="430">
        <f>ROUND('7.1a Initial Allocations YR2'!J82*$K$3,0)</f>
        <v>147416</v>
      </c>
      <c r="M82" s="467"/>
      <c r="N82" s="158">
        <f>ROUND('7.1a Initial Allocations YR2'!L82,2)</f>
        <v>0</v>
      </c>
      <c r="O82" s="141">
        <v>0</v>
      </c>
      <c r="P82" s="115">
        <v>0</v>
      </c>
      <c r="Q82" s="115"/>
      <c r="R82" s="430">
        <f t="shared" si="7"/>
        <v>0</v>
      </c>
      <c r="S82" s="467"/>
      <c r="T82" s="430">
        <f>ROUND('7.1a Initial Allocations YR2'!R82,0)</f>
        <v>1248935</v>
      </c>
      <c r="U82" s="467"/>
      <c r="V82" s="430">
        <f t="shared" si="8"/>
        <v>11095019</v>
      </c>
      <c r="X82" s="375">
        <f>IF(F82=0,0,IF(V82=0,0,V82/'6.9 PCFP Funding Comparison YR2'!D77))</f>
        <v>10852.020424916105</v>
      </c>
    </row>
    <row r="83" spans="1:27" x14ac:dyDescent="0.3">
      <c r="A83" s="4"/>
      <c r="B83" s="106" t="str">
        <f>'5.2 Budgeted Enrollment YR2'!E80</f>
        <v>Pinecrest Academy of Nevada</v>
      </c>
      <c r="D83" s="9" t="str">
        <f t="shared" si="5"/>
        <v>PCFP</v>
      </c>
      <c r="E83" s="112" t="str">
        <f t="shared" si="6"/>
        <v>PCFP</v>
      </c>
      <c r="F83" s="430" cm="1">
        <f t="array" ref="F83">ROUND(SUM('7.1a Initial Allocations YR2'!E83:E83+H83)*$K$3,0)</f>
        <v>76410350</v>
      </c>
      <c r="G83" s="854">
        <f>ROUND(IF(F83=0,0,F83/'6.9 PCFP Funding Comparison YR2'!D78),0)</f>
        <v>9486</v>
      </c>
      <c r="H83" s="1448">
        <f>$Y$33*'6.8 Alloc of Residual Rev. YR2'!D84</f>
        <v>0</v>
      </c>
      <c r="I83" s="859">
        <f>ROUND('7.1a Initial Allocations YR2'!G83*$K$3,2)</f>
        <v>832419.1</v>
      </c>
      <c r="J83" s="430">
        <f>ROUND('7.1a Initial Allocations YR2'!H83*$K$3,0)</f>
        <v>421664</v>
      </c>
      <c r="K83" s="854">
        <f>ROUND('7.1a Initial Allocations YR2'!I83*$K$3,0)</f>
        <v>450787</v>
      </c>
      <c r="L83" s="430">
        <f>ROUND('7.1a Initial Allocations YR2'!J83*$K$3,0)</f>
        <v>1704870</v>
      </c>
      <c r="M83" s="467"/>
      <c r="N83" s="158">
        <f>ROUND('7.1a Initial Allocations YR2'!L83,2)</f>
        <v>0</v>
      </c>
      <c r="O83" s="141">
        <v>0</v>
      </c>
      <c r="P83" s="115">
        <v>0</v>
      </c>
      <c r="Q83" s="115"/>
      <c r="R83" s="430">
        <f t="shared" si="7"/>
        <v>0</v>
      </c>
      <c r="S83" s="467"/>
      <c r="T83" s="430">
        <f>ROUND('7.1a Initial Allocations YR2'!R83,0)</f>
        <v>143895</v>
      </c>
      <c r="U83" s="467"/>
      <c r="V83" s="430">
        <f t="shared" si="8"/>
        <v>78259115</v>
      </c>
      <c r="X83" s="375">
        <f>IF(F83=0,0,IF(V83=0,0,V83/'6.9 PCFP Funding Comparison YR2'!D78))</f>
        <v>9715.7737530494269</v>
      </c>
    </row>
    <row r="84" spans="1:27" x14ac:dyDescent="0.3">
      <c r="A84" s="4"/>
      <c r="B84" s="106" t="str">
        <f>'5.2 Budgeted Enrollment YR2'!E81</f>
        <v>Pioneer Technical Arts Academy</v>
      </c>
      <c r="D84" s="9" t="str">
        <f t="shared" si="5"/>
        <v>PCFP</v>
      </c>
      <c r="E84" s="112" t="str">
        <f t="shared" si="6"/>
        <v>PCFP</v>
      </c>
      <c r="F84" s="430" cm="1">
        <f t="array" ref="F84">ROUND(SUM('7.1a Initial Allocations YR2'!E84:E84+H84)*$K$3,0)</f>
        <v>2503173</v>
      </c>
      <c r="G84" s="854">
        <f>ROUND(IF(F84=0,0,F84/'6.9 PCFP Funding Comparison YR2'!D79),0)</f>
        <v>9486</v>
      </c>
      <c r="H84" s="1448">
        <f>$Y$33*'6.8 Alloc of Residual Rev. YR2'!D85</f>
        <v>0</v>
      </c>
      <c r="I84" s="859">
        <f>ROUND('7.1a Initial Allocations YR2'!G84*$K$3,2)</f>
        <v>0</v>
      </c>
      <c r="J84" s="430">
        <f>ROUND('7.1a Initial Allocations YR2'!H84*$K$3,0)</f>
        <v>0</v>
      </c>
      <c r="K84" s="854">
        <f>ROUND('7.1a Initial Allocations YR2'!I84*$K$3,0)</f>
        <v>0</v>
      </c>
      <c r="L84" s="430">
        <f>ROUND('7.1a Initial Allocations YR2'!J84*$K$3,0)</f>
        <v>0</v>
      </c>
      <c r="M84" s="467"/>
      <c r="N84" s="158">
        <f>ROUND('7.1a Initial Allocations YR2'!L84,2)</f>
        <v>0</v>
      </c>
      <c r="O84" s="141">
        <v>0</v>
      </c>
      <c r="P84" s="115">
        <v>0</v>
      </c>
      <c r="Q84" s="115"/>
      <c r="R84" s="430">
        <f t="shared" ref="R84" si="10">SUM(N84:P84)</f>
        <v>0</v>
      </c>
      <c r="S84" s="467"/>
      <c r="T84" s="430">
        <f>ROUND('7.1a Initial Allocations YR2'!R84,0)</f>
        <v>0</v>
      </c>
      <c r="U84" s="467"/>
      <c r="V84" s="430">
        <f t="shared" si="8"/>
        <v>2503173</v>
      </c>
      <c r="X84" s="375">
        <f>IF(F84=0,0,IF(V84=0,0,V84/'6.9 PCFP Funding Comparison YR2'!D79))</f>
        <v>9486.2493263452016</v>
      </c>
      <c r="Z84" s="9" t="s">
        <v>370</v>
      </c>
    </row>
    <row r="85" spans="1:27" x14ac:dyDescent="0.3">
      <c r="A85" s="4"/>
      <c r="B85" s="106" t="str">
        <f>'5.2 Budgeted Enrollment YR2'!E82</f>
        <v>Quest Academy</v>
      </c>
      <c r="D85" s="9" t="str">
        <f t="shared" si="5"/>
        <v>PCFP</v>
      </c>
      <c r="E85" s="112" t="str">
        <f t="shared" si="6"/>
        <v>PCFP</v>
      </c>
      <c r="F85" s="430" cm="1">
        <f t="array" ref="F85">ROUND(SUM('7.1a Initial Allocations YR2'!E85:E85+H85)*$K$3,0)</f>
        <v>4321686</v>
      </c>
      <c r="G85" s="854">
        <f>ROUND(IF(F85=0,0,F85/'6.9 PCFP Funding Comparison YR2'!D80),0)</f>
        <v>9486</v>
      </c>
      <c r="H85" s="1448">
        <f>$Y$33*'6.8 Alloc of Residual Rev. YR2'!D86</f>
        <v>0</v>
      </c>
      <c r="I85" s="859">
        <f>ROUND('7.1a Initial Allocations YR2'!G85*$K$3,2)</f>
        <v>204902.84</v>
      </c>
      <c r="J85" s="430">
        <f>ROUND('7.1a Initial Allocations YR2'!H85*$K$3,0)</f>
        <v>53123</v>
      </c>
      <c r="K85" s="854">
        <f>ROUND('7.1a Initial Allocations YR2'!I85*$K$3,0)</f>
        <v>0</v>
      </c>
      <c r="L85" s="430">
        <f>ROUND('7.1a Initial Allocations YR2'!J85*$K$3,0)</f>
        <v>258026</v>
      </c>
      <c r="M85" s="467"/>
      <c r="N85" s="158">
        <f>ROUND('7.1a Initial Allocations YR2'!L85,2)</f>
        <v>0</v>
      </c>
      <c r="O85" s="141">
        <v>0</v>
      </c>
      <c r="P85" s="115">
        <v>0</v>
      </c>
      <c r="Q85" s="115"/>
      <c r="R85" s="430">
        <f t="shared" si="7"/>
        <v>0</v>
      </c>
      <c r="S85" s="467"/>
      <c r="T85" s="430">
        <f>ROUND('7.1a Initial Allocations YR2'!R85,0)</f>
        <v>46203</v>
      </c>
      <c r="U85" s="467"/>
      <c r="V85" s="430">
        <f t="shared" si="8"/>
        <v>4625915</v>
      </c>
      <c r="X85" s="375">
        <f>IF(F85=0,0,IF(V85=0,0,V85/'6.9 PCFP Funding Comparison YR2'!D80))</f>
        <v>10154.046305011238</v>
      </c>
    </row>
    <row r="86" spans="1:27" x14ac:dyDescent="0.3">
      <c r="A86" s="4"/>
      <c r="B86" s="106" t="str">
        <f>'5.2 Budgeted Enrollment YR2'!E83</f>
        <v>Rainbow Dreams Academy</v>
      </c>
      <c r="D86" s="9" t="str">
        <f t="shared" si="5"/>
        <v>PCFP</v>
      </c>
      <c r="E86" s="112" t="str">
        <f t="shared" si="6"/>
        <v>PCFP</v>
      </c>
      <c r="F86" s="430" cm="1">
        <f t="array" ref="F86">ROUND(SUM('7.1a Initial Allocations YR2'!E86:E86+H86)*$K$3,0)</f>
        <v>601268</v>
      </c>
      <c r="G86" s="854">
        <f>ROUND(IF(F86=0,0,F86/'6.9 PCFP Funding Comparison YR2'!D81),0)</f>
        <v>9486</v>
      </c>
      <c r="H86" s="1448">
        <f>$Y$33*'6.8 Alloc of Residual Rev. YR2'!D87</f>
        <v>0</v>
      </c>
      <c r="I86" s="859">
        <f>ROUND('7.1a Initial Allocations YR2'!G86*$K$3,2)</f>
        <v>25612.48</v>
      </c>
      <c r="J86" s="430">
        <f>ROUND('7.1a Initial Allocations YR2'!H86*$K$3,0)</f>
        <v>16601</v>
      </c>
      <c r="K86" s="854">
        <f>ROUND('7.1a Initial Allocations YR2'!I86*$K$3,0)</f>
        <v>0</v>
      </c>
      <c r="L86" s="430">
        <f>ROUND('7.1a Initial Allocations YR2'!J86*$K$3,0)</f>
        <v>42214</v>
      </c>
      <c r="M86" s="467"/>
      <c r="N86" s="158">
        <f>ROUND('7.1a Initial Allocations YR2'!L86,2)</f>
        <v>0</v>
      </c>
      <c r="O86" s="141">
        <v>0</v>
      </c>
      <c r="P86" s="115">
        <v>0</v>
      </c>
      <c r="Q86" s="115"/>
      <c r="R86" s="430">
        <f t="shared" si="7"/>
        <v>0</v>
      </c>
      <c r="S86" s="467"/>
      <c r="T86" s="430">
        <f>ROUND('7.1a Initial Allocations YR2'!R86,0)</f>
        <v>40634</v>
      </c>
      <c r="U86" s="467"/>
      <c r="V86" s="430">
        <f t="shared" si="8"/>
        <v>684116</v>
      </c>
      <c r="X86" s="375">
        <f>IF(F86=0,0,IF(V86=0,0,V86/'6.9 PCFP Funding Comparison YR2'!D81))</f>
        <v>10793.348322925969</v>
      </c>
    </row>
    <row r="87" spans="1:27" x14ac:dyDescent="0.3">
      <c r="A87" s="4"/>
      <c r="B87" s="106" t="str">
        <f>'5.2 Budgeted Enrollment YR2'!E84</f>
        <v>Rooted Charter School</v>
      </c>
      <c r="D87" s="9" t="str">
        <f t="shared" si="5"/>
        <v>PCFP</v>
      </c>
      <c r="E87" s="112" t="str">
        <f t="shared" si="6"/>
        <v>PCFP</v>
      </c>
      <c r="F87" s="430" cm="1">
        <f t="array" ref="F87">ROUND(SUM('7.1a Initial Allocations YR2'!E87:E87+H87)*$K$3,0)</f>
        <v>224019</v>
      </c>
      <c r="G87" s="854">
        <f>ROUND(IF(F87=0,0,F87/'6.9 PCFP Funding Comparison YR2'!D82),0)</f>
        <v>9486</v>
      </c>
      <c r="H87" s="1448">
        <f>$Y$33*'6.8 Alloc of Residual Rev. YR2'!D88</f>
        <v>0</v>
      </c>
      <c r="I87" s="859">
        <f>ROUND('7.1a Initial Allocations YR2'!G87*$K$3,2)</f>
        <v>0</v>
      </c>
      <c r="J87" s="430">
        <f>ROUND('7.1a Initial Allocations YR2'!H87*$K$3,0)</f>
        <v>0</v>
      </c>
      <c r="K87" s="854">
        <f>ROUND('7.1a Initial Allocations YR2'!I87*$K$3,0)</f>
        <v>0</v>
      </c>
      <c r="L87" s="430">
        <f>ROUND('7.1a Initial Allocations YR2'!J87*$K$3,0)</f>
        <v>0</v>
      </c>
      <c r="M87" s="467"/>
      <c r="N87" s="158">
        <f>ROUND('7.1a Initial Allocations YR2'!L87,2)</f>
        <v>0</v>
      </c>
      <c r="O87" s="141">
        <v>0</v>
      </c>
      <c r="P87" s="115">
        <v>0</v>
      </c>
      <c r="Q87" s="115"/>
      <c r="R87" s="430">
        <f t="shared" ref="R87" si="11">SUM(N87:P87)</f>
        <v>0</v>
      </c>
      <c r="S87" s="467"/>
      <c r="T87" s="430">
        <f>ROUND('7.1a Initial Allocations YR2'!R87,0)</f>
        <v>0</v>
      </c>
      <c r="U87" s="467"/>
      <c r="V87" s="430">
        <f t="shared" si="8"/>
        <v>224019</v>
      </c>
      <c r="X87" s="375">
        <f>IF(F87=0,0,IF(V87=0,0,V87/'6.9 PCFP Funding Comparison YR2'!D82))</f>
        <v>9486.23350850928</v>
      </c>
    </row>
    <row r="88" spans="1:27" x14ac:dyDescent="0.3">
      <c r="A88" s="4"/>
      <c r="B88" s="106" t="str">
        <f>'5.2 Budgeted Enrollment YR2'!E85</f>
        <v>Sage Collegiate Academy</v>
      </c>
      <c r="D88" s="9" t="str">
        <f t="shared" si="5"/>
        <v>PCFP</v>
      </c>
      <c r="E88" s="112" t="str">
        <f t="shared" si="6"/>
        <v>PCFP</v>
      </c>
      <c r="F88" s="430" cm="1">
        <f t="array" ref="F88">ROUND(SUM('7.1a Initial Allocations YR2'!E88:E88+H88)*$K$3,0)</f>
        <v>2239999</v>
      </c>
      <c r="G88" s="854">
        <f>ROUND(IF(F88=0,0,F88/'6.9 PCFP Funding Comparison YR2'!D83),0)</f>
        <v>9486</v>
      </c>
      <c r="H88" s="1448">
        <f>$Y$33*'6.8 Alloc of Residual Rev. YR2'!D89</f>
        <v>0</v>
      </c>
      <c r="I88" s="859">
        <f>ROUND('7.1a Initial Allocations YR2'!G88*$K$3,2)</f>
        <v>294548.02</v>
      </c>
      <c r="J88" s="430">
        <f>ROUND('7.1a Initial Allocations YR2'!H88*$K$3,0)</f>
        <v>0</v>
      </c>
      <c r="K88" s="854">
        <f>ROUND('7.1a Initial Allocations YR2'!I88*$K$3,0)</f>
        <v>0</v>
      </c>
      <c r="L88" s="430">
        <f>ROUND('7.1a Initial Allocations YR2'!J88*$K$3,0)</f>
        <v>294548</v>
      </c>
      <c r="M88" s="467"/>
      <c r="N88" s="158">
        <f>ROUND('7.1a Initial Allocations YR2'!L88,2)</f>
        <v>0</v>
      </c>
      <c r="O88" s="141">
        <v>0</v>
      </c>
      <c r="P88" s="115">
        <v>0</v>
      </c>
      <c r="Q88" s="115"/>
      <c r="R88" s="430">
        <f t="shared" si="7"/>
        <v>0</v>
      </c>
      <c r="S88" s="467"/>
      <c r="T88" s="430">
        <f>ROUND('7.1a Initial Allocations YR2'!R88,0)</f>
        <v>93023</v>
      </c>
      <c r="U88" s="467"/>
      <c r="V88" s="430">
        <f t="shared" si="8"/>
        <v>2627570</v>
      </c>
      <c r="X88" s="375">
        <f>IF(F88=0,0,IF(V88=0,0,V88/'6.9 PCFP Funding Comparison YR2'!D83))</f>
        <v>11127.587492275683</v>
      </c>
    </row>
    <row r="89" spans="1:27" x14ac:dyDescent="0.3">
      <c r="A89" s="4"/>
      <c r="B89" s="106" t="str">
        <f>'5.2 Budgeted Enrollment YR2'!E86</f>
        <v>Sierra Nevada Academy Charter</v>
      </c>
      <c r="D89" s="9" t="str">
        <f t="shared" si="5"/>
        <v>PCFP</v>
      </c>
      <c r="E89" s="112" t="str">
        <f t="shared" si="6"/>
        <v>PCFP</v>
      </c>
      <c r="F89" s="430" cm="1">
        <f t="array" ref="F89">ROUND(SUM('7.1a Initial Allocations YR2'!E89:E89+H89)*$K$3,0)</f>
        <v>2713811</v>
      </c>
      <c r="G89" s="854">
        <f>ROUND(IF(F89=0,0,F89/'6.9 PCFP Funding Comparison YR2'!D84),0)</f>
        <v>10238</v>
      </c>
      <c r="H89" s="1448">
        <f>$Y$33*'6.8 Alloc of Residual Rev. YR2'!D90</f>
        <v>0</v>
      </c>
      <c r="I89" s="859">
        <f>ROUND('7.1a Initial Allocations YR2'!G89*$K$3,2)</f>
        <v>93914.09</v>
      </c>
      <c r="J89" s="430">
        <f>ROUND('7.1a Initial Allocations YR2'!H89*$K$3,0)</f>
        <v>99606</v>
      </c>
      <c r="K89" s="854">
        <f>ROUND('7.1a Initial Allocations YR2'!I89*$K$3,0)</f>
        <v>0</v>
      </c>
      <c r="L89" s="430">
        <f>ROUND('7.1a Initial Allocations YR2'!J89*$K$3,0)</f>
        <v>193520</v>
      </c>
      <c r="M89" s="467"/>
      <c r="N89" s="158">
        <f>ROUND('7.1a Initial Allocations YR2'!L89,2)</f>
        <v>0</v>
      </c>
      <c r="O89" s="141">
        <v>0</v>
      </c>
      <c r="P89" s="115">
        <v>0</v>
      </c>
      <c r="Q89" s="115"/>
      <c r="R89" s="430">
        <f t="shared" si="7"/>
        <v>0</v>
      </c>
      <c r="S89" s="467"/>
      <c r="T89" s="430">
        <f>ROUND('7.1a Initial Allocations YR2'!R89,0)</f>
        <v>265057</v>
      </c>
      <c r="U89" s="467"/>
      <c r="V89" s="430">
        <f t="shared" si="8"/>
        <v>3172388</v>
      </c>
      <c r="X89" s="375">
        <f>IF(F89=0,0,IF(V89=0,0,V89/'6.9 PCFP Funding Comparison YR2'!D84))</f>
        <v>11968.067918413146</v>
      </c>
    </row>
    <row r="90" spans="1:27" x14ac:dyDescent="0.3">
      <c r="A90" s="4"/>
      <c r="B90" s="106" t="str">
        <f>'5.2 Budgeted Enrollment YR2'!E87</f>
        <v>Signature Preparatory</v>
      </c>
      <c r="D90" s="9" t="str">
        <f t="shared" si="5"/>
        <v>PCFP</v>
      </c>
      <c r="E90" s="112" t="str">
        <f t="shared" si="6"/>
        <v>PCFP</v>
      </c>
      <c r="F90" s="430" cm="1">
        <f t="array" ref="F90">ROUND(SUM('7.1a Initial Allocations YR2'!E90:E90+H90)*$K$3,0)</f>
        <v>9442555</v>
      </c>
      <c r="G90" s="854">
        <f>ROUND(IF(F90=0,0,F90/'6.9 PCFP Funding Comparison YR2'!D85),0)</f>
        <v>9486</v>
      </c>
      <c r="H90" s="1448">
        <f>$Y$33*'6.8 Alloc of Residual Rev. YR2'!D91</f>
        <v>0</v>
      </c>
      <c r="I90" s="859">
        <f>ROUND('7.1a Initial Allocations YR2'!G90*$K$3,2)</f>
        <v>286010.2</v>
      </c>
      <c r="J90" s="430">
        <f>ROUND('7.1a Initial Allocations YR2'!H90*$K$3,0)</f>
        <v>56443</v>
      </c>
      <c r="K90" s="854">
        <f>ROUND('7.1a Initial Allocations YR2'!I90*$K$3,0)</f>
        <v>0</v>
      </c>
      <c r="L90" s="430">
        <f>ROUND('7.1a Initial Allocations YR2'!J90*$K$3,0)</f>
        <v>342453</v>
      </c>
      <c r="M90" s="467"/>
      <c r="N90" s="158">
        <f>ROUND('7.1a Initial Allocations YR2'!L90,2)</f>
        <v>0</v>
      </c>
      <c r="O90" s="141">
        <v>0</v>
      </c>
      <c r="P90" s="115">
        <v>0</v>
      </c>
      <c r="Q90" s="115"/>
      <c r="R90" s="430">
        <f t="shared" si="7"/>
        <v>0</v>
      </c>
      <c r="S90" s="467"/>
      <c r="T90" s="430">
        <f>ROUND('7.1a Initial Allocations YR2'!R90,0)</f>
        <v>281852</v>
      </c>
      <c r="U90" s="467"/>
      <c r="V90" s="430">
        <f t="shared" si="8"/>
        <v>10066860</v>
      </c>
      <c r="X90" s="375">
        <f>IF(F90=0,0,IF(V90=0,0,V90/'6.9 PCFP Funding Comparison YR2'!D85))</f>
        <v>10113.445416184675</v>
      </c>
    </row>
    <row r="91" spans="1:27" x14ac:dyDescent="0.3">
      <c r="A91" s="4"/>
      <c r="B91" s="106" t="str">
        <f>'5.2 Budgeted Enrollment YR2'!E88</f>
        <v>Silver Sands Montessori</v>
      </c>
      <c r="D91" s="9" t="str">
        <f t="shared" si="5"/>
        <v>PCFP</v>
      </c>
      <c r="E91" s="112" t="str">
        <f t="shared" si="6"/>
        <v>PCFP</v>
      </c>
      <c r="F91" s="430" cm="1">
        <f t="array" ref="F91">ROUND(SUM('7.1a Initial Allocations YR2'!E91:E91+H91)*$K$3,0)</f>
        <v>2274459</v>
      </c>
      <c r="G91" s="854">
        <f>ROUND(IF(F91=0,0,F91/'6.9 PCFP Funding Comparison YR2'!D86),0)</f>
        <v>9486</v>
      </c>
      <c r="H91" s="1448">
        <f>$Y$33*'6.8 Alloc of Residual Rev. YR2'!D92</f>
        <v>0</v>
      </c>
      <c r="I91" s="859">
        <f>ROUND('7.1a Initial Allocations YR2'!G91*$K$3,2)</f>
        <v>102451.92</v>
      </c>
      <c r="J91" s="430">
        <f>ROUND('7.1a Initial Allocations YR2'!H91*$K$3,0)</f>
        <v>0</v>
      </c>
      <c r="K91" s="854">
        <f>ROUND('7.1a Initial Allocations YR2'!I91*$K$3,0)</f>
        <v>0</v>
      </c>
      <c r="L91" s="430">
        <f>ROUND('7.1a Initial Allocations YR2'!J91*$K$3,0)</f>
        <v>102452</v>
      </c>
      <c r="M91" s="467"/>
      <c r="N91" s="158">
        <f>ROUND('7.1a Initial Allocations YR2'!L91,2)</f>
        <v>0</v>
      </c>
      <c r="O91" s="141">
        <v>0</v>
      </c>
      <c r="P91" s="115">
        <v>0</v>
      </c>
      <c r="Q91" s="115"/>
      <c r="R91" s="430">
        <f t="shared" si="7"/>
        <v>0</v>
      </c>
      <c r="S91" s="467"/>
      <c r="T91" s="430">
        <f>ROUND('7.1a Initial Allocations YR2'!R91,0)</f>
        <v>0</v>
      </c>
      <c r="U91" s="467"/>
      <c r="V91" s="430">
        <f t="shared" si="8"/>
        <v>2376911</v>
      </c>
      <c r="X91" s="375">
        <f>IF(F91=0,0,IF(V91=0,0,V91/'6.9 PCFP Funding Comparison YR2'!D86))</f>
        <v>9913.5534090363872</v>
      </c>
    </row>
    <row r="92" spans="1:27" x14ac:dyDescent="0.3">
      <c r="A92" s="4"/>
      <c r="B92" s="106" t="str">
        <f>'5.2 Budgeted Enrollment YR2'!E89</f>
        <v>Somerset Academy</v>
      </c>
      <c r="D92" s="9" t="str">
        <f t="shared" si="5"/>
        <v>PCFP</v>
      </c>
      <c r="E92" s="112" t="str">
        <f t="shared" si="6"/>
        <v>PCFP</v>
      </c>
      <c r="F92" s="430" cm="1">
        <f t="array" ref="F92">ROUND(SUM('7.1a Initial Allocations YR2'!E92:E92+H92)*$K$3,0)</f>
        <v>91191747</v>
      </c>
      <c r="G92" s="854">
        <f>ROUND(IF(F92=0,0,F92/'6.9 PCFP Funding Comparison YR2'!D87),0)</f>
        <v>9486</v>
      </c>
      <c r="H92" s="1448">
        <f>$Y$33*'6.8 Alloc of Residual Rev. YR2'!D93</f>
        <v>0</v>
      </c>
      <c r="I92" s="859">
        <f>ROUND('7.1a Initial Allocations YR2'!G92*$K$3,2)</f>
        <v>1477009.02</v>
      </c>
      <c r="J92" s="430">
        <f>ROUND('7.1a Initial Allocations YR2'!H92*$K$3,0)</f>
        <v>361900</v>
      </c>
      <c r="K92" s="854">
        <f>ROUND('7.1a Initial Allocations YR2'!I92*$K$3,0)</f>
        <v>276619</v>
      </c>
      <c r="L92" s="430">
        <f>ROUND('7.1a Initial Allocations YR2'!J92*$K$3,0)</f>
        <v>2115528</v>
      </c>
      <c r="M92" s="467"/>
      <c r="N92" s="158">
        <f>ROUND('7.1a Initial Allocations YR2'!L92,2)</f>
        <v>0</v>
      </c>
      <c r="O92" s="141">
        <v>0</v>
      </c>
      <c r="P92" s="115">
        <v>0</v>
      </c>
      <c r="Q92" s="115"/>
      <c r="R92" s="430">
        <f t="shared" si="7"/>
        <v>0</v>
      </c>
      <c r="S92" s="467"/>
      <c r="T92" s="430">
        <f>ROUND('7.1a Initial Allocations YR2'!R92,0)</f>
        <v>4081801</v>
      </c>
      <c r="U92" s="467"/>
      <c r="V92" s="430">
        <f t="shared" si="8"/>
        <v>97389076</v>
      </c>
      <c r="X92" s="375">
        <f>IF(F92=0,0,IF(V92=0,0,V92/'6.9 PCFP Funding Comparison YR2'!D87))</f>
        <v>10130.931120044826</v>
      </c>
    </row>
    <row r="93" spans="1:27" x14ac:dyDescent="0.3">
      <c r="A93" s="4"/>
      <c r="B93" s="106" t="str">
        <f>'5.2 Budgeted Enrollment YR2'!E90</f>
        <v>Southern Nevada Trade High School</v>
      </c>
      <c r="D93" s="9" t="str">
        <f t="shared" si="5"/>
        <v>PCFP</v>
      </c>
      <c r="E93" s="112" t="str">
        <f t="shared" si="6"/>
        <v>PCFP</v>
      </c>
      <c r="F93" s="430" cm="1">
        <f t="array" ref="F93">ROUND(SUM('7.1a Initial Allocations YR2'!E93:E93+H93)*$K$3,0)</f>
        <v>769176</v>
      </c>
      <c r="G93" s="854">
        <f>ROUND(IF(F93=0,0,F93/'6.9 PCFP Funding Comparison YR2'!D88),0)</f>
        <v>9486</v>
      </c>
      <c r="H93" s="1448">
        <f>$Y$33*'6.8 Alloc of Residual Rev. YR2'!D94</f>
        <v>0</v>
      </c>
      <c r="I93" s="859">
        <f>ROUND('7.1a Initial Allocations YR2'!G93*$K$3,2)</f>
        <v>106720.83</v>
      </c>
      <c r="J93" s="430">
        <f>ROUND('7.1a Initial Allocations YR2'!H93*$K$3,0)</f>
        <v>106246</v>
      </c>
      <c r="K93" s="854">
        <f>ROUND('7.1a Initial Allocations YR2'!I93*$K$3,0)</f>
        <v>0</v>
      </c>
      <c r="L93" s="430">
        <f>ROUND('7.1a Initial Allocations YR2'!J93*$K$3,0)</f>
        <v>212966</v>
      </c>
      <c r="M93" s="467"/>
      <c r="N93" s="158">
        <f>ROUND('7.1a Initial Allocations YR2'!L93,2)</f>
        <v>0</v>
      </c>
      <c r="O93" s="141">
        <v>0</v>
      </c>
      <c r="P93" s="115">
        <v>0</v>
      </c>
      <c r="Q93" s="115"/>
      <c r="R93" s="430">
        <f t="shared" ref="R93" si="12">SUM(N93:P93)</f>
        <v>0</v>
      </c>
      <c r="S93" s="467"/>
      <c r="T93" s="430">
        <f>ROUND('7.1a Initial Allocations YR2'!R93,0)</f>
        <v>0</v>
      </c>
      <c r="U93" s="467"/>
      <c r="V93" s="430">
        <f t="shared" si="8"/>
        <v>982142</v>
      </c>
      <c r="X93" s="375">
        <f>IF(F93=0,0,IF(V93=0,0,V93/'6.9 PCFP Funding Comparison YR2'!D88))</f>
        <v>12112.769101357733</v>
      </c>
    </row>
    <row r="94" spans="1:27" x14ac:dyDescent="0.3">
      <c r="A94" s="4"/>
      <c r="B94" s="106" t="str">
        <f>'5.2 Budgeted Enrollment YR2'!E91</f>
        <v>Sports Leadership and Management Academy</v>
      </c>
      <c r="D94" s="9" t="str">
        <f t="shared" si="5"/>
        <v>PCFP</v>
      </c>
      <c r="E94" s="112" t="str">
        <f t="shared" si="6"/>
        <v>PCFP</v>
      </c>
      <c r="F94" s="430" cm="1">
        <f t="array" ref="F94">ROUND(SUM('7.1a Initial Allocations YR2'!E94:E94+H94)*$K$3,0)</f>
        <v>17727515</v>
      </c>
      <c r="G94" s="854">
        <f>ROUND(IF(F94=0,0,F94/'6.9 PCFP Funding Comparison YR2'!D89),0)</f>
        <v>9486</v>
      </c>
      <c r="H94" s="1448">
        <f>$Y$33*'6.8 Alloc of Residual Rev. YR2'!D95</f>
        <v>0</v>
      </c>
      <c r="I94" s="859">
        <f>ROUND('7.1a Initial Allocations YR2'!G94*$K$3,2)</f>
        <v>828150.19</v>
      </c>
      <c r="J94" s="430">
        <f>ROUND('7.1a Initial Allocations YR2'!H94*$K$3,0)</f>
        <v>73044</v>
      </c>
      <c r="K94" s="854">
        <f>ROUND('7.1a Initial Allocations YR2'!I94*$K$3,0)</f>
        <v>0</v>
      </c>
      <c r="L94" s="430">
        <f>ROUND('7.1a Initial Allocations YR2'!J94*$K$3,0)</f>
        <v>901194</v>
      </c>
      <c r="M94" s="467"/>
      <c r="N94" s="158">
        <f>ROUND('7.1a Initial Allocations YR2'!L94,2)</f>
        <v>0</v>
      </c>
      <c r="O94" s="141">
        <v>0</v>
      </c>
      <c r="P94" s="115">
        <v>0</v>
      </c>
      <c r="Q94" s="115"/>
      <c r="R94" s="430">
        <f t="shared" si="7"/>
        <v>0</v>
      </c>
      <c r="S94" s="467"/>
      <c r="T94" s="430">
        <f>ROUND('7.1a Initial Allocations YR2'!R94,0)</f>
        <v>1415450</v>
      </c>
      <c r="U94" s="467"/>
      <c r="V94" s="430">
        <f t="shared" si="8"/>
        <v>20044159</v>
      </c>
      <c r="X94" s="375">
        <f>IF(F94=0,0,IF(V94=0,0,V94/'6.9 PCFP Funding Comparison YR2'!D89))</f>
        <v>10725.921928465425</v>
      </c>
    </row>
    <row r="95" spans="1:27" x14ac:dyDescent="0.3">
      <c r="A95" s="4"/>
      <c r="B95" s="106" t="str">
        <f>'5.2 Budgeted Enrollment YR2'!E92</f>
        <v>Strong Start Academy</v>
      </c>
      <c r="D95" s="9" t="str">
        <f t="shared" si="5"/>
        <v>PCFP</v>
      </c>
      <c r="E95" s="112" t="str">
        <f t="shared" si="6"/>
        <v>PCFP</v>
      </c>
      <c r="F95" s="430" cm="1">
        <f t="array" ref="F95">ROUND(SUM('7.1a Initial Allocations YR2'!E95:E95+H95)*$K$3,0)</f>
        <v>1399440</v>
      </c>
      <c r="G95" s="854">
        <f>ROUND(IF(F95=0,0,F95/'6.9 PCFP Funding Comparison YR2'!D90),0)</f>
        <v>9486</v>
      </c>
      <c r="H95" s="1448">
        <f>$Y$33*'6.8 Alloc of Residual Rev. YR2'!D96</f>
        <v>0</v>
      </c>
      <c r="I95" s="859">
        <f>ROUND('7.1a Initial Allocations YR2'!G95*$K$3,2)</f>
        <v>239053.15</v>
      </c>
      <c r="J95" s="430">
        <f>ROUND('7.1a Initial Allocations YR2'!H95*$K$3,0)</f>
        <v>0</v>
      </c>
      <c r="K95" s="854">
        <f>ROUND('7.1a Initial Allocations YR2'!I95*$K$3,0)</f>
        <v>0</v>
      </c>
      <c r="L95" s="430">
        <f>ROUND('7.1a Initial Allocations YR2'!J95*$K$3,0)</f>
        <v>239053</v>
      </c>
      <c r="M95" s="467"/>
      <c r="N95" s="158">
        <f>ROUND('7.1a Initial Allocations YR2'!L95,2)</f>
        <v>0</v>
      </c>
      <c r="O95" s="141">
        <v>0</v>
      </c>
      <c r="P95" s="115">
        <v>0</v>
      </c>
      <c r="Q95" s="115"/>
      <c r="R95" s="430">
        <f t="shared" si="7"/>
        <v>0</v>
      </c>
      <c r="S95" s="467"/>
      <c r="T95" s="430">
        <f>ROUND('7.1a Initial Allocations YR2'!R95,0)</f>
        <v>219797</v>
      </c>
      <c r="U95" s="467"/>
      <c r="V95" s="430">
        <f t="shared" si="8"/>
        <v>1858290</v>
      </c>
      <c r="X95" s="375">
        <f>IF(F95=0,0,IF(V95=0,0,V95/'6.9 PCFP Funding Comparison YR2'!D90))</f>
        <v>12596.618110012156</v>
      </c>
    </row>
    <row r="96" spans="1:27" x14ac:dyDescent="0.3">
      <c r="A96" s="4"/>
      <c r="B96" s="106" t="str">
        <f>'5.2 Budgeted Enrollment YR2'!E93</f>
        <v>ThrivePoint</v>
      </c>
      <c r="D96" s="9" t="str">
        <f t="shared" si="5"/>
        <v>PCFP</v>
      </c>
      <c r="E96" s="112" t="str">
        <f t="shared" si="6"/>
        <v>PCFP</v>
      </c>
      <c r="F96" s="430" cm="1">
        <f t="array" ref="F96">ROUND(SUM('7.1a Initial Allocations YR2'!E96:E96+H96)*$K$3,0)</f>
        <v>1451257</v>
      </c>
      <c r="G96" s="854">
        <f>ROUND(IF(F96=0,0,F96/'6.9 PCFP Funding Comparison YR2'!D91),0)</f>
        <v>9486</v>
      </c>
      <c r="H96" s="1448">
        <f>$Y$33*'6.8 Alloc of Residual Rev. YR2'!D97</f>
        <v>0</v>
      </c>
      <c r="I96" s="859">
        <f>ROUND('7.1a Initial Allocations YR2'!G96*$K$3,2)</f>
        <v>179290.36</v>
      </c>
      <c r="J96" s="430">
        <f>ROUND('7.1a Initial Allocations YR2'!H96*$K$3,0)</f>
        <v>162689</v>
      </c>
      <c r="K96" s="854">
        <f>ROUND('7.1a Initial Allocations YR2'!I96*$K$3,0)</f>
        <v>0</v>
      </c>
      <c r="L96" s="430">
        <f>ROUND('7.1a Initial Allocations YR2'!J96*$K$3,0)</f>
        <v>341979</v>
      </c>
      <c r="M96" s="467"/>
      <c r="N96" s="158">
        <f>ROUND('7.1a Initial Allocations YR2'!L96,2)</f>
        <v>0</v>
      </c>
      <c r="O96" s="141">
        <v>0</v>
      </c>
      <c r="P96" s="115">
        <v>0</v>
      </c>
      <c r="Q96" s="115"/>
      <c r="R96" s="430">
        <f t="shared" si="7"/>
        <v>0</v>
      </c>
      <c r="S96" s="467"/>
      <c r="T96" s="430">
        <f>ROUND('7.1a Initial Allocations YR2'!R96,0)</f>
        <v>0</v>
      </c>
      <c r="U96" s="467"/>
      <c r="V96" s="430">
        <f t="shared" si="8"/>
        <v>1793236</v>
      </c>
      <c r="X96" s="375">
        <f>IF(F96=0,0,IF(V96=0,0,V96/'6.9 PCFP Funding Comparison YR2'!D91))</f>
        <v>11721.629044854759</v>
      </c>
      <c r="Z96" s="9" t="s">
        <v>370</v>
      </c>
      <c r="AA96" s="162"/>
    </row>
    <row r="97" spans="1:27" x14ac:dyDescent="0.3">
      <c r="A97" s="4"/>
      <c r="B97" s="106" t="str">
        <f>'5.2 Budgeted Enrollment YR2'!E94</f>
        <v>Vegas Vista Academy</v>
      </c>
      <c r="D97" s="9" t="str">
        <f t="shared" si="5"/>
        <v>PCFP</v>
      </c>
      <c r="E97" s="112" t="str">
        <f t="shared" si="6"/>
        <v>PCFP</v>
      </c>
      <c r="F97" s="430" cm="1">
        <f t="array" ref="F97">ROUND(SUM('7.1a Initial Allocations YR2'!E97:E97+H97)*$K$3,0)</f>
        <v>993478</v>
      </c>
      <c r="G97" s="854">
        <f>ROUND(IF(F97=0,0,F97/'6.9 PCFP Funding Comparison YR2'!D92),0)</f>
        <v>9486</v>
      </c>
      <c r="H97" s="1448">
        <f>$Y$33*'6.8 Alloc of Residual Rev. YR2'!D98</f>
        <v>0</v>
      </c>
      <c r="I97" s="859">
        <f>ROUND('7.1a Initial Allocations YR2'!G97*$K$3,2)</f>
        <v>153676.88</v>
      </c>
      <c r="J97" s="430">
        <f>ROUND('7.1a Initial Allocations YR2'!H97*$K$3,0)</f>
        <v>0</v>
      </c>
      <c r="K97" s="854">
        <f>ROUND('7.1a Initial Allocations YR2'!I97*$K$3,0)</f>
        <v>0</v>
      </c>
      <c r="L97" s="430">
        <f>ROUND('7.1a Initial Allocations YR2'!J97*$K$3,0)</f>
        <v>153677</v>
      </c>
      <c r="M97" s="467"/>
      <c r="N97" s="158">
        <f>ROUND('7.1a Initial Allocations YR2'!L97,2)</f>
        <v>0</v>
      </c>
      <c r="O97" s="141">
        <v>0</v>
      </c>
      <c r="P97" s="115">
        <v>0</v>
      </c>
      <c r="Q97" s="115"/>
      <c r="R97" s="430">
        <f t="shared" ref="R97" si="13">SUM(N97:P97)</f>
        <v>0</v>
      </c>
      <c r="S97" s="467"/>
      <c r="T97" s="430">
        <f>ROUND('7.1a Initial Allocations YR2'!R97,0)</f>
        <v>0</v>
      </c>
      <c r="U97" s="467"/>
      <c r="V97" s="430">
        <f t="shared" si="8"/>
        <v>1147155</v>
      </c>
      <c r="X97" s="375">
        <f>IF(F97=0,0,IF(V97=0,0,V97/'6.9 PCFP Funding Comparison YR2'!D92))</f>
        <v>10953.646553020893</v>
      </c>
      <c r="Z97" s="9" t="s">
        <v>370</v>
      </c>
      <c r="AA97" s="162"/>
    </row>
    <row r="98" spans="1:27" x14ac:dyDescent="0.3">
      <c r="A98" s="4"/>
      <c r="B98" s="142" t="str">
        <f>'5.2 Budgeted Enrollment YR2'!E95</f>
        <v>Young Women's Leadership Academy</v>
      </c>
      <c r="C98" s="137"/>
      <c r="D98" s="137" t="str">
        <f t="shared" si="5"/>
        <v>PCFP</v>
      </c>
      <c r="E98" s="128" t="str">
        <f t="shared" si="6"/>
        <v>PCFP</v>
      </c>
      <c r="F98" s="856" cm="1">
        <f t="array" ref="F98">ROUND(SUM('7.1a Initial Allocations YR2'!E98:E98+H98)*$K$3,0)</f>
        <v>1127558</v>
      </c>
      <c r="G98" s="1252">
        <f>ROUND(IF(F98=0,0,F98/'6.9 PCFP Funding Comparison YR2'!D93),0)</f>
        <v>9486</v>
      </c>
      <c r="H98" s="1448">
        <f>$Y$33*'6.8 Alloc of Residual Rev. YR2'!D99</f>
        <v>0</v>
      </c>
      <c r="I98" s="856">
        <f>ROUND('7.1a Initial Allocations YR2'!G98*$K$3,2)</f>
        <v>81107.350000000006</v>
      </c>
      <c r="J98" s="856">
        <f>ROUND('7.1a Initial Allocations YR2'!H98*$K$3,0)</f>
        <v>6640</v>
      </c>
      <c r="K98" s="1252">
        <f>ROUND('7.1a Initial Allocations YR2'!I98*$K$3,0)</f>
        <v>0</v>
      </c>
      <c r="L98" s="856">
        <f>ROUND('7.1a Initial Allocations YR2'!J98*$K$3,0)</f>
        <v>87747</v>
      </c>
      <c r="M98" s="467"/>
      <c r="N98" s="158">
        <f>ROUND('7.1a Initial Allocations YR2'!L98,2)</f>
        <v>0</v>
      </c>
      <c r="O98" s="1246">
        <v>0</v>
      </c>
      <c r="P98" s="509">
        <v>0</v>
      </c>
      <c r="Q98" s="509"/>
      <c r="R98" s="856">
        <f t="shared" si="7"/>
        <v>0</v>
      </c>
      <c r="S98" s="467"/>
      <c r="T98" s="430">
        <f>ROUND('7.1a Initial Allocations YR2'!R98,0)</f>
        <v>122895</v>
      </c>
      <c r="U98" s="467"/>
      <c r="V98" s="856">
        <f t="shared" si="8"/>
        <v>1338200</v>
      </c>
      <c r="X98" s="376">
        <f>IF(F98=0,0,IF(V98=0,0,V98/'6.9 PCFP Funding Comparison YR2'!D93))</f>
        <v>11258.40300382896</v>
      </c>
      <c r="AA98" s="162"/>
    </row>
    <row r="99" spans="1:27" s="4" customFormat="1" x14ac:dyDescent="0.3">
      <c r="B99" s="204" t="str">
        <f>'1.2 Budgeted Enrollment YR1'!E96</f>
        <v>Total Charter Schools</v>
      </c>
      <c r="C99" s="135"/>
      <c r="D99" s="135"/>
      <c r="E99" s="612"/>
      <c r="F99" s="858">
        <f>SUM(F37:F98)</f>
        <v>688333768</v>
      </c>
      <c r="G99" s="1253">
        <f>G28</f>
        <v>9520</v>
      </c>
      <c r="H99" s="1448"/>
      <c r="I99" s="857">
        <f>ROUND(SUM(I37:I98),0)</f>
        <v>27252109</v>
      </c>
      <c r="J99" s="858">
        <f>SUM(J37:J98)</f>
        <v>6663618</v>
      </c>
      <c r="K99" s="861">
        <f>SUM(K37:K98)</f>
        <v>1697280</v>
      </c>
      <c r="L99" s="858">
        <f>SUM(I99:K99)</f>
        <v>35613007</v>
      </c>
      <c r="M99" s="467"/>
      <c r="N99" s="1239">
        <f>ROUND('7.1a Initial Allocations YR2'!L99,0)</f>
        <v>0</v>
      </c>
      <c r="O99" s="1293">
        <f>SUM(O37:O98)</f>
        <v>0</v>
      </c>
      <c r="P99" s="1295">
        <f>SUM(P37:P98)</f>
        <v>0</v>
      </c>
      <c r="Q99" s="1295">
        <f>ROUND('7.1a Initial Allocations YR2'!O99,0)</f>
        <v>0</v>
      </c>
      <c r="R99" s="856">
        <f>SUM(N99:Q99)</f>
        <v>0</v>
      </c>
      <c r="S99" s="467"/>
      <c r="T99" s="426">
        <f>SUM(T37:T98)</f>
        <v>24608056</v>
      </c>
      <c r="U99" s="467"/>
      <c r="V99" s="856">
        <f t="shared" si="8"/>
        <v>748554831</v>
      </c>
    </row>
    <row r="100" spans="1:27" x14ac:dyDescent="0.3">
      <c r="F100" s="108">
        <f>F99-F28</f>
        <v>1</v>
      </c>
      <c r="G100" s="108">
        <f>G99-G28</f>
        <v>0</v>
      </c>
      <c r="H100" s="1448"/>
      <c r="I100" s="525">
        <f>I99-I28</f>
        <v>0</v>
      </c>
      <c r="J100" s="525">
        <f>J99-J28</f>
        <v>0</v>
      </c>
      <c r="K100" s="525">
        <f>K99-K28</f>
        <v>0</v>
      </c>
      <c r="L100" s="525">
        <f>L99-L28</f>
        <v>0</v>
      </c>
      <c r="M100" s="467"/>
      <c r="N100" s="525">
        <f>N99-N28</f>
        <v>0</v>
      </c>
      <c r="O100" s="525">
        <f>O99-O28</f>
        <v>0</v>
      </c>
      <c r="P100" s="525">
        <f>P99-P28</f>
        <v>0</v>
      </c>
      <c r="Q100" s="525"/>
      <c r="R100" s="525">
        <f>R99-R28</f>
        <v>0</v>
      </c>
      <c r="S100" s="467"/>
      <c r="T100" s="525">
        <f>T99-T28</f>
        <v>0</v>
      </c>
      <c r="U100" s="467"/>
      <c r="V100" s="108">
        <f>V99-V28</f>
        <v>1</v>
      </c>
    </row>
    <row r="101" spans="1:27" x14ac:dyDescent="0.3">
      <c r="A101" s="4" t="str">
        <f>B29</f>
        <v>University Schools</v>
      </c>
      <c r="B101" s="137"/>
      <c r="C101" s="137"/>
      <c r="D101" s="137"/>
      <c r="E101" s="137"/>
      <c r="F101" s="457"/>
      <c r="G101" s="457"/>
      <c r="H101" s="1448"/>
      <c r="I101" s="509"/>
      <c r="J101" s="509"/>
      <c r="K101" s="509"/>
      <c r="L101" s="509"/>
      <c r="M101" s="467"/>
      <c r="N101" s="509"/>
      <c r="O101" s="509"/>
      <c r="P101" s="509"/>
      <c r="Q101" s="509"/>
      <c r="R101" s="509"/>
      <c r="S101" s="467"/>
      <c r="T101" s="509"/>
      <c r="U101" s="467"/>
      <c r="V101" s="457"/>
    </row>
    <row r="102" spans="1:27" x14ac:dyDescent="0.3">
      <c r="A102" s="4"/>
      <c r="B102" s="106" t="str">
        <f>'5.2 Budgeted Enrollment YR2'!E100</f>
        <v>Davidson Academy</v>
      </c>
      <c r="D102" s="9" t="str">
        <f>$D$29</f>
        <v>PCFP</v>
      </c>
      <c r="E102" s="112" t="str">
        <f>$E$29</f>
        <v>PCFP</v>
      </c>
      <c r="F102" s="430">
        <f>ROUND('7.1a Initial Allocations YR2'!E102*$K$3+H102,0)</f>
        <v>1592593</v>
      </c>
      <c r="G102" s="430">
        <f>ROUND(IF(F102=0,0,F102/'6.9 PCFP Funding Comparison YR2'!D99),0)</f>
        <v>9486</v>
      </c>
      <c r="H102" s="1448">
        <f>$Y$33*'6.8 Alloc of Residual Rev. YR2'!D103</f>
        <v>0</v>
      </c>
      <c r="I102" s="859">
        <f>ROUND('7.1a Initial Allocations YR2'!G102*$K$3,0)</f>
        <v>0</v>
      </c>
      <c r="J102" s="859">
        <f>ROUND('7.1a Initial Allocations YR2'!H102*$K$3,0)</f>
        <v>0</v>
      </c>
      <c r="K102" s="859">
        <f>ROUND('7.1a Initial Allocations YR2'!I102*$K$3,0)</f>
        <v>0</v>
      </c>
      <c r="L102" s="1931">
        <f>ROUND('7.1a Initial Allocations YR2'!J102*$K$3,0)</f>
        <v>0</v>
      </c>
      <c r="M102" s="467"/>
      <c r="N102" s="141">
        <v>0</v>
      </c>
      <c r="O102" s="141">
        <v>0</v>
      </c>
      <c r="P102" s="141">
        <v>0</v>
      </c>
      <c r="Q102" s="141"/>
      <c r="R102" s="430">
        <f>SUM(N102:P102)</f>
        <v>0</v>
      </c>
      <c r="S102" s="467"/>
      <c r="T102" s="430">
        <f>ROUND('7.1a Initial Allocations YR2'!R102,0)</f>
        <v>52268</v>
      </c>
      <c r="U102" s="467"/>
      <c r="V102" s="430">
        <f>ROUND(R102+L102+F102+T102,0)</f>
        <v>1644861</v>
      </c>
      <c r="X102" s="2011">
        <f>IF(V102=0,0,V102/'6.9 PCFP Funding Comparison YR2'!D99)</f>
        <v>9797.582458384677</v>
      </c>
    </row>
    <row r="103" spans="1:27" x14ac:dyDescent="0.3">
      <c r="A103" s="4"/>
      <c r="B103" s="106" t="str">
        <f>'5.2 Budgeted Enrollment YR2'!E101</f>
        <v>TBD</v>
      </c>
      <c r="C103" s="137"/>
      <c r="D103" s="128" t="str">
        <f>$D$29</f>
        <v>PCFP</v>
      </c>
      <c r="E103" s="128" t="str">
        <f>$E$29</f>
        <v>PCFP</v>
      </c>
      <c r="F103" s="430">
        <f>ROUND('7.1a Initial Allocations YR2'!E103*$K$3+H103,0)</f>
        <v>0</v>
      </c>
      <c r="G103" s="856">
        <f>ROUND(IF(F103=0,0,F103/'2.9 PCFP Funding Comparison YR1'!D100),0)</f>
        <v>0</v>
      </c>
      <c r="H103" s="1448">
        <f>$Y$33*'6.8 Alloc of Residual Rev. YR2'!D104</f>
        <v>0</v>
      </c>
      <c r="I103" s="856">
        <f>ROUND('7.1a Initial Allocations YR2'!G103*$K$3,0)</f>
        <v>0</v>
      </c>
      <c r="J103" s="856">
        <f>ROUND('7.1a Initial Allocations YR2'!H103*$K$3,0)</f>
        <v>0</v>
      </c>
      <c r="K103" s="856">
        <f>ROUND('7.1a Initial Allocations YR2'!I103*$K$3,0)</f>
        <v>0</v>
      </c>
      <c r="L103" s="856">
        <f>ROUND('7.1a Initial Allocations YR2'!J103*$K$3,0)</f>
        <v>0</v>
      </c>
      <c r="M103" s="467"/>
      <c r="N103" s="1246">
        <v>0</v>
      </c>
      <c r="O103" s="1246">
        <v>0</v>
      </c>
      <c r="P103" s="1246">
        <v>0</v>
      </c>
      <c r="Q103" s="1246"/>
      <c r="R103" s="856">
        <f>SUM(N103:P103)</f>
        <v>0</v>
      </c>
      <c r="S103" s="467"/>
      <c r="T103" s="430">
        <f>ROUND('3.1a Initial Allocations YR1'!R103*'3.1b Allocation Adj. YR1 '!$K$3,0)</f>
        <v>0</v>
      </c>
      <c r="U103" s="467"/>
      <c r="V103" s="430">
        <f>ROUND(R103+L103+F103+T103,0)</f>
        <v>0</v>
      </c>
      <c r="X103" s="376">
        <f>IF(V103=0,0,V103/'2.9 PCFP Funding Comparison YR1'!#REF!)</f>
        <v>0</v>
      </c>
    </row>
    <row r="104" spans="1:27" s="4" customFormat="1" x14ac:dyDescent="0.3">
      <c r="B104" s="2387" t="s">
        <v>156</v>
      </c>
      <c r="C104" s="2388"/>
      <c r="D104" s="2388"/>
      <c r="E104" s="2389"/>
      <c r="F104" s="426">
        <f>SUM(F102:F103)</f>
        <v>1592593</v>
      </c>
      <c r="G104" s="1443">
        <f>G102</f>
        <v>9486</v>
      </c>
      <c r="H104" s="1448"/>
      <c r="I104" s="1294">
        <f>SUM(I102:I103)</f>
        <v>0</v>
      </c>
      <c r="J104" s="1294">
        <f t="shared" ref="J104:L104" si="14">SUM(J102:J103)</f>
        <v>0</v>
      </c>
      <c r="K104" s="1294">
        <f t="shared" si="14"/>
        <v>0</v>
      </c>
      <c r="L104" s="1293">
        <f t="shared" si="14"/>
        <v>0</v>
      </c>
      <c r="M104" s="467"/>
      <c r="N104" s="1293">
        <f>SUM(N102:N103)</f>
        <v>0</v>
      </c>
      <c r="O104" s="1293">
        <f>SUM(O102:O103)</f>
        <v>0</v>
      </c>
      <c r="P104" s="1293">
        <f>SUM(P102:P103)</f>
        <v>0</v>
      </c>
      <c r="Q104" s="1293"/>
      <c r="R104" s="1293">
        <f>SUM(R102:R103)</f>
        <v>0</v>
      </c>
      <c r="S104" s="467"/>
      <c r="T104" s="1239">
        <f>SUM(T102:T103)</f>
        <v>52268</v>
      </c>
      <c r="U104" s="467"/>
      <c r="V104" s="1239">
        <f>SUM(V102:V103)</f>
        <v>1644861</v>
      </c>
    </row>
    <row r="105" spans="1:27" x14ac:dyDescent="0.3">
      <c r="F105" s="15">
        <f>F104-F29</f>
        <v>0</v>
      </c>
      <c r="G105" s="108">
        <f>G104-G29</f>
        <v>0</v>
      </c>
      <c r="H105" s="1448"/>
      <c r="I105" s="108">
        <f>I104-I29</f>
        <v>0</v>
      </c>
      <c r="J105" s="108">
        <f>J104-J29</f>
        <v>0</v>
      </c>
      <c r="K105" s="108">
        <f>K104-K29</f>
        <v>0</v>
      </c>
      <c r="L105" s="108">
        <f>L104-L29</f>
        <v>0</v>
      </c>
      <c r="M105" s="15"/>
      <c r="N105" s="108">
        <f>N104-N29</f>
        <v>0</v>
      </c>
      <c r="O105" s="108">
        <f>O104-O29</f>
        <v>0</v>
      </c>
      <c r="P105" s="108">
        <f>P104-P29</f>
        <v>0</v>
      </c>
      <c r="Q105" s="108"/>
      <c r="R105" s="108">
        <f>R104-R29</f>
        <v>0</v>
      </c>
      <c r="S105" s="15"/>
      <c r="T105" s="108">
        <f>T104-T29</f>
        <v>0</v>
      </c>
      <c r="U105" s="15"/>
      <c r="V105" s="108">
        <f>V104-V29</f>
        <v>0</v>
      </c>
    </row>
    <row r="106" spans="1:27" x14ac:dyDescent="0.3">
      <c r="A106" s="4" t="str">
        <f>B30</f>
        <v>City of Henderson</v>
      </c>
      <c r="B106" s="137"/>
      <c r="C106" s="137"/>
      <c r="D106" s="137"/>
      <c r="E106" s="137"/>
      <c r="F106" s="457"/>
      <c r="G106" s="457"/>
      <c r="H106" s="1448"/>
      <c r="I106" s="509"/>
      <c r="J106" s="509"/>
      <c r="K106" s="509"/>
      <c r="L106" s="509"/>
      <c r="M106" s="467"/>
      <c r="N106" s="509"/>
      <c r="O106" s="509"/>
      <c r="P106" s="509"/>
      <c r="Q106" s="509"/>
      <c r="R106" s="509"/>
      <c r="S106" s="467"/>
      <c r="T106" s="509"/>
      <c r="U106" s="467"/>
      <c r="V106" s="457"/>
    </row>
    <row r="107" spans="1:27" x14ac:dyDescent="0.3">
      <c r="A107" s="4"/>
      <c r="B107" s="106" t="str">
        <f>'5.2 Budgeted Enrollment YR2'!E107</f>
        <v>TBD</v>
      </c>
      <c r="D107" s="9" t="str">
        <f>$D$29</f>
        <v>PCFP</v>
      </c>
      <c r="E107" s="112" t="str">
        <f>$E$30</f>
        <v>PCFP</v>
      </c>
      <c r="F107" s="430">
        <f>ROUND('7.1a Initial Allocations YR2'!E108*$K$3+H107,0)</f>
        <v>0</v>
      </c>
      <c r="G107" s="430">
        <f>ROUND(IF(F107=0,0,F107/'6.9 PCFP Funding Comparison YR2'!D104),0)</f>
        <v>0</v>
      </c>
      <c r="H107" s="1448">
        <f>$Y$33*'6.8 Alloc of Residual Rev. YR2'!D108</f>
        <v>0</v>
      </c>
      <c r="I107" s="1249">
        <f>ROUND('7.1a Initial Allocations YR2'!G108*$K$3,0)</f>
        <v>0</v>
      </c>
      <c r="J107" s="1249">
        <f>ROUND('7.1a Initial Allocations YR2'!H108*$K$3,0)</f>
        <v>0</v>
      </c>
      <c r="K107" s="1249">
        <f>ROUND('7.1a Initial Allocations YR2'!I108*$K$3,0)</f>
        <v>0</v>
      </c>
      <c r="L107" s="1931">
        <f>ROUND('7.1a Initial Allocations YR2'!J108*$K$3,0)</f>
        <v>0</v>
      </c>
      <c r="M107" s="467"/>
      <c r="N107" s="141">
        <v>0</v>
      </c>
      <c r="O107" s="141">
        <v>0</v>
      </c>
      <c r="P107" s="141">
        <v>0</v>
      </c>
      <c r="Q107" s="141"/>
      <c r="R107" s="430">
        <f>SUM(N107:P107)</f>
        <v>0</v>
      </c>
      <c r="S107" s="467"/>
      <c r="T107" s="430">
        <f>ROUND('3.1a Initial Allocations YR1'!R107*'3.1b Allocation Adj. YR1 '!$K$3,0)</f>
        <v>0</v>
      </c>
      <c r="U107" s="467"/>
      <c r="V107" s="430">
        <f>ROUND(R107+L107+F107+T107,0)</f>
        <v>0</v>
      </c>
      <c r="X107" s="2011">
        <f>IF(V107=0,0,V107/'6.9 PCFP Funding Comparison YR2'!D104)</f>
        <v>0</v>
      </c>
    </row>
    <row r="108" spans="1:27" x14ac:dyDescent="0.3">
      <c r="A108" s="4"/>
      <c r="B108" s="106" t="str">
        <f>'5.2 Budgeted Enrollment YR2'!E108</f>
        <v>TBD</v>
      </c>
      <c r="C108" s="137"/>
      <c r="D108" s="128" t="str">
        <f>$D$29</f>
        <v>PCFP</v>
      </c>
      <c r="E108" s="128" t="str">
        <f>$E$30</f>
        <v>PCFP</v>
      </c>
      <c r="F108" s="430">
        <f>ROUND('7.1a Initial Allocations YR2'!E109*$K$3+H108,0)</f>
        <v>0</v>
      </c>
      <c r="G108" s="856">
        <f>ROUND(IF(F108=0,0,F108/'2.9 PCFP Funding Comparison YR1'!D105),0)</f>
        <v>0</v>
      </c>
      <c r="H108" s="1448">
        <f>$Y$33*'6.8 Alloc of Residual Rev. YR2'!D109</f>
        <v>0</v>
      </c>
      <c r="I108" s="1251">
        <f>ROUND('7.1a Initial Allocations YR2'!G109*$K$3,0)</f>
        <v>0</v>
      </c>
      <c r="J108" s="1251">
        <f>ROUND('7.1a Initial Allocations YR2'!H109*$K$3,0)</f>
        <v>0</v>
      </c>
      <c r="K108" s="1251">
        <f>ROUND('7.1a Initial Allocations YR2'!I109*$K$3,0)</f>
        <v>0</v>
      </c>
      <c r="L108" s="856">
        <f>ROUND('7.1a Initial Allocations YR2'!J109*$K$3,0)</f>
        <v>0</v>
      </c>
      <c r="M108" s="467"/>
      <c r="N108" s="1246">
        <v>0</v>
      </c>
      <c r="O108" s="1246">
        <v>0</v>
      </c>
      <c r="P108" s="1246">
        <v>0</v>
      </c>
      <c r="Q108" s="1246"/>
      <c r="R108" s="856">
        <f>SUM(N108:P108)</f>
        <v>0</v>
      </c>
      <c r="S108" s="467"/>
      <c r="T108" s="430">
        <f>ROUND('3.1a Initial Allocations YR1'!R108*'3.1b Allocation Adj. YR1 '!$K$3,0)</f>
        <v>0</v>
      </c>
      <c r="U108" s="467"/>
      <c r="V108" s="430">
        <f>ROUND(R108+L108+F108+T108,0)</f>
        <v>0</v>
      </c>
      <c r="X108" s="376">
        <f>IF(V108=0,0,V108/'2.9 PCFP Funding Comparison YR1'!#REF!)</f>
        <v>0</v>
      </c>
    </row>
    <row r="109" spans="1:27" s="4" customFormat="1" x14ac:dyDescent="0.3">
      <c r="B109" s="2387" t="s">
        <v>156</v>
      </c>
      <c r="C109" s="2388"/>
      <c r="D109" s="2388"/>
      <c r="E109" s="2389"/>
      <c r="F109" s="426">
        <f>SUM(F107:F108)</f>
        <v>0</v>
      </c>
      <c r="G109" s="1443">
        <f>G107</f>
        <v>0</v>
      </c>
      <c r="H109" s="1448"/>
      <c r="I109" s="1294">
        <f>SUM(I107:I108)</f>
        <v>0</v>
      </c>
      <c r="J109" s="1295">
        <f>SUM(J107:J108)</f>
        <v>0</v>
      </c>
      <c r="K109" s="1295">
        <f>SUM(K107:K108)</f>
        <v>0</v>
      </c>
      <c r="L109" s="1293">
        <f>SUM(L107:L108)</f>
        <v>0</v>
      </c>
      <c r="M109" s="467"/>
      <c r="N109" s="1293">
        <f>SUM(N107:N108)</f>
        <v>0</v>
      </c>
      <c r="O109" s="1293">
        <f>SUM(O107:O108)</f>
        <v>0</v>
      </c>
      <c r="P109" s="1293">
        <f>SUM(P107:P108)</f>
        <v>0</v>
      </c>
      <c r="Q109" s="1293"/>
      <c r="R109" s="1293">
        <f>SUM(R107:R108)</f>
        <v>0</v>
      </c>
      <c r="S109" s="467"/>
      <c r="T109" s="1239">
        <f>SUM(T107:T108)</f>
        <v>0</v>
      </c>
      <c r="U109" s="467"/>
      <c r="V109" s="1239">
        <f>SUM(V107:V108)</f>
        <v>0</v>
      </c>
    </row>
    <row r="110" spans="1:27" x14ac:dyDescent="0.3">
      <c r="F110" s="108">
        <f>F109-F30</f>
        <v>0</v>
      </c>
      <c r="G110" s="108">
        <f>G109-G30</f>
        <v>0</v>
      </c>
      <c r="H110" s="585"/>
      <c r="I110" s="108">
        <f>I109-I30</f>
        <v>0</v>
      </c>
      <c r="J110" s="108">
        <f>J109-J30</f>
        <v>0</v>
      </c>
      <c r="K110" s="108">
        <f>K109-K30</f>
        <v>0</v>
      </c>
      <c r="L110" s="108">
        <f>L109-L30</f>
        <v>0</v>
      </c>
      <c r="M110" s="108"/>
      <c r="N110" s="108">
        <f>N109-N30</f>
        <v>0</v>
      </c>
      <c r="O110" s="108">
        <f>O109-O30</f>
        <v>0</v>
      </c>
      <c r="P110" s="108">
        <f>P109-P30</f>
        <v>0</v>
      </c>
      <c r="Q110" s="108"/>
      <c r="R110" s="108">
        <f>R109-R30</f>
        <v>0</v>
      </c>
      <c r="S110" s="108"/>
      <c r="T110" s="108">
        <f>T109-T30</f>
        <v>0</v>
      </c>
      <c r="U110" s="108"/>
      <c r="V110" s="108">
        <f>V109-V30</f>
        <v>0</v>
      </c>
    </row>
    <row r="111" spans="1:27" x14ac:dyDescent="0.3">
      <c r="A111" s="4" t="str">
        <f>B31</f>
        <v>City of North Las Vegas</v>
      </c>
      <c r="B111" s="137"/>
      <c r="C111" s="137"/>
      <c r="D111" s="137"/>
      <c r="E111" s="137"/>
      <c r="F111" s="457"/>
      <c r="G111" s="457"/>
      <c r="H111" s="1448"/>
      <c r="I111" s="509"/>
      <c r="J111" s="509"/>
      <c r="K111" s="509"/>
      <c r="L111" s="509"/>
      <c r="M111" s="467"/>
      <c r="N111" s="509"/>
      <c r="O111" s="509"/>
      <c r="P111" s="509"/>
      <c r="Q111" s="509"/>
      <c r="R111" s="509"/>
      <c r="S111" s="467"/>
      <c r="T111" s="509"/>
      <c r="U111" s="467"/>
      <c r="V111" s="457"/>
    </row>
    <row r="112" spans="1:27" x14ac:dyDescent="0.3">
      <c r="A112" s="4"/>
      <c r="B112" s="106" t="str">
        <f>'5.2 Budgeted Enrollment YR2'!E113</f>
        <v>TBD</v>
      </c>
      <c r="D112" s="9" t="str">
        <f>$D$29</f>
        <v>PCFP</v>
      </c>
      <c r="E112" s="112" t="str">
        <f>$E$31</f>
        <v>PCFP</v>
      </c>
      <c r="F112" s="430">
        <f>ROUND('7.1a Initial Allocations YR2'!E114*$K$3+H112,0)</f>
        <v>0</v>
      </c>
      <c r="G112" s="430">
        <f>ROUND(IF(F112=0,0,F112/'6.9 PCFP Funding Comparison YR2'!D109),0)</f>
        <v>0</v>
      </c>
      <c r="H112" s="1448">
        <f>$Y$33*'6.8 Alloc of Residual Rev. YR2'!D113</f>
        <v>0</v>
      </c>
      <c r="I112" s="1249">
        <f>ROUND('7.1a Initial Allocations YR2'!G114*$K$3,0)</f>
        <v>0</v>
      </c>
      <c r="J112" s="1249">
        <f>ROUND('7.1a Initial Allocations YR2'!H114*$K$3,0)</f>
        <v>0</v>
      </c>
      <c r="K112" s="1249">
        <f>ROUND('7.1a Initial Allocations YR2'!I114*$K$3,0)</f>
        <v>0</v>
      </c>
      <c r="L112" s="1931">
        <f>ROUND('7.1a Initial Allocations YR2'!J114*$K$3,0)</f>
        <v>0</v>
      </c>
      <c r="M112" s="467"/>
      <c r="N112" s="141">
        <v>0</v>
      </c>
      <c r="O112" s="141">
        <v>0</v>
      </c>
      <c r="P112" s="141">
        <v>0</v>
      </c>
      <c r="Q112" s="141"/>
      <c r="R112" s="430">
        <f>SUM(N112:P112)</f>
        <v>0</v>
      </c>
      <c r="S112" s="467"/>
      <c r="T112" s="430">
        <f>ROUND('3.1a Initial Allocations YR1'!R112*'3.1b Allocation Adj. YR1 '!$K$3,0)</f>
        <v>0</v>
      </c>
      <c r="U112" s="467"/>
      <c r="V112" s="430">
        <f>ROUND(R112+L112+F112+T112,0)</f>
        <v>0</v>
      </c>
      <c r="X112" s="2011">
        <f>IF(V112=0,0,V112/'6.9 PCFP Funding Comparison YR2'!D109)</f>
        <v>0</v>
      </c>
    </row>
    <row r="113" spans="1:24" x14ac:dyDescent="0.3">
      <c r="A113" s="4"/>
      <c r="B113" s="106" t="str">
        <f>'5.2 Budgeted Enrollment YR2'!E114</f>
        <v>TBD</v>
      </c>
      <c r="C113" s="137"/>
      <c r="D113" s="128" t="str">
        <f>$D$29</f>
        <v>PCFP</v>
      </c>
      <c r="E113" s="128" t="str">
        <f>$E$31</f>
        <v>PCFP</v>
      </c>
      <c r="F113" s="430">
        <f>ROUND('7.1a Initial Allocations YR2'!E115*$K$3+H113,0)</f>
        <v>0</v>
      </c>
      <c r="G113" s="856">
        <f>IF(F113=0,0,F113/'2.9 PCFP Funding Comparison YR1'!D110)</f>
        <v>0</v>
      </c>
      <c r="H113" s="1448">
        <f>$Y$33*'6.8 Alloc of Residual Rev. YR2'!D114</f>
        <v>0</v>
      </c>
      <c r="I113" s="1251">
        <f>ROUND('7.1a Initial Allocations YR2'!G115*$K$3,0)</f>
        <v>0</v>
      </c>
      <c r="J113" s="1251">
        <f>ROUND('7.1a Initial Allocations YR2'!H115*$K$3,0)</f>
        <v>0</v>
      </c>
      <c r="K113" s="1251">
        <f>ROUND('7.1a Initial Allocations YR2'!I115*$K$3,0)</f>
        <v>0</v>
      </c>
      <c r="L113" s="856">
        <f>ROUND('7.1a Initial Allocations YR2'!J115*$K$3,0)</f>
        <v>0</v>
      </c>
      <c r="M113" s="467"/>
      <c r="N113" s="1246">
        <v>0</v>
      </c>
      <c r="O113" s="1246">
        <v>0</v>
      </c>
      <c r="P113" s="1246">
        <v>0</v>
      </c>
      <c r="Q113" s="1246"/>
      <c r="R113" s="856">
        <f>SUM(N113:P113)</f>
        <v>0</v>
      </c>
      <c r="S113" s="467"/>
      <c r="T113" s="430">
        <f>ROUND('3.1a Initial Allocations YR1'!R113*'3.1b Allocation Adj. YR1 '!$K$3,0)</f>
        <v>0</v>
      </c>
      <c r="U113" s="467"/>
      <c r="V113" s="430">
        <f>ROUND(R113+L113+F113+T113,0)</f>
        <v>0</v>
      </c>
      <c r="X113" s="376">
        <f>IF(V113=0,0,V113/'2.9 PCFP Funding Comparison YR1'!#REF!)</f>
        <v>0</v>
      </c>
    </row>
    <row r="114" spans="1:24" s="4" customFormat="1" x14ac:dyDescent="0.3">
      <c r="B114" s="2387" t="s">
        <v>156</v>
      </c>
      <c r="C114" s="2388"/>
      <c r="D114" s="2388"/>
      <c r="E114" s="2389"/>
      <c r="F114" s="426">
        <f>SUM(F112:F113)</f>
        <v>0</v>
      </c>
      <c r="G114" s="1443">
        <f>G112</f>
        <v>0</v>
      </c>
      <c r="H114" s="1448"/>
      <c r="I114" s="1294">
        <f>SUM(I112:I113)</f>
        <v>0</v>
      </c>
      <c r="J114" s="1295">
        <f>SUM(J112:J113)</f>
        <v>0</v>
      </c>
      <c r="K114" s="1295">
        <f>SUM(K112:K113)</f>
        <v>0</v>
      </c>
      <c r="L114" s="1293">
        <f>SUM(L112:L113)</f>
        <v>0</v>
      </c>
      <c r="M114" s="467"/>
      <c r="N114" s="1293">
        <f>SUM(N112:N113)</f>
        <v>0</v>
      </c>
      <c r="O114" s="1293">
        <f>SUM(O112:O113)</f>
        <v>0</v>
      </c>
      <c r="P114" s="1293">
        <f>SUM(P112:P113)</f>
        <v>0</v>
      </c>
      <c r="Q114" s="1293"/>
      <c r="R114" s="1293">
        <f>SUM(R112:R113)</f>
        <v>0</v>
      </c>
      <c r="S114" s="467"/>
      <c r="T114" s="1239">
        <f>SUM(T112:T113)</f>
        <v>0</v>
      </c>
      <c r="U114" s="467"/>
      <c r="V114" s="1239">
        <f>SUM(V112:V113)</f>
        <v>0</v>
      </c>
    </row>
    <row r="115" spans="1:24" x14ac:dyDescent="0.3">
      <c r="F115" s="108">
        <f>F114-F31</f>
        <v>0</v>
      </c>
      <c r="G115" s="108">
        <f>G114-G31</f>
        <v>0</v>
      </c>
      <c r="H115" s="108"/>
      <c r="I115" s="108">
        <f>I114-I31</f>
        <v>0</v>
      </c>
      <c r="J115" s="108">
        <f>J114-J31</f>
        <v>0</v>
      </c>
      <c r="K115" s="108">
        <f>K114-K31</f>
        <v>0</v>
      </c>
      <c r="L115" s="108">
        <f>L114-L31</f>
        <v>0</v>
      </c>
      <c r="M115" s="108"/>
      <c r="N115" s="108">
        <f>N114-N31</f>
        <v>0</v>
      </c>
      <c r="O115" s="108">
        <f>O114-O31</f>
        <v>0</v>
      </c>
      <c r="P115" s="108">
        <f>P114-P31</f>
        <v>0</v>
      </c>
      <c r="Q115" s="108"/>
      <c r="R115" s="108">
        <f>R114-R31</f>
        <v>0</v>
      </c>
      <c r="S115" s="108"/>
      <c r="T115" s="108">
        <f>T114-T31</f>
        <v>0</v>
      </c>
      <c r="U115" s="108"/>
      <c r="V115" s="108">
        <f>V114-V31</f>
        <v>0</v>
      </c>
    </row>
  </sheetData>
  <mergeCells count="3">
    <mergeCell ref="B104:E104"/>
    <mergeCell ref="B109:E109"/>
    <mergeCell ref="B114:E114"/>
  </mergeCells>
  <printOptions horizontalCentered="1"/>
  <pageMargins left="0.2" right="0.2" top="0.75" bottom="0.75" header="0.3" footer="0.3"/>
  <pageSetup scale="44" fitToHeight="0" orientation="landscape" r:id="rId1"/>
  <rowBreaks count="2" manualBreakCount="2">
    <brk id="32" max="16383" man="1"/>
    <brk id="74" max="2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EFC04-9033-49C8-A481-EAF0DF19B4E8}">
  <sheetPr>
    <tabColor theme="2" tint="-0.499984740745262"/>
  </sheetPr>
  <dimension ref="A1:AD97"/>
  <sheetViews>
    <sheetView workbookViewId="0"/>
  </sheetViews>
  <sheetFormatPr defaultRowHeight="16.5" x14ac:dyDescent="0.3"/>
  <cols>
    <col min="1" max="1" width="47.140625" customWidth="1"/>
    <col min="2" max="2" width="12.140625" bestFit="1" customWidth="1"/>
    <col min="3" max="4" width="13.7109375" bestFit="1" customWidth="1"/>
    <col min="5" max="6" width="13.140625" style="9" bestFit="1" customWidth="1"/>
    <col min="7" max="7" width="14.5703125" style="9" bestFit="1" customWidth="1"/>
    <col min="8" max="8" width="15.7109375" style="9" bestFit="1" customWidth="1"/>
    <col min="9" max="9" width="5.7109375" style="4" customWidth="1"/>
    <col min="10" max="10" width="11.5703125" bestFit="1" customWidth="1"/>
    <col min="11" max="12" width="13.7109375" bestFit="1" customWidth="1"/>
    <col min="13" max="14" width="13.140625" style="9" bestFit="1" customWidth="1"/>
    <col min="15" max="15" width="15" style="9" bestFit="1" customWidth="1"/>
    <col min="16" max="16" width="15.7109375" style="9" bestFit="1" customWidth="1"/>
    <col min="17" max="17" width="5.7109375" style="4" customWidth="1"/>
    <col min="18" max="18" width="11.140625" bestFit="1" customWidth="1"/>
    <col min="19" max="20" width="13.7109375" bestFit="1" customWidth="1"/>
    <col min="21" max="22" width="13.140625" style="9" bestFit="1" customWidth="1"/>
    <col min="23" max="23" width="13.5703125" style="9" bestFit="1" customWidth="1"/>
    <col min="24" max="24" width="15.7109375" style="9" bestFit="1" customWidth="1"/>
    <col min="25" max="25" width="5.7109375" style="4" customWidth="1"/>
    <col min="26" max="27" width="15" style="9" bestFit="1" customWidth="1"/>
    <col min="28" max="28" width="15.5703125" style="9" bestFit="1" customWidth="1"/>
    <col min="29" max="30" width="5.7109375" style="9" customWidth="1"/>
  </cols>
  <sheetData>
    <row r="1" spans="1:30" x14ac:dyDescent="0.3">
      <c r="A1" s="4" t="s">
        <v>15</v>
      </c>
      <c r="B1" s="5" t="s">
        <v>1801</v>
      </c>
      <c r="C1" s="4"/>
      <c r="E1" s="4"/>
      <c r="F1" s="4"/>
      <c r="G1" s="4"/>
      <c r="H1" s="4"/>
      <c r="M1" s="4"/>
      <c r="N1" s="4"/>
      <c r="O1" s="4"/>
      <c r="P1" s="4"/>
      <c r="U1" s="4"/>
      <c r="V1" s="4"/>
      <c r="W1" s="4"/>
      <c r="X1" s="4"/>
      <c r="Z1" s="4"/>
      <c r="AA1" s="4"/>
      <c r="AB1" s="4"/>
      <c r="AC1" s="4"/>
      <c r="AD1" s="4"/>
    </row>
    <row r="2" spans="1:30" x14ac:dyDescent="0.3">
      <c r="A2" s="4" t="str">
        <f>CONCATENATE("Pupil Center Funding Plan | FY",'1.1 Assumption Control YR1'!D5)</f>
        <v>Pupil Center Funding Plan | FY2026</v>
      </c>
      <c r="B2" s="5" t="s">
        <v>1802</v>
      </c>
      <c r="C2" s="9"/>
    </row>
    <row r="3" spans="1:30" x14ac:dyDescent="0.3">
      <c r="A3" s="4" t="s">
        <v>1803</v>
      </c>
      <c r="B3" s="5" t="s">
        <v>241</v>
      </c>
      <c r="C3" s="9"/>
    </row>
    <row r="4" spans="1:30" x14ac:dyDescent="0.3">
      <c r="E4" s="4"/>
      <c r="F4" s="4"/>
      <c r="G4" s="16"/>
      <c r="H4" s="16"/>
      <c r="M4" s="4"/>
      <c r="N4" s="4"/>
      <c r="O4" s="16"/>
      <c r="P4" s="16"/>
      <c r="U4" s="4"/>
      <c r="V4" s="4"/>
      <c r="W4" s="16"/>
      <c r="X4" s="16"/>
      <c r="Z4" s="231"/>
      <c r="AA4" s="231"/>
      <c r="AB4" s="231"/>
      <c r="AC4" s="231"/>
      <c r="AD4" s="231"/>
    </row>
    <row r="5" spans="1:30" x14ac:dyDescent="0.3">
      <c r="B5" s="2065" t="s">
        <v>1804</v>
      </c>
      <c r="C5" s="232" t="s">
        <v>1805</v>
      </c>
      <c r="D5" s="2065" t="s">
        <v>1805</v>
      </c>
      <c r="E5" s="258" t="s">
        <v>1806</v>
      </c>
      <c r="F5" s="2065" t="s">
        <v>1807</v>
      </c>
      <c r="G5" s="232" t="s">
        <v>1807</v>
      </c>
      <c r="H5" s="2065" t="s">
        <v>1808</v>
      </c>
      <c r="J5" s="2065" t="s">
        <v>1804</v>
      </c>
      <c r="K5" s="232" t="s">
        <v>1805</v>
      </c>
      <c r="L5" s="2065" t="s">
        <v>1805</v>
      </c>
      <c r="M5" s="258" t="s">
        <v>1806</v>
      </c>
      <c r="N5" s="2065" t="s">
        <v>1807</v>
      </c>
      <c r="O5" s="232" t="s">
        <v>1807</v>
      </c>
      <c r="P5" s="2065" t="s">
        <v>1808</v>
      </c>
      <c r="R5" s="2065" t="s">
        <v>1804</v>
      </c>
      <c r="S5" s="232" t="s">
        <v>1805</v>
      </c>
      <c r="T5" s="2065" t="s">
        <v>1805</v>
      </c>
      <c r="U5" s="258" t="s">
        <v>1806</v>
      </c>
      <c r="V5" s="2065" t="s">
        <v>1807</v>
      </c>
      <c r="W5" s="232" t="s">
        <v>1807</v>
      </c>
      <c r="X5" s="2065" t="s">
        <v>1808</v>
      </c>
    </row>
    <row r="6" spans="1:30" x14ac:dyDescent="0.3">
      <c r="A6" s="276" t="s">
        <v>240</v>
      </c>
      <c r="B6" s="244" t="s">
        <v>1809</v>
      </c>
      <c r="C6" s="160" t="s">
        <v>1810</v>
      </c>
      <c r="D6" s="244" t="s">
        <v>1811</v>
      </c>
      <c r="E6" s="259" t="s">
        <v>1809</v>
      </c>
      <c r="F6" s="244" t="s">
        <v>1805</v>
      </c>
      <c r="G6" s="160" t="s">
        <v>1805</v>
      </c>
      <c r="H6" s="244" t="s">
        <v>139</v>
      </c>
      <c r="J6" s="244" t="s">
        <v>1809</v>
      </c>
      <c r="K6" s="160" t="s">
        <v>1810</v>
      </c>
      <c r="L6" s="244" t="s">
        <v>1811</v>
      </c>
      <c r="M6" s="259" t="s">
        <v>1809</v>
      </c>
      <c r="N6" s="244" t="s">
        <v>1805</v>
      </c>
      <c r="O6" s="160" t="s">
        <v>1805</v>
      </c>
      <c r="P6" s="244" t="s">
        <v>139</v>
      </c>
      <c r="R6" s="244" t="s">
        <v>1809</v>
      </c>
      <c r="S6" s="160" t="s">
        <v>1810</v>
      </c>
      <c r="T6" s="244" t="s">
        <v>1811</v>
      </c>
      <c r="U6" s="259" t="s">
        <v>1809</v>
      </c>
      <c r="V6" s="244" t="s">
        <v>1805</v>
      </c>
      <c r="W6" s="160" t="s">
        <v>1805</v>
      </c>
      <c r="X6" s="244" t="s">
        <v>139</v>
      </c>
      <c r="Z6" s="17"/>
      <c r="AA6" s="17"/>
      <c r="AB6" s="17"/>
      <c r="AC6" s="17"/>
      <c r="AD6" s="17"/>
    </row>
    <row r="7" spans="1:30" x14ac:dyDescent="0.3">
      <c r="A7" s="276" t="s">
        <v>241</v>
      </c>
      <c r="B7" s="244" t="s">
        <v>1581</v>
      </c>
      <c r="C7" s="160" t="s">
        <v>1581</v>
      </c>
      <c r="D7" s="244" t="s">
        <v>1394</v>
      </c>
      <c r="E7" s="259" t="s">
        <v>1581</v>
      </c>
      <c r="F7" s="244" t="s">
        <v>1581</v>
      </c>
      <c r="G7" s="160" t="s">
        <v>1581</v>
      </c>
      <c r="H7" s="244" t="s">
        <v>1812</v>
      </c>
      <c r="J7" s="244" t="s">
        <v>1586</v>
      </c>
      <c r="K7" s="244" t="s">
        <v>1586</v>
      </c>
      <c r="L7" s="244" t="s">
        <v>1394</v>
      </c>
      <c r="M7" s="259" t="s">
        <v>1586</v>
      </c>
      <c r="N7" s="259" t="s">
        <v>1586</v>
      </c>
      <c r="O7" s="259" t="s">
        <v>1586</v>
      </c>
      <c r="P7" s="244" t="s">
        <v>1812</v>
      </c>
      <c r="R7" s="244" t="s">
        <v>1813</v>
      </c>
      <c r="S7" s="244" t="s">
        <v>1813</v>
      </c>
      <c r="T7" s="244" t="s">
        <v>1394</v>
      </c>
      <c r="U7" s="259" t="s">
        <v>1813</v>
      </c>
      <c r="V7" s="259" t="s">
        <v>1813</v>
      </c>
      <c r="W7" s="259" t="s">
        <v>1813</v>
      </c>
      <c r="X7" s="244" t="s">
        <v>1812</v>
      </c>
      <c r="Z7" s="17"/>
      <c r="AA7" s="17"/>
      <c r="AB7" s="17"/>
      <c r="AC7" s="17"/>
      <c r="AD7" s="17"/>
    </row>
    <row r="8" spans="1:30" x14ac:dyDescent="0.3">
      <c r="B8" s="244" t="s">
        <v>1585</v>
      </c>
      <c r="C8" s="160" t="s">
        <v>1585</v>
      </c>
      <c r="D8" s="244" t="s">
        <v>1814</v>
      </c>
      <c r="E8" s="259" t="s">
        <v>1585</v>
      </c>
      <c r="F8" s="244" t="s">
        <v>1585</v>
      </c>
      <c r="G8" s="160" t="s">
        <v>1585</v>
      </c>
      <c r="H8" s="244" t="s">
        <v>1815</v>
      </c>
      <c r="J8" s="244" t="s">
        <v>1816</v>
      </c>
      <c r="K8" s="244" t="s">
        <v>1816</v>
      </c>
      <c r="L8" s="244" t="s">
        <v>1814</v>
      </c>
      <c r="M8" s="259" t="s">
        <v>1816</v>
      </c>
      <c r="N8" s="259" t="s">
        <v>1816</v>
      </c>
      <c r="O8" s="259" t="s">
        <v>1816</v>
      </c>
      <c r="P8" s="244" t="s">
        <v>1815</v>
      </c>
      <c r="R8" s="244" t="s">
        <v>1587</v>
      </c>
      <c r="S8" s="244" t="s">
        <v>1587</v>
      </c>
      <c r="T8" s="244" t="s">
        <v>1814</v>
      </c>
      <c r="U8" s="259" t="s">
        <v>1587</v>
      </c>
      <c r="V8" s="259" t="s">
        <v>1587</v>
      </c>
      <c r="W8" s="259" t="s">
        <v>1587</v>
      </c>
      <c r="X8" s="244" t="s">
        <v>1815</v>
      </c>
      <c r="Z8" s="249" t="s">
        <v>1817</v>
      </c>
      <c r="AA8" s="2000" t="s">
        <v>1805</v>
      </c>
      <c r="AB8" s="205" t="s">
        <v>1512</v>
      </c>
      <c r="AC8" s="17"/>
      <c r="AD8" s="17"/>
    </row>
    <row r="9" spans="1:30" x14ac:dyDescent="0.3">
      <c r="B9" s="260" t="s">
        <v>1394</v>
      </c>
      <c r="C9" s="246" t="s">
        <v>1394</v>
      </c>
      <c r="D9" s="247" t="s">
        <v>1818</v>
      </c>
      <c r="E9" s="261" t="s">
        <v>1538</v>
      </c>
      <c r="F9" s="260" t="s">
        <v>1394</v>
      </c>
      <c r="G9" s="262" t="s">
        <v>139</v>
      </c>
      <c r="H9" s="263">
        <f>'7.1b Allocation Adj. YR2'!K3</f>
        <v>0.99834265473707728</v>
      </c>
      <c r="J9" s="260" t="s">
        <v>1394</v>
      </c>
      <c r="K9" s="246" t="s">
        <v>1394</v>
      </c>
      <c r="L9" s="247" t="s">
        <v>1818</v>
      </c>
      <c r="M9" s="261" t="s">
        <v>1538</v>
      </c>
      <c r="N9" s="260" t="s">
        <v>1394</v>
      </c>
      <c r="O9" s="262" t="s">
        <v>139</v>
      </c>
      <c r="P9" s="263">
        <f>H9</f>
        <v>0.99834265473707728</v>
      </c>
      <c r="R9" s="260" t="s">
        <v>1394</v>
      </c>
      <c r="S9" s="246" t="s">
        <v>1394</v>
      </c>
      <c r="T9" s="247" t="s">
        <v>1818</v>
      </c>
      <c r="U9" s="261" t="s">
        <v>1538</v>
      </c>
      <c r="V9" s="260" t="s">
        <v>1394</v>
      </c>
      <c r="W9" s="262" t="s">
        <v>139</v>
      </c>
      <c r="X9" s="263">
        <f>P9</f>
        <v>0.99834265473707728</v>
      </c>
      <c r="Z9" s="271" t="s">
        <v>1819</v>
      </c>
      <c r="AA9" s="532" t="s">
        <v>1807</v>
      </c>
      <c r="AB9" s="241" t="s">
        <v>1814</v>
      </c>
      <c r="AC9" s="233"/>
      <c r="AD9" s="233"/>
    </row>
    <row r="10" spans="1:30" x14ac:dyDescent="0.3">
      <c r="B10" s="245">
        <v>44835</v>
      </c>
      <c r="C10" s="243">
        <v>45200</v>
      </c>
      <c r="D10" s="248" t="s">
        <v>1820</v>
      </c>
      <c r="E10" s="264" t="s">
        <v>1728</v>
      </c>
      <c r="F10" s="267" t="s">
        <v>1821</v>
      </c>
      <c r="G10" s="266" t="s">
        <v>1822</v>
      </c>
      <c r="H10" s="267" t="s">
        <v>1823</v>
      </c>
      <c r="J10" s="245">
        <v>44105</v>
      </c>
      <c r="K10" s="243">
        <v>44470</v>
      </c>
      <c r="L10" s="248" t="s">
        <v>1824</v>
      </c>
      <c r="M10" s="264" t="s">
        <v>1728</v>
      </c>
      <c r="N10" s="265" t="s">
        <v>1825</v>
      </c>
      <c r="O10" s="266" t="s">
        <v>1826</v>
      </c>
      <c r="P10" s="267" t="s">
        <v>1827</v>
      </c>
      <c r="R10" s="245">
        <v>44105</v>
      </c>
      <c r="S10" s="243">
        <v>44470</v>
      </c>
      <c r="T10" s="248" t="s">
        <v>1828</v>
      </c>
      <c r="U10" s="264" t="s">
        <v>1728</v>
      </c>
      <c r="V10" s="265" t="s">
        <v>1829</v>
      </c>
      <c r="W10" s="266" t="s">
        <v>1830</v>
      </c>
      <c r="X10" s="267" t="s">
        <v>1831</v>
      </c>
      <c r="Z10" s="174" t="s">
        <v>1832</v>
      </c>
      <c r="AA10" s="533" t="s">
        <v>1832</v>
      </c>
      <c r="AB10" s="272" t="s">
        <v>1818</v>
      </c>
      <c r="AC10" s="13"/>
      <c r="AD10" s="13"/>
    </row>
    <row r="11" spans="1:30" x14ac:dyDescent="0.3">
      <c r="A11" s="160" t="s">
        <v>1442</v>
      </c>
      <c r="B11" s="169"/>
      <c r="D11" s="169"/>
      <c r="E11" s="106"/>
      <c r="F11" s="102"/>
      <c r="H11" s="102"/>
      <c r="J11" s="169"/>
      <c r="L11" s="169"/>
      <c r="M11" s="106"/>
      <c r="N11" s="102"/>
      <c r="P11" s="102"/>
      <c r="R11" s="169"/>
      <c r="T11" s="169"/>
      <c r="U11" s="106"/>
      <c r="V11" s="102"/>
      <c r="X11" s="102"/>
      <c r="Z11" s="106"/>
      <c r="AA11" s="102"/>
      <c r="AB11" s="112"/>
    </row>
    <row r="12" spans="1:30" x14ac:dyDescent="0.3">
      <c r="A12" t="str">
        <f>'1.2 Budgeted Enrollment YR1'!E9</f>
        <v>Carson City</v>
      </c>
      <c r="B12" s="255">
        <f>'5.2 Budgeted Enrollment YR2'!I9</f>
        <v>780</v>
      </c>
      <c r="C12" s="235"/>
      <c r="D12" s="428">
        <f>IF(B12="",0,C12-B12)</f>
        <v>-780</v>
      </c>
      <c r="E12" s="268">
        <f>'6.7 Weighted Funding YR2'!D10</f>
        <v>4275.9000000000005</v>
      </c>
      <c r="F12" s="253">
        <f>C12</f>
        <v>0</v>
      </c>
      <c r="G12" s="429" t="str">
        <f>IF($B$3="No","",E12*F12)</f>
        <v/>
      </c>
      <c r="H12" s="430" t="str">
        <f>IF($B$3="No","",G12*$H$9)</f>
        <v/>
      </c>
      <c r="J12" s="255">
        <f>'5.2 Budgeted Enrollment YR2'!J9</f>
        <v>221</v>
      </c>
      <c r="K12" s="235"/>
      <c r="L12" s="428">
        <f>IF(J12="",0,K12-J12)</f>
        <v>-221</v>
      </c>
      <c r="M12" s="268">
        <f>'6.7 Weighted Funding YR2'!H10</f>
        <v>3325.7</v>
      </c>
      <c r="N12" s="253">
        <f>K12</f>
        <v>0</v>
      </c>
      <c r="O12" s="429" t="str">
        <f>IF($B$3="No","",M12*N12)</f>
        <v/>
      </c>
      <c r="P12" s="430" t="str">
        <f>IF($B$3="No","",O12*$P$9)</f>
        <v/>
      </c>
      <c r="R12" s="255">
        <f>'5.2 Budgeted Enrollment YR2'!K9</f>
        <v>285</v>
      </c>
      <c r="S12" s="235"/>
      <c r="T12" s="428">
        <f>IF(R12="",0,S12-R12)</f>
        <v>-285</v>
      </c>
      <c r="U12" s="268">
        <f>'6.7 Weighted Funding YR2'!L10</f>
        <v>1140.24</v>
      </c>
      <c r="V12" s="198">
        <f>S12</f>
        <v>0</v>
      </c>
      <c r="W12" s="429" t="str">
        <f>IF($B$3="No","",U12*V12)</f>
        <v/>
      </c>
      <c r="X12" s="430" t="str">
        <f>IF($B$3="No","",W12*$X$9)</f>
        <v/>
      </c>
      <c r="Z12" s="434" t="str">
        <f>IF($B$3="No","",'7.1b Allocation Adj. YR2'!L11)</f>
        <v/>
      </c>
      <c r="AA12" s="430" t="str">
        <f>IF($B$3="No","",X12+P12+H12)</f>
        <v/>
      </c>
      <c r="AB12" s="433" t="str">
        <f>IF($B$3="No","",AA12-Z12)</f>
        <v/>
      </c>
      <c r="AC12" s="234"/>
      <c r="AD12" s="234"/>
    </row>
    <row r="13" spans="1:30" x14ac:dyDescent="0.3">
      <c r="A13" t="str">
        <f>'1.2 Budgeted Enrollment YR1'!E10</f>
        <v>Churchill</v>
      </c>
      <c r="B13" s="255">
        <f>'5.2 Budgeted Enrollment YR2'!I10</f>
        <v>114</v>
      </c>
      <c r="C13" s="235"/>
      <c r="D13" s="428">
        <f t="shared" ref="D13:D28" si="0">IF(B13="",0,C13-B13)</f>
        <v>-114</v>
      </c>
      <c r="E13" s="268">
        <f>E12</f>
        <v>4275.9000000000005</v>
      </c>
      <c r="F13" s="253">
        <f t="shared" ref="F13:F28" si="1">C13</f>
        <v>0</v>
      </c>
      <c r="G13" s="429" t="str">
        <f t="shared" ref="G13:G28" si="2">IF($B$3="No","",E13*F13)</f>
        <v/>
      </c>
      <c r="H13" s="430" t="str">
        <f t="shared" ref="H13:H29" si="3">IF($B$3="No","",G13*$H$9)</f>
        <v/>
      </c>
      <c r="J13" s="255">
        <f>'5.2 Budgeted Enrollment YR2'!J10</f>
        <v>87</v>
      </c>
      <c r="K13" s="235"/>
      <c r="L13" s="428">
        <f>IF(J13="",0,K13-J13)</f>
        <v>-87</v>
      </c>
      <c r="M13" s="268">
        <f>M12</f>
        <v>3325.7</v>
      </c>
      <c r="N13" s="253">
        <f t="shared" ref="N13:N28" si="4">K13</f>
        <v>0</v>
      </c>
      <c r="O13" s="429" t="str">
        <f t="shared" ref="O13:O29" si="5">IF($B$3="No","",M13*N13)</f>
        <v/>
      </c>
      <c r="P13" s="430" t="str">
        <f t="shared" ref="P13:P29" si="6">IF($B$3="No","",O13*$P$9)</f>
        <v/>
      </c>
      <c r="R13" s="255">
        <f>'5.2 Budgeted Enrollment YR2'!K10</f>
        <v>0</v>
      </c>
      <c r="S13" s="235"/>
      <c r="T13" s="428">
        <f>IF(R13="",0,S13-R13)</f>
        <v>0</v>
      </c>
      <c r="U13" s="268">
        <f>U12</f>
        <v>1140.24</v>
      </c>
      <c r="V13" s="198">
        <f t="shared" ref="V13:V28" si="7">S13</f>
        <v>0</v>
      </c>
      <c r="W13" s="429" t="str">
        <f t="shared" ref="W13:W29" si="8">IF($B$3="No","",U13*V13)</f>
        <v/>
      </c>
      <c r="X13" s="430" t="str">
        <f t="shared" ref="X13:X29" si="9">IF($B$3="No","",W13*$X$9)</f>
        <v/>
      </c>
      <c r="Z13" s="434" t="str">
        <f>IF($B$3="No","",'7.1b Allocation Adj. YR2'!L12)</f>
        <v/>
      </c>
      <c r="AA13" s="430" t="str">
        <f t="shared" ref="AA13:AA29" si="10">IF($B$3="No","",X13+P13+H13)</f>
        <v/>
      </c>
      <c r="AB13" s="433" t="str">
        <f t="shared" ref="AB13:AB29" si="11">IF($B$3="No","",AA13-Z13)</f>
        <v/>
      </c>
      <c r="AC13" s="234"/>
      <c r="AD13" s="234"/>
    </row>
    <row r="14" spans="1:30" x14ac:dyDescent="0.3">
      <c r="A14" t="str">
        <f>'1.2 Budgeted Enrollment YR1'!E11</f>
        <v>Clark</v>
      </c>
      <c r="B14" s="255">
        <f>'5.2 Budgeted Enrollment YR2'!I11</f>
        <v>38828</v>
      </c>
      <c r="C14" s="235"/>
      <c r="D14" s="428">
        <f t="shared" si="0"/>
        <v>-38828</v>
      </c>
      <c r="E14" s="268">
        <f t="shared" ref="E14:E29" si="12">E13</f>
        <v>4275.9000000000005</v>
      </c>
      <c r="F14" s="253">
        <f t="shared" si="1"/>
        <v>0</v>
      </c>
      <c r="G14" s="429" t="str">
        <f t="shared" si="2"/>
        <v/>
      </c>
      <c r="H14" s="430" t="str">
        <f t="shared" si="3"/>
        <v/>
      </c>
      <c r="J14" s="255">
        <f>'5.2 Budgeted Enrollment YR2'!J11</f>
        <v>41674</v>
      </c>
      <c r="K14" s="235"/>
      <c r="L14" s="428">
        <f t="shared" ref="L14:L29" si="13">IF(J14="",0,K14-J14)</f>
        <v>-41674</v>
      </c>
      <c r="M14" s="268">
        <f t="shared" ref="M14:M30" si="14">M13</f>
        <v>3325.7</v>
      </c>
      <c r="N14" s="253">
        <f t="shared" si="4"/>
        <v>0</v>
      </c>
      <c r="O14" s="429" t="str">
        <f t="shared" si="5"/>
        <v/>
      </c>
      <c r="P14" s="430" t="str">
        <f t="shared" si="6"/>
        <v/>
      </c>
      <c r="R14" s="255">
        <f>'5.2 Budgeted Enrollment YR2'!K11</f>
        <v>5436</v>
      </c>
      <c r="S14" s="235"/>
      <c r="T14" s="428">
        <f t="shared" ref="T14:T29" si="15">IF(R14="",0,S14-R14)</f>
        <v>-5436</v>
      </c>
      <c r="U14" s="268">
        <f t="shared" ref="U14:U30" si="16">U13</f>
        <v>1140.24</v>
      </c>
      <c r="V14" s="198">
        <f t="shared" si="7"/>
        <v>0</v>
      </c>
      <c r="W14" s="429" t="str">
        <f t="shared" si="8"/>
        <v/>
      </c>
      <c r="X14" s="430" t="str">
        <f t="shared" si="9"/>
        <v/>
      </c>
      <c r="Z14" s="434" t="str">
        <f>IF($B$3="No","",'7.1b Allocation Adj. YR2'!L13)</f>
        <v/>
      </c>
      <c r="AA14" s="430" t="str">
        <f t="shared" si="10"/>
        <v/>
      </c>
      <c r="AB14" s="433" t="str">
        <f t="shared" si="11"/>
        <v/>
      </c>
      <c r="AC14" s="234"/>
      <c r="AD14" s="234"/>
    </row>
    <row r="15" spans="1:30" x14ac:dyDescent="0.3">
      <c r="A15" t="str">
        <f>'1.2 Budgeted Enrollment YR1'!E12</f>
        <v>Douglas</v>
      </c>
      <c r="B15" s="255">
        <f>'5.2 Budgeted Enrollment YR2'!I12</f>
        <v>161</v>
      </c>
      <c r="C15" s="235"/>
      <c r="D15" s="428">
        <f t="shared" si="0"/>
        <v>-161</v>
      </c>
      <c r="E15" s="268">
        <f t="shared" si="12"/>
        <v>4275.9000000000005</v>
      </c>
      <c r="F15" s="253">
        <f t="shared" si="1"/>
        <v>0</v>
      </c>
      <c r="G15" s="429" t="str">
        <f t="shared" si="2"/>
        <v/>
      </c>
      <c r="H15" s="430" t="str">
        <f t="shared" si="3"/>
        <v/>
      </c>
      <c r="J15" s="255">
        <f>'5.2 Budgeted Enrollment YR2'!J12</f>
        <v>144</v>
      </c>
      <c r="K15" s="235"/>
      <c r="L15" s="428">
        <f t="shared" si="13"/>
        <v>-144</v>
      </c>
      <c r="M15" s="268">
        <f t="shared" si="14"/>
        <v>3325.7</v>
      </c>
      <c r="N15" s="253">
        <f t="shared" si="4"/>
        <v>0</v>
      </c>
      <c r="O15" s="429" t="str">
        <f t="shared" si="5"/>
        <v/>
      </c>
      <c r="P15" s="430" t="str">
        <f t="shared" si="6"/>
        <v/>
      </c>
      <c r="R15" s="255">
        <f>'5.2 Budgeted Enrollment YR2'!K12</f>
        <v>118</v>
      </c>
      <c r="S15" s="235"/>
      <c r="T15" s="428">
        <f t="shared" si="15"/>
        <v>-118</v>
      </c>
      <c r="U15" s="268">
        <f t="shared" si="16"/>
        <v>1140.24</v>
      </c>
      <c r="V15" s="198">
        <f t="shared" si="7"/>
        <v>0</v>
      </c>
      <c r="W15" s="429" t="str">
        <f t="shared" si="8"/>
        <v/>
      </c>
      <c r="X15" s="430" t="str">
        <f t="shared" si="9"/>
        <v/>
      </c>
      <c r="Z15" s="434" t="str">
        <f>IF($B$3="No","",'7.1b Allocation Adj. YR2'!L14)</f>
        <v/>
      </c>
      <c r="AA15" s="430" t="str">
        <f t="shared" si="10"/>
        <v/>
      </c>
      <c r="AB15" s="433" t="str">
        <f t="shared" si="11"/>
        <v/>
      </c>
      <c r="AC15" s="234"/>
      <c r="AD15" s="234"/>
    </row>
    <row r="16" spans="1:30" x14ac:dyDescent="0.3">
      <c r="A16" t="str">
        <f>'1.2 Budgeted Enrollment YR1'!E13</f>
        <v>Elko</v>
      </c>
      <c r="B16" s="255">
        <f>'5.2 Budgeted Enrollment YR2'!I13</f>
        <v>669</v>
      </c>
      <c r="C16" s="235"/>
      <c r="D16" s="428">
        <f t="shared" si="0"/>
        <v>-669</v>
      </c>
      <c r="E16" s="268">
        <f t="shared" si="12"/>
        <v>4275.9000000000005</v>
      </c>
      <c r="F16" s="253">
        <f t="shared" si="1"/>
        <v>0</v>
      </c>
      <c r="G16" s="429" t="str">
        <f t="shared" si="2"/>
        <v/>
      </c>
      <c r="H16" s="430" t="str">
        <f t="shared" si="3"/>
        <v/>
      </c>
      <c r="J16" s="255">
        <f>'5.2 Budgeted Enrollment YR2'!J13</f>
        <v>452</v>
      </c>
      <c r="K16" s="235"/>
      <c r="L16" s="428">
        <f t="shared" si="13"/>
        <v>-452</v>
      </c>
      <c r="M16" s="268">
        <f t="shared" si="14"/>
        <v>3325.7</v>
      </c>
      <c r="N16" s="253">
        <f t="shared" si="4"/>
        <v>0</v>
      </c>
      <c r="O16" s="429" t="str">
        <f t="shared" si="5"/>
        <v/>
      </c>
      <c r="P16" s="430" t="str">
        <f t="shared" si="6"/>
        <v/>
      </c>
      <c r="R16" s="255">
        <f>'5.2 Budgeted Enrollment YR2'!K13</f>
        <v>38</v>
      </c>
      <c r="S16" s="235"/>
      <c r="T16" s="428">
        <f t="shared" si="15"/>
        <v>-38</v>
      </c>
      <c r="U16" s="268">
        <f t="shared" si="16"/>
        <v>1140.24</v>
      </c>
      <c r="V16" s="198">
        <f t="shared" si="7"/>
        <v>0</v>
      </c>
      <c r="W16" s="429" t="str">
        <f t="shared" si="8"/>
        <v/>
      </c>
      <c r="X16" s="430" t="str">
        <f t="shared" si="9"/>
        <v/>
      </c>
      <c r="Z16" s="434" t="str">
        <f>IF($B$3="No","",'7.1b Allocation Adj. YR2'!L15)</f>
        <v/>
      </c>
      <c r="AA16" s="430" t="str">
        <f t="shared" si="10"/>
        <v/>
      </c>
      <c r="AB16" s="433" t="str">
        <f t="shared" si="11"/>
        <v/>
      </c>
      <c r="AC16" s="234"/>
      <c r="AD16" s="234"/>
    </row>
    <row r="17" spans="1:30" x14ac:dyDescent="0.3">
      <c r="A17" t="str">
        <f>'1.2 Budgeted Enrollment YR1'!E14</f>
        <v>Esmeralda</v>
      </c>
      <c r="B17" s="255">
        <f>'5.2 Budgeted Enrollment YR2'!I14</f>
        <v>11</v>
      </c>
      <c r="C17" s="235"/>
      <c r="D17" s="428">
        <f t="shared" si="0"/>
        <v>-11</v>
      </c>
      <c r="E17" s="268">
        <f t="shared" si="12"/>
        <v>4275.9000000000005</v>
      </c>
      <c r="F17" s="253">
        <f t="shared" si="1"/>
        <v>0</v>
      </c>
      <c r="G17" s="429" t="str">
        <f t="shared" si="2"/>
        <v/>
      </c>
      <c r="H17" s="430" t="str">
        <f t="shared" si="3"/>
        <v/>
      </c>
      <c r="J17" s="255">
        <f>'5.2 Budgeted Enrollment YR2'!J14</f>
        <v>1</v>
      </c>
      <c r="K17" s="235"/>
      <c r="L17" s="428">
        <f t="shared" si="13"/>
        <v>-1</v>
      </c>
      <c r="M17" s="268">
        <f t="shared" si="14"/>
        <v>3325.7</v>
      </c>
      <c r="N17" s="253">
        <f t="shared" si="4"/>
        <v>0</v>
      </c>
      <c r="O17" s="429" t="str">
        <f t="shared" si="5"/>
        <v/>
      </c>
      <c r="P17" s="430" t="str">
        <f t="shared" si="6"/>
        <v/>
      </c>
      <c r="R17" s="255">
        <f>'5.2 Budgeted Enrollment YR2'!K14</f>
        <v>0</v>
      </c>
      <c r="S17" s="235"/>
      <c r="T17" s="428">
        <f t="shared" si="15"/>
        <v>0</v>
      </c>
      <c r="U17" s="268">
        <f t="shared" si="16"/>
        <v>1140.24</v>
      </c>
      <c r="V17" s="198">
        <f t="shared" si="7"/>
        <v>0</v>
      </c>
      <c r="W17" s="429" t="str">
        <f t="shared" si="8"/>
        <v/>
      </c>
      <c r="X17" s="430" t="str">
        <f t="shared" si="9"/>
        <v/>
      </c>
      <c r="Z17" s="434" t="str">
        <f>IF($B$3="No","",'7.1b Allocation Adj. YR2'!L16)</f>
        <v/>
      </c>
      <c r="AA17" s="430" t="str">
        <f t="shared" si="10"/>
        <v/>
      </c>
      <c r="AB17" s="433" t="str">
        <f t="shared" si="11"/>
        <v/>
      </c>
      <c r="AC17" s="234"/>
      <c r="AD17" s="234"/>
    </row>
    <row r="18" spans="1:30" x14ac:dyDescent="0.3">
      <c r="A18" t="str">
        <f>'1.2 Budgeted Enrollment YR1'!E15</f>
        <v>Eureka</v>
      </c>
      <c r="B18" s="255">
        <f>'5.2 Budgeted Enrollment YR2'!I15</f>
        <v>4</v>
      </c>
      <c r="C18" s="235"/>
      <c r="D18" s="428">
        <f t="shared" si="0"/>
        <v>-4</v>
      </c>
      <c r="E18" s="268">
        <f t="shared" si="12"/>
        <v>4275.9000000000005</v>
      </c>
      <c r="F18" s="253">
        <f t="shared" si="1"/>
        <v>0</v>
      </c>
      <c r="G18" s="429" t="str">
        <f t="shared" si="2"/>
        <v/>
      </c>
      <c r="H18" s="430" t="str">
        <f t="shared" si="3"/>
        <v/>
      </c>
      <c r="J18" s="255">
        <f>'5.2 Budgeted Enrollment YR2'!J15</f>
        <v>1</v>
      </c>
      <c r="K18" s="235"/>
      <c r="L18" s="428">
        <f t="shared" si="13"/>
        <v>-1</v>
      </c>
      <c r="M18" s="268">
        <f t="shared" si="14"/>
        <v>3325.7</v>
      </c>
      <c r="N18" s="253">
        <f t="shared" si="4"/>
        <v>0</v>
      </c>
      <c r="O18" s="429" t="str">
        <f t="shared" si="5"/>
        <v/>
      </c>
      <c r="P18" s="430" t="str">
        <f t="shared" si="6"/>
        <v/>
      </c>
      <c r="R18" s="255">
        <f>'5.2 Budgeted Enrollment YR2'!K15</f>
        <v>0</v>
      </c>
      <c r="S18" s="235"/>
      <c r="T18" s="428">
        <f t="shared" si="15"/>
        <v>0</v>
      </c>
      <c r="U18" s="268">
        <f t="shared" si="16"/>
        <v>1140.24</v>
      </c>
      <c r="V18" s="198">
        <f t="shared" si="7"/>
        <v>0</v>
      </c>
      <c r="W18" s="429" t="str">
        <f t="shared" si="8"/>
        <v/>
      </c>
      <c r="X18" s="430" t="str">
        <f t="shared" si="9"/>
        <v/>
      </c>
      <c r="Z18" s="434" t="str">
        <f>IF($B$3="No","",'7.1b Allocation Adj. YR2'!L17)</f>
        <v/>
      </c>
      <c r="AA18" s="430" t="str">
        <f t="shared" si="10"/>
        <v/>
      </c>
      <c r="AB18" s="433" t="str">
        <f t="shared" si="11"/>
        <v/>
      </c>
      <c r="AC18" s="234"/>
      <c r="AD18" s="234"/>
    </row>
    <row r="19" spans="1:30" x14ac:dyDescent="0.3">
      <c r="A19" t="str">
        <f>'1.2 Budgeted Enrollment YR1'!E16</f>
        <v>Humboldt</v>
      </c>
      <c r="B19" s="255">
        <f>'5.2 Budgeted Enrollment YR2'!I16</f>
        <v>197</v>
      </c>
      <c r="C19" s="235"/>
      <c r="D19" s="428">
        <f t="shared" si="0"/>
        <v>-197</v>
      </c>
      <c r="E19" s="268">
        <f t="shared" si="12"/>
        <v>4275.9000000000005</v>
      </c>
      <c r="F19" s="253">
        <f t="shared" si="1"/>
        <v>0</v>
      </c>
      <c r="G19" s="429" t="str">
        <f t="shared" si="2"/>
        <v/>
      </c>
      <c r="H19" s="430" t="str">
        <f t="shared" si="3"/>
        <v/>
      </c>
      <c r="J19" s="255">
        <f>'5.2 Budgeted Enrollment YR2'!J16</f>
        <v>106</v>
      </c>
      <c r="K19" s="235"/>
      <c r="L19" s="428">
        <f t="shared" si="13"/>
        <v>-106</v>
      </c>
      <c r="M19" s="268">
        <f t="shared" si="14"/>
        <v>3325.7</v>
      </c>
      <c r="N19" s="253">
        <f t="shared" si="4"/>
        <v>0</v>
      </c>
      <c r="O19" s="429" t="str">
        <f t="shared" si="5"/>
        <v/>
      </c>
      <c r="P19" s="430" t="str">
        <f t="shared" si="6"/>
        <v/>
      </c>
      <c r="R19" s="255">
        <f>'5.2 Budgeted Enrollment YR2'!K16</f>
        <v>0</v>
      </c>
      <c r="S19" s="235"/>
      <c r="T19" s="428">
        <f t="shared" si="15"/>
        <v>0</v>
      </c>
      <c r="U19" s="268">
        <f t="shared" si="16"/>
        <v>1140.24</v>
      </c>
      <c r="V19" s="198">
        <f t="shared" si="7"/>
        <v>0</v>
      </c>
      <c r="W19" s="429" t="str">
        <f t="shared" si="8"/>
        <v/>
      </c>
      <c r="X19" s="430" t="str">
        <f t="shared" si="9"/>
        <v/>
      </c>
      <c r="Z19" s="434" t="str">
        <f>IF($B$3="No","",'7.1b Allocation Adj. YR2'!L18)</f>
        <v/>
      </c>
      <c r="AA19" s="430" t="str">
        <f t="shared" si="10"/>
        <v/>
      </c>
      <c r="AB19" s="433" t="str">
        <f t="shared" si="11"/>
        <v/>
      </c>
      <c r="AC19" s="234"/>
      <c r="AD19" s="234"/>
    </row>
    <row r="20" spans="1:30" x14ac:dyDescent="0.3">
      <c r="A20" t="str">
        <f>'1.2 Budgeted Enrollment YR1'!E17</f>
        <v>Lander</v>
      </c>
      <c r="B20" s="255">
        <f>'5.2 Budgeted Enrollment YR2'!I17</f>
        <v>39</v>
      </c>
      <c r="C20" s="235"/>
      <c r="D20" s="428">
        <f t="shared" si="0"/>
        <v>-39</v>
      </c>
      <c r="E20" s="268">
        <f t="shared" si="12"/>
        <v>4275.9000000000005</v>
      </c>
      <c r="F20" s="253">
        <f t="shared" si="1"/>
        <v>0</v>
      </c>
      <c r="G20" s="429" t="str">
        <f t="shared" si="2"/>
        <v/>
      </c>
      <c r="H20" s="430" t="str">
        <f t="shared" si="3"/>
        <v/>
      </c>
      <c r="J20" s="255">
        <f>'5.2 Budgeted Enrollment YR2'!J17</f>
        <v>79</v>
      </c>
      <c r="K20" s="235"/>
      <c r="L20" s="428">
        <f t="shared" si="13"/>
        <v>-79</v>
      </c>
      <c r="M20" s="268">
        <f t="shared" si="14"/>
        <v>3325.7</v>
      </c>
      <c r="N20" s="253">
        <f t="shared" si="4"/>
        <v>0</v>
      </c>
      <c r="O20" s="429" t="str">
        <f t="shared" si="5"/>
        <v/>
      </c>
      <c r="P20" s="430" t="str">
        <f t="shared" si="6"/>
        <v/>
      </c>
      <c r="R20" s="255">
        <f>'5.2 Budgeted Enrollment YR2'!K17</f>
        <v>0</v>
      </c>
      <c r="S20" s="235"/>
      <c r="T20" s="428">
        <f t="shared" si="15"/>
        <v>0</v>
      </c>
      <c r="U20" s="268">
        <f t="shared" si="16"/>
        <v>1140.24</v>
      </c>
      <c r="V20" s="198">
        <f t="shared" si="7"/>
        <v>0</v>
      </c>
      <c r="W20" s="429" t="str">
        <f t="shared" si="8"/>
        <v/>
      </c>
      <c r="X20" s="430" t="str">
        <f t="shared" si="9"/>
        <v/>
      </c>
      <c r="Z20" s="434" t="str">
        <f>IF($B$3="No","",'7.1b Allocation Adj. YR2'!L19)</f>
        <v/>
      </c>
      <c r="AA20" s="430" t="str">
        <f t="shared" si="10"/>
        <v/>
      </c>
      <c r="AB20" s="433" t="str">
        <f t="shared" si="11"/>
        <v/>
      </c>
      <c r="AC20" s="234"/>
      <c r="AD20" s="234"/>
    </row>
    <row r="21" spans="1:30" x14ac:dyDescent="0.3">
      <c r="A21" t="str">
        <f>'1.2 Budgeted Enrollment YR1'!E18</f>
        <v>Lincoln</v>
      </c>
      <c r="B21" s="255">
        <f>'5.2 Budgeted Enrollment YR2'!I18</f>
        <v>8</v>
      </c>
      <c r="C21" s="235"/>
      <c r="D21" s="428">
        <f t="shared" si="0"/>
        <v>-8</v>
      </c>
      <c r="E21" s="268">
        <f t="shared" si="12"/>
        <v>4275.9000000000005</v>
      </c>
      <c r="F21" s="253">
        <f t="shared" si="1"/>
        <v>0</v>
      </c>
      <c r="G21" s="429" t="str">
        <f t="shared" si="2"/>
        <v/>
      </c>
      <c r="H21" s="430" t="str">
        <f t="shared" si="3"/>
        <v/>
      </c>
      <c r="J21" s="255">
        <f>'5.2 Budgeted Enrollment YR2'!J18</f>
        <v>41</v>
      </c>
      <c r="K21" s="235"/>
      <c r="L21" s="428">
        <f t="shared" si="13"/>
        <v>-41</v>
      </c>
      <c r="M21" s="268">
        <f t="shared" si="14"/>
        <v>3325.7</v>
      </c>
      <c r="N21" s="253">
        <f t="shared" si="4"/>
        <v>0</v>
      </c>
      <c r="O21" s="429" t="str">
        <f t="shared" si="5"/>
        <v/>
      </c>
      <c r="P21" s="430" t="str">
        <f t="shared" si="6"/>
        <v/>
      </c>
      <c r="R21" s="255">
        <f>'5.2 Budgeted Enrollment YR2'!K18</f>
        <v>0</v>
      </c>
      <c r="S21" s="235"/>
      <c r="T21" s="428">
        <f t="shared" si="15"/>
        <v>0</v>
      </c>
      <c r="U21" s="268">
        <f t="shared" si="16"/>
        <v>1140.24</v>
      </c>
      <c r="V21" s="198">
        <f t="shared" si="7"/>
        <v>0</v>
      </c>
      <c r="W21" s="429" t="str">
        <f t="shared" si="8"/>
        <v/>
      </c>
      <c r="X21" s="430" t="str">
        <f t="shared" si="9"/>
        <v/>
      </c>
      <c r="Z21" s="434" t="str">
        <f>IF($B$3="No","",'7.1b Allocation Adj. YR2'!L20)</f>
        <v/>
      </c>
      <c r="AA21" s="430" t="str">
        <f t="shared" si="10"/>
        <v/>
      </c>
      <c r="AB21" s="433" t="str">
        <f t="shared" si="11"/>
        <v/>
      </c>
      <c r="AC21" s="234"/>
      <c r="AD21" s="234"/>
    </row>
    <row r="22" spans="1:30" x14ac:dyDescent="0.3">
      <c r="A22" t="str">
        <f>'1.2 Budgeted Enrollment YR1'!E19</f>
        <v>Lyon</v>
      </c>
      <c r="B22" s="255">
        <f>'5.2 Budgeted Enrollment YR2'!I19</f>
        <v>536</v>
      </c>
      <c r="C22" s="235"/>
      <c r="D22" s="428">
        <f t="shared" si="0"/>
        <v>-536</v>
      </c>
      <c r="E22" s="268">
        <f t="shared" si="12"/>
        <v>4275.9000000000005</v>
      </c>
      <c r="F22" s="253">
        <f t="shared" si="1"/>
        <v>0</v>
      </c>
      <c r="G22" s="429" t="str">
        <f t="shared" si="2"/>
        <v/>
      </c>
      <c r="H22" s="430" t="str">
        <f t="shared" si="3"/>
        <v/>
      </c>
      <c r="J22" s="255">
        <f>'5.2 Budgeted Enrollment YR2'!J19</f>
        <v>389</v>
      </c>
      <c r="K22" s="235"/>
      <c r="L22" s="428">
        <f t="shared" si="13"/>
        <v>-389</v>
      </c>
      <c r="M22" s="268">
        <f t="shared" si="14"/>
        <v>3325.7</v>
      </c>
      <c r="N22" s="253">
        <f t="shared" si="4"/>
        <v>0</v>
      </c>
      <c r="O22" s="429" t="str">
        <f t="shared" si="5"/>
        <v/>
      </c>
      <c r="P22" s="430" t="str">
        <f t="shared" si="6"/>
        <v/>
      </c>
      <c r="R22" s="255">
        <f>'5.2 Budgeted Enrollment YR2'!K19</f>
        <v>60</v>
      </c>
      <c r="S22" s="235"/>
      <c r="T22" s="428">
        <f t="shared" si="15"/>
        <v>-60</v>
      </c>
      <c r="U22" s="268">
        <f t="shared" si="16"/>
        <v>1140.24</v>
      </c>
      <c r="V22" s="198">
        <f t="shared" si="7"/>
        <v>0</v>
      </c>
      <c r="W22" s="429" t="str">
        <f t="shared" si="8"/>
        <v/>
      </c>
      <c r="X22" s="430" t="str">
        <f t="shared" si="9"/>
        <v/>
      </c>
      <c r="Z22" s="434" t="str">
        <f>IF($B$3="No","",'7.1b Allocation Adj. YR2'!L21)</f>
        <v/>
      </c>
      <c r="AA22" s="430" t="str">
        <f t="shared" si="10"/>
        <v/>
      </c>
      <c r="AB22" s="433" t="str">
        <f t="shared" si="11"/>
        <v/>
      </c>
      <c r="AC22" s="234"/>
      <c r="AD22" s="234"/>
    </row>
    <row r="23" spans="1:30" x14ac:dyDescent="0.3">
      <c r="A23" t="str">
        <f>'1.2 Budgeted Enrollment YR1'!E20</f>
        <v>Mineral</v>
      </c>
      <c r="B23" s="255">
        <f>'5.2 Budgeted Enrollment YR2'!I20</f>
        <v>34</v>
      </c>
      <c r="C23" s="235"/>
      <c r="D23" s="428">
        <f t="shared" si="0"/>
        <v>-34</v>
      </c>
      <c r="E23" s="268">
        <f t="shared" si="12"/>
        <v>4275.9000000000005</v>
      </c>
      <c r="F23" s="253">
        <f t="shared" si="1"/>
        <v>0</v>
      </c>
      <c r="G23" s="429" t="str">
        <f t="shared" si="2"/>
        <v/>
      </c>
      <c r="H23" s="430" t="str">
        <f t="shared" si="3"/>
        <v/>
      </c>
      <c r="J23" s="255">
        <f>'5.2 Budgeted Enrollment YR2'!J20</f>
        <v>43</v>
      </c>
      <c r="K23" s="235"/>
      <c r="L23" s="428">
        <f t="shared" si="13"/>
        <v>-43</v>
      </c>
      <c r="M23" s="268">
        <f t="shared" si="14"/>
        <v>3325.7</v>
      </c>
      <c r="N23" s="253">
        <f t="shared" si="4"/>
        <v>0</v>
      </c>
      <c r="O23" s="429" t="str">
        <f t="shared" si="5"/>
        <v/>
      </c>
      <c r="P23" s="430" t="str">
        <f t="shared" si="6"/>
        <v/>
      </c>
      <c r="R23" s="255">
        <f>'5.2 Budgeted Enrollment YR2'!K20</f>
        <v>0</v>
      </c>
      <c r="S23" s="235"/>
      <c r="T23" s="428">
        <f t="shared" si="15"/>
        <v>0</v>
      </c>
      <c r="U23" s="268">
        <f t="shared" si="16"/>
        <v>1140.24</v>
      </c>
      <c r="V23" s="198">
        <f t="shared" si="7"/>
        <v>0</v>
      </c>
      <c r="W23" s="429" t="str">
        <f t="shared" si="8"/>
        <v/>
      </c>
      <c r="X23" s="430" t="str">
        <f t="shared" si="9"/>
        <v/>
      </c>
      <c r="Z23" s="434" t="str">
        <f>IF($B$3="No","",'7.1b Allocation Adj. YR2'!L22)</f>
        <v/>
      </c>
      <c r="AA23" s="430" t="str">
        <f t="shared" si="10"/>
        <v/>
      </c>
      <c r="AB23" s="433" t="str">
        <f t="shared" si="11"/>
        <v/>
      </c>
      <c r="AC23" s="234"/>
      <c r="AD23" s="234"/>
    </row>
    <row r="24" spans="1:30" x14ac:dyDescent="0.3">
      <c r="A24" t="str">
        <f>'1.2 Budgeted Enrollment YR1'!E21</f>
        <v>Nye</v>
      </c>
      <c r="B24" s="255">
        <f>'5.2 Budgeted Enrollment YR2'!I21</f>
        <v>377</v>
      </c>
      <c r="C24" s="235"/>
      <c r="D24" s="428">
        <f t="shared" si="0"/>
        <v>-377</v>
      </c>
      <c r="E24" s="268">
        <f t="shared" si="12"/>
        <v>4275.9000000000005</v>
      </c>
      <c r="F24" s="253">
        <f t="shared" si="1"/>
        <v>0</v>
      </c>
      <c r="G24" s="429" t="str">
        <f t="shared" si="2"/>
        <v/>
      </c>
      <c r="H24" s="430" t="str">
        <f t="shared" si="3"/>
        <v/>
      </c>
      <c r="J24" s="255">
        <f>'5.2 Budgeted Enrollment YR2'!J21</f>
        <v>271</v>
      </c>
      <c r="K24" s="235"/>
      <c r="L24" s="428">
        <f t="shared" si="13"/>
        <v>-271</v>
      </c>
      <c r="M24" s="268">
        <f t="shared" si="14"/>
        <v>3325.7</v>
      </c>
      <c r="N24" s="253">
        <f t="shared" si="4"/>
        <v>0</v>
      </c>
      <c r="O24" s="429" t="str">
        <f t="shared" si="5"/>
        <v/>
      </c>
      <c r="P24" s="430" t="str">
        <f t="shared" si="6"/>
        <v/>
      </c>
      <c r="R24" s="255">
        <f>'5.2 Budgeted Enrollment YR2'!K21</f>
        <v>0</v>
      </c>
      <c r="S24" s="235"/>
      <c r="T24" s="428">
        <f t="shared" si="15"/>
        <v>0</v>
      </c>
      <c r="U24" s="268">
        <f t="shared" si="16"/>
        <v>1140.24</v>
      </c>
      <c r="V24" s="198">
        <f t="shared" si="7"/>
        <v>0</v>
      </c>
      <c r="W24" s="429" t="str">
        <f t="shared" si="8"/>
        <v/>
      </c>
      <c r="X24" s="430" t="str">
        <f t="shared" si="9"/>
        <v/>
      </c>
      <c r="Z24" s="434" t="str">
        <f>IF($B$3="No","",'7.1b Allocation Adj. YR2'!L23)</f>
        <v/>
      </c>
      <c r="AA24" s="430" t="str">
        <f t="shared" si="10"/>
        <v/>
      </c>
      <c r="AB24" s="433" t="str">
        <f t="shared" si="11"/>
        <v/>
      </c>
      <c r="AC24" s="234"/>
      <c r="AD24" s="234"/>
    </row>
    <row r="25" spans="1:30" x14ac:dyDescent="0.3">
      <c r="A25" t="str">
        <f>'1.2 Budgeted Enrollment YR1'!E22</f>
        <v>Pershing</v>
      </c>
      <c r="B25" s="255">
        <f>'5.2 Budgeted Enrollment YR2'!I22</f>
        <v>29</v>
      </c>
      <c r="C25" s="235"/>
      <c r="D25" s="428">
        <f t="shared" si="0"/>
        <v>-29</v>
      </c>
      <c r="E25" s="268">
        <f t="shared" si="12"/>
        <v>4275.9000000000005</v>
      </c>
      <c r="F25" s="253">
        <f t="shared" si="1"/>
        <v>0</v>
      </c>
      <c r="G25" s="429" t="str">
        <f t="shared" si="2"/>
        <v/>
      </c>
      <c r="H25" s="430" t="str">
        <f t="shared" si="3"/>
        <v/>
      </c>
      <c r="J25" s="255">
        <f>'5.2 Budgeted Enrollment YR2'!J22</f>
        <v>28</v>
      </c>
      <c r="K25" s="235"/>
      <c r="L25" s="428">
        <f t="shared" si="13"/>
        <v>-28</v>
      </c>
      <c r="M25" s="268">
        <f t="shared" si="14"/>
        <v>3325.7</v>
      </c>
      <c r="N25" s="253">
        <f t="shared" si="4"/>
        <v>0</v>
      </c>
      <c r="O25" s="429" t="str">
        <f t="shared" si="5"/>
        <v/>
      </c>
      <c r="P25" s="430" t="str">
        <f t="shared" si="6"/>
        <v/>
      </c>
      <c r="R25" s="255">
        <f>'5.2 Budgeted Enrollment YR2'!K22</f>
        <v>0</v>
      </c>
      <c r="S25" s="235"/>
      <c r="T25" s="428">
        <f t="shared" si="15"/>
        <v>0</v>
      </c>
      <c r="U25" s="268">
        <f t="shared" si="16"/>
        <v>1140.24</v>
      </c>
      <c r="V25" s="198">
        <f t="shared" si="7"/>
        <v>0</v>
      </c>
      <c r="W25" s="429" t="str">
        <f t="shared" si="8"/>
        <v/>
      </c>
      <c r="X25" s="430" t="str">
        <f t="shared" si="9"/>
        <v/>
      </c>
      <c r="Z25" s="434" t="str">
        <f>IF($B$3="No","",'7.1b Allocation Adj. YR2'!L24)</f>
        <v/>
      </c>
      <c r="AA25" s="430" t="str">
        <f t="shared" si="10"/>
        <v/>
      </c>
      <c r="AB25" s="433" t="str">
        <f t="shared" si="11"/>
        <v/>
      </c>
      <c r="AC25" s="234"/>
      <c r="AD25" s="234"/>
    </row>
    <row r="26" spans="1:30" x14ac:dyDescent="0.3">
      <c r="A26" t="str">
        <f>'1.2 Budgeted Enrollment YR1'!E23</f>
        <v>Storey</v>
      </c>
      <c r="B26" s="255">
        <f>'5.2 Budgeted Enrollment YR2'!I23</f>
        <v>1</v>
      </c>
      <c r="C26" s="235"/>
      <c r="D26" s="428">
        <f t="shared" si="0"/>
        <v>-1</v>
      </c>
      <c r="E26" s="268">
        <f t="shared" si="12"/>
        <v>4275.9000000000005</v>
      </c>
      <c r="F26" s="253">
        <f t="shared" si="1"/>
        <v>0</v>
      </c>
      <c r="G26" s="429" t="str">
        <f t="shared" si="2"/>
        <v/>
      </c>
      <c r="H26" s="430" t="str">
        <f t="shared" si="3"/>
        <v/>
      </c>
      <c r="J26" s="255">
        <f>'5.2 Budgeted Enrollment YR2'!J23</f>
        <v>9</v>
      </c>
      <c r="K26" s="235"/>
      <c r="L26" s="428">
        <f t="shared" si="13"/>
        <v>-9</v>
      </c>
      <c r="M26" s="268">
        <f t="shared" si="14"/>
        <v>3325.7</v>
      </c>
      <c r="N26" s="253">
        <f t="shared" si="4"/>
        <v>0</v>
      </c>
      <c r="O26" s="429" t="str">
        <f t="shared" si="5"/>
        <v/>
      </c>
      <c r="P26" s="430" t="str">
        <f t="shared" si="6"/>
        <v/>
      </c>
      <c r="R26" s="255">
        <f>'5.2 Budgeted Enrollment YR2'!K23</f>
        <v>0</v>
      </c>
      <c r="S26" s="235"/>
      <c r="T26" s="428">
        <f t="shared" si="15"/>
        <v>0</v>
      </c>
      <c r="U26" s="268">
        <f t="shared" si="16"/>
        <v>1140.24</v>
      </c>
      <c r="V26" s="198">
        <f t="shared" si="7"/>
        <v>0</v>
      </c>
      <c r="W26" s="429" t="str">
        <f t="shared" si="8"/>
        <v/>
      </c>
      <c r="X26" s="430" t="str">
        <f t="shared" si="9"/>
        <v/>
      </c>
      <c r="Z26" s="434" t="str">
        <f>IF($B$3="No","",'7.1b Allocation Adj. YR2'!L25)</f>
        <v/>
      </c>
      <c r="AA26" s="430" t="str">
        <f t="shared" si="10"/>
        <v/>
      </c>
      <c r="AB26" s="433" t="str">
        <f t="shared" si="11"/>
        <v/>
      </c>
      <c r="AC26" s="234"/>
      <c r="AD26" s="234"/>
    </row>
    <row r="27" spans="1:30" x14ac:dyDescent="0.3">
      <c r="A27" t="str">
        <f>'1.2 Budgeted Enrollment YR1'!E24</f>
        <v>Washoe</v>
      </c>
      <c r="B27" s="255">
        <f>'5.2 Budgeted Enrollment YR2'!I24</f>
        <v>6736</v>
      </c>
      <c r="C27" s="235"/>
      <c r="D27" s="428">
        <f t="shared" si="0"/>
        <v>-6736</v>
      </c>
      <c r="E27" s="268">
        <f t="shared" si="12"/>
        <v>4275.9000000000005</v>
      </c>
      <c r="F27" s="253">
        <f t="shared" si="1"/>
        <v>0</v>
      </c>
      <c r="G27" s="429" t="str">
        <f t="shared" si="2"/>
        <v/>
      </c>
      <c r="H27" s="430" t="str">
        <f t="shared" si="3"/>
        <v/>
      </c>
      <c r="J27" s="255">
        <f>'5.2 Budgeted Enrollment YR2'!J24</f>
        <v>4401</v>
      </c>
      <c r="K27" s="235"/>
      <c r="L27" s="428">
        <f t="shared" si="13"/>
        <v>-4401</v>
      </c>
      <c r="M27" s="268">
        <f t="shared" si="14"/>
        <v>3325.7</v>
      </c>
      <c r="N27" s="253">
        <f t="shared" si="4"/>
        <v>0</v>
      </c>
      <c r="O27" s="429" t="str">
        <f t="shared" si="5"/>
        <v/>
      </c>
      <c r="P27" s="430" t="str">
        <f t="shared" si="6"/>
        <v/>
      </c>
      <c r="R27" s="255">
        <f>'5.2 Budgeted Enrollment YR2'!K24</f>
        <v>1294</v>
      </c>
      <c r="S27" s="235"/>
      <c r="T27" s="428">
        <f t="shared" si="15"/>
        <v>-1294</v>
      </c>
      <c r="U27" s="268">
        <f t="shared" si="16"/>
        <v>1140.24</v>
      </c>
      <c r="V27" s="198">
        <f t="shared" si="7"/>
        <v>0</v>
      </c>
      <c r="W27" s="429" t="str">
        <f t="shared" si="8"/>
        <v/>
      </c>
      <c r="X27" s="430" t="str">
        <f t="shared" si="9"/>
        <v/>
      </c>
      <c r="Z27" s="434" t="str">
        <f>IF($B$3="No","",'7.1b Allocation Adj. YR2'!L26)</f>
        <v/>
      </c>
      <c r="AA27" s="430" t="str">
        <f t="shared" si="10"/>
        <v/>
      </c>
      <c r="AB27" s="433" t="str">
        <f t="shared" si="11"/>
        <v/>
      </c>
      <c r="AC27" s="234"/>
      <c r="AD27" s="234"/>
    </row>
    <row r="28" spans="1:30" x14ac:dyDescent="0.3">
      <c r="A28" t="str">
        <f>'1.2 Budgeted Enrollment YR1'!E25</f>
        <v>White Pine</v>
      </c>
      <c r="B28" s="255">
        <f>'5.2 Budgeted Enrollment YR2'!I25</f>
        <v>15</v>
      </c>
      <c r="C28" s="235"/>
      <c r="D28" s="428">
        <f t="shared" si="0"/>
        <v>-15</v>
      </c>
      <c r="E28" s="268">
        <f t="shared" si="12"/>
        <v>4275.9000000000005</v>
      </c>
      <c r="F28" s="253">
        <f t="shared" si="1"/>
        <v>0</v>
      </c>
      <c r="G28" s="429" t="str">
        <f t="shared" si="2"/>
        <v/>
      </c>
      <c r="H28" s="430" t="str">
        <f t="shared" si="3"/>
        <v/>
      </c>
      <c r="J28" s="255">
        <f>'5.2 Budgeted Enrollment YR2'!J25</f>
        <v>120</v>
      </c>
      <c r="K28" s="235"/>
      <c r="L28" s="428">
        <f t="shared" si="13"/>
        <v>-120</v>
      </c>
      <c r="M28" s="268">
        <f t="shared" si="14"/>
        <v>3325.7</v>
      </c>
      <c r="N28" s="253">
        <f t="shared" si="4"/>
        <v>0</v>
      </c>
      <c r="O28" s="429" t="str">
        <f t="shared" si="5"/>
        <v/>
      </c>
      <c r="P28" s="430" t="str">
        <f t="shared" si="6"/>
        <v/>
      </c>
      <c r="R28" s="255">
        <f>'5.2 Budgeted Enrollment YR2'!K25</f>
        <v>0</v>
      </c>
      <c r="S28" s="235"/>
      <c r="T28" s="428">
        <f>IF(R28="",0,S28-R28)</f>
        <v>0</v>
      </c>
      <c r="U28" s="268">
        <f t="shared" si="16"/>
        <v>1140.24</v>
      </c>
      <c r="V28" s="198">
        <f t="shared" si="7"/>
        <v>0</v>
      </c>
      <c r="W28" s="429" t="str">
        <f t="shared" si="8"/>
        <v/>
      </c>
      <c r="X28" s="430" t="str">
        <f t="shared" si="9"/>
        <v/>
      </c>
      <c r="Z28" s="434" t="str">
        <f>IF($B$3="No","",'7.1b Allocation Adj. YR2'!L27)</f>
        <v/>
      </c>
      <c r="AA28" s="430" t="str">
        <f t="shared" si="10"/>
        <v/>
      </c>
      <c r="AB28" s="433" t="str">
        <f t="shared" si="11"/>
        <v/>
      </c>
      <c r="AC28" s="234"/>
      <c r="AD28" s="234"/>
    </row>
    <row r="29" spans="1:30" x14ac:dyDescent="0.3">
      <c r="A29" t="str">
        <f>'1.2 Budgeted Enrollment YR1'!E26</f>
        <v>Charter Schools</v>
      </c>
      <c r="B29" s="256">
        <f>B95</f>
        <v>6384</v>
      </c>
      <c r="C29" s="2">
        <f>C95</f>
        <v>0</v>
      </c>
      <c r="D29" s="428">
        <f>IF(B29=0,0,C29-B29)</f>
        <v>-6384</v>
      </c>
      <c r="E29" s="268">
        <f t="shared" si="12"/>
        <v>4275.9000000000005</v>
      </c>
      <c r="F29" s="198">
        <f>F95</f>
        <v>0</v>
      </c>
      <c r="G29" s="429" t="str">
        <f>IF($B$3="No","",E29*F29)</f>
        <v/>
      </c>
      <c r="H29" s="430" t="str">
        <f t="shared" si="3"/>
        <v/>
      </c>
      <c r="J29" s="255">
        <f>J95</f>
        <v>2007</v>
      </c>
      <c r="K29" s="2">
        <f>K95</f>
        <v>0</v>
      </c>
      <c r="L29" s="428">
        <f t="shared" si="13"/>
        <v>-2007</v>
      </c>
      <c r="M29" s="268">
        <f t="shared" si="14"/>
        <v>3325.7</v>
      </c>
      <c r="N29" s="250">
        <f>N95</f>
        <v>0</v>
      </c>
      <c r="O29" s="429" t="str">
        <f t="shared" si="5"/>
        <v/>
      </c>
      <c r="P29" s="430" t="str">
        <f t="shared" si="6"/>
        <v/>
      </c>
      <c r="R29" s="255">
        <f>R95</f>
        <v>1491</v>
      </c>
      <c r="S29" s="2">
        <f>S95</f>
        <v>0</v>
      </c>
      <c r="T29" s="428">
        <f t="shared" si="15"/>
        <v>-1491</v>
      </c>
      <c r="U29" s="268">
        <f t="shared" si="16"/>
        <v>1140.24</v>
      </c>
      <c r="V29" s="198">
        <f>V95</f>
        <v>0</v>
      </c>
      <c r="W29" s="429" t="str">
        <f t="shared" si="8"/>
        <v/>
      </c>
      <c r="X29" s="430" t="str">
        <f t="shared" si="9"/>
        <v/>
      </c>
      <c r="Z29" s="434" t="str">
        <f>IF($B$3="No","",'7.1b Allocation Adj. YR2'!L28)</f>
        <v/>
      </c>
      <c r="AA29" s="430" t="str">
        <f t="shared" si="10"/>
        <v/>
      </c>
      <c r="AB29" s="433" t="str">
        <f t="shared" si="11"/>
        <v/>
      </c>
      <c r="AC29" s="234"/>
      <c r="AD29" s="234"/>
    </row>
    <row r="30" spans="1:30" s="160" customFormat="1" x14ac:dyDescent="0.3">
      <c r="A30" s="545" t="s">
        <v>158</v>
      </c>
      <c r="B30" s="425">
        <f>SUM(B12:B29)</f>
        <v>54923</v>
      </c>
      <c r="C30" s="536">
        <f>SUM(C12:C29)</f>
        <v>0</v>
      </c>
      <c r="D30" s="537">
        <f>SUM(D12:D29)</f>
        <v>-54923</v>
      </c>
      <c r="E30" s="538">
        <f>E29</f>
        <v>4275.9000000000005</v>
      </c>
      <c r="F30" s="539">
        <f>SUM(F12:F29)</f>
        <v>0</v>
      </c>
      <c r="G30" s="540">
        <f>SUM(G12:G29)</f>
        <v>0</v>
      </c>
      <c r="H30" s="538">
        <f>SUM(H12:H29)</f>
        <v>0</v>
      </c>
      <c r="I30" s="4"/>
      <c r="J30" s="425">
        <f>SUM(J12:J29)</f>
        <v>50074</v>
      </c>
      <c r="K30" s="536">
        <f>SUM(K12:K29)</f>
        <v>0</v>
      </c>
      <c r="L30" s="537">
        <f>SUM(L12:L29)</f>
        <v>-50074</v>
      </c>
      <c r="M30" s="538">
        <f t="shared" si="14"/>
        <v>3325.7</v>
      </c>
      <c r="N30" s="539">
        <f>SUM(N12:N29)</f>
        <v>0</v>
      </c>
      <c r="O30" s="540">
        <f>SUM(O12:O29)</f>
        <v>0</v>
      </c>
      <c r="P30" s="538">
        <f>SUM(P12:P29)</f>
        <v>0</v>
      </c>
      <c r="Q30" s="4"/>
      <c r="R30" s="425">
        <f>SUM(R12:R29)</f>
        <v>8722</v>
      </c>
      <c r="S30" s="536">
        <f>SUM(S12:S29)</f>
        <v>0</v>
      </c>
      <c r="T30" s="537">
        <f>SUM(T12:T29)</f>
        <v>-8722</v>
      </c>
      <c r="U30" s="538">
        <f t="shared" si="16"/>
        <v>1140.24</v>
      </c>
      <c r="V30" s="542">
        <f>SUM(V12:V29)</f>
        <v>0</v>
      </c>
      <c r="W30" s="540">
        <f>SUM(W12:W29)</f>
        <v>0</v>
      </c>
      <c r="X30" s="538">
        <f>SUM(X12:X29)</f>
        <v>0</v>
      </c>
      <c r="Y30" s="4"/>
      <c r="Z30" s="543">
        <f>SUM(Z12:Z29)</f>
        <v>0</v>
      </c>
      <c r="AA30" s="539">
        <f>SUM(AA12:AA29)</f>
        <v>0</v>
      </c>
      <c r="AB30" s="544">
        <f>SUM(AB12:AB29)</f>
        <v>0</v>
      </c>
      <c r="AC30" s="541"/>
      <c r="AD30" s="541"/>
    </row>
    <row r="31" spans="1:30" x14ac:dyDescent="0.3">
      <c r="B31" s="2066">
        <f>B30-'5.2 Budgeted Enrollment YR2'!I30</f>
        <v>0</v>
      </c>
      <c r="C31" s="2067"/>
      <c r="D31" s="2067"/>
      <c r="E31" s="2068"/>
      <c r="F31" s="251"/>
      <c r="G31" s="2068"/>
      <c r="H31" s="2068"/>
      <c r="J31" s="2066">
        <f>J30-'5.2 Budgeted Enrollment YR2'!J30</f>
        <v>0</v>
      </c>
      <c r="L31" s="2067"/>
      <c r="M31" s="269"/>
      <c r="N31" s="2069"/>
      <c r="O31" s="238"/>
      <c r="P31" s="2069"/>
      <c r="R31" s="2066">
        <f>R30-'5.2 Budgeted Enrollment YR2'!K30</f>
        <v>0</v>
      </c>
      <c r="T31" s="2067"/>
      <c r="U31" s="237"/>
      <c r="V31" s="2070"/>
      <c r="W31" s="238"/>
      <c r="X31" s="2069"/>
      <c r="Z31" s="2069"/>
      <c r="AA31" s="251"/>
      <c r="AB31" s="2069"/>
      <c r="AC31" s="238"/>
      <c r="AD31" s="238"/>
    </row>
    <row r="32" spans="1:30" x14ac:dyDescent="0.3">
      <c r="A32" s="160" t="s">
        <v>305</v>
      </c>
      <c r="B32" s="169"/>
      <c r="C32" s="169"/>
      <c r="D32" s="169"/>
      <c r="E32" s="141"/>
      <c r="F32" s="252"/>
      <c r="G32" s="141"/>
      <c r="H32" s="141"/>
      <c r="J32" s="169"/>
      <c r="L32" s="169"/>
      <c r="M32" s="158"/>
      <c r="N32" s="252"/>
      <c r="O32" s="240"/>
      <c r="P32" s="252"/>
      <c r="R32" s="169"/>
      <c r="T32" s="169"/>
      <c r="U32" s="239"/>
      <c r="V32" s="198"/>
      <c r="W32" s="240"/>
      <c r="X32" s="252"/>
      <c r="Z32" s="252"/>
      <c r="AA32" s="252"/>
      <c r="AB32" s="252"/>
      <c r="AC32" s="240"/>
      <c r="AD32" s="240"/>
    </row>
    <row r="33" spans="1:30" x14ac:dyDescent="0.3">
      <c r="A33" t="str">
        <f>'1.2 Budgeted Enrollment YR1'!E34</f>
        <v>FuturEdge (Formerly 100 Academy Of Excellence)</v>
      </c>
      <c r="B33" s="257">
        <f>'5.2 Budgeted Enrollment YR2'!I34</f>
        <v>27</v>
      </c>
      <c r="C33" s="846"/>
      <c r="D33" s="432">
        <f>IF(B33="",0,C33-B33)</f>
        <v>-27</v>
      </c>
      <c r="E33" s="847">
        <f>E29</f>
        <v>4275.9000000000005</v>
      </c>
      <c r="F33" s="254">
        <f>C33</f>
        <v>0</v>
      </c>
      <c r="G33" s="430" t="str">
        <f>IF($B$3="No","",E33*F33)</f>
        <v/>
      </c>
      <c r="H33" s="430" t="str">
        <f>IF($B$3="No","",G33*$H$9)</f>
        <v/>
      </c>
      <c r="J33" s="257">
        <f>'5.2 Budgeted Enrollment YR2'!J34</f>
        <v>79</v>
      </c>
      <c r="K33" s="617"/>
      <c r="L33" s="432">
        <f>IF(J33="",0,K33-J33)</f>
        <v>-79</v>
      </c>
      <c r="M33" s="268">
        <f>M29</f>
        <v>3325.7</v>
      </c>
      <c r="N33" s="198">
        <f>K33</f>
        <v>0</v>
      </c>
      <c r="O33" s="429" t="str">
        <f>IF($B$3="No","",M33*N33)</f>
        <v/>
      </c>
      <c r="P33" s="430" t="str">
        <f>IF($B$3="No","",O33*$P$9)</f>
        <v/>
      </c>
      <c r="R33" s="257">
        <f>'5.2 Budgeted Enrollment YR2'!K34</f>
        <v>0</v>
      </c>
      <c r="S33" s="617"/>
      <c r="T33" s="432">
        <f>IF(R33="",0,S33-R33)</f>
        <v>0</v>
      </c>
      <c r="U33" s="268">
        <f>U29</f>
        <v>1140.24</v>
      </c>
      <c r="V33" s="198">
        <f>S33</f>
        <v>0</v>
      </c>
      <c r="W33" s="429" t="str">
        <f>IF($B$3="No","",U33*V33)</f>
        <v/>
      </c>
      <c r="X33" s="430" t="str">
        <f>IF($B$3="No","",W33*$X$9)</f>
        <v/>
      </c>
      <c r="Z33" s="534" t="str">
        <f>IF($B$3="No","",'7.1b Allocation Adj. YR2'!L37)</f>
        <v/>
      </c>
      <c r="AA33" s="534" t="str">
        <f>IF($B$3="No","",X33+P33+H33)</f>
        <v/>
      </c>
      <c r="AB33" s="534" t="str">
        <f>IF($B$3="No","",AA33-Z33)</f>
        <v/>
      </c>
      <c r="AC33" s="234"/>
      <c r="AD33" s="234"/>
    </row>
    <row r="34" spans="1:30" x14ac:dyDescent="0.3">
      <c r="A34" t="str">
        <f>'1.2 Budgeted Enrollment YR1'!E35</f>
        <v>Academy For Career Education</v>
      </c>
      <c r="B34" s="257">
        <f>'5.2 Budgeted Enrollment YR2'!I35</f>
        <v>27</v>
      </c>
      <c r="C34" s="846"/>
      <c r="D34" s="432">
        <f t="shared" ref="D34:D41" si="17">IF(B34="",0,C34-B34)</f>
        <v>-27</v>
      </c>
      <c r="E34" s="847">
        <f>E33</f>
        <v>4275.9000000000005</v>
      </c>
      <c r="F34" s="254">
        <f t="shared" ref="F34:F41" si="18">C34</f>
        <v>0</v>
      </c>
      <c r="G34" s="430" t="str">
        <f t="shared" ref="G34:G41" si="19">IF($B$3="No","",E34*F34)</f>
        <v/>
      </c>
      <c r="H34" s="430" t="str">
        <f t="shared" ref="H34:H94" si="20">IF($B$3="No","",G34*$H$9)</f>
        <v/>
      </c>
      <c r="J34" s="257">
        <f>'5.2 Budgeted Enrollment YR2'!J35</f>
        <v>4</v>
      </c>
      <c r="K34" s="617"/>
      <c r="L34" s="432">
        <f t="shared" ref="L34:L41" si="21">IF(J34="",0,K34-J34)</f>
        <v>-4</v>
      </c>
      <c r="M34" s="268">
        <f>M33</f>
        <v>3325.7</v>
      </c>
      <c r="N34" s="198">
        <f t="shared" ref="N34:N41" si="22">K34</f>
        <v>0</v>
      </c>
      <c r="O34" s="429" t="str">
        <f t="shared" ref="O34:O41" si="23">IF($B$3="No","",M34*N34)</f>
        <v/>
      </c>
      <c r="P34" s="430" t="str">
        <f t="shared" ref="P34:P94" si="24">IF($B$3="No","",O34*$P$9)</f>
        <v/>
      </c>
      <c r="R34" s="257">
        <f>'5.2 Budgeted Enrollment YR2'!K35</f>
        <v>0</v>
      </c>
      <c r="S34" s="617"/>
      <c r="T34" s="432">
        <f t="shared" ref="T34:T41" si="25">IF(R34="",0,S34-R34)</f>
        <v>0</v>
      </c>
      <c r="U34" s="268">
        <f>U33</f>
        <v>1140.24</v>
      </c>
      <c r="V34" s="198">
        <f t="shared" ref="V34:V41" si="26">S34</f>
        <v>0</v>
      </c>
      <c r="W34" s="429" t="str">
        <f t="shared" ref="W34:W41" si="27">IF($B$3="No","",U34*V34)</f>
        <v/>
      </c>
      <c r="X34" s="430" t="str">
        <f t="shared" ref="X34:X94" si="28">IF($B$3="No","",W34*$X$9)</f>
        <v/>
      </c>
      <c r="Z34" s="534" t="str">
        <f>IF($B$3="No","",'7.1b Allocation Adj. YR2'!L38)</f>
        <v/>
      </c>
      <c r="AA34" s="534" t="str">
        <f t="shared" ref="AA34:AA41" si="29">IF($B$3="No","",X34+P34+H34)</f>
        <v/>
      </c>
      <c r="AB34" s="534" t="str">
        <f t="shared" ref="AB34:AB41" si="30">IF($B$3="No","",AA34-Z34)</f>
        <v/>
      </c>
      <c r="AC34" s="234"/>
      <c r="AD34" s="234"/>
    </row>
    <row r="35" spans="1:30" x14ac:dyDescent="0.3">
      <c r="A35" t="str">
        <f>'1.2 Budgeted Enrollment YR1'!E36</f>
        <v xml:space="preserve">Alpine Academy </v>
      </c>
      <c r="B35" s="257">
        <f>'5.2 Budgeted Enrollment YR2'!I36</f>
        <v>5</v>
      </c>
      <c r="C35" s="846"/>
      <c r="D35" s="432">
        <f t="shared" si="17"/>
        <v>-5</v>
      </c>
      <c r="E35" s="847">
        <f t="shared" ref="E35:E91" si="31">E34</f>
        <v>4275.9000000000005</v>
      </c>
      <c r="F35" s="254">
        <f t="shared" si="18"/>
        <v>0</v>
      </c>
      <c r="G35" s="430" t="str">
        <f t="shared" si="19"/>
        <v/>
      </c>
      <c r="H35" s="430" t="str">
        <f t="shared" si="20"/>
        <v/>
      </c>
      <c r="J35" s="257">
        <f>'5.2 Budgeted Enrollment YR2'!J36</f>
        <v>8</v>
      </c>
      <c r="K35" s="617"/>
      <c r="L35" s="432">
        <f t="shared" si="21"/>
        <v>-8</v>
      </c>
      <c r="M35" s="268">
        <f t="shared" ref="M35:M91" si="32">M34</f>
        <v>3325.7</v>
      </c>
      <c r="N35" s="198">
        <f t="shared" si="22"/>
        <v>0</v>
      </c>
      <c r="O35" s="429" t="str">
        <f t="shared" si="23"/>
        <v/>
      </c>
      <c r="P35" s="430" t="str">
        <f t="shared" si="24"/>
        <v/>
      </c>
      <c r="R35" s="257">
        <f>'5.2 Budgeted Enrollment YR2'!K36</f>
        <v>0</v>
      </c>
      <c r="S35" s="617"/>
      <c r="T35" s="432">
        <f t="shared" si="25"/>
        <v>0</v>
      </c>
      <c r="U35" s="268">
        <f t="shared" ref="U35:U91" si="33">U34</f>
        <v>1140.24</v>
      </c>
      <c r="V35" s="198">
        <f t="shared" si="26"/>
        <v>0</v>
      </c>
      <c r="W35" s="429" t="str">
        <f t="shared" si="27"/>
        <v/>
      </c>
      <c r="X35" s="430" t="str">
        <f t="shared" si="28"/>
        <v/>
      </c>
      <c r="Z35" s="534" t="str">
        <f>IF($B$3="No","",'7.1b Allocation Adj. YR2'!L39)</f>
        <v/>
      </c>
      <c r="AA35" s="534" t="str">
        <f t="shared" si="29"/>
        <v/>
      </c>
      <c r="AB35" s="534" t="str">
        <f t="shared" si="30"/>
        <v/>
      </c>
      <c r="AC35" s="234"/>
      <c r="AD35" s="234"/>
    </row>
    <row r="36" spans="1:30" x14ac:dyDescent="0.3">
      <c r="A36" t="str">
        <f>'1.2 Budgeted Enrollment YR1'!E37</f>
        <v xml:space="preserve">Amplus (Formerly American Preparatory Academy) </v>
      </c>
      <c r="B36" s="257">
        <f>'5.2 Budgeted Enrollment YR2'!I37</f>
        <v>149</v>
      </c>
      <c r="C36" s="846"/>
      <c r="D36" s="432">
        <f t="shared" si="17"/>
        <v>-149</v>
      </c>
      <c r="E36" s="847">
        <f t="shared" si="31"/>
        <v>4275.9000000000005</v>
      </c>
      <c r="F36" s="254">
        <f t="shared" si="18"/>
        <v>0</v>
      </c>
      <c r="G36" s="430" t="str">
        <f t="shared" si="19"/>
        <v/>
      </c>
      <c r="H36" s="430" t="str">
        <f t="shared" si="20"/>
        <v/>
      </c>
      <c r="J36" s="257">
        <f>'5.2 Budgeted Enrollment YR2'!J37</f>
        <v>9</v>
      </c>
      <c r="K36" s="617"/>
      <c r="L36" s="432">
        <f t="shared" si="21"/>
        <v>-9</v>
      </c>
      <c r="M36" s="268">
        <f t="shared" si="32"/>
        <v>3325.7</v>
      </c>
      <c r="N36" s="198">
        <f t="shared" si="22"/>
        <v>0</v>
      </c>
      <c r="O36" s="429" t="str">
        <f t="shared" si="23"/>
        <v/>
      </c>
      <c r="P36" s="430" t="str">
        <f t="shared" si="24"/>
        <v/>
      </c>
      <c r="R36" s="257">
        <f>'5.2 Budgeted Enrollment YR2'!K37</f>
        <v>59</v>
      </c>
      <c r="S36" s="617"/>
      <c r="T36" s="432">
        <f t="shared" si="25"/>
        <v>-59</v>
      </c>
      <c r="U36" s="268">
        <f t="shared" si="33"/>
        <v>1140.24</v>
      </c>
      <c r="V36" s="198">
        <f t="shared" si="26"/>
        <v>0</v>
      </c>
      <c r="W36" s="429" t="str">
        <f t="shared" si="27"/>
        <v/>
      </c>
      <c r="X36" s="430" t="str">
        <f t="shared" si="28"/>
        <v/>
      </c>
      <c r="Z36" s="534" t="str">
        <f>IF($B$3="No","",'7.1b Allocation Adj. YR2'!L40)</f>
        <v/>
      </c>
      <c r="AA36" s="534" t="str">
        <f t="shared" si="29"/>
        <v/>
      </c>
      <c r="AB36" s="534" t="str">
        <f t="shared" si="30"/>
        <v/>
      </c>
      <c r="AC36" s="234"/>
      <c r="AD36" s="234"/>
    </row>
    <row r="37" spans="1:30" x14ac:dyDescent="0.3">
      <c r="A37" t="str">
        <f>'1.2 Budgeted Enrollment YR1'!E38</f>
        <v>Bailey Charter School</v>
      </c>
      <c r="B37" s="257">
        <f>'5.2 Budgeted Enrollment YR2'!I38</f>
        <v>65</v>
      </c>
      <c r="C37" s="846"/>
      <c r="D37" s="432">
        <f t="shared" si="17"/>
        <v>-65</v>
      </c>
      <c r="E37" s="847">
        <f t="shared" si="31"/>
        <v>4275.9000000000005</v>
      </c>
      <c r="F37" s="254">
        <f t="shared" si="18"/>
        <v>0</v>
      </c>
      <c r="G37" s="430" t="str">
        <f t="shared" si="19"/>
        <v/>
      </c>
      <c r="H37" s="430" t="str">
        <f t="shared" si="20"/>
        <v/>
      </c>
      <c r="J37" s="257">
        <f>'5.2 Budgeted Enrollment YR2'!J38</f>
        <v>31</v>
      </c>
      <c r="K37" s="617"/>
      <c r="L37" s="432">
        <f t="shared" si="21"/>
        <v>-31</v>
      </c>
      <c r="M37" s="268">
        <f t="shared" si="32"/>
        <v>3325.7</v>
      </c>
      <c r="N37" s="198">
        <f t="shared" si="22"/>
        <v>0</v>
      </c>
      <c r="O37" s="429" t="str">
        <f t="shared" si="23"/>
        <v/>
      </c>
      <c r="P37" s="430" t="str">
        <f t="shared" si="24"/>
        <v/>
      </c>
      <c r="R37" s="257">
        <f>'5.2 Budgeted Enrollment YR2'!K38</f>
        <v>0</v>
      </c>
      <c r="S37" s="617"/>
      <c r="T37" s="432">
        <f t="shared" si="25"/>
        <v>0</v>
      </c>
      <c r="U37" s="268">
        <f t="shared" si="33"/>
        <v>1140.24</v>
      </c>
      <c r="V37" s="198">
        <f t="shared" si="26"/>
        <v>0</v>
      </c>
      <c r="W37" s="429" t="str">
        <f t="shared" si="27"/>
        <v/>
      </c>
      <c r="X37" s="430" t="str">
        <f t="shared" si="28"/>
        <v/>
      </c>
      <c r="Z37" s="534" t="str">
        <f>IF($B$3="No","",'7.1b Allocation Adj. YR2'!L41)</f>
        <v/>
      </c>
      <c r="AA37" s="534" t="str">
        <f t="shared" si="29"/>
        <v/>
      </c>
      <c r="AB37" s="534" t="str">
        <f t="shared" si="30"/>
        <v/>
      </c>
      <c r="AC37" s="234"/>
      <c r="AD37" s="234"/>
    </row>
    <row r="38" spans="1:30" x14ac:dyDescent="0.3">
      <c r="A38" t="str">
        <f>'1.2 Budgeted Enrollment YR1'!E39</f>
        <v>Battle Born Academy</v>
      </c>
      <c r="B38" s="257">
        <f>'5.2 Budgeted Enrollment YR2'!I39</f>
        <v>141</v>
      </c>
      <c r="C38" s="846"/>
      <c r="D38" s="432">
        <f t="shared" si="17"/>
        <v>-141</v>
      </c>
      <c r="E38" s="847">
        <f t="shared" si="31"/>
        <v>4275.9000000000005</v>
      </c>
      <c r="F38" s="254">
        <f t="shared" si="18"/>
        <v>0</v>
      </c>
      <c r="G38" s="430" t="str">
        <f t="shared" si="19"/>
        <v/>
      </c>
      <c r="H38" s="430" t="str">
        <f t="shared" si="20"/>
        <v/>
      </c>
      <c r="J38" s="257">
        <f>'5.2 Budgeted Enrollment YR2'!J39</f>
        <v>0</v>
      </c>
      <c r="K38" s="617"/>
      <c r="L38" s="432">
        <f t="shared" si="21"/>
        <v>0</v>
      </c>
      <c r="M38" s="268">
        <f t="shared" si="32"/>
        <v>3325.7</v>
      </c>
      <c r="N38" s="198">
        <f t="shared" si="22"/>
        <v>0</v>
      </c>
      <c r="O38" s="429" t="str">
        <f t="shared" si="23"/>
        <v/>
      </c>
      <c r="P38" s="430" t="str">
        <f t="shared" si="24"/>
        <v/>
      </c>
      <c r="R38" s="257">
        <f>'5.2 Budgeted Enrollment YR2'!K39</f>
        <v>0</v>
      </c>
      <c r="S38" s="617"/>
      <c r="T38" s="432">
        <f t="shared" si="25"/>
        <v>0</v>
      </c>
      <c r="U38" s="268">
        <f t="shared" si="33"/>
        <v>1140.24</v>
      </c>
      <c r="V38" s="198">
        <f t="shared" si="26"/>
        <v>0</v>
      </c>
      <c r="W38" s="429" t="str">
        <f t="shared" si="27"/>
        <v/>
      </c>
      <c r="X38" s="430" t="str">
        <f t="shared" si="28"/>
        <v/>
      </c>
      <c r="Z38" s="534" t="str">
        <f>IF($B$3="No","",'7.1b Allocation Adj. YR2'!L42)</f>
        <v/>
      </c>
      <c r="AA38" s="534" t="str">
        <f t="shared" si="29"/>
        <v/>
      </c>
      <c r="AB38" s="534" t="str">
        <f t="shared" si="30"/>
        <v/>
      </c>
      <c r="AC38" s="234"/>
      <c r="AD38" s="234"/>
    </row>
    <row r="39" spans="1:30" x14ac:dyDescent="0.3">
      <c r="A39" t="str">
        <f>'1.2 Budgeted Enrollment YR1'!E40</f>
        <v>Beacon Academy</v>
      </c>
      <c r="B39" s="257">
        <f>'5.2 Budgeted Enrollment YR2'!I40</f>
        <v>123</v>
      </c>
      <c r="C39" s="846"/>
      <c r="D39" s="432">
        <f t="shared" si="17"/>
        <v>-123</v>
      </c>
      <c r="E39" s="847">
        <f t="shared" si="31"/>
        <v>4275.9000000000005</v>
      </c>
      <c r="F39" s="254">
        <f t="shared" si="18"/>
        <v>0</v>
      </c>
      <c r="G39" s="430" t="str">
        <f t="shared" si="19"/>
        <v/>
      </c>
      <c r="H39" s="430" t="str">
        <f t="shared" si="20"/>
        <v/>
      </c>
      <c r="J39" s="257">
        <f>'5.2 Budgeted Enrollment YR2'!J40</f>
        <v>261</v>
      </c>
      <c r="K39" s="617"/>
      <c r="L39" s="432">
        <f t="shared" si="21"/>
        <v>-261</v>
      </c>
      <c r="M39" s="268">
        <f t="shared" si="32"/>
        <v>3325.7</v>
      </c>
      <c r="N39" s="198">
        <f t="shared" si="22"/>
        <v>0</v>
      </c>
      <c r="O39" s="429" t="str">
        <f t="shared" si="23"/>
        <v/>
      </c>
      <c r="P39" s="430" t="str">
        <f t="shared" si="24"/>
        <v/>
      </c>
      <c r="R39" s="257">
        <f>'5.2 Budgeted Enrollment YR2'!K40</f>
        <v>0</v>
      </c>
      <c r="S39" s="617"/>
      <c r="T39" s="432">
        <f t="shared" si="25"/>
        <v>0</v>
      </c>
      <c r="U39" s="268">
        <f t="shared" si="33"/>
        <v>1140.24</v>
      </c>
      <c r="V39" s="198">
        <f t="shared" si="26"/>
        <v>0</v>
      </c>
      <c r="W39" s="429" t="str">
        <f t="shared" si="27"/>
        <v/>
      </c>
      <c r="X39" s="430" t="str">
        <f t="shared" si="28"/>
        <v/>
      </c>
      <c r="Z39" s="534" t="str">
        <f>IF($B$3="No","",'7.1b Allocation Adj. YR2'!L43)</f>
        <v/>
      </c>
      <c r="AA39" s="534" t="str">
        <f t="shared" si="29"/>
        <v/>
      </c>
      <c r="AB39" s="534" t="str">
        <f t="shared" si="30"/>
        <v/>
      </c>
      <c r="AC39" s="234"/>
      <c r="AD39" s="234"/>
    </row>
    <row r="40" spans="1:30" x14ac:dyDescent="0.3">
      <c r="A40" t="str">
        <f>'1.2 Budgeted Enrollment YR1'!E41</f>
        <v>Cactus Park</v>
      </c>
      <c r="B40" s="257">
        <f>'5.2 Budgeted Enrollment YR2'!I41</f>
        <v>64</v>
      </c>
      <c r="C40" s="846"/>
      <c r="D40" s="432">
        <f t="shared" si="17"/>
        <v>-64</v>
      </c>
      <c r="E40" s="847">
        <f t="shared" si="31"/>
        <v>4275.9000000000005</v>
      </c>
      <c r="F40" s="254">
        <f t="shared" si="18"/>
        <v>0</v>
      </c>
      <c r="G40" s="430" t="str">
        <f t="shared" si="19"/>
        <v/>
      </c>
      <c r="H40" s="430" t="str">
        <f t="shared" si="20"/>
        <v/>
      </c>
      <c r="J40" s="257">
        <f>'5.2 Budgeted Enrollment YR2'!J41</f>
        <v>0</v>
      </c>
      <c r="K40" s="617"/>
      <c r="L40" s="432">
        <f t="shared" si="21"/>
        <v>0</v>
      </c>
      <c r="M40" s="268">
        <f t="shared" si="32"/>
        <v>3325.7</v>
      </c>
      <c r="N40" s="198">
        <f t="shared" si="22"/>
        <v>0</v>
      </c>
      <c r="O40" s="429" t="str">
        <f t="shared" si="23"/>
        <v/>
      </c>
      <c r="P40" s="430" t="str">
        <f t="shared" si="24"/>
        <v/>
      </c>
      <c r="R40" s="257">
        <f>'5.2 Budgeted Enrollment YR2'!K41</f>
        <v>0</v>
      </c>
      <c r="S40" s="617"/>
      <c r="T40" s="432">
        <f t="shared" si="25"/>
        <v>0</v>
      </c>
      <c r="U40" s="268">
        <f t="shared" si="33"/>
        <v>1140.24</v>
      </c>
      <c r="V40" s="198">
        <f t="shared" si="26"/>
        <v>0</v>
      </c>
      <c r="W40" s="429" t="str">
        <f t="shared" si="27"/>
        <v/>
      </c>
      <c r="X40" s="430" t="str">
        <f t="shared" si="28"/>
        <v/>
      </c>
      <c r="Z40" s="534" t="str">
        <f>IF($B$3="No","",'7.1b Allocation Adj. YR2'!L44)</f>
        <v/>
      </c>
      <c r="AA40" s="534" t="str">
        <f t="shared" si="29"/>
        <v/>
      </c>
      <c r="AB40" s="534" t="str">
        <f t="shared" si="30"/>
        <v/>
      </c>
      <c r="AC40" s="234"/>
      <c r="AD40" s="234"/>
    </row>
    <row r="41" spans="1:30" x14ac:dyDescent="0.3">
      <c r="A41" t="str">
        <f>'1.2 Budgeted Enrollment YR1'!E42</f>
        <v>Carson Montessori</v>
      </c>
      <c r="B41" s="257">
        <f>'5.2 Budgeted Enrollment YR2'!I42</f>
        <v>5</v>
      </c>
      <c r="C41" s="846"/>
      <c r="D41" s="432">
        <f t="shared" si="17"/>
        <v>-5</v>
      </c>
      <c r="E41" s="847">
        <f t="shared" si="31"/>
        <v>4275.9000000000005</v>
      </c>
      <c r="F41" s="254">
        <f t="shared" si="18"/>
        <v>0</v>
      </c>
      <c r="G41" s="430" t="str">
        <f t="shared" si="19"/>
        <v/>
      </c>
      <c r="H41" s="430" t="str">
        <f t="shared" si="20"/>
        <v/>
      </c>
      <c r="J41" s="257">
        <f>'5.2 Budgeted Enrollment YR2'!J42</f>
        <v>1</v>
      </c>
      <c r="K41" s="617"/>
      <c r="L41" s="432">
        <f t="shared" si="21"/>
        <v>-1</v>
      </c>
      <c r="M41" s="268">
        <f t="shared" si="32"/>
        <v>3325.7</v>
      </c>
      <c r="N41" s="198">
        <f t="shared" si="22"/>
        <v>0</v>
      </c>
      <c r="O41" s="429" t="str">
        <f t="shared" si="23"/>
        <v/>
      </c>
      <c r="P41" s="430" t="str">
        <f t="shared" si="24"/>
        <v/>
      </c>
      <c r="R41" s="257">
        <f>'5.2 Budgeted Enrollment YR2'!K42</f>
        <v>1</v>
      </c>
      <c r="S41" s="617"/>
      <c r="T41" s="432">
        <f t="shared" si="25"/>
        <v>-1</v>
      </c>
      <c r="U41" s="268">
        <f t="shared" si="33"/>
        <v>1140.24</v>
      </c>
      <c r="V41" s="198">
        <f t="shared" si="26"/>
        <v>0</v>
      </c>
      <c r="W41" s="429" t="str">
        <f t="shared" si="27"/>
        <v/>
      </c>
      <c r="X41" s="430" t="str">
        <f t="shared" si="28"/>
        <v/>
      </c>
      <c r="Z41" s="534" t="str">
        <f>IF($B$3="No","",'7.1b Allocation Adj. YR2'!L45)</f>
        <v/>
      </c>
      <c r="AA41" s="534" t="str">
        <f t="shared" si="29"/>
        <v/>
      </c>
      <c r="AB41" s="534" t="str">
        <f t="shared" si="30"/>
        <v/>
      </c>
      <c r="AC41" s="234"/>
      <c r="AD41" s="234"/>
    </row>
    <row r="42" spans="1:30" x14ac:dyDescent="0.3">
      <c r="A42" t="str">
        <f>'1.2 Budgeted Enrollment YR1'!E43</f>
        <v>CIVICA Nevada Career &amp; Collegiate Academy</v>
      </c>
      <c r="B42" s="257">
        <f>'5.2 Budgeted Enrollment YR2'!I43</f>
        <v>338</v>
      </c>
      <c r="C42" s="846"/>
      <c r="D42" s="432">
        <f t="shared" ref="D42:D94" si="34">IF(B42="",0,C42-B42)</f>
        <v>-338</v>
      </c>
      <c r="E42" s="847">
        <f t="shared" si="31"/>
        <v>4275.9000000000005</v>
      </c>
      <c r="F42" s="254">
        <f t="shared" ref="F42:F94" si="35">C42</f>
        <v>0</v>
      </c>
      <c r="G42" s="430" t="str">
        <f t="shared" ref="G42:G94" si="36">IF($B$3="No","",E42*F42)</f>
        <v/>
      </c>
      <c r="H42" s="430" t="str">
        <f t="shared" si="20"/>
        <v/>
      </c>
      <c r="J42" s="257">
        <f>'5.2 Budgeted Enrollment YR2'!J43</f>
        <v>5</v>
      </c>
      <c r="K42" s="617"/>
      <c r="L42" s="432">
        <f t="shared" ref="L42:L94" si="37">IF(J42="",0,K42-J42)</f>
        <v>-5</v>
      </c>
      <c r="M42" s="268">
        <f t="shared" si="32"/>
        <v>3325.7</v>
      </c>
      <c r="N42" s="198">
        <f t="shared" ref="N42:N94" si="38">K42</f>
        <v>0</v>
      </c>
      <c r="O42" s="429" t="str">
        <f t="shared" ref="O42:O94" si="39">IF($B$3="No","",M42*N42)</f>
        <v/>
      </c>
      <c r="P42" s="430" t="str">
        <f t="shared" si="24"/>
        <v/>
      </c>
      <c r="R42" s="257">
        <f>'5.2 Budgeted Enrollment YR2'!K43</f>
        <v>0</v>
      </c>
      <c r="S42" s="617"/>
      <c r="T42" s="432">
        <f t="shared" ref="T42:T94" si="40">IF(R42="",0,S42-R42)</f>
        <v>0</v>
      </c>
      <c r="U42" s="268">
        <f t="shared" si="33"/>
        <v>1140.24</v>
      </c>
      <c r="V42" s="198">
        <f t="shared" ref="V42:V94" si="41">S42</f>
        <v>0</v>
      </c>
      <c r="W42" s="429" t="str">
        <f t="shared" ref="W42:W94" si="42">IF($B$3="No","",U42*V42)</f>
        <v/>
      </c>
      <c r="X42" s="430" t="str">
        <f t="shared" si="28"/>
        <v/>
      </c>
      <c r="Z42" s="534" t="str">
        <f>IF($B$3="No","",'7.1b Allocation Adj. YR2'!L46)</f>
        <v/>
      </c>
      <c r="AA42" s="534" t="str">
        <f t="shared" ref="AA42:AA94" si="43">IF($B$3="No","",X42+P42+H42)</f>
        <v/>
      </c>
      <c r="AB42" s="534" t="str">
        <f t="shared" ref="AB42:AB94" si="44">IF($B$3="No","",AA42-Z42)</f>
        <v/>
      </c>
      <c r="AC42" s="234"/>
      <c r="AD42" s="234"/>
    </row>
    <row r="43" spans="1:30" x14ac:dyDescent="0.3">
      <c r="A43" t="str">
        <f>'1.2 Budgeted Enrollment YR1'!E44</f>
        <v>Coral Academy of Science Las Vegas</v>
      </c>
      <c r="B43" s="257">
        <f>'5.2 Budgeted Enrollment YR2'!I44</f>
        <v>264</v>
      </c>
      <c r="C43" s="846"/>
      <c r="D43" s="432">
        <f t="shared" si="34"/>
        <v>-264</v>
      </c>
      <c r="E43" s="847">
        <f t="shared" si="31"/>
        <v>4275.9000000000005</v>
      </c>
      <c r="F43" s="254">
        <f t="shared" si="35"/>
        <v>0</v>
      </c>
      <c r="G43" s="430" t="str">
        <f t="shared" si="36"/>
        <v/>
      </c>
      <c r="H43" s="430" t="str">
        <f t="shared" si="20"/>
        <v/>
      </c>
      <c r="J43" s="257">
        <f>'5.2 Budgeted Enrollment YR2'!J44</f>
        <v>17</v>
      </c>
      <c r="K43" s="617"/>
      <c r="L43" s="432">
        <f t="shared" si="37"/>
        <v>-17</v>
      </c>
      <c r="M43" s="268">
        <f t="shared" si="32"/>
        <v>3325.7</v>
      </c>
      <c r="N43" s="198">
        <f t="shared" si="38"/>
        <v>0</v>
      </c>
      <c r="O43" s="429" t="str">
        <f t="shared" si="39"/>
        <v/>
      </c>
      <c r="P43" s="430" t="str">
        <f t="shared" si="24"/>
        <v/>
      </c>
      <c r="R43" s="257">
        <f>'5.2 Budgeted Enrollment YR2'!K44</f>
        <v>61</v>
      </c>
      <c r="S43" s="617"/>
      <c r="T43" s="432">
        <f t="shared" si="40"/>
        <v>-61</v>
      </c>
      <c r="U43" s="268">
        <f t="shared" si="33"/>
        <v>1140.24</v>
      </c>
      <c r="V43" s="198">
        <f t="shared" si="41"/>
        <v>0</v>
      </c>
      <c r="W43" s="429" t="str">
        <f t="shared" si="42"/>
        <v/>
      </c>
      <c r="X43" s="430" t="str">
        <f t="shared" si="28"/>
        <v/>
      </c>
      <c r="Z43" s="534" t="str">
        <f>IF($B$3="No","",'7.1b Allocation Adj. YR2'!L47)</f>
        <v/>
      </c>
      <c r="AA43" s="534" t="str">
        <f t="shared" si="43"/>
        <v/>
      </c>
      <c r="AB43" s="534" t="str">
        <f t="shared" si="44"/>
        <v/>
      </c>
      <c r="AC43" s="234"/>
      <c r="AD43" s="234"/>
    </row>
    <row r="44" spans="1:30" x14ac:dyDescent="0.3">
      <c r="A44" t="str">
        <f>'1.2 Budgeted Enrollment YR1'!E45</f>
        <v>Coral Academy Washoe</v>
      </c>
      <c r="B44" s="257">
        <f>'5.2 Budgeted Enrollment YR2'!I45</f>
        <v>162</v>
      </c>
      <c r="C44" s="846"/>
      <c r="D44" s="432">
        <f t="shared" si="34"/>
        <v>-162</v>
      </c>
      <c r="E44" s="847">
        <f t="shared" si="31"/>
        <v>4275.9000000000005</v>
      </c>
      <c r="F44" s="254">
        <f t="shared" si="35"/>
        <v>0</v>
      </c>
      <c r="G44" s="430" t="str">
        <f t="shared" si="36"/>
        <v/>
      </c>
      <c r="H44" s="430" t="str">
        <f t="shared" si="20"/>
        <v/>
      </c>
      <c r="J44" s="257">
        <f>'5.2 Budgeted Enrollment YR2'!J45</f>
        <v>42</v>
      </c>
      <c r="K44" s="617"/>
      <c r="L44" s="432">
        <f t="shared" si="37"/>
        <v>-42</v>
      </c>
      <c r="M44" s="268">
        <f t="shared" si="32"/>
        <v>3325.7</v>
      </c>
      <c r="N44" s="198">
        <f t="shared" si="38"/>
        <v>0</v>
      </c>
      <c r="O44" s="429" t="str">
        <f t="shared" si="39"/>
        <v/>
      </c>
      <c r="P44" s="430" t="str">
        <f t="shared" si="24"/>
        <v/>
      </c>
      <c r="R44" s="257">
        <f>'5.2 Budgeted Enrollment YR2'!K45</f>
        <v>1</v>
      </c>
      <c r="S44" s="617"/>
      <c r="T44" s="432">
        <f t="shared" si="40"/>
        <v>-1</v>
      </c>
      <c r="U44" s="268">
        <f t="shared" si="33"/>
        <v>1140.24</v>
      </c>
      <c r="V44" s="198">
        <f t="shared" si="41"/>
        <v>0</v>
      </c>
      <c r="W44" s="429" t="str">
        <f t="shared" si="42"/>
        <v/>
      </c>
      <c r="X44" s="430" t="str">
        <f t="shared" si="28"/>
        <v/>
      </c>
      <c r="Z44" s="534" t="str">
        <f>IF($B$3="No","",'7.1b Allocation Adj. YR2'!L48)</f>
        <v/>
      </c>
      <c r="AA44" s="534" t="str">
        <f t="shared" si="43"/>
        <v/>
      </c>
      <c r="AB44" s="534" t="str">
        <f t="shared" si="44"/>
        <v/>
      </c>
      <c r="AC44" s="234"/>
      <c r="AD44" s="234"/>
    </row>
    <row r="45" spans="1:30" x14ac:dyDescent="0.3">
      <c r="A45" t="str">
        <f>'1.2 Budgeted Enrollment YR1'!E46</f>
        <v>Delta Academy</v>
      </c>
      <c r="B45" s="257">
        <f>'5.2 Budgeted Enrollment YR2'!I46</f>
        <v>104</v>
      </c>
      <c r="C45" s="846"/>
      <c r="D45" s="432">
        <f t="shared" si="34"/>
        <v>-104</v>
      </c>
      <c r="E45" s="847">
        <f t="shared" si="31"/>
        <v>4275.9000000000005</v>
      </c>
      <c r="F45" s="254">
        <f t="shared" si="35"/>
        <v>0</v>
      </c>
      <c r="G45" s="430" t="str">
        <f t="shared" si="36"/>
        <v/>
      </c>
      <c r="H45" s="430" t="str">
        <f t="shared" si="20"/>
        <v/>
      </c>
      <c r="J45" s="257">
        <f>'5.2 Budgeted Enrollment YR2'!J46</f>
        <v>315</v>
      </c>
      <c r="K45" s="617"/>
      <c r="L45" s="432">
        <f t="shared" si="37"/>
        <v>-315</v>
      </c>
      <c r="M45" s="268">
        <f t="shared" si="32"/>
        <v>3325.7</v>
      </c>
      <c r="N45" s="198">
        <f t="shared" si="38"/>
        <v>0</v>
      </c>
      <c r="O45" s="429" t="str">
        <f t="shared" si="39"/>
        <v/>
      </c>
      <c r="P45" s="430" t="str">
        <f t="shared" si="24"/>
        <v/>
      </c>
      <c r="R45" s="257">
        <f>'5.2 Budgeted Enrollment YR2'!K46</f>
        <v>0</v>
      </c>
      <c r="S45" s="617"/>
      <c r="T45" s="432">
        <f t="shared" si="40"/>
        <v>0</v>
      </c>
      <c r="U45" s="268">
        <f t="shared" si="33"/>
        <v>1140.24</v>
      </c>
      <c r="V45" s="198">
        <f t="shared" si="41"/>
        <v>0</v>
      </c>
      <c r="W45" s="429" t="str">
        <f t="shared" si="42"/>
        <v/>
      </c>
      <c r="X45" s="430" t="str">
        <f t="shared" si="28"/>
        <v/>
      </c>
      <c r="Z45" s="534" t="str">
        <f>IF($B$3="No","",'7.1b Allocation Adj. YR2'!L49)</f>
        <v/>
      </c>
      <c r="AA45" s="534" t="str">
        <f t="shared" si="43"/>
        <v/>
      </c>
      <c r="AB45" s="534" t="str">
        <f t="shared" si="44"/>
        <v/>
      </c>
      <c r="AC45" s="234"/>
      <c r="AD45" s="234"/>
    </row>
    <row r="46" spans="1:30" x14ac:dyDescent="0.3">
      <c r="A46" t="str">
        <f>'1.2 Budgeted Enrollment YR1'!E47</f>
        <v>Democracy Prep</v>
      </c>
      <c r="B46" s="257">
        <f>'5.2 Budgeted Enrollment YR2'!I47</f>
        <v>104</v>
      </c>
      <c r="C46" s="846"/>
      <c r="D46" s="432">
        <f t="shared" si="34"/>
        <v>-104</v>
      </c>
      <c r="E46" s="847">
        <f t="shared" si="31"/>
        <v>4275.9000000000005</v>
      </c>
      <c r="F46" s="254">
        <f t="shared" si="35"/>
        <v>0</v>
      </c>
      <c r="G46" s="430" t="str">
        <f t="shared" si="36"/>
        <v/>
      </c>
      <c r="H46" s="430" t="str">
        <f t="shared" si="20"/>
        <v/>
      </c>
      <c r="J46" s="257">
        <f>'5.2 Budgeted Enrollment YR2'!J47</f>
        <v>177</v>
      </c>
      <c r="K46" s="617"/>
      <c r="L46" s="432">
        <f t="shared" si="37"/>
        <v>-177</v>
      </c>
      <c r="M46" s="268">
        <f t="shared" si="32"/>
        <v>3325.7</v>
      </c>
      <c r="N46" s="198">
        <f t="shared" si="38"/>
        <v>0</v>
      </c>
      <c r="O46" s="429" t="str">
        <f t="shared" si="39"/>
        <v/>
      </c>
      <c r="P46" s="430" t="str">
        <f t="shared" si="24"/>
        <v/>
      </c>
      <c r="R46" s="257">
        <f>'5.2 Budgeted Enrollment YR2'!K47</f>
        <v>0</v>
      </c>
      <c r="S46" s="617"/>
      <c r="T46" s="432">
        <f t="shared" si="40"/>
        <v>0</v>
      </c>
      <c r="U46" s="268">
        <f t="shared" si="33"/>
        <v>1140.24</v>
      </c>
      <c r="V46" s="198">
        <f t="shared" si="41"/>
        <v>0</v>
      </c>
      <c r="W46" s="429" t="str">
        <f t="shared" si="42"/>
        <v/>
      </c>
      <c r="X46" s="430" t="str">
        <f t="shared" si="28"/>
        <v/>
      </c>
      <c r="Z46" s="534" t="str">
        <f>IF($B$3="No","",'7.1b Allocation Adj. YR2'!L50)</f>
        <v/>
      </c>
      <c r="AA46" s="534" t="str">
        <f t="shared" si="43"/>
        <v/>
      </c>
      <c r="AB46" s="534" t="str">
        <f t="shared" si="44"/>
        <v/>
      </c>
      <c r="AC46" s="234"/>
      <c r="AD46" s="234"/>
    </row>
    <row r="47" spans="1:30" x14ac:dyDescent="0.3">
      <c r="A47" t="str">
        <f>'1.2 Budgeted Enrollment YR1'!E48</f>
        <v>Discovery Charter</v>
      </c>
      <c r="B47" s="257">
        <f>'5.2 Budgeted Enrollment YR2'!I48</f>
        <v>55</v>
      </c>
      <c r="C47" s="846"/>
      <c r="D47" s="432">
        <f t="shared" si="34"/>
        <v>-55</v>
      </c>
      <c r="E47" s="847">
        <f t="shared" si="31"/>
        <v>4275.9000000000005</v>
      </c>
      <c r="F47" s="254">
        <f t="shared" si="35"/>
        <v>0</v>
      </c>
      <c r="G47" s="430" t="str">
        <f t="shared" si="36"/>
        <v/>
      </c>
      <c r="H47" s="430" t="str">
        <f t="shared" si="20"/>
        <v/>
      </c>
      <c r="J47" s="257">
        <f>'5.2 Budgeted Enrollment YR2'!J48</f>
        <v>3</v>
      </c>
      <c r="K47" s="617"/>
      <c r="L47" s="432">
        <f t="shared" si="37"/>
        <v>-3</v>
      </c>
      <c r="M47" s="268">
        <f t="shared" si="32"/>
        <v>3325.7</v>
      </c>
      <c r="N47" s="198">
        <f t="shared" si="38"/>
        <v>0</v>
      </c>
      <c r="O47" s="429" t="str">
        <f t="shared" si="39"/>
        <v/>
      </c>
      <c r="P47" s="430" t="str">
        <f t="shared" si="24"/>
        <v/>
      </c>
      <c r="R47" s="257">
        <f>'5.2 Budgeted Enrollment YR2'!K48</f>
        <v>0</v>
      </c>
      <c r="S47" s="617"/>
      <c r="T47" s="432">
        <f t="shared" si="40"/>
        <v>0</v>
      </c>
      <c r="U47" s="268">
        <f t="shared" si="33"/>
        <v>1140.24</v>
      </c>
      <c r="V47" s="198">
        <f t="shared" si="41"/>
        <v>0</v>
      </c>
      <c r="W47" s="429" t="str">
        <f t="shared" si="42"/>
        <v/>
      </c>
      <c r="X47" s="430" t="str">
        <f t="shared" si="28"/>
        <v/>
      </c>
      <c r="Z47" s="534" t="str">
        <f>IF($B$3="No","",'7.1b Allocation Adj. YR2'!L51)</f>
        <v/>
      </c>
      <c r="AA47" s="534" t="str">
        <f t="shared" si="43"/>
        <v/>
      </c>
      <c r="AB47" s="534" t="str">
        <f t="shared" si="44"/>
        <v/>
      </c>
      <c r="AC47" s="234"/>
      <c r="AD47" s="234"/>
    </row>
    <row r="48" spans="1:30" x14ac:dyDescent="0.3">
      <c r="A48" t="str">
        <f>'1.2 Budgeted Enrollment YR1'!E49</f>
        <v>Do and Be Academy of Excellence</v>
      </c>
      <c r="B48" s="257">
        <f>'5.2 Budgeted Enrollment YR2'!I49</f>
        <v>0</v>
      </c>
      <c r="C48" s="846"/>
      <c r="D48" s="432">
        <f t="shared" ref="D48" si="45">IF(B48="",0,C48-B48)</f>
        <v>0</v>
      </c>
      <c r="E48" s="847">
        <f>E46</f>
        <v>4275.9000000000005</v>
      </c>
      <c r="F48" s="254">
        <f t="shared" ref="F48" si="46">C48</f>
        <v>0</v>
      </c>
      <c r="G48" s="430" t="str">
        <f t="shared" ref="G48" si="47">IF($B$3="No","",E48*F48)</f>
        <v/>
      </c>
      <c r="H48" s="430" t="str">
        <f t="shared" ref="H48" si="48">IF($B$3="No","",G48*$H$9)</f>
        <v/>
      </c>
      <c r="J48" s="257">
        <f>'5.2 Budgeted Enrollment YR2'!J49</f>
        <v>0</v>
      </c>
      <c r="K48" s="617"/>
      <c r="L48" s="432">
        <f t="shared" ref="L48" si="49">IF(J48="",0,K48-J48)</f>
        <v>0</v>
      </c>
      <c r="M48" s="268">
        <f>M46</f>
        <v>3325.7</v>
      </c>
      <c r="N48" s="198">
        <f t="shared" ref="N48" si="50">K48</f>
        <v>0</v>
      </c>
      <c r="O48" s="429" t="str">
        <f t="shared" ref="O48" si="51">IF($B$3="No","",M48*N48)</f>
        <v/>
      </c>
      <c r="P48" s="430" t="str">
        <f t="shared" ref="P48" si="52">IF($B$3="No","",O48*$P$9)</f>
        <v/>
      </c>
      <c r="R48" s="257">
        <f>'5.2 Budgeted Enrollment YR2'!K49</f>
        <v>0</v>
      </c>
      <c r="S48" s="617"/>
      <c r="T48" s="432">
        <f t="shared" ref="T48" si="53">IF(R48="",0,S48-R48)</f>
        <v>0</v>
      </c>
      <c r="U48" s="268">
        <f>U46</f>
        <v>1140.24</v>
      </c>
      <c r="V48" s="198">
        <f t="shared" ref="V48" si="54">S48</f>
        <v>0</v>
      </c>
      <c r="W48" s="429" t="str">
        <f t="shared" ref="W48" si="55">IF($B$3="No","",U48*V48)</f>
        <v/>
      </c>
      <c r="X48" s="430" t="str">
        <f t="shared" ref="X48" si="56">IF($B$3="No","",W48*$X$9)</f>
        <v/>
      </c>
      <c r="Z48" s="534" t="str">
        <f>IF($B$3="No","",'7.1b Allocation Adj. YR2'!L52)</f>
        <v/>
      </c>
      <c r="AA48" s="534" t="str">
        <f t="shared" ref="AA48" si="57">IF($B$3="No","",X48+P48+H48)</f>
        <v/>
      </c>
      <c r="AB48" s="534" t="str">
        <f t="shared" ref="AB48" si="58">IF($B$3="No","",AA48-Z48)</f>
        <v/>
      </c>
      <c r="AC48" s="234"/>
      <c r="AD48" s="234"/>
    </row>
    <row r="49" spans="1:30" x14ac:dyDescent="0.3">
      <c r="A49" t="str">
        <f>'1.2 Budgeted Enrollment YR1'!E50</f>
        <v>Doral Academy</v>
      </c>
      <c r="B49" s="257">
        <f>'5.2 Budgeted Enrollment YR2'!I50</f>
        <v>232</v>
      </c>
      <c r="C49" s="846"/>
      <c r="D49" s="432">
        <f t="shared" si="34"/>
        <v>-232</v>
      </c>
      <c r="E49" s="847">
        <f>E47</f>
        <v>4275.9000000000005</v>
      </c>
      <c r="F49" s="254">
        <f t="shared" si="35"/>
        <v>0</v>
      </c>
      <c r="G49" s="430" t="str">
        <f t="shared" si="36"/>
        <v/>
      </c>
      <c r="H49" s="430" t="str">
        <f t="shared" si="20"/>
        <v/>
      </c>
      <c r="J49" s="257">
        <f>'5.2 Budgeted Enrollment YR2'!J50</f>
        <v>7</v>
      </c>
      <c r="K49" s="617"/>
      <c r="L49" s="432">
        <f t="shared" si="37"/>
        <v>-7</v>
      </c>
      <c r="M49" s="268">
        <f>M47</f>
        <v>3325.7</v>
      </c>
      <c r="N49" s="198">
        <f t="shared" si="38"/>
        <v>0</v>
      </c>
      <c r="O49" s="429" t="str">
        <f t="shared" si="39"/>
        <v/>
      </c>
      <c r="P49" s="430" t="str">
        <f t="shared" si="24"/>
        <v/>
      </c>
      <c r="R49" s="257">
        <f>'5.2 Budgeted Enrollment YR2'!K50</f>
        <v>330</v>
      </c>
      <c r="S49" s="617"/>
      <c r="T49" s="432">
        <f t="shared" si="40"/>
        <v>-330</v>
      </c>
      <c r="U49" s="268">
        <f>U47</f>
        <v>1140.24</v>
      </c>
      <c r="V49" s="198">
        <f t="shared" si="41"/>
        <v>0</v>
      </c>
      <c r="W49" s="429" t="str">
        <f t="shared" si="42"/>
        <v/>
      </c>
      <c r="X49" s="430" t="str">
        <f t="shared" si="28"/>
        <v/>
      </c>
      <c r="Z49" s="534" t="str">
        <f>IF($B$3="No","",'7.1b Allocation Adj. YR2'!L53)</f>
        <v/>
      </c>
      <c r="AA49" s="534" t="str">
        <f t="shared" si="43"/>
        <v/>
      </c>
      <c r="AB49" s="534" t="str">
        <f t="shared" si="44"/>
        <v/>
      </c>
      <c r="AC49" s="234"/>
      <c r="AD49" s="234"/>
    </row>
    <row r="50" spans="1:30" x14ac:dyDescent="0.3">
      <c r="A50" t="str">
        <f>'1.2 Budgeted Enrollment YR1'!E51</f>
        <v>Doral Academy of Northern Nevada</v>
      </c>
      <c r="B50" s="257">
        <f>'5.2 Budgeted Enrollment YR2'!I51</f>
        <v>10</v>
      </c>
      <c r="C50" s="846"/>
      <c r="D50" s="432">
        <f t="shared" si="34"/>
        <v>-10</v>
      </c>
      <c r="E50" s="847">
        <f t="shared" si="31"/>
        <v>4275.9000000000005</v>
      </c>
      <c r="F50" s="254">
        <f t="shared" si="35"/>
        <v>0</v>
      </c>
      <c r="G50" s="430" t="str">
        <f t="shared" si="36"/>
        <v/>
      </c>
      <c r="H50" s="430" t="str">
        <f t="shared" si="20"/>
        <v/>
      </c>
      <c r="J50" s="257">
        <f>'5.2 Budgeted Enrollment YR2'!J51</f>
        <v>0</v>
      </c>
      <c r="K50" s="617"/>
      <c r="L50" s="432">
        <f t="shared" si="37"/>
        <v>0</v>
      </c>
      <c r="M50" s="268">
        <f t="shared" si="32"/>
        <v>3325.7</v>
      </c>
      <c r="N50" s="198">
        <f t="shared" si="38"/>
        <v>0</v>
      </c>
      <c r="O50" s="429" t="str">
        <f t="shared" si="39"/>
        <v/>
      </c>
      <c r="P50" s="430" t="str">
        <f t="shared" si="24"/>
        <v/>
      </c>
      <c r="R50" s="257">
        <f>'5.2 Budgeted Enrollment YR2'!K51</f>
        <v>79</v>
      </c>
      <c r="S50" s="617"/>
      <c r="T50" s="432">
        <f t="shared" si="40"/>
        <v>-79</v>
      </c>
      <c r="U50" s="268">
        <f t="shared" si="33"/>
        <v>1140.24</v>
      </c>
      <c r="V50" s="198">
        <f t="shared" si="41"/>
        <v>0</v>
      </c>
      <c r="W50" s="429" t="str">
        <f t="shared" si="42"/>
        <v/>
      </c>
      <c r="X50" s="430" t="str">
        <f t="shared" si="28"/>
        <v/>
      </c>
      <c r="Z50" s="534" t="str">
        <f>IF($B$3="No","",'7.1b Allocation Adj. YR2'!L54)</f>
        <v/>
      </c>
      <c r="AA50" s="534" t="str">
        <f t="shared" si="43"/>
        <v/>
      </c>
      <c r="AB50" s="534" t="str">
        <f t="shared" si="44"/>
        <v/>
      </c>
      <c r="AC50" s="234"/>
      <c r="AD50" s="234"/>
    </row>
    <row r="51" spans="1:30" x14ac:dyDescent="0.3">
      <c r="A51" t="str">
        <f>'1.2 Budgeted Enrollment YR1'!E52</f>
        <v>Eagle Charter School (CLOSED)</v>
      </c>
      <c r="B51" s="257">
        <f>'5.2 Budgeted Enrollment YR2'!I52</f>
        <v>0</v>
      </c>
      <c r="C51" s="846"/>
      <c r="D51" s="432">
        <f t="shared" si="34"/>
        <v>0</v>
      </c>
      <c r="E51" s="847">
        <f t="shared" si="31"/>
        <v>4275.9000000000005</v>
      </c>
      <c r="F51" s="254">
        <f t="shared" si="35"/>
        <v>0</v>
      </c>
      <c r="G51" s="430" t="str">
        <f t="shared" si="36"/>
        <v/>
      </c>
      <c r="H51" s="430" t="str">
        <f t="shared" si="20"/>
        <v/>
      </c>
      <c r="J51" s="257">
        <f>'5.2 Budgeted Enrollment YR2'!J52</f>
        <v>0</v>
      </c>
      <c r="K51" s="617"/>
      <c r="L51" s="432">
        <f t="shared" si="37"/>
        <v>0</v>
      </c>
      <c r="M51" s="268">
        <f t="shared" si="32"/>
        <v>3325.7</v>
      </c>
      <c r="N51" s="198">
        <f t="shared" si="38"/>
        <v>0</v>
      </c>
      <c r="O51" s="429" t="str">
        <f t="shared" si="39"/>
        <v/>
      </c>
      <c r="P51" s="430" t="str">
        <f t="shared" si="24"/>
        <v/>
      </c>
      <c r="R51" s="257">
        <f>'5.2 Budgeted Enrollment YR2'!K52</f>
        <v>0</v>
      </c>
      <c r="S51" s="617"/>
      <c r="T51" s="432">
        <f t="shared" si="40"/>
        <v>0</v>
      </c>
      <c r="U51" s="268">
        <f t="shared" si="33"/>
        <v>1140.24</v>
      </c>
      <c r="V51" s="198">
        <f t="shared" si="41"/>
        <v>0</v>
      </c>
      <c r="W51" s="429" t="str">
        <f t="shared" si="42"/>
        <v/>
      </c>
      <c r="X51" s="430" t="str">
        <f t="shared" si="28"/>
        <v/>
      </c>
      <c r="Z51" s="534" t="str">
        <f>IF($B$3="No","",'7.1b Allocation Adj. YR2'!L55)</f>
        <v/>
      </c>
      <c r="AA51" s="534" t="str">
        <f t="shared" si="43"/>
        <v/>
      </c>
      <c r="AB51" s="534" t="str">
        <f t="shared" si="44"/>
        <v/>
      </c>
      <c r="AC51" s="234"/>
      <c r="AD51" s="234"/>
    </row>
    <row r="52" spans="1:30" x14ac:dyDescent="0.3">
      <c r="A52" t="str">
        <f>'1.2 Budgeted Enrollment YR1'!E53</f>
        <v>Elko Institute for Academic Achievement</v>
      </c>
      <c r="B52" s="257">
        <f>'5.2 Budgeted Enrollment YR2'!I53</f>
        <v>8</v>
      </c>
      <c r="C52" s="846"/>
      <c r="D52" s="432">
        <f t="shared" si="34"/>
        <v>-8</v>
      </c>
      <c r="E52" s="847">
        <f t="shared" si="31"/>
        <v>4275.9000000000005</v>
      </c>
      <c r="F52" s="254">
        <f t="shared" si="35"/>
        <v>0</v>
      </c>
      <c r="G52" s="430" t="str">
        <f t="shared" si="36"/>
        <v/>
      </c>
      <c r="H52" s="430" t="str">
        <f t="shared" si="20"/>
        <v/>
      </c>
      <c r="J52" s="257">
        <f>'5.2 Budgeted Enrollment YR2'!J53</f>
        <v>8</v>
      </c>
      <c r="K52" s="617"/>
      <c r="L52" s="432">
        <f t="shared" si="37"/>
        <v>-8</v>
      </c>
      <c r="M52" s="268">
        <f t="shared" si="32"/>
        <v>3325.7</v>
      </c>
      <c r="N52" s="198">
        <f t="shared" si="38"/>
        <v>0</v>
      </c>
      <c r="O52" s="429" t="str">
        <f t="shared" si="39"/>
        <v/>
      </c>
      <c r="P52" s="430" t="str">
        <f t="shared" si="24"/>
        <v/>
      </c>
      <c r="R52" s="257">
        <f>'5.2 Budgeted Enrollment YR2'!K53</f>
        <v>0</v>
      </c>
      <c r="S52" s="617"/>
      <c r="T52" s="432">
        <f t="shared" si="40"/>
        <v>0</v>
      </c>
      <c r="U52" s="268">
        <f t="shared" si="33"/>
        <v>1140.24</v>
      </c>
      <c r="V52" s="198">
        <f t="shared" si="41"/>
        <v>0</v>
      </c>
      <c r="W52" s="429" t="str">
        <f t="shared" si="42"/>
        <v/>
      </c>
      <c r="X52" s="430" t="str">
        <f t="shared" si="28"/>
        <v/>
      </c>
      <c r="Z52" s="534" t="str">
        <f>IF($B$3="No","",'7.1b Allocation Adj. YR2'!L56)</f>
        <v/>
      </c>
      <c r="AA52" s="534" t="str">
        <f t="shared" si="43"/>
        <v/>
      </c>
      <c r="AB52" s="534" t="str">
        <f t="shared" si="44"/>
        <v/>
      </c>
      <c r="AC52" s="234"/>
      <c r="AD52" s="234"/>
    </row>
    <row r="53" spans="1:30" x14ac:dyDescent="0.3">
      <c r="A53" t="str">
        <f>'1.2 Budgeted Enrollment YR1'!E54</f>
        <v>enCompass Academy</v>
      </c>
      <c r="B53" s="257">
        <f>'5.2 Budgeted Enrollment YR2'!I54</f>
        <v>15</v>
      </c>
      <c r="C53" s="846"/>
      <c r="D53" s="432">
        <f t="shared" si="34"/>
        <v>-15</v>
      </c>
      <c r="E53" s="847">
        <f t="shared" si="31"/>
        <v>4275.9000000000005</v>
      </c>
      <c r="F53" s="254">
        <f t="shared" si="35"/>
        <v>0</v>
      </c>
      <c r="G53" s="430" t="str">
        <f t="shared" si="36"/>
        <v/>
      </c>
      <c r="H53" s="430" t="str">
        <f t="shared" si="20"/>
        <v/>
      </c>
      <c r="J53" s="257">
        <f>'5.2 Budgeted Enrollment YR2'!J54</f>
        <v>10</v>
      </c>
      <c r="K53" s="617"/>
      <c r="L53" s="432">
        <f t="shared" si="37"/>
        <v>-10</v>
      </c>
      <c r="M53" s="268">
        <f t="shared" si="32"/>
        <v>3325.7</v>
      </c>
      <c r="N53" s="198">
        <f t="shared" si="38"/>
        <v>0</v>
      </c>
      <c r="O53" s="429" t="str">
        <f t="shared" si="39"/>
        <v/>
      </c>
      <c r="P53" s="430" t="str">
        <f t="shared" si="24"/>
        <v/>
      </c>
      <c r="R53" s="257">
        <f>'5.2 Budgeted Enrollment YR2'!K54</f>
        <v>0</v>
      </c>
      <c r="S53" s="617"/>
      <c r="T53" s="432">
        <f t="shared" si="40"/>
        <v>0</v>
      </c>
      <c r="U53" s="268">
        <f t="shared" si="33"/>
        <v>1140.24</v>
      </c>
      <c r="V53" s="198">
        <f t="shared" si="41"/>
        <v>0</v>
      </c>
      <c r="W53" s="429" t="str">
        <f t="shared" si="42"/>
        <v/>
      </c>
      <c r="X53" s="430" t="str">
        <f t="shared" si="28"/>
        <v/>
      </c>
      <c r="Z53" s="534" t="str">
        <f>IF($B$3="No","",'7.1b Allocation Adj. YR2'!L57)</f>
        <v/>
      </c>
      <c r="AA53" s="534" t="str">
        <f t="shared" si="43"/>
        <v/>
      </c>
      <c r="AB53" s="534" t="str">
        <f t="shared" si="44"/>
        <v/>
      </c>
      <c r="AC53" s="234"/>
      <c r="AD53" s="234"/>
    </row>
    <row r="54" spans="1:30" x14ac:dyDescent="0.3">
      <c r="A54" t="str">
        <f>'1.2 Budgeted Enrollment YR1'!E55</f>
        <v>Equipo Academy</v>
      </c>
      <c r="B54" s="257">
        <f>'5.2 Budgeted Enrollment YR2'!I55</f>
        <v>249</v>
      </c>
      <c r="C54" s="846"/>
      <c r="D54" s="432">
        <f t="shared" si="34"/>
        <v>-249</v>
      </c>
      <c r="E54" s="847">
        <f t="shared" si="31"/>
        <v>4275.9000000000005</v>
      </c>
      <c r="F54" s="254">
        <f t="shared" si="35"/>
        <v>0</v>
      </c>
      <c r="G54" s="430" t="str">
        <f t="shared" si="36"/>
        <v/>
      </c>
      <c r="H54" s="430" t="str">
        <f t="shared" si="20"/>
        <v/>
      </c>
      <c r="J54" s="257">
        <f>'5.2 Budgeted Enrollment YR2'!J55</f>
        <v>22</v>
      </c>
      <c r="K54" s="617"/>
      <c r="L54" s="432">
        <f t="shared" si="37"/>
        <v>-22</v>
      </c>
      <c r="M54" s="268">
        <f t="shared" si="32"/>
        <v>3325.7</v>
      </c>
      <c r="N54" s="198">
        <f t="shared" si="38"/>
        <v>0</v>
      </c>
      <c r="O54" s="429" t="str">
        <f t="shared" si="39"/>
        <v/>
      </c>
      <c r="P54" s="430" t="str">
        <f t="shared" si="24"/>
        <v/>
      </c>
      <c r="R54" s="257">
        <f>'5.2 Budgeted Enrollment YR2'!K55</f>
        <v>0</v>
      </c>
      <c r="S54" s="617"/>
      <c r="T54" s="432">
        <f t="shared" si="40"/>
        <v>0</v>
      </c>
      <c r="U54" s="268">
        <f t="shared" si="33"/>
        <v>1140.24</v>
      </c>
      <c r="V54" s="198">
        <f t="shared" si="41"/>
        <v>0</v>
      </c>
      <c r="W54" s="429" t="str">
        <f t="shared" si="42"/>
        <v/>
      </c>
      <c r="X54" s="430" t="str">
        <f t="shared" si="28"/>
        <v/>
      </c>
      <c r="Z54" s="534" t="str">
        <f>IF($B$3="No","",'7.1b Allocation Adj. YR2'!L58)</f>
        <v/>
      </c>
      <c r="AA54" s="534" t="str">
        <f t="shared" si="43"/>
        <v/>
      </c>
      <c r="AB54" s="534" t="str">
        <f t="shared" si="44"/>
        <v/>
      </c>
      <c r="AC54" s="234"/>
      <c r="AD54" s="234"/>
    </row>
    <row r="55" spans="1:30" x14ac:dyDescent="0.3">
      <c r="A55" t="str">
        <f>'1.2 Budgeted Enrollment YR1'!E56</f>
        <v>Explore Academy</v>
      </c>
      <c r="B55" s="257">
        <f>'5.2 Budgeted Enrollment YR2'!I56</f>
        <v>41</v>
      </c>
      <c r="C55" s="846"/>
      <c r="D55" s="432">
        <f t="shared" si="34"/>
        <v>-41</v>
      </c>
      <c r="E55" s="847">
        <f t="shared" si="31"/>
        <v>4275.9000000000005</v>
      </c>
      <c r="F55" s="254">
        <f t="shared" si="35"/>
        <v>0</v>
      </c>
      <c r="G55" s="430" t="str">
        <f t="shared" si="36"/>
        <v/>
      </c>
      <c r="H55" s="430" t="str">
        <f t="shared" si="20"/>
        <v/>
      </c>
      <c r="J55" s="257">
        <f>'5.2 Budgeted Enrollment YR2'!J56</f>
        <v>3</v>
      </c>
      <c r="K55" s="617"/>
      <c r="L55" s="432">
        <f t="shared" si="37"/>
        <v>-3</v>
      </c>
      <c r="M55" s="268">
        <f t="shared" si="32"/>
        <v>3325.7</v>
      </c>
      <c r="N55" s="198">
        <f t="shared" si="38"/>
        <v>0</v>
      </c>
      <c r="O55" s="429" t="str">
        <f t="shared" si="39"/>
        <v/>
      </c>
      <c r="P55" s="430" t="str">
        <f t="shared" si="24"/>
        <v/>
      </c>
      <c r="R55" s="257">
        <f>'5.2 Budgeted Enrollment YR2'!K56</f>
        <v>0</v>
      </c>
      <c r="S55" s="617"/>
      <c r="T55" s="432">
        <f t="shared" si="40"/>
        <v>0</v>
      </c>
      <c r="U55" s="268">
        <f t="shared" si="33"/>
        <v>1140.24</v>
      </c>
      <c r="V55" s="198">
        <f t="shared" si="41"/>
        <v>0</v>
      </c>
      <c r="W55" s="429" t="str">
        <f t="shared" si="42"/>
        <v/>
      </c>
      <c r="X55" s="430" t="str">
        <f t="shared" si="28"/>
        <v/>
      </c>
      <c r="Z55" s="534" t="str">
        <f>IF($B$3="No","",'7.1b Allocation Adj. YR2'!L59)</f>
        <v/>
      </c>
      <c r="AA55" s="534" t="str">
        <f t="shared" si="43"/>
        <v/>
      </c>
      <c r="AB55" s="534" t="str">
        <f t="shared" si="44"/>
        <v/>
      </c>
      <c r="AC55" s="234"/>
      <c r="AD55" s="234"/>
    </row>
    <row r="56" spans="1:30" x14ac:dyDescent="0.3">
      <c r="A56" t="str">
        <f>'1.2 Budgeted Enrollment YR1'!E57</f>
        <v>Explore Knowledge Academy</v>
      </c>
      <c r="B56" s="257">
        <f>'5.2 Budgeted Enrollment YR2'!I57</f>
        <v>47</v>
      </c>
      <c r="C56" s="846"/>
      <c r="D56" s="432">
        <f t="shared" si="34"/>
        <v>-47</v>
      </c>
      <c r="E56" s="847">
        <f t="shared" si="31"/>
        <v>4275.9000000000005</v>
      </c>
      <c r="F56" s="254">
        <f t="shared" si="35"/>
        <v>0</v>
      </c>
      <c r="G56" s="430" t="str">
        <f t="shared" si="36"/>
        <v/>
      </c>
      <c r="H56" s="430" t="str">
        <f t="shared" si="20"/>
        <v/>
      </c>
      <c r="J56" s="257">
        <f>'5.2 Budgeted Enrollment YR2'!J57</f>
        <v>21</v>
      </c>
      <c r="K56" s="617"/>
      <c r="L56" s="432">
        <f t="shared" si="37"/>
        <v>-21</v>
      </c>
      <c r="M56" s="268">
        <f t="shared" si="32"/>
        <v>3325.7</v>
      </c>
      <c r="N56" s="198">
        <f t="shared" si="38"/>
        <v>0</v>
      </c>
      <c r="O56" s="429" t="str">
        <f t="shared" si="39"/>
        <v/>
      </c>
      <c r="P56" s="430" t="str">
        <f t="shared" si="24"/>
        <v/>
      </c>
      <c r="R56" s="257">
        <f>'5.2 Budgeted Enrollment YR2'!K57</f>
        <v>0</v>
      </c>
      <c r="S56" s="617"/>
      <c r="T56" s="432">
        <f t="shared" si="40"/>
        <v>0</v>
      </c>
      <c r="U56" s="268">
        <f t="shared" si="33"/>
        <v>1140.24</v>
      </c>
      <c r="V56" s="198">
        <f t="shared" si="41"/>
        <v>0</v>
      </c>
      <c r="W56" s="429" t="str">
        <f t="shared" si="42"/>
        <v/>
      </c>
      <c r="X56" s="430" t="str">
        <f t="shared" si="28"/>
        <v/>
      </c>
      <c r="Z56" s="534" t="str">
        <f>IF($B$3="No","",'7.1b Allocation Adj. YR2'!L60)</f>
        <v/>
      </c>
      <c r="AA56" s="534" t="str">
        <f t="shared" si="43"/>
        <v/>
      </c>
      <c r="AB56" s="534" t="str">
        <f t="shared" si="44"/>
        <v/>
      </c>
      <c r="AC56" s="234"/>
      <c r="AD56" s="234"/>
    </row>
    <row r="57" spans="1:30" x14ac:dyDescent="0.3">
      <c r="A57" t="str">
        <f>'1.2 Budgeted Enrollment YR1'!E58</f>
        <v>Founders Academy of Las Vegas</v>
      </c>
      <c r="B57" s="257">
        <f>'5.2 Budgeted Enrollment YR2'!I58</f>
        <v>86</v>
      </c>
      <c r="C57" s="846"/>
      <c r="D57" s="432">
        <f t="shared" si="34"/>
        <v>-86</v>
      </c>
      <c r="E57" s="847">
        <f t="shared" si="31"/>
        <v>4275.9000000000005</v>
      </c>
      <c r="F57" s="254">
        <f t="shared" si="35"/>
        <v>0</v>
      </c>
      <c r="G57" s="430" t="str">
        <f t="shared" si="36"/>
        <v/>
      </c>
      <c r="H57" s="430" t="str">
        <f t="shared" si="20"/>
        <v/>
      </c>
      <c r="J57" s="257">
        <f>'5.2 Budgeted Enrollment YR2'!J58</f>
        <v>8</v>
      </c>
      <c r="K57" s="617"/>
      <c r="L57" s="432">
        <f t="shared" si="37"/>
        <v>-8</v>
      </c>
      <c r="M57" s="268">
        <f t="shared" si="32"/>
        <v>3325.7</v>
      </c>
      <c r="N57" s="198">
        <f t="shared" si="38"/>
        <v>0</v>
      </c>
      <c r="O57" s="429" t="str">
        <f t="shared" si="39"/>
        <v/>
      </c>
      <c r="P57" s="430" t="str">
        <f t="shared" si="24"/>
        <v/>
      </c>
      <c r="R57" s="257">
        <f>'5.2 Budgeted Enrollment YR2'!K58</f>
        <v>0</v>
      </c>
      <c r="S57" s="617"/>
      <c r="T57" s="432">
        <f t="shared" si="40"/>
        <v>0</v>
      </c>
      <c r="U57" s="268">
        <f t="shared" si="33"/>
        <v>1140.24</v>
      </c>
      <c r="V57" s="198">
        <f t="shared" si="41"/>
        <v>0</v>
      </c>
      <c r="W57" s="429" t="str">
        <f t="shared" si="42"/>
        <v/>
      </c>
      <c r="X57" s="430" t="str">
        <f t="shared" si="28"/>
        <v/>
      </c>
      <c r="Z57" s="534" t="str">
        <f>IF($B$3="No","",'7.1b Allocation Adj. YR2'!L61)</f>
        <v/>
      </c>
      <c r="AA57" s="534" t="str">
        <f t="shared" si="43"/>
        <v/>
      </c>
      <c r="AB57" s="534" t="str">
        <f t="shared" si="44"/>
        <v/>
      </c>
      <c r="AC57" s="234"/>
      <c r="AD57" s="234"/>
    </row>
    <row r="58" spans="1:30" x14ac:dyDescent="0.3">
      <c r="A58" t="str">
        <f>'1.2 Budgeted Enrollment YR1'!E59</f>
        <v>Freedom Classical Academy</v>
      </c>
      <c r="B58" s="257">
        <f>'5.2 Budgeted Enrollment YR2'!I59</f>
        <v>137</v>
      </c>
      <c r="C58" s="846"/>
      <c r="D58" s="432">
        <f t="shared" si="34"/>
        <v>-137</v>
      </c>
      <c r="E58" s="847">
        <f t="shared" si="31"/>
        <v>4275.9000000000005</v>
      </c>
      <c r="F58" s="254">
        <f t="shared" si="35"/>
        <v>0</v>
      </c>
      <c r="G58" s="430" t="str">
        <f t="shared" si="36"/>
        <v/>
      </c>
      <c r="H58" s="430" t="str">
        <f t="shared" si="20"/>
        <v/>
      </c>
      <c r="J58" s="257">
        <f>'5.2 Budgeted Enrollment YR2'!J59</f>
        <v>21</v>
      </c>
      <c r="K58" s="617"/>
      <c r="L58" s="432">
        <f t="shared" si="37"/>
        <v>-21</v>
      </c>
      <c r="M58" s="268">
        <f t="shared" si="32"/>
        <v>3325.7</v>
      </c>
      <c r="N58" s="198">
        <f t="shared" si="38"/>
        <v>0</v>
      </c>
      <c r="O58" s="429" t="str">
        <f t="shared" si="39"/>
        <v/>
      </c>
      <c r="P58" s="430" t="str">
        <f t="shared" si="24"/>
        <v/>
      </c>
      <c r="R58" s="257">
        <f>'5.2 Budgeted Enrollment YR2'!K59</f>
        <v>48</v>
      </c>
      <c r="S58" s="617"/>
      <c r="T58" s="432">
        <f t="shared" si="40"/>
        <v>-48</v>
      </c>
      <c r="U58" s="268">
        <f t="shared" si="33"/>
        <v>1140.24</v>
      </c>
      <c r="V58" s="198">
        <f t="shared" si="41"/>
        <v>0</v>
      </c>
      <c r="W58" s="429" t="str">
        <f t="shared" si="42"/>
        <v/>
      </c>
      <c r="X58" s="430" t="str">
        <f t="shared" si="28"/>
        <v/>
      </c>
      <c r="Z58" s="534" t="str">
        <f>IF($B$3="No","",'7.1b Allocation Adj. YR2'!L62)</f>
        <v/>
      </c>
      <c r="AA58" s="534" t="str">
        <f t="shared" si="43"/>
        <v/>
      </c>
      <c r="AB58" s="534" t="str">
        <f t="shared" si="44"/>
        <v/>
      </c>
      <c r="AC58" s="234"/>
      <c r="AD58" s="234"/>
    </row>
    <row r="59" spans="1:30" x14ac:dyDescent="0.3">
      <c r="A59" t="str">
        <f>'1.2 Budgeted Enrollment YR1'!E60</f>
        <v>Futuro Academy Elementary</v>
      </c>
      <c r="B59" s="257">
        <f>'5.2 Budgeted Enrollment YR2'!I60</f>
        <v>173</v>
      </c>
      <c r="C59" s="846"/>
      <c r="D59" s="432">
        <f t="shared" si="34"/>
        <v>-173</v>
      </c>
      <c r="E59" s="847">
        <f t="shared" si="31"/>
        <v>4275.9000000000005</v>
      </c>
      <c r="F59" s="254">
        <f t="shared" si="35"/>
        <v>0</v>
      </c>
      <c r="G59" s="430" t="str">
        <f t="shared" si="36"/>
        <v/>
      </c>
      <c r="H59" s="430" t="str">
        <f t="shared" si="20"/>
        <v/>
      </c>
      <c r="J59" s="257">
        <f>'5.2 Budgeted Enrollment YR2'!J60</f>
        <v>0</v>
      </c>
      <c r="K59" s="617"/>
      <c r="L59" s="432">
        <f t="shared" si="37"/>
        <v>0</v>
      </c>
      <c r="M59" s="268">
        <f t="shared" si="32"/>
        <v>3325.7</v>
      </c>
      <c r="N59" s="198">
        <f t="shared" si="38"/>
        <v>0</v>
      </c>
      <c r="O59" s="429" t="str">
        <f t="shared" si="39"/>
        <v/>
      </c>
      <c r="P59" s="430" t="str">
        <f t="shared" si="24"/>
        <v/>
      </c>
      <c r="R59" s="257">
        <f>'5.2 Budgeted Enrollment YR2'!K60</f>
        <v>0</v>
      </c>
      <c r="S59" s="617"/>
      <c r="T59" s="432">
        <f t="shared" si="40"/>
        <v>0</v>
      </c>
      <c r="U59" s="268">
        <f t="shared" si="33"/>
        <v>1140.24</v>
      </c>
      <c r="V59" s="198">
        <f t="shared" si="41"/>
        <v>0</v>
      </c>
      <c r="W59" s="429" t="str">
        <f t="shared" si="42"/>
        <v/>
      </c>
      <c r="X59" s="430" t="str">
        <f t="shared" si="28"/>
        <v/>
      </c>
      <c r="Z59" s="534" t="str">
        <f>IF($B$3="No","",'7.1b Allocation Adj. YR2'!L63)</f>
        <v/>
      </c>
      <c r="AA59" s="534" t="str">
        <f t="shared" si="43"/>
        <v/>
      </c>
      <c r="AB59" s="534" t="str">
        <f t="shared" si="44"/>
        <v/>
      </c>
      <c r="AC59" s="234"/>
      <c r="AD59" s="234"/>
    </row>
    <row r="60" spans="1:30" x14ac:dyDescent="0.3">
      <c r="A60" t="str">
        <f>'1.2 Budgeted Enrollment YR1'!E61</f>
        <v>High Desert Montessori</v>
      </c>
      <c r="B60" s="257">
        <f>'5.2 Budgeted Enrollment YR2'!I61</f>
        <v>18</v>
      </c>
      <c r="C60" s="846"/>
      <c r="D60" s="432">
        <f t="shared" si="34"/>
        <v>-18</v>
      </c>
      <c r="E60" s="847">
        <f>E59</f>
        <v>4275.9000000000005</v>
      </c>
      <c r="F60" s="254">
        <f t="shared" si="35"/>
        <v>0</v>
      </c>
      <c r="G60" s="430" t="str">
        <f t="shared" si="36"/>
        <v/>
      </c>
      <c r="H60" s="430" t="str">
        <f t="shared" si="20"/>
        <v/>
      </c>
      <c r="J60" s="257">
        <f>'5.2 Budgeted Enrollment YR2'!J61</f>
        <v>16</v>
      </c>
      <c r="K60" s="617"/>
      <c r="L60" s="432">
        <f t="shared" si="37"/>
        <v>-16</v>
      </c>
      <c r="M60" s="268">
        <f>M59</f>
        <v>3325.7</v>
      </c>
      <c r="N60" s="198">
        <f t="shared" si="38"/>
        <v>0</v>
      </c>
      <c r="O60" s="429" t="str">
        <f t="shared" si="39"/>
        <v/>
      </c>
      <c r="P60" s="430" t="str">
        <f t="shared" si="24"/>
        <v/>
      </c>
      <c r="R60" s="257">
        <f>'5.2 Budgeted Enrollment YR2'!K61</f>
        <v>0</v>
      </c>
      <c r="S60" s="617"/>
      <c r="T60" s="432">
        <f t="shared" si="40"/>
        <v>0</v>
      </c>
      <c r="U60" s="268">
        <f>U59</f>
        <v>1140.24</v>
      </c>
      <c r="V60" s="198">
        <f t="shared" si="41"/>
        <v>0</v>
      </c>
      <c r="W60" s="429" t="str">
        <f t="shared" si="42"/>
        <v/>
      </c>
      <c r="X60" s="430" t="str">
        <f t="shared" si="28"/>
        <v/>
      </c>
      <c r="Z60" s="534" t="str">
        <f>IF($B$3="No","",'7.1b Allocation Adj. YR2'!L64)</f>
        <v/>
      </c>
      <c r="AA60" s="534" t="str">
        <f t="shared" si="43"/>
        <v/>
      </c>
      <c r="AB60" s="534" t="str">
        <f t="shared" si="44"/>
        <v/>
      </c>
      <c r="AC60" s="234"/>
      <c r="AD60" s="234"/>
    </row>
    <row r="61" spans="1:30" x14ac:dyDescent="0.3">
      <c r="A61" t="str">
        <f>'1.2 Budgeted Enrollment YR1'!E62</f>
        <v>Honors Academy of Literature</v>
      </c>
      <c r="B61" s="257">
        <f>'5.2 Budgeted Enrollment YR2'!I62</f>
        <v>2</v>
      </c>
      <c r="C61" s="846"/>
      <c r="D61" s="432">
        <f t="shared" si="34"/>
        <v>-2</v>
      </c>
      <c r="E61" s="847">
        <f t="shared" si="31"/>
        <v>4275.9000000000005</v>
      </c>
      <c r="F61" s="254">
        <f t="shared" si="35"/>
        <v>0</v>
      </c>
      <c r="G61" s="430" t="str">
        <f t="shared" si="36"/>
        <v/>
      </c>
      <c r="H61" s="430" t="str">
        <f t="shared" si="20"/>
        <v/>
      </c>
      <c r="J61" s="257">
        <f>'5.2 Budgeted Enrollment YR2'!J62</f>
        <v>0</v>
      </c>
      <c r="K61" s="617"/>
      <c r="L61" s="432">
        <f t="shared" si="37"/>
        <v>0</v>
      </c>
      <c r="M61" s="268">
        <f t="shared" si="32"/>
        <v>3325.7</v>
      </c>
      <c r="N61" s="198">
        <f t="shared" si="38"/>
        <v>0</v>
      </c>
      <c r="O61" s="429" t="str">
        <f t="shared" si="39"/>
        <v/>
      </c>
      <c r="P61" s="430" t="str">
        <f t="shared" si="24"/>
        <v/>
      </c>
      <c r="R61" s="257">
        <f>'5.2 Budgeted Enrollment YR2'!K62</f>
        <v>2</v>
      </c>
      <c r="S61" s="617"/>
      <c r="T61" s="432">
        <f t="shared" si="40"/>
        <v>-2</v>
      </c>
      <c r="U61" s="268">
        <f t="shared" si="33"/>
        <v>1140.24</v>
      </c>
      <c r="V61" s="198">
        <f t="shared" si="41"/>
        <v>0</v>
      </c>
      <c r="W61" s="429" t="str">
        <f t="shared" si="42"/>
        <v/>
      </c>
      <c r="X61" s="430" t="str">
        <f t="shared" si="28"/>
        <v/>
      </c>
      <c r="Z61" s="534" t="str">
        <f>IF($B$3="No","",'7.1b Allocation Adj. YR2'!L65)</f>
        <v/>
      </c>
      <c r="AA61" s="534" t="str">
        <f t="shared" si="43"/>
        <v/>
      </c>
      <c r="AB61" s="534" t="str">
        <f t="shared" si="44"/>
        <v/>
      </c>
      <c r="AC61" s="234"/>
      <c r="AD61" s="234"/>
    </row>
    <row r="62" spans="1:30" x14ac:dyDescent="0.3">
      <c r="A62" t="str">
        <f>'1.2 Budgeted Enrollment YR1'!E63</f>
        <v>Imagine School Mountain View</v>
      </c>
      <c r="B62" s="257">
        <f>'5.2 Budgeted Enrollment YR2'!I63</f>
        <v>82</v>
      </c>
      <c r="C62" s="846"/>
      <c r="D62" s="432">
        <f t="shared" si="34"/>
        <v>-82</v>
      </c>
      <c r="E62" s="847">
        <f t="shared" si="31"/>
        <v>4275.9000000000005</v>
      </c>
      <c r="F62" s="254">
        <f t="shared" si="35"/>
        <v>0</v>
      </c>
      <c r="G62" s="430" t="str">
        <f t="shared" si="36"/>
        <v/>
      </c>
      <c r="H62" s="430" t="str">
        <f t="shared" si="20"/>
        <v/>
      </c>
      <c r="J62" s="257">
        <f>'5.2 Budgeted Enrollment YR2'!J63</f>
        <v>0</v>
      </c>
      <c r="K62" s="617"/>
      <c r="L62" s="432">
        <f t="shared" si="37"/>
        <v>0</v>
      </c>
      <c r="M62" s="268">
        <f t="shared" si="32"/>
        <v>3325.7</v>
      </c>
      <c r="N62" s="198">
        <f t="shared" si="38"/>
        <v>0</v>
      </c>
      <c r="O62" s="429" t="str">
        <f t="shared" si="39"/>
        <v/>
      </c>
      <c r="P62" s="430" t="str">
        <f t="shared" si="24"/>
        <v/>
      </c>
      <c r="R62" s="257">
        <f>'5.2 Budgeted Enrollment YR2'!K63</f>
        <v>0</v>
      </c>
      <c r="S62" s="617"/>
      <c r="T62" s="432">
        <f t="shared" si="40"/>
        <v>0</v>
      </c>
      <c r="U62" s="268">
        <f t="shared" si="33"/>
        <v>1140.24</v>
      </c>
      <c r="V62" s="198">
        <f t="shared" si="41"/>
        <v>0</v>
      </c>
      <c r="W62" s="429" t="str">
        <f t="shared" si="42"/>
        <v/>
      </c>
      <c r="X62" s="430" t="str">
        <f t="shared" si="28"/>
        <v/>
      </c>
      <c r="Z62" s="534" t="str">
        <f>IF($B$3="No","",'7.1b Allocation Adj. YR2'!L66)</f>
        <v/>
      </c>
      <c r="AA62" s="534" t="str">
        <f t="shared" si="43"/>
        <v/>
      </c>
      <c r="AB62" s="534" t="str">
        <f t="shared" si="44"/>
        <v/>
      </c>
      <c r="AC62" s="234"/>
      <c r="AD62" s="234"/>
    </row>
    <row r="63" spans="1:30" x14ac:dyDescent="0.3">
      <c r="A63" t="str">
        <f>'1.2 Budgeted Enrollment YR1'!E64</f>
        <v>Innovations Int'l Charter</v>
      </c>
      <c r="B63" s="257">
        <f>'5.2 Budgeted Enrollment YR2'!I64</f>
        <v>180</v>
      </c>
      <c r="C63" s="846"/>
      <c r="D63" s="432">
        <f t="shared" si="34"/>
        <v>-180</v>
      </c>
      <c r="E63" s="847">
        <f t="shared" si="31"/>
        <v>4275.9000000000005</v>
      </c>
      <c r="F63" s="254">
        <f t="shared" si="35"/>
        <v>0</v>
      </c>
      <c r="G63" s="430" t="str">
        <f t="shared" si="36"/>
        <v/>
      </c>
      <c r="H63" s="430" t="str">
        <f t="shared" si="20"/>
        <v/>
      </c>
      <c r="J63" s="257">
        <f>'5.2 Budgeted Enrollment YR2'!J64</f>
        <v>61</v>
      </c>
      <c r="K63" s="617"/>
      <c r="L63" s="432">
        <f t="shared" si="37"/>
        <v>-61</v>
      </c>
      <c r="M63" s="268">
        <f t="shared" si="32"/>
        <v>3325.7</v>
      </c>
      <c r="N63" s="198">
        <f t="shared" si="38"/>
        <v>0</v>
      </c>
      <c r="O63" s="429" t="str">
        <f t="shared" si="39"/>
        <v/>
      </c>
      <c r="P63" s="430" t="str">
        <f t="shared" si="24"/>
        <v/>
      </c>
      <c r="R63" s="257">
        <f>'5.2 Budgeted Enrollment YR2'!K64</f>
        <v>0</v>
      </c>
      <c r="S63" s="617"/>
      <c r="T63" s="432">
        <f t="shared" si="40"/>
        <v>0</v>
      </c>
      <c r="U63" s="268">
        <f t="shared" si="33"/>
        <v>1140.24</v>
      </c>
      <c r="V63" s="198">
        <f t="shared" si="41"/>
        <v>0</v>
      </c>
      <c r="W63" s="429" t="str">
        <f t="shared" si="42"/>
        <v/>
      </c>
      <c r="X63" s="430" t="str">
        <f t="shared" si="28"/>
        <v/>
      </c>
      <c r="Z63" s="534" t="str">
        <f>IF($B$3="No","",'7.1b Allocation Adj. YR2'!L67)</f>
        <v/>
      </c>
      <c r="AA63" s="534" t="str">
        <f t="shared" si="43"/>
        <v/>
      </c>
      <c r="AB63" s="534" t="str">
        <f t="shared" si="44"/>
        <v/>
      </c>
      <c r="AC63" s="234"/>
      <c r="AD63" s="234"/>
    </row>
    <row r="64" spans="1:30" x14ac:dyDescent="0.3">
      <c r="A64" t="str">
        <f>'1.2 Budgeted Enrollment YR1'!E65</f>
        <v>Leadership Academy of Nevada</v>
      </c>
      <c r="B64" s="257">
        <f>'5.2 Budgeted Enrollment YR2'!I65</f>
        <v>5</v>
      </c>
      <c r="C64" s="846"/>
      <c r="D64" s="432">
        <f t="shared" si="34"/>
        <v>-5</v>
      </c>
      <c r="E64" s="847">
        <f t="shared" si="31"/>
        <v>4275.9000000000005</v>
      </c>
      <c r="F64" s="254">
        <f t="shared" si="35"/>
        <v>0</v>
      </c>
      <c r="G64" s="430" t="str">
        <f t="shared" si="36"/>
        <v/>
      </c>
      <c r="H64" s="430" t="str">
        <f t="shared" si="20"/>
        <v/>
      </c>
      <c r="J64" s="257">
        <f>'5.2 Budgeted Enrollment YR2'!J65</f>
        <v>7</v>
      </c>
      <c r="K64" s="617"/>
      <c r="L64" s="432">
        <f t="shared" si="37"/>
        <v>-7</v>
      </c>
      <c r="M64" s="268">
        <f t="shared" si="32"/>
        <v>3325.7</v>
      </c>
      <c r="N64" s="198">
        <f t="shared" si="38"/>
        <v>0</v>
      </c>
      <c r="O64" s="429" t="str">
        <f t="shared" si="39"/>
        <v/>
      </c>
      <c r="P64" s="430" t="str">
        <f t="shared" si="24"/>
        <v/>
      </c>
      <c r="R64" s="257">
        <f>'5.2 Budgeted Enrollment YR2'!K65</f>
        <v>0</v>
      </c>
      <c r="S64" s="617"/>
      <c r="T64" s="432">
        <f t="shared" si="40"/>
        <v>0</v>
      </c>
      <c r="U64" s="268">
        <f t="shared" si="33"/>
        <v>1140.24</v>
      </c>
      <c r="V64" s="198">
        <f t="shared" si="41"/>
        <v>0</v>
      </c>
      <c r="W64" s="429" t="str">
        <f t="shared" si="42"/>
        <v/>
      </c>
      <c r="X64" s="430" t="str">
        <f t="shared" si="28"/>
        <v/>
      </c>
      <c r="Z64" s="534" t="str">
        <f>IF($B$3="No","",'7.1b Allocation Adj. YR2'!L68)</f>
        <v/>
      </c>
      <c r="AA64" s="534" t="str">
        <f t="shared" si="43"/>
        <v/>
      </c>
      <c r="AB64" s="534" t="str">
        <f t="shared" si="44"/>
        <v/>
      </c>
      <c r="AC64" s="234"/>
      <c r="AD64" s="234"/>
    </row>
    <row r="65" spans="1:30" x14ac:dyDescent="0.3">
      <c r="A65" t="str">
        <f>'1.2 Budgeted Enrollment YR1'!E66</f>
        <v>Learning Bridge</v>
      </c>
      <c r="B65" s="257">
        <f>'5.2 Budgeted Enrollment YR2'!I66</f>
        <v>0</v>
      </c>
      <c r="C65" s="846"/>
      <c r="D65" s="432">
        <f t="shared" si="34"/>
        <v>0</v>
      </c>
      <c r="E65" s="847">
        <f t="shared" si="31"/>
        <v>4275.9000000000005</v>
      </c>
      <c r="F65" s="254">
        <f t="shared" si="35"/>
        <v>0</v>
      </c>
      <c r="G65" s="430" t="str">
        <f t="shared" si="36"/>
        <v/>
      </c>
      <c r="H65" s="430" t="str">
        <f t="shared" si="20"/>
        <v/>
      </c>
      <c r="J65" s="257">
        <f>'5.2 Budgeted Enrollment YR2'!J66</f>
        <v>0</v>
      </c>
      <c r="K65" s="617"/>
      <c r="L65" s="432">
        <f t="shared" si="37"/>
        <v>0</v>
      </c>
      <c r="M65" s="268">
        <f t="shared" si="32"/>
        <v>3325.7</v>
      </c>
      <c r="N65" s="198">
        <f t="shared" si="38"/>
        <v>0</v>
      </c>
      <c r="O65" s="429" t="str">
        <f t="shared" si="39"/>
        <v/>
      </c>
      <c r="P65" s="430" t="str">
        <f t="shared" si="24"/>
        <v/>
      </c>
      <c r="R65" s="257">
        <f>'5.2 Budgeted Enrollment YR2'!K66</f>
        <v>0</v>
      </c>
      <c r="S65" s="617"/>
      <c r="T65" s="432">
        <f t="shared" si="40"/>
        <v>0</v>
      </c>
      <c r="U65" s="268">
        <f t="shared" si="33"/>
        <v>1140.24</v>
      </c>
      <c r="V65" s="198">
        <f t="shared" si="41"/>
        <v>0</v>
      </c>
      <c r="W65" s="429" t="str">
        <f t="shared" si="42"/>
        <v/>
      </c>
      <c r="X65" s="430" t="str">
        <f t="shared" si="28"/>
        <v/>
      </c>
      <c r="Z65" s="534" t="str">
        <f>IF($B$3="No","",'7.1b Allocation Adj. YR2'!L69)</f>
        <v/>
      </c>
      <c r="AA65" s="534" t="str">
        <f t="shared" si="43"/>
        <v/>
      </c>
      <c r="AB65" s="534" t="str">
        <f t="shared" si="44"/>
        <v/>
      </c>
      <c r="AC65" s="234"/>
      <c r="AD65" s="234"/>
    </row>
    <row r="66" spans="1:30" x14ac:dyDescent="0.3">
      <c r="A66" t="str">
        <f>'1.2 Budgeted Enrollment YR1'!E67</f>
        <v>Legacy Traditional Schools</v>
      </c>
      <c r="B66" s="257">
        <f>'5.2 Budgeted Enrollment YR2'!I67</f>
        <v>280</v>
      </c>
      <c r="C66" s="846"/>
      <c r="D66" s="432">
        <f t="shared" si="34"/>
        <v>-280</v>
      </c>
      <c r="E66" s="847">
        <f t="shared" si="31"/>
        <v>4275.9000000000005</v>
      </c>
      <c r="F66" s="254">
        <f t="shared" si="35"/>
        <v>0</v>
      </c>
      <c r="G66" s="430" t="str">
        <f t="shared" si="36"/>
        <v/>
      </c>
      <c r="H66" s="430" t="str">
        <f t="shared" si="20"/>
        <v/>
      </c>
      <c r="J66" s="257">
        <f>'5.2 Budgeted Enrollment YR2'!J67</f>
        <v>36</v>
      </c>
      <c r="K66" s="617"/>
      <c r="L66" s="432">
        <f t="shared" si="37"/>
        <v>-36</v>
      </c>
      <c r="M66" s="268">
        <f t="shared" si="32"/>
        <v>3325.7</v>
      </c>
      <c r="N66" s="198">
        <f t="shared" si="38"/>
        <v>0</v>
      </c>
      <c r="O66" s="429" t="str">
        <f t="shared" si="39"/>
        <v/>
      </c>
      <c r="P66" s="430" t="str">
        <f t="shared" si="24"/>
        <v/>
      </c>
      <c r="R66" s="257">
        <f>'5.2 Budgeted Enrollment YR2'!K67</f>
        <v>209</v>
      </c>
      <c r="S66" s="617"/>
      <c r="T66" s="432">
        <f t="shared" si="40"/>
        <v>-209</v>
      </c>
      <c r="U66" s="268">
        <f t="shared" si="33"/>
        <v>1140.24</v>
      </c>
      <c r="V66" s="198">
        <f t="shared" si="41"/>
        <v>0</v>
      </c>
      <c r="W66" s="429" t="str">
        <f t="shared" si="42"/>
        <v/>
      </c>
      <c r="X66" s="430" t="str">
        <f t="shared" si="28"/>
        <v/>
      </c>
      <c r="Z66" s="534" t="str">
        <f>IF($B$3="No","",'7.1b Allocation Adj. YR2'!L70)</f>
        <v/>
      </c>
      <c r="AA66" s="534" t="str">
        <f t="shared" si="43"/>
        <v/>
      </c>
      <c r="AB66" s="534" t="str">
        <f t="shared" si="44"/>
        <v/>
      </c>
      <c r="AC66" s="234"/>
      <c r="AD66" s="234"/>
    </row>
    <row r="67" spans="1:30" x14ac:dyDescent="0.3">
      <c r="A67" t="str">
        <f>'1.2 Budgeted Enrollment YR1'!E68</f>
        <v xml:space="preserve">Mariposa Language and Learning Academy </v>
      </c>
      <c r="B67" s="257">
        <f>'5.2 Budgeted Enrollment YR2'!I68</f>
        <v>46</v>
      </c>
      <c r="C67" s="846"/>
      <c r="D67" s="432">
        <f t="shared" si="34"/>
        <v>-46</v>
      </c>
      <c r="E67" s="847">
        <f t="shared" si="31"/>
        <v>4275.9000000000005</v>
      </c>
      <c r="F67" s="254">
        <f t="shared" si="35"/>
        <v>0</v>
      </c>
      <c r="G67" s="430" t="str">
        <f t="shared" si="36"/>
        <v/>
      </c>
      <c r="H67" s="430" t="str">
        <f t="shared" si="20"/>
        <v/>
      </c>
      <c r="J67" s="257">
        <f>'5.2 Budgeted Enrollment YR2'!J68</f>
        <v>0</v>
      </c>
      <c r="K67" s="617"/>
      <c r="L67" s="432">
        <f t="shared" si="37"/>
        <v>0</v>
      </c>
      <c r="M67" s="268">
        <f t="shared" si="32"/>
        <v>3325.7</v>
      </c>
      <c r="N67" s="198">
        <f t="shared" si="38"/>
        <v>0</v>
      </c>
      <c r="O67" s="429" t="str">
        <f t="shared" si="39"/>
        <v/>
      </c>
      <c r="P67" s="430" t="str">
        <f t="shared" si="24"/>
        <v/>
      </c>
      <c r="R67" s="257">
        <f>'5.2 Budgeted Enrollment YR2'!K68</f>
        <v>0</v>
      </c>
      <c r="S67" s="617"/>
      <c r="T67" s="432">
        <f t="shared" si="40"/>
        <v>0</v>
      </c>
      <c r="U67" s="268">
        <f t="shared" si="33"/>
        <v>1140.24</v>
      </c>
      <c r="V67" s="198">
        <f t="shared" si="41"/>
        <v>0</v>
      </c>
      <c r="W67" s="429" t="str">
        <f t="shared" si="42"/>
        <v/>
      </c>
      <c r="X67" s="430" t="str">
        <f t="shared" si="28"/>
        <v/>
      </c>
      <c r="Z67" s="534" t="str">
        <f>IF($B$3="No","",'7.1b Allocation Adj. YR2'!L71)</f>
        <v/>
      </c>
      <c r="AA67" s="534" t="str">
        <f t="shared" si="43"/>
        <v/>
      </c>
      <c r="AB67" s="534" t="str">
        <f t="shared" si="44"/>
        <v/>
      </c>
      <c r="AC67" s="234"/>
      <c r="AD67" s="234"/>
    </row>
    <row r="68" spans="1:30" x14ac:dyDescent="0.3">
      <c r="A68" t="str">
        <f>'1.2 Budgeted Enrollment YR1'!E69</f>
        <v>Mater Academy</v>
      </c>
      <c r="B68" s="257">
        <f>'5.2 Budgeted Enrollment YR2'!I69</f>
        <v>1459</v>
      </c>
      <c r="C68" s="846"/>
      <c r="D68" s="432">
        <f t="shared" si="34"/>
        <v>-1459</v>
      </c>
      <c r="E68" s="847">
        <f t="shared" si="31"/>
        <v>4275.9000000000005</v>
      </c>
      <c r="F68" s="254">
        <f t="shared" si="35"/>
        <v>0</v>
      </c>
      <c r="G68" s="430" t="str">
        <f t="shared" si="36"/>
        <v/>
      </c>
      <c r="H68" s="430" t="str">
        <f t="shared" si="20"/>
        <v/>
      </c>
      <c r="J68" s="257">
        <f>'5.2 Budgeted Enrollment YR2'!J69</f>
        <v>5</v>
      </c>
      <c r="K68" s="617"/>
      <c r="L68" s="432">
        <f t="shared" si="37"/>
        <v>-5</v>
      </c>
      <c r="M68" s="268">
        <f t="shared" si="32"/>
        <v>3325.7</v>
      </c>
      <c r="N68" s="198">
        <f t="shared" si="38"/>
        <v>0</v>
      </c>
      <c r="O68" s="429" t="str">
        <f t="shared" si="39"/>
        <v/>
      </c>
      <c r="P68" s="430" t="str">
        <f t="shared" si="24"/>
        <v/>
      </c>
      <c r="R68" s="257">
        <f>'5.2 Budgeted Enrollment YR2'!K69</f>
        <v>0</v>
      </c>
      <c r="S68" s="617"/>
      <c r="T68" s="432">
        <f t="shared" si="40"/>
        <v>0</v>
      </c>
      <c r="U68" s="268">
        <f t="shared" si="33"/>
        <v>1140.24</v>
      </c>
      <c r="V68" s="198">
        <f t="shared" si="41"/>
        <v>0</v>
      </c>
      <c r="W68" s="429" t="str">
        <f t="shared" si="42"/>
        <v/>
      </c>
      <c r="X68" s="430" t="str">
        <f t="shared" si="28"/>
        <v/>
      </c>
      <c r="Z68" s="534" t="str">
        <f>IF($B$3="No","",'7.1b Allocation Adj. YR2'!L72)</f>
        <v/>
      </c>
      <c r="AA68" s="534" t="str">
        <f t="shared" si="43"/>
        <v/>
      </c>
      <c r="AB68" s="534" t="str">
        <f t="shared" si="44"/>
        <v/>
      </c>
      <c r="AC68" s="234"/>
      <c r="AD68" s="234"/>
    </row>
    <row r="69" spans="1:30" x14ac:dyDescent="0.3">
      <c r="A69" t="str">
        <f>'1.2 Budgeted Enrollment YR1'!E70</f>
        <v>Mater Academy of Northern Nevada</v>
      </c>
      <c r="B69" s="257">
        <f>'5.2 Budgeted Enrollment YR2'!I70</f>
        <v>133</v>
      </c>
      <c r="C69" s="846"/>
      <c r="D69" s="432">
        <f t="shared" si="34"/>
        <v>-133</v>
      </c>
      <c r="E69" s="847">
        <f t="shared" si="31"/>
        <v>4275.9000000000005</v>
      </c>
      <c r="F69" s="254">
        <f t="shared" si="35"/>
        <v>0</v>
      </c>
      <c r="G69" s="430" t="str">
        <f t="shared" si="36"/>
        <v/>
      </c>
      <c r="H69" s="430" t="str">
        <f t="shared" si="20"/>
        <v/>
      </c>
      <c r="J69" s="257">
        <f>'5.2 Budgeted Enrollment YR2'!J70</f>
        <v>2</v>
      </c>
      <c r="K69" s="617"/>
      <c r="L69" s="432">
        <f t="shared" si="37"/>
        <v>-2</v>
      </c>
      <c r="M69" s="268">
        <f t="shared" si="32"/>
        <v>3325.7</v>
      </c>
      <c r="N69" s="198">
        <f t="shared" si="38"/>
        <v>0</v>
      </c>
      <c r="O69" s="429" t="str">
        <f t="shared" si="39"/>
        <v/>
      </c>
      <c r="P69" s="430" t="str">
        <f t="shared" si="24"/>
        <v/>
      </c>
      <c r="R69" s="257">
        <f>'5.2 Budgeted Enrollment YR2'!K70</f>
        <v>0</v>
      </c>
      <c r="S69" s="617"/>
      <c r="T69" s="432">
        <f t="shared" si="40"/>
        <v>0</v>
      </c>
      <c r="U69" s="268">
        <f t="shared" si="33"/>
        <v>1140.24</v>
      </c>
      <c r="V69" s="198">
        <f t="shared" si="41"/>
        <v>0</v>
      </c>
      <c r="W69" s="429" t="str">
        <f t="shared" si="42"/>
        <v/>
      </c>
      <c r="X69" s="430" t="str">
        <f t="shared" si="28"/>
        <v/>
      </c>
      <c r="Z69" s="534" t="str">
        <f>IF($B$3="No","",'7.1b Allocation Adj. YR2'!L73)</f>
        <v/>
      </c>
      <c r="AA69" s="534" t="str">
        <f t="shared" si="43"/>
        <v/>
      </c>
      <c r="AB69" s="534" t="str">
        <f t="shared" si="44"/>
        <v/>
      </c>
      <c r="AC69" s="234"/>
      <c r="AD69" s="234"/>
    </row>
    <row r="70" spans="1:30" x14ac:dyDescent="0.3">
      <c r="A70" t="str">
        <f>'1.2 Budgeted Enrollment YR1'!E71</f>
        <v>Nevada Connections Academy</v>
      </c>
      <c r="B70" s="257">
        <f>'5.2 Budgeted Enrollment YR2'!I71</f>
        <v>38</v>
      </c>
      <c r="C70" s="846"/>
      <c r="D70" s="432">
        <f t="shared" si="34"/>
        <v>-38</v>
      </c>
      <c r="E70" s="847">
        <f t="shared" si="31"/>
        <v>4275.9000000000005</v>
      </c>
      <c r="F70" s="254">
        <f t="shared" si="35"/>
        <v>0</v>
      </c>
      <c r="G70" s="430" t="str">
        <f t="shared" si="36"/>
        <v/>
      </c>
      <c r="H70" s="430" t="str">
        <f t="shared" si="20"/>
        <v/>
      </c>
      <c r="J70" s="257">
        <f>'5.2 Budgeted Enrollment YR2'!J71</f>
        <v>30</v>
      </c>
      <c r="K70" s="617"/>
      <c r="L70" s="432">
        <f t="shared" si="37"/>
        <v>-30</v>
      </c>
      <c r="M70" s="268">
        <f t="shared" si="32"/>
        <v>3325.7</v>
      </c>
      <c r="N70" s="198">
        <f t="shared" si="38"/>
        <v>0</v>
      </c>
      <c r="O70" s="429" t="str">
        <f t="shared" si="39"/>
        <v/>
      </c>
      <c r="P70" s="430" t="str">
        <f t="shared" si="24"/>
        <v/>
      </c>
      <c r="R70" s="257">
        <f>'5.2 Budgeted Enrollment YR2'!K71</f>
        <v>0</v>
      </c>
      <c r="S70" s="617"/>
      <c r="T70" s="432">
        <f t="shared" si="40"/>
        <v>0</v>
      </c>
      <c r="U70" s="268">
        <f t="shared" si="33"/>
        <v>1140.24</v>
      </c>
      <c r="V70" s="198">
        <f t="shared" si="41"/>
        <v>0</v>
      </c>
      <c r="W70" s="429" t="str">
        <f t="shared" si="42"/>
        <v/>
      </c>
      <c r="X70" s="430" t="str">
        <f t="shared" si="28"/>
        <v/>
      </c>
      <c r="Z70" s="534" t="str">
        <f>IF($B$3="No","",'7.1b Allocation Adj. YR2'!L74)</f>
        <v/>
      </c>
      <c r="AA70" s="534" t="str">
        <f t="shared" si="43"/>
        <v/>
      </c>
      <c r="AB70" s="534" t="str">
        <f t="shared" si="44"/>
        <v/>
      </c>
      <c r="AC70" s="234"/>
      <c r="AD70" s="234"/>
    </row>
    <row r="71" spans="1:30" x14ac:dyDescent="0.3">
      <c r="A71" t="str">
        <f>'1.2 Budgeted Enrollment YR1'!E72</f>
        <v>Nevada Prep</v>
      </c>
      <c r="B71" s="257">
        <f>'5.2 Budgeted Enrollment YR2'!I72</f>
        <v>74</v>
      </c>
      <c r="C71" s="846"/>
      <c r="D71" s="432">
        <f t="shared" si="34"/>
        <v>-74</v>
      </c>
      <c r="E71" s="847">
        <f t="shared" si="31"/>
        <v>4275.9000000000005</v>
      </c>
      <c r="F71" s="254">
        <f t="shared" si="35"/>
        <v>0</v>
      </c>
      <c r="G71" s="430" t="str">
        <f t="shared" si="36"/>
        <v/>
      </c>
      <c r="H71" s="430" t="str">
        <f t="shared" si="20"/>
        <v/>
      </c>
      <c r="J71" s="257">
        <f>'5.2 Budgeted Enrollment YR2'!J72</f>
        <v>28</v>
      </c>
      <c r="K71" s="617"/>
      <c r="L71" s="432">
        <f t="shared" si="37"/>
        <v>-28</v>
      </c>
      <c r="M71" s="268">
        <f t="shared" si="32"/>
        <v>3325.7</v>
      </c>
      <c r="N71" s="198">
        <f t="shared" si="38"/>
        <v>0</v>
      </c>
      <c r="O71" s="429" t="str">
        <f t="shared" si="39"/>
        <v/>
      </c>
      <c r="P71" s="430" t="str">
        <f t="shared" si="24"/>
        <v/>
      </c>
      <c r="R71" s="257">
        <f>'5.2 Budgeted Enrollment YR2'!K72</f>
        <v>0</v>
      </c>
      <c r="S71" s="617"/>
      <c r="T71" s="432">
        <f t="shared" si="40"/>
        <v>0</v>
      </c>
      <c r="U71" s="268">
        <f t="shared" si="33"/>
        <v>1140.24</v>
      </c>
      <c r="V71" s="198">
        <f t="shared" si="41"/>
        <v>0</v>
      </c>
      <c r="W71" s="429" t="str">
        <f t="shared" si="42"/>
        <v/>
      </c>
      <c r="X71" s="430" t="str">
        <f t="shared" si="28"/>
        <v/>
      </c>
      <c r="Z71" s="534" t="str">
        <f>IF($B$3="No","",'7.1b Allocation Adj. YR2'!L75)</f>
        <v/>
      </c>
      <c r="AA71" s="534" t="str">
        <f t="shared" si="43"/>
        <v/>
      </c>
      <c r="AB71" s="534" t="str">
        <f t="shared" si="44"/>
        <v/>
      </c>
      <c r="AC71" s="234"/>
      <c r="AD71" s="234"/>
    </row>
    <row r="72" spans="1:30" x14ac:dyDescent="0.3">
      <c r="A72" t="str">
        <f>'1.2 Budgeted Enrollment YR1'!E73</f>
        <v xml:space="preserve">Nevada Rise </v>
      </c>
      <c r="B72" s="257">
        <f>'5.2 Budgeted Enrollment YR2'!I73</f>
        <v>35</v>
      </c>
      <c r="C72" s="846"/>
      <c r="D72" s="432">
        <f t="shared" si="34"/>
        <v>-35</v>
      </c>
      <c r="E72" s="847">
        <f t="shared" si="31"/>
        <v>4275.9000000000005</v>
      </c>
      <c r="F72" s="254">
        <f t="shared" si="35"/>
        <v>0</v>
      </c>
      <c r="G72" s="430" t="str">
        <f t="shared" si="36"/>
        <v/>
      </c>
      <c r="H72" s="430" t="str">
        <f t="shared" si="20"/>
        <v/>
      </c>
      <c r="J72" s="257">
        <f>'5.2 Budgeted Enrollment YR2'!J73</f>
        <v>1</v>
      </c>
      <c r="K72" s="617"/>
      <c r="L72" s="432">
        <f t="shared" si="37"/>
        <v>-1</v>
      </c>
      <c r="M72" s="268">
        <f t="shared" si="32"/>
        <v>3325.7</v>
      </c>
      <c r="N72" s="198">
        <f t="shared" si="38"/>
        <v>0</v>
      </c>
      <c r="O72" s="429" t="str">
        <f t="shared" si="39"/>
        <v/>
      </c>
      <c r="P72" s="430" t="str">
        <f t="shared" si="24"/>
        <v/>
      </c>
      <c r="R72" s="257">
        <f>'5.2 Budgeted Enrollment YR2'!K73</f>
        <v>0</v>
      </c>
      <c r="S72" s="617"/>
      <c r="T72" s="432">
        <f t="shared" si="40"/>
        <v>0</v>
      </c>
      <c r="U72" s="268">
        <f t="shared" si="33"/>
        <v>1140.24</v>
      </c>
      <c r="V72" s="198">
        <f t="shared" si="41"/>
        <v>0</v>
      </c>
      <c r="W72" s="429" t="str">
        <f t="shared" si="42"/>
        <v/>
      </c>
      <c r="X72" s="430" t="str">
        <f t="shared" si="28"/>
        <v/>
      </c>
      <c r="Z72" s="534" t="str">
        <f>IF($B$3="No","",'7.1b Allocation Adj. YR2'!L76)</f>
        <v/>
      </c>
      <c r="AA72" s="534" t="str">
        <f t="shared" si="43"/>
        <v/>
      </c>
      <c r="AB72" s="534" t="str">
        <f t="shared" si="44"/>
        <v/>
      </c>
      <c r="AC72" s="234"/>
      <c r="AD72" s="234"/>
    </row>
    <row r="73" spans="1:30" x14ac:dyDescent="0.3">
      <c r="A73" t="str">
        <f>'1.2 Budgeted Enrollment YR1'!E74</f>
        <v>Nevada State High School</v>
      </c>
      <c r="B73" s="257">
        <f>'5.2 Budgeted Enrollment YR2'!I74</f>
        <v>24</v>
      </c>
      <c r="C73" s="846"/>
      <c r="D73" s="432">
        <f t="shared" si="34"/>
        <v>-24</v>
      </c>
      <c r="E73" s="847">
        <f t="shared" si="31"/>
        <v>4275.9000000000005</v>
      </c>
      <c r="F73" s="254">
        <f t="shared" si="35"/>
        <v>0</v>
      </c>
      <c r="G73" s="430" t="str">
        <f t="shared" si="36"/>
        <v/>
      </c>
      <c r="H73" s="430" t="str">
        <f t="shared" si="20"/>
        <v/>
      </c>
      <c r="J73" s="257">
        <f>'5.2 Budgeted Enrollment YR2'!J74</f>
        <v>1</v>
      </c>
      <c r="K73" s="617"/>
      <c r="L73" s="432">
        <f t="shared" si="37"/>
        <v>-1</v>
      </c>
      <c r="M73" s="268">
        <f t="shared" si="32"/>
        <v>3325.7</v>
      </c>
      <c r="N73" s="198">
        <f t="shared" si="38"/>
        <v>0</v>
      </c>
      <c r="O73" s="429" t="str">
        <f t="shared" si="39"/>
        <v/>
      </c>
      <c r="P73" s="430" t="str">
        <f t="shared" si="24"/>
        <v/>
      </c>
      <c r="R73" s="257">
        <f>'5.2 Budgeted Enrollment YR2'!K74</f>
        <v>0</v>
      </c>
      <c r="S73" s="617"/>
      <c r="T73" s="432">
        <f t="shared" si="40"/>
        <v>0</v>
      </c>
      <c r="U73" s="268">
        <f t="shared" si="33"/>
        <v>1140.24</v>
      </c>
      <c r="V73" s="198">
        <f t="shared" si="41"/>
        <v>0</v>
      </c>
      <c r="W73" s="429" t="str">
        <f t="shared" si="42"/>
        <v/>
      </c>
      <c r="X73" s="430" t="str">
        <f t="shared" si="28"/>
        <v/>
      </c>
      <c r="Z73" s="534" t="str">
        <f>IF($B$3="No","",'7.1b Allocation Adj. YR2'!L77)</f>
        <v/>
      </c>
      <c r="AA73" s="534" t="str">
        <f t="shared" si="43"/>
        <v/>
      </c>
      <c r="AB73" s="534" t="str">
        <f t="shared" si="44"/>
        <v/>
      </c>
      <c r="AC73" s="234"/>
      <c r="AD73" s="234"/>
    </row>
    <row r="74" spans="1:30" x14ac:dyDescent="0.3">
      <c r="A74" t="str">
        <f>'1.2 Budgeted Enrollment YR1'!E75</f>
        <v>Nevada State High School-Meadowwood</v>
      </c>
      <c r="B74" s="257">
        <f>'5.2 Budgeted Enrollment YR2'!I75</f>
        <v>0</v>
      </c>
      <c r="C74" s="846"/>
      <c r="D74" s="432">
        <f t="shared" si="34"/>
        <v>0</v>
      </c>
      <c r="E74" s="847">
        <f t="shared" si="31"/>
        <v>4275.9000000000005</v>
      </c>
      <c r="F74" s="254">
        <f t="shared" si="35"/>
        <v>0</v>
      </c>
      <c r="G74" s="430" t="str">
        <f t="shared" si="36"/>
        <v/>
      </c>
      <c r="H74" s="430" t="str">
        <f t="shared" si="20"/>
        <v/>
      </c>
      <c r="J74" s="257">
        <f>'5.2 Budgeted Enrollment YR2'!J75</f>
        <v>0</v>
      </c>
      <c r="K74" s="617"/>
      <c r="L74" s="432">
        <f t="shared" si="37"/>
        <v>0</v>
      </c>
      <c r="M74" s="268">
        <f t="shared" si="32"/>
        <v>3325.7</v>
      </c>
      <c r="N74" s="198">
        <f t="shared" si="38"/>
        <v>0</v>
      </c>
      <c r="O74" s="429" t="str">
        <f t="shared" si="39"/>
        <v/>
      </c>
      <c r="P74" s="430" t="str">
        <f t="shared" si="24"/>
        <v/>
      </c>
      <c r="R74" s="257">
        <f>'5.2 Budgeted Enrollment YR2'!K75</f>
        <v>0</v>
      </c>
      <c r="S74" s="617"/>
      <c r="T74" s="432">
        <f t="shared" si="40"/>
        <v>0</v>
      </c>
      <c r="U74" s="268">
        <f t="shared" si="33"/>
        <v>1140.24</v>
      </c>
      <c r="V74" s="198">
        <f t="shared" si="41"/>
        <v>0</v>
      </c>
      <c r="W74" s="429" t="str">
        <f t="shared" si="42"/>
        <v/>
      </c>
      <c r="X74" s="430" t="str">
        <f t="shared" si="28"/>
        <v/>
      </c>
      <c r="Z74" s="534" t="str">
        <f>IF($B$3="No","",'7.1b Allocation Adj. YR2'!L78)</f>
        <v/>
      </c>
      <c r="AA74" s="534" t="str">
        <f t="shared" si="43"/>
        <v/>
      </c>
      <c r="AB74" s="534" t="str">
        <f t="shared" si="44"/>
        <v/>
      </c>
      <c r="AC74" s="234"/>
      <c r="AD74" s="234"/>
    </row>
    <row r="75" spans="1:30" x14ac:dyDescent="0.3">
      <c r="A75" t="str">
        <f>'1.2 Budgeted Enrollment YR1'!E76</f>
        <v>Nevada Virtual Academy</v>
      </c>
      <c r="B75" s="257">
        <f>'5.2 Budgeted Enrollment YR2'!I76</f>
        <v>79</v>
      </c>
      <c r="C75" s="846"/>
      <c r="D75" s="432">
        <f t="shared" si="34"/>
        <v>-79</v>
      </c>
      <c r="E75" s="847">
        <f t="shared" si="31"/>
        <v>4275.9000000000005</v>
      </c>
      <c r="F75" s="254">
        <f t="shared" si="35"/>
        <v>0</v>
      </c>
      <c r="G75" s="430" t="str">
        <f t="shared" si="36"/>
        <v/>
      </c>
      <c r="H75" s="430" t="str">
        <f t="shared" si="20"/>
        <v/>
      </c>
      <c r="J75" s="257">
        <f>'5.2 Budgeted Enrollment YR2'!J76</f>
        <v>78</v>
      </c>
      <c r="K75" s="617"/>
      <c r="L75" s="432">
        <f t="shared" si="37"/>
        <v>-78</v>
      </c>
      <c r="M75" s="268">
        <f t="shared" si="32"/>
        <v>3325.7</v>
      </c>
      <c r="N75" s="198">
        <f t="shared" si="38"/>
        <v>0</v>
      </c>
      <c r="O75" s="429" t="str">
        <f t="shared" si="39"/>
        <v/>
      </c>
      <c r="P75" s="430" t="str">
        <f t="shared" si="24"/>
        <v/>
      </c>
      <c r="R75" s="257">
        <f>'5.2 Budgeted Enrollment YR2'!K76</f>
        <v>0</v>
      </c>
      <c r="S75" s="617"/>
      <c r="T75" s="432">
        <f t="shared" si="40"/>
        <v>0</v>
      </c>
      <c r="U75" s="268">
        <f t="shared" si="33"/>
        <v>1140.24</v>
      </c>
      <c r="V75" s="198">
        <f t="shared" si="41"/>
        <v>0</v>
      </c>
      <c r="W75" s="429" t="str">
        <f t="shared" si="42"/>
        <v/>
      </c>
      <c r="X75" s="430" t="str">
        <f t="shared" si="28"/>
        <v/>
      </c>
      <c r="Z75" s="534" t="str">
        <f>IF($B$3="No","",'7.1b Allocation Adj. YR2'!L79)</f>
        <v/>
      </c>
      <c r="AA75" s="534" t="str">
        <f t="shared" si="43"/>
        <v/>
      </c>
      <c r="AB75" s="534" t="str">
        <f t="shared" si="44"/>
        <v/>
      </c>
      <c r="AC75" s="234"/>
      <c r="AD75" s="234"/>
    </row>
    <row r="76" spans="1:30" x14ac:dyDescent="0.3">
      <c r="A76" t="str">
        <f>'1.2 Budgeted Enrollment YR1'!E77</f>
        <v>Oasis Academy</v>
      </c>
      <c r="B76" s="257">
        <f>'5.2 Budgeted Enrollment YR2'!I77</f>
        <v>20</v>
      </c>
      <c r="C76" s="846"/>
      <c r="D76" s="432">
        <f t="shared" si="34"/>
        <v>-20</v>
      </c>
      <c r="E76" s="847">
        <f t="shared" si="31"/>
        <v>4275.9000000000005</v>
      </c>
      <c r="F76" s="254">
        <f t="shared" si="35"/>
        <v>0</v>
      </c>
      <c r="G76" s="430" t="str">
        <f t="shared" si="36"/>
        <v/>
      </c>
      <c r="H76" s="430" t="str">
        <f t="shared" si="20"/>
        <v/>
      </c>
      <c r="J76" s="257">
        <f>'5.2 Budgeted Enrollment YR2'!J77</f>
        <v>0</v>
      </c>
      <c r="K76" s="617"/>
      <c r="L76" s="432">
        <f t="shared" si="37"/>
        <v>0</v>
      </c>
      <c r="M76" s="268">
        <f t="shared" si="32"/>
        <v>3325.7</v>
      </c>
      <c r="N76" s="198">
        <f t="shared" si="38"/>
        <v>0</v>
      </c>
      <c r="O76" s="429" t="str">
        <f t="shared" si="39"/>
        <v/>
      </c>
      <c r="P76" s="430" t="str">
        <f t="shared" si="24"/>
        <v/>
      </c>
      <c r="R76" s="257">
        <f>'5.2 Budgeted Enrollment YR2'!K77</f>
        <v>0</v>
      </c>
      <c r="S76" s="617"/>
      <c r="T76" s="432">
        <f t="shared" si="40"/>
        <v>0</v>
      </c>
      <c r="U76" s="268">
        <f t="shared" si="33"/>
        <v>1140.24</v>
      </c>
      <c r="V76" s="198">
        <f t="shared" si="41"/>
        <v>0</v>
      </c>
      <c r="W76" s="429" t="str">
        <f t="shared" si="42"/>
        <v/>
      </c>
      <c r="X76" s="430" t="str">
        <f t="shared" si="28"/>
        <v/>
      </c>
      <c r="Z76" s="534" t="str">
        <f>IF($B$3="No","",'7.1b Allocation Adj. YR2'!L80)</f>
        <v/>
      </c>
      <c r="AA76" s="534" t="str">
        <f t="shared" si="43"/>
        <v/>
      </c>
      <c r="AB76" s="534" t="str">
        <f t="shared" si="44"/>
        <v/>
      </c>
      <c r="AC76" s="234"/>
      <c r="AD76" s="234"/>
    </row>
    <row r="77" spans="1:30" x14ac:dyDescent="0.3">
      <c r="A77" t="str">
        <f>'1.2 Budgeted Enrollment YR1'!E78</f>
        <v>Odyssey Charter Schools</v>
      </c>
      <c r="B77" s="257">
        <f>'5.2 Budgeted Enrollment YR2'!I78</f>
        <v>111</v>
      </c>
      <c r="C77" s="846"/>
      <c r="D77" s="432">
        <f t="shared" si="34"/>
        <v>-111</v>
      </c>
      <c r="E77" s="847">
        <f t="shared" si="31"/>
        <v>4275.9000000000005</v>
      </c>
      <c r="F77" s="254">
        <f t="shared" si="35"/>
        <v>0</v>
      </c>
      <c r="G77" s="430" t="str">
        <f t="shared" si="36"/>
        <v/>
      </c>
      <c r="H77" s="430" t="str">
        <f t="shared" si="20"/>
        <v/>
      </c>
      <c r="J77" s="257">
        <f>'5.2 Budgeted Enrollment YR2'!J78</f>
        <v>281</v>
      </c>
      <c r="K77" s="617"/>
      <c r="L77" s="432">
        <f t="shared" si="37"/>
        <v>-281</v>
      </c>
      <c r="M77" s="268">
        <f t="shared" si="32"/>
        <v>3325.7</v>
      </c>
      <c r="N77" s="198">
        <f t="shared" si="38"/>
        <v>0</v>
      </c>
      <c r="O77" s="429" t="str">
        <f t="shared" si="39"/>
        <v/>
      </c>
      <c r="P77" s="430" t="str">
        <f t="shared" si="24"/>
        <v/>
      </c>
      <c r="R77" s="257">
        <f>'5.2 Budgeted Enrollment YR2'!K78</f>
        <v>0</v>
      </c>
      <c r="S77" s="617"/>
      <c r="T77" s="432">
        <f t="shared" si="40"/>
        <v>0</v>
      </c>
      <c r="U77" s="268">
        <f t="shared" si="33"/>
        <v>1140.24</v>
      </c>
      <c r="V77" s="198">
        <f t="shared" si="41"/>
        <v>0</v>
      </c>
      <c r="W77" s="429" t="str">
        <f t="shared" si="42"/>
        <v/>
      </c>
      <c r="X77" s="430" t="str">
        <f t="shared" si="28"/>
        <v/>
      </c>
      <c r="Z77" s="534" t="str">
        <f>IF($B$3="No","",'7.1b Allocation Adj. YR2'!L81)</f>
        <v/>
      </c>
      <c r="AA77" s="534" t="str">
        <f t="shared" si="43"/>
        <v/>
      </c>
      <c r="AB77" s="534" t="str">
        <f t="shared" si="44"/>
        <v/>
      </c>
      <c r="AC77" s="234"/>
      <c r="AD77" s="234"/>
    </row>
    <row r="78" spans="1:30" x14ac:dyDescent="0.3">
      <c r="A78" t="str">
        <f>'1.2 Budgeted Enrollment YR1'!E79</f>
        <v>Pinecrest Academy of Northern Nevada</v>
      </c>
      <c r="B78" s="257">
        <f>'5.2 Budgeted Enrollment YR2'!I79</f>
        <v>18</v>
      </c>
      <c r="C78" s="846"/>
      <c r="D78" s="432">
        <f t="shared" si="34"/>
        <v>-18</v>
      </c>
      <c r="E78" s="847">
        <f t="shared" si="31"/>
        <v>4275.9000000000005</v>
      </c>
      <c r="F78" s="254">
        <f t="shared" si="35"/>
        <v>0</v>
      </c>
      <c r="G78" s="430" t="str">
        <f t="shared" si="36"/>
        <v/>
      </c>
      <c r="H78" s="430" t="str">
        <f t="shared" si="20"/>
        <v/>
      </c>
      <c r="J78" s="257">
        <f>'5.2 Budgeted Enrollment YR2'!J79</f>
        <v>0</v>
      </c>
      <c r="K78" s="617"/>
      <c r="L78" s="432">
        <f t="shared" si="37"/>
        <v>0</v>
      </c>
      <c r="M78" s="268">
        <f t="shared" si="32"/>
        <v>3325.7</v>
      </c>
      <c r="N78" s="198">
        <f t="shared" si="38"/>
        <v>0</v>
      </c>
      <c r="O78" s="429" t="str">
        <f t="shared" si="39"/>
        <v/>
      </c>
      <c r="P78" s="430" t="str">
        <f t="shared" si="24"/>
        <v/>
      </c>
      <c r="R78" s="257">
        <f>'5.2 Budgeted Enrollment YR2'!K79</f>
        <v>62</v>
      </c>
      <c r="S78" s="617"/>
      <c r="T78" s="432">
        <f t="shared" si="40"/>
        <v>-62</v>
      </c>
      <c r="U78" s="268">
        <f t="shared" si="33"/>
        <v>1140.24</v>
      </c>
      <c r="V78" s="198">
        <f t="shared" si="41"/>
        <v>0</v>
      </c>
      <c r="W78" s="429" t="str">
        <f t="shared" si="42"/>
        <v/>
      </c>
      <c r="X78" s="430" t="str">
        <f t="shared" si="28"/>
        <v/>
      </c>
      <c r="Z78" s="534" t="str">
        <f>IF($B$3="No","",'7.1b Allocation Adj. YR2'!L82)</f>
        <v/>
      </c>
      <c r="AA78" s="534" t="str">
        <f t="shared" si="43"/>
        <v/>
      </c>
      <c r="AB78" s="534" t="str">
        <f t="shared" si="44"/>
        <v/>
      </c>
      <c r="AC78" s="234"/>
      <c r="AD78" s="234"/>
    </row>
    <row r="79" spans="1:30" x14ac:dyDescent="0.3">
      <c r="A79" t="str">
        <f>'1.2 Budgeted Enrollment YR1'!E80</f>
        <v>Pinecrest Academy of Nevada</v>
      </c>
      <c r="B79" s="257">
        <f>'5.2 Budgeted Enrollment YR2'!I80</f>
        <v>195</v>
      </c>
      <c r="C79" s="846"/>
      <c r="D79" s="432">
        <f t="shared" si="34"/>
        <v>-195</v>
      </c>
      <c r="E79" s="847">
        <f t="shared" si="31"/>
        <v>4275.9000000000005</v>
      </c>
      <c r="F79" s="254">
        <f t="shared" si="35"/>
        <v>0</v>
      </c>
      <c r="G79" s="430" t="str">
        <f t="shared" si="36"/>
        <v/>
      </c>
      <c r="H79" s="430" t="str">
        <f t="shared" si="20"/>
        <v/>
      </c>
      <c r="J79" s="257">
        <f>'5.2 Budgeted Enrollment YR2'!J80</f>
        <v>127</v>
      </c>
      <c r="K79" s="617"/>
      <c r="L79" s="432">
        <f t="shared" si="37"/>
        <v>-127</v>
      </c>
      <c r="M79" s="268">
        <f t="shared" si="32"/>
        <v>3325.7</v>
      </c>
      <c r="N79" s="198">
        <f t="shared" si="38"/>
        <v>0</v>
      </c>
      <c r="O79" s="429" t="str">
        <f t="shared" si="39"/>
        <v/>
      </c>
      <c r="P79" s="430" t="str">
        <f t="shared" si="24"/>
        <v/>
      </c>
      <c r="R79" s="257">
        <f>'5.2 Budgeted Enrollment YR2'!K80</f>
        <v>396</v>
      </c>
      <c r="S79" s="617"/>
      <c r="T79" s="432">
        <f t="shared" si="40"/>
        <v>-396</v>
      </c>
      <c r="U79" s="268">
        <f t="shared" si="33"/>
        <v>1140.24</v>
      </c>
      <c r="V79" s="198">
        <f t="shared" si="41"/>
        <v>0</v>
      </c>
      <c r="W79" s="429" t="str">
        <f t="shared" si="42"/>
        <v/>
      </c>
      <c r="X79" s="430" t="str">
        <f t="shared" si="28"/>
        <v/>
      </c>
      <c r="Z79" s="534" t="str">
        <f>IF($B$3="No","",'7.1b Allocation Adj. YR2'!L83)</f>
        <v/>
      </c>
      <c r="AA79" s="534" t="str">
        <f t="shared" si="43"/>
        <v/>
      </c>
      <c r="AB79" s="534" t="str">
        <f t="shared" si="44"/>
        <v/>
      </c>
      <c r="AC79" s="234"/>
      <c r="AD79" s="234"/>
    </row>
    <row r="80" spans="1:30" x14ac:dyDescent="0.3">
      <c r="A80" t="str">
        <f>'1.2 Budgeted Enrollment YR1'!E81</f>
        <v>Pioneer Technical Arts Academy</v>
      </c>
      <c r="B80" s="257">
        <f>'5.2 Budgeted Enrollment YR2'!I81</f>
        <v>0</v>
      </c>
      <c r="C80" s="846"/>
      <c r="D80" s="432">
        <f t="shared" ref="D80" si="59">IF(B80="",0,C80-B80)</f>
        <v>0</v>
      </c>
      <c r="E80" s="847">
        <f t="shared" si="31"/>
        <v>4275.9000000000005</v>
      </c>
      <c r="F80" s="254">
        <f t="shared" ref="F80" si="60">C80</f>
        <v>0</v>
      </c>
      <c r="G80" s="430" t="str">
        <f t="shared" ref="G80" si="61">IF($B$3="No","",E80*F80)</f>
        <v/>
      </c>
      <c r="H80" s="430" t="str">
        <f t="shared" ref="H80" si="62">IF($B$3="No","",G80*$H$9)</f>
        <v/>
      </c>
      <c r="J80" s="257">
        <f>'5.2 Budgeted Enrollment YR2'!J81</f>
        <v>0</v>
      </c>
      <c r="K80" s="617"/>
      <c r="L80" s="432">
        <f t="shared" ref="L80" si="63">IF(J80="",0,K80-J80)</f>
        <v>0</v>
      </c>
      <c r="M80" s="268">
        <f t="shared" si="32"/>
        <v>3325.7</v>
      </c>
      <c r="N80" s="198">
        <f t="shared" ref="N80" si="64">K80</f>
        <v>0</v>
      </c>
      <c r="O80" s="429" t="str">
        <f t="shared" ref="O80" si="65">IF($B$3="No","",M80*N80)</f>
        <v/>
      </c>
      <c r="P80" s="430" t="str">
        <f t="shared" ref="P80" si="66">IF($B$3="No","",O80*$P$9)</f>
        <v/>
      </c>
      <c r="R80" s="257">
        <f>'5.2 Budgeted Enrollment YR2'!K81</f>
        <v>0</v>
      </c>
      <c r="S80" s="617"/>
      <c r="T80" s="432">
        <f t="shared" ref="T80" si="67">IF(R80="",0,S80-R80)</f>
        <v>0</v>
      </c>
      <c r="U80" s="268">
        <f t="shared" si="33"/>
        <v>1140.24</v>
      </c>
      <c r="V80" s="198">
        <f t="shared" ref="V80" si="68">S80</f>
        <v>0</v>
      </c>
      <c r="W80" s="429" t="str">
        <f t="shared" ref="W80" si="69">IF($B$3="No","",U80*V80)</f>
        <v/>
      </c>
      <c r="X80" s="430" t="str">
        <f t="shared" ref="X80" si="70">IF($B$3="No","",W80*$X$9)</f>
        <v/>
      </c>
      <c r="Z80" s="534" t="str">
        <f>IF($B$3="No","",'7.1b Allocation Adj. YR2'!L84)</f>
        <v/>
      </c>
      <c r="AA80" s="534" t="str">
        <f t="shared" ref="AA80" si="71">IF($B$3="No","",X80+P80+H80)</f>
        <v/>
      </c>
      <c r="AB80" s="534" t="str">
        <f t="shared" ref="AB80" si="72">IF($B$3="No","",AA80-Z80)</f>
        <v/>
      </c>
      <c r="AC80" s="234"/>
      <c r="AD80" s="234"/>
    </row>
    <row r="81" spans="1:30" x14ac:dyDescent="0.3">
      <c r="A81" t="str">
        <f>'1.2 Budgeted Enrollment YR1'!E82</f>
        <v>Quest Academy</v>
      </c>
      <c r="B81" s="257">
        <f>'5.2 Budgeted Enrollment YR2'!I82</f>
        <v>48</v>
      </c>
      <c r="C81" s="846"/>
      <c r="D81" s="432">
        <f t="shared" si="34"/>
        <v>-48</v>
      </c>
      <c r="E81" s="847">
        <f>E79</f>
        <v>4275.9000000000005</v>
      </c>
      <c r="F81" s="254">
        <f t="shared" si="35"/>
        <v>0</v>
      </c>
      <c r="G81" s="430" t="str">
        <f t="shared" si="36"/>
        <v/>
      </c>
      <c r="H81" s="430" t="str">
        <f t="shared" si="20"/>
        <v/>
      </c>
      <c r="J81" s="257">
        <f>'5.2 Budgeted Enrollment YR2'!J82</f>
        <v>16</v>
      </c>
      <c r="K81" s="617"/>
      <c r="L81" s="432">
        <f t="shared" si="37"/>
        <v>-16</v>
      </c>
      <c r="M81" s="268">
        <f>M79</f>
        <v>3325.7</v>
      </c>
      <c r="N81" s="198">
        <f t="shared" si="38"/>
        <v>0</v>
      </c>
      <c r="O81" s="429" t="str">
        <f t="shared" si="39"/>
        <v/>
      </c>
      <c r="P81" s="430" t="str">
        <f t="shared" si="24"/>
        <v/>
      </c>
      <c r="R81" s="257">
        <f>'5.2 Budgeted Enrollment YR2'!K82</f>
        <v>0</v>
      </c>
      <c r="S81" s="617"/>
      <c r="T81" s="432">
        <f t="shared" si="40"/>
        <v>0</v>
      </c>
      <c r="U81" s="268">
        <f>U79</f>
        <v>1140.24</v>
      </c>
      <c r="V81" s="198">
        <f t="shared" si="41"/>
        <v>0</v>
      </c>
      <c r="W81" s="429" t="str">
        <f t="shared" si="42"/>
        <v/>
      </c>
      <c r="X81" s="430" t="str">
        <f t="shared" si="28"/>
        <v/>
      </c>
      <c r="Z81" s="534" t="str">
        <f>IF($B$3="No","",'7.1b Allocation Adj. YR2'!L85)</f>
        <v/>
      </c>
      <c r="AA81" s="534" t="str">
        <f t="shared" si="43"/>
        <v/>
      </c>
      <c r="AB81" s="534" t="str">
        <f t="shared" si="44"/>
        <v/>
      </c>
      <c r="AC81" s="234"/>
      <c r="AD81" s="234"/>
    </row>
    <row r="82" spans="1:30" x14ac:dyDescent="0.3">
      <c r="A82" t="str">
        <f>'1.2 Budgeted Enrollment YR1'!E83</f>
        <v>Rainbow Dreams Academy</v>
      </c>
      <c r="B82" s="257">
        <f>'5.2 Budgeted Enrollment YR2'!I83</f>
        <v>6</v>
      </c>
      <c r="C82" s="846"/>
      <c r="D82" s="432">
        <f t="shared" si="34"/>
        <v>-6</v>
      </c>
      <c r="E82" s="847">
        <f t="shared" si="31"/>
        <v>4275.9000000000005</v>
      </c>
      <c r="F82" s="254">
        <f t="shared" si="35"/>
        <v>0</v>
      </c>
      <c r="G82" s="430" t="str">
        <f t="shared" si="36"/>
        <v/>
      </c>
      <c r="H82" s="430" t="str">
        <f t="shared" si="20"/>
        <v/>
      </c>
      <c r="J82" s="257">
        <f>'5.2 Budgeted Enrollment YR2'!J83</f>
        <v>5</v>
      </c>
      <c r="K82" s="617"/>
      <c r="L82" s="432">
        <f t="shared" si="37"/>
        <v>-5</v>
      </c>
      <c r="M82" s="268">
        <f t="shared" si="32"/>
        <v>3325.7</v>
      </c>
      <c r="N82" s="198">
        <f t="shared" si="38"/>
        <v>0</v>
      </c>
      <c r="O82" s="429" t="str">
        <f t="shared" si="39"/>
        <v/>
      </c>
      <c r="P82" s="430" t="str">
        <f t="shared" si="24"/>
        <v/>
      </c>
      <c r="R82" s="257">
        <f>'5.2 Budgeted Enrollment YR2'!K83</f>
        <v>0</v>
      </c>
      <c r="S82" s="617"/>
      <c r="T82" s="432">
        <f t="shared" si="40"/>
        <v>0</v>
      </c>
      <c r="U82" s="268">
        <f t="shared" si="33"/>
        <v>1140.24</v>
      </c>
      <c r="V82" s="198">
        <f t="shared" si="41"/>
        <v>0</v>
      </c>
      <c r="W82" s="429" t="str">
        <f t="shared" si="42"/>
        <v/>
      </c>
      <c r="X82" s="430" t="str">
        <f t="shared" si="28"/>
        <v/>
      </c>
      <c r="Z82" s="534" t="str">
        <f>IF($B$3="No","",'7.1b Allocation Adj. YR2'!L86)</f>
        <v/>
      </c>
      <c r="AA82" s="534" t="str">
        <f t="shared" si="43"/>
        <v/>
      </c>
      <c r="AB82" s="534" t="str">
        <f t="shared" si="44"/>
        <v/>
      </c>
      <c r="AC82" s="234"/>
      <c r="AD82" s="234"/>
    </row>
    <row r="83" spans="1:30" x14ac:dyDescent="0.3">
      <c r="A83" t="str">
        <f>'1.2 Budgeted Enrollment YR1'!E84</f>
        <v>Rooted Charter School</v>
      </c>
      <c r="B83" s="257">
        <f>'5.2 Budgeted Enrollment YR2'!I84</f>
        <v>0</v>
      </c>
      <c r="C83" s="846"/>
      <c r="D83" s="432">
        <f t="shared" ref="D83" si="73">IF(B83="",0,C83-B83)</f>
        <v>0</v>
      </c>
      <c r="E83" s="847">
        <f t="shared" si="31"/>
        <v>4275.9000000000005</v>
      </c>
      <c r="F83" s="254">
        <f t="shared" ref="F83" si="74">C83</f>
        <v>0</v>
      </c>
      <c r="G83" s="430" t="str">
        <f t="shared" ref="G83" si="75">IF($B$3="No","",E83*F83)</f>
        <v/>
      </c>
      <c r="H83" s="430" t="str">
        <f t="shared" ref="H83" si="76">IF($B$3="No","",G83*$H$9)</f>
        <v/>
      </c>
      <c r="J83" s="257">
        <f>'5.2 Budgeted Enrollment YR2'!J84</f>
        <v>0</v>
      </c>
      <c r="K83" s="617"/>
      <c r="L83" s="432">
        <f t="shared" ref="L83" si="77">IF(J83="",0,K83-J83)</f>
        <v>0</v>
      </c>
      <c r="M83" s="268">
        <f t="shared" si="32"/>
        <v>3325.7</v>
      </c>
      <c r="N83" s="198">
        <f t="shared" ref="N83" si="78">K83</f>
        <v>0</v>
      </c>
      <c r="O83" s="429" t="str">
        <f t="shared" ref="O83" si="79">IF($B$3="No","",M83*N83)</f>
        <v/>
      </c>
      <c r="P83" s="430" t="str">
        <f t="shared" ref="P83" si="80">IF($B$3="No","",O83*$P$9)</f>
        <v/>
      </c>
      <c r="R83" s="257">
        <f>'5.2 Budgeted Enrollment YR2'!K84</f>
        <v>0</v>
      </c>
      <c r="S83" s="617"/>
      <c r="T83" s="432">
        <f t="shared" ref="T83" si="81">IF(R83="",0,S83-R83)</f>
        <v>0</v>
      </c>
      <c r="U83" s="268">
        <f t="shared" si="33"/>
        <v>1140.24</v>
      </c>
      <c r="V83" s="198">
        <f t="shared" ref="V83" si="82">S83</f>
        <v>0</v>
      </c>
      <c r="W83" s="429" t="str">
        <f t="shared" ref="W83" si="83">IF($B$3="No","",U83*V83)</f>
        <v/>
      </c>
      <c r="X83" s="430" t="str">
        <f t="shared" ref="X83" si="84">IF($B$3="No","",W83*$X$9)</f>
        <v/>
      </c>
      <c r="Z83" s="534" t="str">
        <f>IF($B$3="No","",'7.1b Allocation Adj. YR2'!L87)</f>
        <v/>
      </c>
      <c r="AA83" s="534" t="str">
        <f t="shared" ref="AA83" si="85">IF($B$3="No","",X83+P83+H83)</f>
        <v/>
      </c>
      <c r="AB83" s="534" t="str">
        <f t="shared" ref="AB83" si="86">IF($B$3="No","",AA83-Z83)</f>
        <v/>
      </c>
      <c r="AC83" s="234"/>
      <c r="AD83" s="234"/>
    </row>
    <row r="84" spans="1:30" x14ac:dyDescent="0.3">
      <c r="A84" t="str">
        <f>'1.2 Budgeted Enrollment YR1'!E85</f>
        <v>Sage Collegiate Academy</v>
      </c>
      <c r="B84" s="257">
        <f>'5.2 Budgeted Enrollment YR2'!I85</f>
        <v>69</v>
      </c>
      <c r="C84" s="846"/>
      <c r="D84" s="432">
        <f t="shared" si="34"/>
        <v>-69</v>
      </c>
      <c r="E84" s="847">
        <f t="shared" si="31"/>
        <v>4275.9000000000005</v>
      </c>
      <c r="F84" s="254">
        <f t="shared" si="35"/>
        <v>0</v>
      </c>
      <c r="G84" s="430" t="str">
        <f t="shared" si="36"/>
        <v/>
      </c>
      <c r="H84" s="430" t="str">
        <f t="shared" si="20"/>
        <v/>
      </c>
      <c r="J84" s="257">
        <f>'5.2 Budgeted Enrollment YR2'!J85</f>
        <v>0</v>
      </c>
      <c r="K84" s="617"/>
      <c r="L84" s="432">
        <f t="shared" si="37"/>
        <v>0</v>
      </c>
      <c r="M84" s="268">
        <f t="shared" si="32"/>
        <v>3325.7</v>
      </c>
      <c r="N84" s="198">
        <f t="shared" si="38"/>
        <v>0</v>
      </c>
      <c r="O84" s="429" t="str">
        <f t="shared" si="39"/>
        <v/>
      </c>
      <c r="P84" s="430" t="str">
        <f t="shared" si="24"/>
        <v/>
      </c>
      <c r="R84" s="257">
        <f>'5.2 Budgeted Enrollment YR2'!K85</f>
        <v>0</v>
      </c>
      <c r="S84" s="617"/>
      <c r="T84" s="432">
        <f t="shared" si="40"/>
        <v>0</v>
      </c>
      <c r="U84" s="268">
        <f t="shared" si="33"/>
        <v>1140.24</v>
      </c>
      <c r="V84" s="198">
        <f t="shared" si="41"/>
        <v>0</v>
      </c>
      <c r="W84" s="429" t="str">
        <f t="shared" si="42"/>
        <v/>
      </c>
      <c r="X84" s="430" t="str">
        <f t="shared" si="28"/>
        <v/>
      </c>
      <c r="Z84" s="534" t="str">
        <f>IF($B$3="No","",'7.1b Allocation Adj. YR2'!L88)</f>
        <v/>
      </c>
      <c r="AA84" s="534" t="str">
        <f t="shared" si="43"/>
        <v/>
      </c>
      <c r="AB84" s="534" t="str">
        <f t="shared" si="44"/>
        <v/>
      </c>
      <c r="AC84" s="234"/>
      <c r="AD84" s="234"/>
    </row>
    <row r="85" spans="1:30" x14ac:dyDescent="0.3">
      <c r="A85" t="str">
        <f>'1.2 Budgeted Enrollment YR1'!E86</f>
        <v>Sierra Nevada Academy Charter</v>
      </c>
      <c r="B85" s="257">
        <f>'5.2 Budgeted Enrollment YR2'!I86</f>
        <v>22</v>
      </c>
      <c r="C85" s="846"/>
      <c r="D85" s="432">
        <f t="shared" si="34"/>
        <v>-22</v>
      </c>
      <c r="E85" s="847">
        <f t="shared" si="31"/>
        <v>4275.9000000000005</v>
      </c>
      <c r="F85" s="254">
        <f t="shared" si="35"/>
        <v>0</v>
      </c>
      <c r="G85" s="430" t="str">
        <f t="shared" si="36"/>
        <v/>
      </c>
      <c r="H85" s="430" t="str">
        <f t="shared" si="20"/>
        <v/>
      </c>
      <c r="J85" s="257">
        <f>'5.2 Budgeted Enrollment YR2'!J86</f>
        <v>30</v>
      </c>
      <c r="K85" s="617"/>
      <c r="L85" s="432">
        <f t="shared" si="37"/>
        <v>-30</v>
      </c>
      <c r="M85" s="268">
        <f t="shared" si="32"/>
        <v>3325.7</v>
      </c>
      <c r="N85" s="198">
        <f t="shared" si="38"/>
        <v>0</v>
      </c>
      <c r="O85" s="429" t="str">
        <f t="shared" si="39"/>
        <v/>
      </c>
      <c r="P85" s="430" t="str">
        <f t="shared" si="24"/>
        <v/>
      </c>
      <c r="R85" s="257">
        <f>'5.2 Budgeted Enrollment YR2'!K86</f>
        <v>0</v>
      </c>
      <c r="S85" s="617"/>
      <c r="T85" s="432">
        <f t="shared" si="40"/>
        <v>0</v>
      </c>
      <c r="U85" s="268">
        <f t="shared" si="33"/>
        <v>1140.24</v>
      </c>
      <c r="V85" s="198">
        <f t="shared" si="41"/>
        <v>0</v>
      </c>
      <c r="W85" s="429" t="str">
        <f t="shared" si="42"/>
        <v/>
      </c>
      <c r="X85" s="430" t="str">
        <f t="shared" si="28"/>
        <v/>
      </c>
      <c r="Z85" s="534" t="str">
        <f>IF($B$3="No","",'7.1b Allocation Adj. YR2'!L89)</f>
        <v/>
      </c>
      <c r="AA85" s="534" t="str">
        <f t="shared" si="43"/>
        <v/>
      </c>
      <c r="AB85" s="534" t="str">
        <f t="shared" si="44"/>
        <v/>
      </c>
      <c r="AC85" s="234"/>
      <c r="AD85" s="234"/>
    </row>
    <row r="86" spans="1:30" x14ac:dyDescent="0.3">
      <c r="A86" t="str">
        <f>'1.2 Budgeted Enrollment YR1'!E87</f>
        <v>Signature Preparatory</v>
      </c>
      <c r="B86" s="257">
        <f>'5.2 Budgeted Enrollment YR2'!I87</f>
        <v>67</v>
      </c>
      <c r="C86" s="846"/>
      <c r="D86" s="432">
        <f t="shared" si="34"/>
        <v>-67</v>
      </c>
      <c r="E86" s="847">
        <f t="shared" si="31"/>
        <v>4275.9000000000005</v>
      </c>
      <c r="F86" s="254">
        <f t="shared" si="35"/>
        <v>0</v>
      </c>
      <c r="G86" s="430" t="str">
        <f t="shared" si="36"/>
        <v/>
      </c>
      <c r="H86" s="430" t="str">
        <f t="shared" si="20"/>
        <v/>
      </c>
      <c r="J86" s="257">
        <f>'5.2 Budgeted Enrollment YR2'!J87</f>
        <v>17</v>
      </c>
      <c r="K86" s="617"/>
      <c r="L86" s="432">
        <f t="shared" si="37"/>
        <v>-17</v>
      </c>
      <c r="M86" s="268">
        <f t="shared" si="32"/>
        <v>3325.7</v>
      </c>
      <c r="N86" s="198">
        <f t="shared" si="38"/>
        <v>0</v>
      </c>
      <c r="O86" s="429" t="str">
        <f t="shared" si="39"/>
        <v/>
      </c>
      <c r="P86" s="430" t="str">
        <f t="shared" si="24"/>
        <v/>
      </c>
      <c r="R86" s="257">
        <f>'5.2 Budgeted Enrollment YR2'!K87</f>
        <v>0</v>
      </c>
      <c r="S86" s="617"/>
      <c r="T86" s="432">
        <f t="shared" si="40"/>
        <v>0</v>
      </c>
      <c r="U86" s="268">
        <f t="shared" si="33"/>
        <v>1140.24</v>
      </c>
      <c r="V86" s="198">
        <f t="shared" si="41"/>
        <v>0</v>
      </c>
      <c r="W86" s="429" t="str">
        <f t="shared" si="42"/>
        <v/>
      </c>
      <c r="X86" s="430" t="str">
        <f t="shared" si="28"/>
        <v/>
      </c>
      <c r="Z86" s="534" t="str">
        <f>IF($B$3="No","",'7.1b Allocation Adj. YR2'!L90)</f>
        <v/>
      </c>
      <c r="AA86" s="534" t="str">
        <f t="shared" si="43"/>
        <v/>
      </c>
      <c r="AB86" s="534" t="str">
        <f t="shared" si="44"/>
        <v/>
      </c>
      <c r="AC86" s="234"/>
      <c r="AD86" s="234"/>
    </row>
    <row r="87" spans="1:30" x14ac:dyDescent="0.3">
      <c r="A87" t="str">
        <f>'1.2 Budgeted Enrollment YR1'!E88</f>
        <v>Silver Sands Montessori</v>
      </c>
      <c r="B87" s="257">
        <f>'5.2 Budgeted Enrollment YR2'!I88</f>
        <v>24</v>
      </c>
      <c r="C87" s="846"/>
      <c r="D87" s="432">
        <f t="shared" si="34"/>
        <v>-24</v>
      </c>
      <c r="E87" s="847">
        <f t="shared" si="31"/>
        <v>4275.9000000000005</v>
      </c>
      <c r="F87" s="254">
        <f t="shared" si="35"/>
        <v>0</v>
      </c>
      <c r="G87" s="430" t="str">
        <f t="shared" si="36"/>
        <v/>
      </c>
      <c r="H87" s="430" t="str">
        <f t="shared" si="20"/>
        <v/>
      </c>
      <c r="J87" s="257">
        <f>'5.2 Budgeted Enrollment YR2'!J88</f>
        <v>0</v>
      </c>
      <c r="K87" s="617"/>
      <c r="L87" s="432">
        <f t="shared" si="37"/>
        <v>0</v>
      </c>
      <c r="M87" s="268">
        <f t="shared" si="32"/>
        <v>3325.7</v>
      </c>
      <c r="N87" s="198">
        <f t="shared" si="38"/>
        <v>0</v>
      </c>
      <c r="O87" s="429" t="str">
        <f t="shared" si="39"/>
        <v/>
      </c>
      <c r="P87" s="430" t="str">
        <f t="shared" si="24"/>
        <v/>
      </c>
      <c r="R87" s="257">
        <f>'5.2 Budgeted Enrollment YR2'!K88</f>
        <v>0</v>
      </c>
      <c r="S87" s="617"/>
      <c r="T87" s="432">
        <f t="shared" si="40"/>
        <v>0</v>
      </c>
      <c r="U87" s="268">
        <f t="shared" si="33"/>
        <v>1140.24</v>
      </c>
      <c r="V87" s="198">
        <f t="shared" si="41"/>
        <v>0</v>
      </c>
      <c r="W87" s="429" t="str">
        <f t="shared" si="42"/>
        <v/>
      </c>
      <c r="X87" s="430" t="str">
        <f t="shared" si="28"/>
        <v/>
      </c>
      <c r="Z87" s="534" t="str">
        <f>IF($B$3="No","",'7.1b Allocation Adj. YR2'!L91)</f>
        <v/>
      </c>
      <c r="AA87" s="534" t="str">
        <f t="shared" si="43"/>
        <v/>
      </c>
      <c r="AB87" s="534" t="str">
        <f t="shared" si="44"/>
        <v/>
      </c>
      <c r="AC87" s="234"/>
      <c r="AD87" s="234"/>
    </row>
    <row r="88" spans="1:30" x14ac:dyDescent="0.3">
      <c r="A88" t="str">
        <f>'1.2 Budgeted Enrollment YR1'!E89</f>
        <v>Somerset Academy</v>
      </c>
      <c r="B88" s="257">
        <f>'5.2 Budgeted Enrollment YR2'!I89</f>
        <v>346</v>
      </c>
      <c r="C88" s="846"/>
      <c r="D88" s="432">
        <f t="shared" si="34"/>
        <v>-346</v>
      </c>
      <c r="E88" s="847">
        <f t="shared" si="31"/>
        <v>4275.9000000000005</v>
      </c>
      <c r="F88" s="254">
        <f t="shared" si="35"/>
        <v>0</v>
      </c>
      <c r="G88" s="430" t="str">
        <f t="shared" si="36"/>
        <v/>
      </c>
      <c r="H88" s="430" t="str">
        <f t="shared" si="20"/>
        <v/>
      </c>
      <c r="J88" s="257">
        <f>'5.2 Budgeted Enrollment YR2'!J89</f>
        <v>109</v>
      </c>
      <c r="K88" s="617"/>
      <c r="L88" s="432">
        <f t="shared" si="37"/>
        <v>-109</v>
      </c>
      <c r="M88" s="268">
        <f t="shared" si="32"/>
        <v>3325.7</v>
      </c>
      <c r="N88" s="198">
        <f t="shared" si="38"/>
        <v>0</v>
      </c>
      <c r="O88" s="429" t="str">
        <f t="shared" si="39"/>
        <v/>
      </c>
      <c r="P88" s="430" t="str">
        <f t="shared" si="24"/>
        <v/>
      </c>
      <c r="R88" s="257">
        <f>'5.2 Budgeted Enrollment YR2'!K89</f>
        <v>243</v>
      </c>
      <c r="S88" s="617"/>
      <c r="T88" s="432">
        <f t="shared" si="40"/>
        <v>-243</v>
      </c>
      <c r="U88" s="268">
        <f t="shared" si="33"/>
        <v>1140.24</v>
      </c>
      <c r="V88" s="198">
        <f t="shared" si="41"/>
        <v>0</v>
      </c>
      <c r="W88" s="429" t="str">
        <f t="shared" si="42"/>
        <v/>
      </c>
      <c r="X88" s="430" t="str">
        <f t="shared" si="28"/>
        <v/>
      </c>
      <c r="Z88" s="534" t="str">
        <f>IF($B$3="No","",'7.1b Allocation Adj. YR2'!L92)</f>
        <v/>
      </c>
      <c r="AA88" s="534" t="str">
        <f t="shared" si="43"/>
        <v/>
      </c>
      <c r="AB88" s="534" t="str">
        <f t="shared" si="44"/>
        <v/>
      </c>
      <c r="AC88" s="234"/>
      <c r="AD88" s="234"/>
    </row>
    <row r="89" spans="1:30" x14ac:dyDescent="0.3">
      <c r="A89" t="str">
        <f>'1.2 Budgeted Enrollment YR1'!E90</f>
        <v>Southern Nevada Trade High School</v>
      </c>
      <c r="B89" s="257">
        <f>'5.2 Budgeted Enrollment YR2'!I90</f>
        <v>25</v>
      </c>
      <c r="C89" s="846"/>
      <c r="D89" s="432">
        <f t="shared" ref="D89" si="87">IF(B89="",0,C89-B89)</f>
        <v>-25</v>
      </c>
      <c r="E89" s="847">
        <f t="shared" si="31"/>
        <v>4275.9000000000005</v>
      </c>
      <c r="F89" s="254">
        <f t="shared" ref="F89" si="88">C89</f>
        <v>0</v>
      </c>
      <c r="G89" s="430" t="str">
        <f t="shared" ref="G89" si="89">IF($B$3="No","",E89*F89)</f>
        <v/>
      </c>
      <c r="H89" s="430" t="str">
        <f t="shared" ref="H89" si="90">IF($B$3="No","",G89*$H$9)</f>
        <v/>
      </c>
      <c r="J89" s="257">
        <f>'5.2 Budgeted Enrollment YR2'!J90</f>
        <v>32</v>
      </c>
      <c r="K89" s="617"/>
      <c r="L89" s="432">
        <f t="shared" ref="L89" si="91">IF(J89="",0,K89-J89)</f>
        <v>-32</v>
      </c>
      <c r="M89" s="268">
        <f t="shared" si="32"/>
        <v>3325.7</v>
      </c>
      <c r="N89" s="198">
        <f t="shared" ref="N89" si="92">K89</f>
        <v>0</v>
      </c>
      <c r="O89" s="429" t="str">
        <f t="shared" ref="O89" si="93">IF($B$3="No","",M89*N89)</f>
        <v/>
      </c>
      <c r="P89" s="430" t="str">
        <f t="shared" ref="P89" si="94">IF($B$3="No","",O89*$P$9)</f>
        <v/>
      </c>
      <c r="R89" s="257">
        <f>'5.2 Budgeted Enrollment YR2'!K90</f>
        <v>0</v>
      </c>
      <c r="S89" s="617"/>
      <c r="T89" s="432">
        <f t="shared" ref="T89" si="95">IF(R89="",0,S89-R89)</f>
        <v>0</v>
      </c>
      <c r="U89" s="268">
        <f t="shared" si="33"/>
        <v>1140.24</v>
      </c>
      <c r="V89" s="198">
        <f t="shared" ref="V89" si="96">S89</f>
        <v>0</v>
      </c>
      <c r="W89" s="429" t="str">
        <f t="shared" ref="W89" si="97">IF($B$3="No","",U89*V89)</f>
        <v/>
      </c>
      <c r="X89" s="430" t="str">
        <f t="shared" ref="X89" si="98">IF($B$3="No","",W89*$X$9)</f>
        <v/>
      </c>
      <c r="Z89" s="534" t="str">
        <f>IF($B$3="No","",'7.1b Allocation Adj. YR2'!L93)</f>
        <v/>
      </c>
      <c r="AA89" s="534" t="str">
        <f t="shared" ref="AA89" si="99">IF($B$3="No","",X89+P89+H89)</f>
        <v/>
      </c>
      <c r="AB89" s="534" t="str">
        <f t="shared" ref="AB89" si="100">IF($B$3="No","",AA89-Z89)</f>
        <v/>
      </c>
      <c r="AC89" s="234"/>
      <c r="AD89" s="234"/>
    </row>
    <row r="90" spans="1:30" x14ac:dyDescent="0.3">
      <c r="A90" t="str">
        <f>'1.2 Budgeted Enrollment YR1'!E91</f>
        <v>Sports Leadership and Management Academy</v>
      </c>
      <c r="B90" s="257">
        <f>'5.2 Budgeted Enrollment YR2'!I91</f>
        <v>194</v>
      </c>
      <c r="C90" s="846"/>
      <c r="D90" s="432">
        <f t="shared" si="34"/>
        <v>-194</v>
      </c>
      <c r="E90" s="847">
        <f t="shared" si="31"/>
        <v>4275.9000000000005</v>
      </c>
      <c r="F90" s="254">
        <f t="shared" si="35"/>
        <v>0</v>
      </c>
      <c r="G90" s="430" t="str">
        <f t="shared" si="36"/>
        <v/>
      </c>
      <c r="H90" s="430" t="str">
        <f t="shared" si="20"/>
        <v/>
      </c>
      <c r="J90" s="257">
        <f>'5.2 Budgeted Enrollment YR2'!J91</f>
        <v>22</v>
      </c>
      <c r="K90" s="617"/>
      <c r="L90" s="432">
        <f t="shared" si="37"/>
        <v>-22</v>
      </c>
      <c r="M90" s="268">
        <f t="shared" si="32"/>
        <v>3325.7</v>
      </c>
      <c r="N90" s="198">
        <f t="shared" si="38"/>
        <v>0</v>
      </c>
      <c r="O90" s="429" t="str">
        <f t="shared" si="39"/>
        <v/>
      </c>
      <c r="P90" s="430" t="str">
        <f t="shared" si="24"/>
        <v/>
      </c>
      <c r="R90" s="257">
        <f>'5.2 Budgeted Enrollment YR2'!K91</f>
        <v>0</v>
      </c>
      <c r="S90" s="617"/>
      <c r="T90" s="432">
        <f t="shared" si="40"/>
        <v>0</v>
      </c>
      <c r="U90" s="268">
        <f t="shared" si="33"/>
        <v>1140.24</v>
      </c>
      <c r="V90" s="198">
        <f t="shared" si="41"/>
        <v>0</v>
      </c>
      <c r="W90" s="429" t="str">
        <f t="shared" si="42"/>
        <v/>
      </c>
      <c r="X90" s="430" t="str">
        <f t="shared" si="28"/>
        <v/>
      </c>
      <c r="Z90" s="534" t="str">
        <f>IF($B$3="No","",'7.1b Allocation Adj. YR2'!L94)</f>
        <v/>
      </c>
      <c r="AA90" s="534" t="str">
        <f t="shared" si="43"/>
        <v/>
      </c>
      <c r="AB90" s="534" t="str">
        <f t="shared" si="44"/>
        <v/>
      </c>
      <c r="AC90" s="234"/>
      <c r="AD90" s="234"/>
    </row>
    <row r="91" spans="1:30" x14ac:dyDescent="0.3">
      <c r="A91" t="str">
        <f>'1.2 Budgeted Enrollment YR1'!E92</f>
        <v>Strong Start Academy</v>
      </c>
      <c r="B91" s="257">
        <f>'5.2 Budgeted Enrollment YR2'!I92</f>
        <v>56</v>
      </c>
      <c r="C91" s="846"/>
      <c r="D91" s="432">
        <f t="shared" si="34"/>
        <v>-56</v>
      </c>
      <c r="E91" s="847">
        <f t="shared" si="31"/>
        <v>4275.9000000000005</v>
      </c>
      <c r="F91" s="254">
        <f t="shared" si="35"/>
        <v>0</v>
      </c>
      <c r="G91" s="430" t="str">
        <f t="shared" si="36"/>
        <v/>
      </c>
      <c r="H91" s="430" t="str">
        <f t="shared" si="20"/>
        <v/>
      </c>
      <c r="J91" s="257">
        <f>'5.2 Budgeted Enrollment YR2'!J92</f>
        <v>0</v>
      </c>
      <c r="K91" s="617"/>
      <c r="L91" s="432">
        <f t="shared" si="37"/>
        <v>0</v>
      </c>
      <c r="M91" s="268">
        <f t="shared" si="32"/>
        <v>3325.7</v>
      </c>
      <c r="N91" s="198">
        <f t="shared" si="38"/>
        <v>0</v>
      </c>
      <c r="O91" s="429" t="str">
        <f t="shared" si="39"/>
        <v/>
      </c>
      <c r="P91" s="430" t="str">
        <f t="shared" si="24"/>
        <v/>
      </c>
      <c r="R91" s="257">
        <f>'5.2 Budgeted Enrollment YR2'!K92</f>
        <v>0</v>
      </c>
      <c r="S91" s="617"/>
      <c r="T91" s="432">
        <f t="shared" si="40"/>
        <v>0</v>
      </c>
      <c r="U91" s="268">
        <f t="shared" si="33"/>
        <v>1140.24</v>
      </c>
      <c r="V91" s="198">
        <f t="shared" si="41"/>
        <v>0</v>
      </c>
      <c r="W91" s="429" t="str">
        <f t="shared" si="42"/>
        <v/>
      </c>
      <c r="X91" s="430" t="str">
        <f t="shared" si="28"/>
        <v/>
      </c>
      <c r="Z91" s="534" t="str">
        <f>IF($B$3="No","",'7.1b Allocation Adj. YR2'!L95)</f>
        <v/>
      </c>
      <c r="AA91" s="534" t="str">
        <f t="shared" si="43"/>
        <v/>
      </c>
      <c r="AB91" s="534" t="str">
        <f t="shared" si="44"/>
        <v/>
      </c>
      <c r="AC91" s="234"/>
      <c r="AD91" s="234"/>
    </row>
    <row r="92" spans="1:30" x14ac:dyDescent="0.3">
      <c r="A92" t="str">
        <f>'1.2 Budgeted Enrollment YR1'!E93</f>
        <v>ThrivePoint</v>
      </c>
      <c r="B92" s="257">
        <f>'5.2 Budgeted Enrollment YR2'!I93</f>
        <v>42</v>
      </c>
      <c r="C92" s="846"/>
      <c r="D92" s="432">
        <f t="shared" si="34"/>
        <v>-42</v>
      </c>
      <c r="E92" s="847">
        <f>E90</f>
        <v>4275.9000000000005</v>
      </c>
      <c r="F92" s="254">
        <f t="shared" si="35"/>
        <v>0</v>
      </c>
      <c r="G92" s="430" t="str">
        <f t="shared" si="36"/>
        <v/>
      </c>
      <c r="H92" s="430" t="str">
        <f t="shared" si="20"/>
        <v/>
      </c>
      <c r="J92" s="257">
        <f>'5.2 Budgeted Enrollment YR2'!J93</f>
        <v>49</v>
      </c>
      <c r="K92" s="617"/>
      <c r="L92" s="432">
        <f t="shared" si="37"/>
        <v>-49</v>
      </c>
      <c r="M92" s="268">
        <f>M90</f>
        <v>3325.7</v>
      </c>
      <c r="N92" s="198">
        <f t="shared" si="38"/>
        <v>0</v>
      </c>
      <c r="O92" s="429" t="str">
        <f t="shared" si="39"/>
        <v/>
      </c>
      <c r="P92" s="430" t="str">
        <f t="shared" si="24"/>
        <v/>
      </c>
      <c r="R92" s="257">
        <f>'5.2 Budgeted Enrollment YR2'!K93</f>
        <v>0</v>
      </c>
      <c r="S92" s="617"/>
      <c r="T92" s="432">
        <f t="shared" si="40"/>
        <v>0</v>
      </c>
      <c r="U92" s="268">
        <f>U90</f>
        <v>1140.24</v>
      </c>
      <c r="V92" s="198">
        <f t="shared" si="41"/>
        <v>0</v>
      </c>
      <c r="W92" s="429" t="str">
        <f t="shared" si="42"/>
        <v/>
      </c>
      <c r="X92" s="430" t="str">
        <f t="shared" si="28"/>
        <v/>
      </c>
      <c r="Z92" s="534" t="str">
        <f>IF($B$3="No","",'7.1b Allocation Adj. YR2'!L96)</f>
        <v/>
      </c>
      <c r="AA92" s="534" t="str">
        <f t="shared" si="43"/>
        <v/>
      </c>
      <c r="AB92" s="534" t="str">
        <f t="shared" si="44"/>
        <v/>
      </c>
      <c r="AC92" s="234"/>
      <c r="AD92" s="234"/>
    </row>
    <row r="93" spans="1:30" x14ac:dyDescent="0.3">
      <c r="A93" t="str">
        <f>'1.2 Budgeted Enrollment YR1'!E94</f>
        <v>Vegas Vista Academy</v>
      </c>
      <c r="B93" s="257">
        <f>'5.2 Budgeted Enrollment YR2'!I94</f>
        <v>36</v>
      </c>
      <c r="C93" s="846"/>
      <c r="D93" s="432">
        <f t="shared" ref="D93" si="101">IF(B93="",0,C93-B93)</f>
        <v>-36</v>
      </c>
      <c r="E93" s="847">
        <f>E91</f>
        <v>4275.9000000000005</v>
      </c>
      <c r="F93" s="842">
        <f t="shared" ref="F93" si="102">C93</f>
        <v>0</v>
      </c>
      <c r="G93" s="430" t="str">
        <f t="shared" ref="G93" si="103">IF($B$3="No","",E93*F93)</f>
        <v/>
      </c>
      <c r="H93" s="430" t="str">
        <f t="shared" ref="H93" si="104">IF($B$3="No","",G93*$H$9)</f>
        <v/>
      </c>
      <c r="J93" s="257">
        <f>'5.2 Budgeted Enrollment YR2'!J94</f>
        <v>0</v>
      </c>
      <c r="K93" s="617"/>
      <c r="L93" s="432">
        <f t="shared" ref="L93" si="105">IF(J93="",0,K93-J93)</f>
        <v>0</v>
      </c>
      <c r="M93" s="185">
        <f>M91</f>
        <v>3325.7</v>
      </c>
      <c r="N93" s="198">
        <f t="shared" ref="N93" si="106">K93</f>
        <v>0</v>
      </c>
      <c r="O93" s="429" t="str">
        <f t="shared" ref="O93" si="107">IF($B$3="No","",M93*N93)</f>
        <v/>
      </c>
      <c r="P93" s="430" t="str">
        <f t="shared" ref="P93" si="108">IF($B$3="No","",O93*$P$9)</f>
        <v/>
      </c>
      <c r="R93" s="257">
        <f>'5.2 Budgeted Enrollment YR2'!K94</f>
        <v>0</v>
      </c>
      <c r="S93" s="617"/>
      <c r="T93" s="432">
        <f t="shared" ref="T93" si="109">IF(R93="",0,S93-R93)</f>
        <v>0</v>
      </c>
      <c r="U93" s="185">
        <f>U91</f>
        <v>1140.24</v>
      </c>
      <c r="V93" s="198">
        <f t="shared" ref="V93" si="110">S93</f>
        <v>0</v>
      </c>
      <c r="W93" s="429" t="str">
        <f t="shared" ref="W93" si="111">IF($B$3="No","",U93*V93)</f>
        <v/>
      </c>
      <c r="X93" s="430" t="str">
        <f t="shared" ref="X93" si="112">IF($B$3="No","",W93*$X$9)</f>
        <v/>
      </c>
      <c r="Z93" s="534" t="str">
        <f>IF($B$3="No","",'7.1b Allocation Adj. YR2'!L97)</f>
        <v/>
      </c>
      <c r="AA93" s="843" t="str">
        <f t="shared" ref="AA93" si="113">IF($B$3="No","",X93+P93+H93)</f>
        <v/>
      </c>
      <c r="AB93" s="534" t="str">
        <f t="shared" ref="AB93" si="114">IF($B$3="No","",AA93-Z93)</f>
        <v/>
      </c>
      <c r="AC93" s="234"/>
      <c r="AD93" s="234"/>
    </row>
    <row r="94" spans="1:30" x14ac:dyDescent="0.3">
      <c r="A94" t="str">
        <f>'1.2 Budgeted Enrollment YR1'!E95</f>
        <v>Young Women's Leadership Academy</v>
      </c>
      <c r="B94" s="257">
        <f>'5.2 Budgeted Enrollment YR2'!I95</f>
        <v>19</v>
      </c>
      <c r="C94" s="846"/>
      <c r="D94" s="432">
        <f t="shared" si="34"/>
        <v>-19</v>
      </c>
      <c r="E94" s="847">
        <f>E92</f>
        <v>4275.9000000000005</v>
      </c>
      <c r="F94" s="254">
        <f t="shared" si="35"/>
        <v>0</v>
      </c>
      <c r="G94" s="430" t="str">
        <f t="shared" si="36"/>
        <v/>
      </c>
      <c r="H94" s="430" t="str">
        <f t="shared" si="20"/>
        <v/>
      </c>
      <c r="J94" s="257">
        <f>'5.2 Budgeted Enrollment YR2'!J95</f>
        <v>2</v>
      </c>
      <c r="K94" s="617"/>
      <c r="L94" s="432">
        <f t="shared" si="37"/>
        <v>-2</v>
      </c>
      <c r="M94" s="185">
        <f>M92</f>
        <v>3325.7</v>
      </c>
      <c r="N94" s="198">
        <f t="shared" si="38"/>
        <v>0</v>
      </c>
      <c r="O94" s="429" t="str">
        <f t="shared" si="39"/>
        <v/>
      </c>
      <c r="P94" s="430" t="str">
        <f t="shared" si="24"/>
        <v/>
      </c>
      <c r="R94" s="257">
        <f>'5.2 Budgeted Enrollment YR2'!K95</f>
        <v>0</v>
      </c>
      <c r="S94" s="617"/>
      <c r="T94" s="432">
        <f t="shared" si="40"/>
        <v>0</v>
      </c>
      <c r="U94" s="185">
        <f>U92</f>
        <v>1140.24</v>
      </c>
      <c r="V94" s="198">
        <f t="shared" si="41"/>
        <v>0</v>
      </c>
      <c r="W94" s="429" t="str">
        <f t="shared" si="42"/>
        <v/>
      </c>
      <c r="X94" s="430" t="str">
        <f t="shared" si="28"/>
        <v/>
      </c>
      <c r="Z94" s="534" t="str">
        <f>IF($B$3="No","",'7.1b Allocation Adj. YR2'!L98)</f>
        <v/>
      </c>
      <c r="AA94" s="534" t="str">
        <f t="shared" si="43"/>
        <v/>
      </c>
      <c r="AB94" s="534" t="str">
        <f t="shared" si="44"/>
        <v/>
      </c>
      <c r="AC94" s="234"/>
      <c r="AD94" s="234"/>
    </row>
    <row r="95" spans="1:30" s="3" customFormat="1" x14ac:dyDescent="0.3">
      <c r="A95" s="546" t="s">
        <v>1833</v>
      </c>
      <c r="B95" s="415">
        <f>SUM(B33:B94)</f>
        <v>6384</v>
      </c>
      <c r="C95" s="415">
        <f>SUM(C33:C94)</f>
        <v>0</v>
      </c>
      <c r="D95" s="548">
        <f>SUM(D33:D94)</f>
        <v>-6384</v>
      </c>
      <c r="E95" s="426"/>
      <c r="F95" s="845">
        <f>SUM(F33:F94)</f>
        <v>0</v>
      </c>
      <c r="G95" s="426">
        <f>SUM(G33:G94)</f>
        <v>0</v>
      </c>
      <c r="H95" s="426">
        <f>SUM(H33:H94)</f>
        <v>0</v>
      </c>
      <c r="I95" s="291"/>
      <c r="J95" s="415">
        <f>SUM(J33:J94)</f>
        <v>2007</v>
      </c>
      <c r="K95" s="547">
        <f>SUM(K33:K94)</f>
        <v>0</v>
      </c>
      <c r="L95" s="548">
        <f>SUM(L33:L94)</f>
        <v>-2007</v>
      </c>
      <c r="M95" s="427"/>
      <c r="N95" s="431">
        <f>SUM(N33:N94)</f>
        <v>0</v>
      </c>
      <c r="O95" s="427">
        <f>SUM(O33:O94)</f>
        <v>0</v>
      </c>
      <c r="P95" s="426">
        <f>SUM(P33:P94)</f>
        <v>0</v>
      </c>
      <c r="Q95" s="291"/>
      <c r="R95" s="415">
        <f>SUM(R33:R94)</f>
        <v>1491</v>
      </c>
      <c r="S95" s="547">
        <f>SUM(S33:S94)</f>
        <v>0</v>
      </c>
      <c r="T95" s="548">
        <f>SUM(T33:T94)</f>
        <v>-1491</v>
      </c>
      <c r="U95" s="427"/>
      <c r="V95" s="431">
        <f>SUM(V33:V94)</f>
        <v>0</v>
      </c>
      <c r="W95" s="427">
        <f>SUM(W33:W94)</f>
        <v>0</v>
      </c>
      <c r="X95" s="426">
        <f>SUM(X33:X94)</f>
        <v>0</v>
      </c>
      <c r="Y95" s="291"/>
      <c r="Z95" s="535">
        <f>SUM(Z33:Z94)</f>
        <v>0</v>
      </c>
      <c r="AA95" s="845">
        <f>SUM(AA33:AA94)</f>
        <v>0</v>
      </c>
      <c r="AB95" s="535">
        <f>SUM(AB33:AB94)</f>
        <v>0</v>
      </c>
      <c r="AC95" s="844"/>
      <c r="AD95" s="844"/>
    </row>
    <row r="96" spans="1:30" x14ac:dyDescent="0.3">
      <c r="B96" s="2">
        <f>B95-'5.2 Budgeted Enrollment YR2'!I96</f>
        <v>0</v>
      </c>
      <c r="E96" s="240"/>
      <c r="F96" s="240"/>
      <c r="G96" s="240"/>
      <c r="H96" s="240"/>
      <c r="J96" s="2">
        <f>J95-'5.2 Budgeted Enrollment YR2'!J96</f>
        <v>0</v>
      </c>
      <c r="M96" s="240"/>
      <c r="N96" s="240"/>
      <c r="O96" s="240"/>
      <c r="P96" s="240"/>
      <c r="R96" s="2">
        <f>R95-'5.2 Budgeted Enrollment YR2'!K96</f>
        <v>0</v>
      </c>
      <c r="U96" s="240"/>
      <c r="V96" s="240"/>
      <c r="W96" s="240"/>
      <c r="X96" s="240"/>
      <c r="Z96" s="240"/>
      <c r="AA96" s="240"/>
      <c r="AB96" s="240"/>
      <c r="AC96" s="240"/>
      <c r="AD96" s="240"/>
    </row>
    <row r="97" spans="1:30" x14ac:dyDescent="0.3">
      <c r="A97" s="161"/>
      <c r="B97" s="2"/>
      <c r="C97" s="2"/>
      <c r="D97" s="236"/>
      <c r="E97" s="240"/>
      <c r="G97" s="240"/>
      <c r="H97" s="240"/>
      <c r="J97" s="2"/>
      <c r="K97" s="2"/>
      <c r="L97" s="236"/>
      <c r="M97" s="240"/>
      <c r="O97" s="240"/>
      <c r="P97" s="240"/>
      <c r="R97" s="2"/>
      <c r="S97" s="2"/>
      <c r="T97" s="236"/>
      <c r="U97" s="240"/>
      <c r="W97" s="240"/>
      <c r="X97" s="240"/>
      <c r="Z97" s="240"/>
      <c r="AA97" s="240"/>
      <c r="AB97" s="240"/>
      <c r="AC97" s="240"/>
      <c r="AD97" s="240"/>
    </row>
  </sheetData>
  <dataValidations count="1">
    <dataValidation type="list" allowBlank="1" showInputMessage="1" showErrorMessage="1" sqref="B3" xr:uid="{36799C19-40B1-454F-A066-D27C07C98992}">
      <formula1>$A$6:$A$7</formula1>
    </dataValidation>
  </dataValidations>
  <pageMargins left="0.7" right="0.7" top="0.75" bottom="0.75" header="0.3" footer="0.3"/>
  <pageSetup scale="2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30C50-51F0-4C8F-9547-95E81EA03F4C}">
  <sheetPr>
    <pageSetUpPr fitToPage="1"/>
  </sheetPr>
  <dimension ref="A1:W116"/>
  <sheetViews>
    <sheetView topLeftCell="A24" zoomScale="85" zoomScaleNormal="85" workbookViewId="0">
      <selection activeCell="M29" sqref="M29"/>
    </sheetView>
  </sheetViews>
  <sheetFormatPr defaultRowHeight="15" x14ac:dyDescent="0.25"/>
  <cols>
    <col min="1" max="1" width="7.5703125" customWidth="1"/>
    <col min="2" max="2" width="46.42578125" bestFit="1" customWidth="1"/>
    <col min="3" max="3" width="17.42578125" customWidth="1"/>
    <col min="4" max="4" width="17" customWidth="1"/>
    <col min="5" max="5" width="17.140625" customWidth="1"/>
    <col min="6" max="6" width="16.140625" customWidth="1"/>
    <col min="7" max="7" width="16.7109375" customWidth="1"/>
    <col min="8" max="8" width="20.42578125" customWidth="1"/>
    <col min="9" max="9" width="17.140625" customWidth="1"/>
    <col min="10" max="10" width="15" customWidth="1"/>
    <col min="11" max="11" width="17.42578125" customWidth="1"/>
    <col min="12" max="12" width="16" customWidth="1"/>
    <col min="13" max="13" width="10.85546875" customWidth="1"/>
    <col min="14" max="14" width="15.7109375" customWidth="1"/>
    <col min="15" max="15" width="15.140625" customWidth="1"/>
    <col min="16" max="16" width="13.7109375" customWidth="1"/>
    <col min="17" max="17" width="14.7109375" customWidth="1"/>
    <col min="18" max="18" width="17.140625" customWidth="1"/>
    <col min="19" max="19" width="15.140625" customWidth="1"/>
    <col min="20" max="20" width="11.7109375" customWidth="1"/>
    <col min="21" max="21" width="5.5703125" customWidth="1"/>
    <col min="22" max="22" width="17.140625" bestFit="1" customWidth="1"/>
    <col min="23" max="23" width="18.5703125" customWidth="1"/>
    <col min="24" max="24" width="14.42578125" bestFit="1" customWidth="1"/>
    <col min="25" max="25" width="13.42578125" bestFit="1" customWidth="1"/>
  </cols>
  <sheetData>
    <row r="1" spans="2:23" ht="15.75" thickBot="1" x14ac:dyDescent="0.3">
      <c r="C1" s="2244" t="s">
        <v>2256</v>
      </c>
      <c r="D1" s="2244" t="s">
        <v>2257</v>
      </c>
      <c r="E1" s="2244" t="s">
        <v>2258</v>
      </c>
      <c r="F1" s="2244" t="s">
        <v>2259</v>
      </c>
      <c r="G1" s="2244" t="s">
        <v>2260</v>
      </c>
      <c r="H1" s="2244" t="s">
        <v>2261</v>
      </c>
      <c r="I1" s="2244" t="s">
        <v>2262</v>
      </c>
      <c r="J1" s="2244" t="s">
        <v>2263</v>
      </c>
      <c r="K1" s="2244" t="s">
        <v>2264</v>
      </c>
      <c r="L1" s="2244" t="s">
        <v>2265</v>
      </c>
      <c r="M1" s="2244"/>
      <c r="N1" s="2244" t="s">
        <v>2266</v>
      </c>
      <c r="O1" s="2244" t="s">
        <v>2267</v>
      </c>
      <c r="P1" s="2244" t="s">
        <v>2268</v>
      </c>
      <c r="Q1" s="2244" t="s">
        <v>2269</v>
      </c>
      <c r="R1" s="2244" t="s">
        <v>2270</v>
      </c>
      <c r="S1" s="2244" t="s">
        <v>2271</v>
      </c>
      <c r="T1" s="2244" t="s">
        <v>2272</v>
      </c>
      <c r="V1" s="2244" t="s">
        <v>2291</v>
      </c>
      <c r="W1" s="2390" t="s">
        <v>2300</v>
      </c>
    </row>
    <row r="2" spans="2:23" ht="17.25" customHeight="1" thickTop="1" x14ac:dyDescent="0.3">
      <c r="C2" s="1996" t="s">
        <v>1834</v>
      </c>
      <c r="D2" s="1996" t="s">
        <v>1835</v>
      </c>
      <c r="E2" s="778" t="s">
        <v>1836</v>
      </c>
      <c r="F2" s="1700" t="s">
        <v>1837</v>
      </c>
      <c r="G2" s="1700" t="s">
        <v>1838</v>
      </c>
      <c r="H2" s="778" t="s">
        <v>1839</v>
      </c>
      <c r="I2" s="2238" t="s">
        <v>2145</v>
      </c>
      <c r="J2" s="2400" t="s">
        <v>2249</v>
      </c>
      <c r="K2" s="2397" t="s">
        <v>2250</v>
      </c>
      <c r="L2" s="2394" t="s">
        <v>2251</v>
      </c>
      <c r="M2" s="2224"/>
      <c r="N2" s="778" t="s">
        <v>2255</v>
      </c>
      <c r="O2" s="2400" t="s">
        <v>2254</v>
      </c>
      <c r="P2" s="2397" t="s">
        <v>2253</v>
      </c>
      <c r="Q2" s="2394" t="s">
        <v>2252</v>
      </c>
      <c r="R2" s="778" t="s">
        <v>2138</v>
      </c>
      <c r="S2" s="785" t="s">
        <v>1840</v>
      </c>
      <c r="T2" s="780" t="s">
        <v>1841</v>
      </c>
      <c r="V2" s="2276" t="s">
        <v>1840</v>
      </c>
      <c r="W2" s="2391"/>
    </row>
    <row r="3" spans="2:23" ht="16.5" x14ac:dyDescent="0.3">
      <c r="C3" s="353" t="s">
        <v>1639</v>
      </c>
      <c r="D3" s="353" t="s">
        <v>1639</v>
      </c>
      <c r="E3" s="779" t="s">
        <v>1842</v>
      </c>
      <c r="F3" s="5" t="s">
        <v>1639</v>
      </c>
      <c r="G3" s="5" t="s">
        <v>1639</v>
      </c>
      <c r="H3" s="779" t="s">
        <v>1842</v>
      </c>
      <c r="I3" s="786" t="s">
        <v>1639</v>
      </c>
      <c r="J3" s="2401"/>
      <c r="K3" s="2398"/>
      <c r="L3" s="2395"/>
      <c r="M3" s="2225"/>
      <c r="N3" s="779" t="s">
        <v>1639</v>
      </c>
      <c r="O3" s="2401"/>
      <c r="P3" s="2398"/>
      <c r="Q3" s="2395"/>
      <c r="R3" s="779" t="s">
        <v>1842</v>
      </c>
      <c r="S3" s="786" t="s">
        <v>1797</v>
      </c>
      <c r="T3" s="781" t="s">
        <v>1797</v>
      </c>
      <c r="V3" s="2277" t="s">
        <v>1797</v>
      </c>
      <c r="W3" s="2391"/>
    </row>
    <row r="4" spans="2:23" ht="16.5" x14ac:dyDescent="0.3">
      <c r="C4" s="353" t="s">
        <v>1470</v>
      </c>
      <c r="D4" s="353" t="s">
        <v>1470</v>
      </c>
      <c r="E4" s="779"/>
      <c r="F4" s="5" t="s">
        <v>1470</v>
      </c>
      <c r="G4" s="5" t="s">
        <v>1470</v>
      </c>
      <c r="H4" s="779"/>
      <c r="I4" s="786" t="s">
        <v>1470</v>
      </c>
      <c r="J4" s="2402"/>
      <c r="K4" s="2399"/>
      <c r="L4" s="2396"/>
      <c r="M4" s="2225"/>
      <c r="N4" s="779" t="s">
        <v>1470</v>
      </c>
      <c r="O4" s="2402"/>
      <c r="P4" s="2399"/>
      <c r="Q4" s="2396"/>
      <c r="R4" s="779"/>
      <c r="S4" s="786" t="s">
        <v>2139</v>
      </c>
      <c r="T4" s="782" t="s">
        <v>140</v>
      </c>
      <c r="V4" s="2277" t="s">
        <v>2139</v>
      </c>
      <c r="W4" s="2391"/>
    </row>
    <row r="5" spans="2:23" ht="16.5" x14ac:dyDescent="0.3">
      <c r="C5" s="524"/>
      <c r="D5" s="524"/>
      <c r="E5" s="775" t="s">
        <v>2275</v>
      </c>
      <c r="F5" s="2103"/>
      <c r="G5" s="524"/>
      <c r="H5" s="2104" t="s">
        <v>2274</v>
      </c>
      <c r="I5" s="787"/>
      <c r="J5" s="2104" t="s">
        <v>2273</v>
      </c>
      <c r="K5" s="325"/>
      <c r="L5" s="325" t="s">
        <v>2276</v>
      </c>
      <c r="M5" s="2226"/>
      <c r="N5" s="775"/>
      <c r="O5" s="2104" t="s">
        <v>2277</v>
      </c>
      <c r="P5" s="2231"/>
      <c r="Q5" s="2231" t="s">
        <v>2278</v>
      </c>
      <c r="R5" s="775" t="s">
        <v>2279</v>
      </c>
      <c r="S5" s="787" t="s">
        <v>2280</v>
      </c>
      <c r="T5" s="783"/>
      <c r="V5" s="787"/>
      <c r="W5" s="2278"/>
    </row>
    <row r="6" spans="2:23" ht="16.5" x14ac:dyDescent="0.3">
      <c r="B6" s="300" t="s">
        <v>1228</v>
      </c>
      <c r="C6" s="772"/>
      <c r="D6" s="771"/>
      <c r="E6" s="776"/>
      <c r="F6" s="2105"/>
      <c r="G6" s="2106"/>
      <c r="H6" s="2107"/>
      <c r="I6" s="788"/>
      <c r="J6" s="2236"/>
      <c r="K6" s="771"/>
      <c r="L6" s="771"/>
      <c r="M6" s="2227"/>
      <c r="N6" s="776"/>
      <c r="O6" s="2236"/>
      <c r="P6" s="2232"/>
      <c r="Q6" s="2106"/>
      <c r="R6" s="776"/>
      <c r="S6" s="788"/>
      <c r="T6" s="783"/>
      <c r="V6" s="788"/>
      <c r="W6" s="111"/>
    </row>
    <row r="7" spans="2:23" x14ac:dyDescent="0.25">
      <c r="B7" s="770" t="s">
        <v>270</v>
      </c>
      <c r="C7" s="773">
        <v>71911702.60596709</v>
      </c>
      <c r="D7" s="773">
        <v>71974408.814182267</v>
      </c>
      <c r="E7" s="777">
        <f>SUM(C7:D7)</f>
        <v>143886111.42014936</v>
      </c>
      <c r="F7" s="773">
        <v>82987438.049999997</v>
      </c>
      <c r="G7" s="773">
        <v>86739474.090000004</v>
      </c>
      <c r="H7" s="777">
        <f>SUM(F7:G7)</f>
        <v>169726912.13999999</v>
      </c>
      <c r="I7" s="2239">
        <f>SUMIF('3.1b Allocation Adj. YR1 '!B11:B29,B7,'3.1b Allocation Adj. YR1 '!V11:V29)-SUMIF('3.1b Allocation Adj. YR1 '!B11:B29,B7,'3.1b Allocation Adj. YR1 '!Q11:Q29)</f>
        <v>84837477</v>
      </c>
      <c r="J7" s="2242">
        <f t="shared" ref="J7:J25" si="0">I7-G7</f>
        <v>-1901997.0900000036</v>
      </c>
      <c r="K7" s="774">
        <f>SUMIF('7.1b Allocation Adj. YR2'!B11:B29,B7,'7.1b Allocation Adj. YR2'!Q11:Q29)</f>
        <v>0</v>
      </c>
      <c r="L7" s="774">
        <f>I7+K7</f>
        <v>84837477</v>
      </c>
      <c r="M7" s="2228"/>
      <c r="N7" s="2234">
        <f>SUMIF('7.1b Allocation Adj. YR2'!B11:B29,B7,'7.1b Allocation Adj. YR2'!V11:V29)-SUMIF('7.1b Allocation Adj. YR2'!B11:B29,B7,'7.1b Allocation Adj. YR2'!Q11:Q29)</f>
        <v>85395832</v>
      </c>
      <c r="O7" s="2242">
        <f t="shared" ref="O7:O25" si="1">N7-I7</f>
        <v>558355</v>
      </c>
      <c r="P7" s="2233">
        <f>SUMIF('7.1b Allocation Adj. YR2'!B11:B29,B7,'7.1b Allocation Adj. YR2'!Q11:Q29)</f>
        <v>0</v>
      </c>
      <c r="Q7" s="2233">
        <f>P7+N7</f>
        <v>85395832</v>
      </c>
      <c r="R7" s="777">
        <f t="shared" ref="R7:R25" si="2">Q7+L7</f>
        <v>170233309</v>
      </c>
      <c r="S7" s="789">
        <f t="shared" ref="S7:S26" si="3">R7-H7</f>
        <v>506396.86000001431</v>
      </c>
      <c r="T7" s="784">
        <f t="shared" ref="T7:T26" si="4">(R7-H7)/H7</f>
        <v>2.9835979080460183E-3</v>
      </c>
      <c r="U7" s="616"/>
      <c r="V7" s="789">
        <v>7094478.8600000143</v>
      </c>
      <c r="W7" s="2273">
        <f>S7-V7</f>
        <v>-6588082</v>
      </c>
    </row>
    <row r="8" spans="2:23" x14ac:dyDescent="0.25">
      <c r="B8" s="770" t="s">
        <v>271</v>
      </c>
      <c r="C8" s="773">
        <v>30663516.946971554</v>
      </c>
      <c r="D8" s="773">
        <v>31058467.719966084</v>
      </c>
      <c r="E8" s="777">
        <f t="shared" ref="E8:E24" si="5">SUM(C8:D8)</f>
        <v>61721984.666937634</v>
      </c>
      <c r="F8" s="773">
        <v>36716529.560000002</v>
      </c>
      <c r="G8" s="773">
        <v>38413304.729999997</v>
      </c>
      <c r="H8" s="777">
        <f>SUM(F8:G8)</f>
        <v>75129834.289999992</v>
      </c>
      <c r="I8" s="2239">
        <f>SUMIF('3.1b Allocation Adj. YR1 '!B12:B30,B8,'3.1b Allocation Adj. YR1 '!V12:V30)-SUMIF('3.1b Allocation Adj. YR1 '!B12:B30,B8,'3.1b Allocation Adj. YR1 '!Q12:Q30)</f>
        <v>37747020</v>
      </c>
      <c r="J8" s="2242">
        <f t="shared" si="0"/>
        <v>-666284.72999999672</v>
      </c>
      <c r="K8" s="774">
        <f>SUMIF('7.1b Allocation Adj. YR2'!B12:B30,B8,'7.1b Allocation Adj. YR2'!Q12:Q30)</f>
        <v>0</v>
      </c>
      <c r="L8" s="774">
        <f t="shared" ref="L8:L26" si="6">I8+K8</f>
        <v>37747020</v>
      </c>
      <c r="M8" s="2228"/>
      <c r="N8" s="2234">
        <f>SUMIF('7.1b Allocation Adj. YR2'!B12:B30,B8,'7.1b Allocation Adj. YR2'!V12:V30)-SUMIF('7.1b Allocation Adj. YR2'!B12:B30,B8,'7.1b Allocation Adj. YR2'!Q12:Q30)</f>
        <v>37999500</v>
      </c>
      <c r="O8" s="2242">
        <f t="shared" si="1"/>
        <v>252480</v>
      </c>
      <c r="P8" s="2233">
        <f>SUMIF('7.1b Allocation Adj. YR2'!B12:B30,B8,'7.1b Allocation Adj. YR2'!Q12:Q30)</f>
        <v>0</v>
      </c>
      <c r="Q8" s="2233">
        <f t="shared" ref="Q8:Q25" si="7">P8+N8</f>
        <v>37999500</v>
      </c>
      <c r="R8" s="777">
        <f t="shared" si="2"/>
        <v>75746520</v>
      </c>
      <c r="S8" s="789">
        <f t="shared" si="3"/>
        <v>616685.71000000834</v>
      </c>
      <c r="T8" s="784">
        <f t="shared" si="4"/>
        <v>8.2082666071059216E-3</v>
      </c>
      <c r="U8" s="794"/>
      <c r="V8" s="789">
        <v>4479699.7100000083</v>
      </c>
      <c r="W8" s="2274">
        <f t="shared" ref="W8:W26" si="8">S8-V8</f>
        <v>-3863014</v>
      </c>
    </row>
    <row r="9" spans="2:23" x14ac:dyDescent="0.25">
      <c r="B9" s="770" t="s">
        <v>273</v>
      </c>
      <c r="C9" s="773">
        <v>2853908967.0508056</v>
      </c>
      <c r="D9" s="773">
        <v>2884780897.6939764</v>
      </c>
      <c r="E9" s="777">
        <f t="shared" si="5"/>
        <v>5738689864.7447815</v>
      </c>
      <c r="F9" s="773">
        <v>3498728253</v>
      </c>
      <c r="G9" s="773">
        <v>3650276021</v>
      </c>
      <c r="H9" s="777">
        <f>SUM(F9:G9)</f>
        <v>7149004274</v>
      </c>
      <c r="I9" s="2239">
        <f>SUMIF('3.1b Allocation Adj. YR1 '!B13:B31,B9,'3.1b Allocation Adj. YR1 '!V13:V31)-SUMIF('3.1b Allocation Adj. YR1 '!B13:B31,B9,'3.1b Allocation Adj. YR1 '!Q13:Q31)</f>
        <v>3612229738</v>
      </c>
      <c r="J9" s="2242">
        <f t="shared" si="0"/>
        <v>-38046283</v>
      </c>
      <c r="K9" s="774">
        <f>SUMIF('7.1b Allocation Adj. YR2'!B13:B31,B9,'7.1b Allocation Adj. YR2'!Q13:Q31)</f>
        <v>0</v>
      </c>
      <c r="L9" s="774">
        <f t="shared" si="6"/>
        <v>3612229738</v>
      </c>
      <c r="M9" s="2228"/>
      <c r="N9" s="2234">
        <f>SUMIF('7.1b Allocation Adj. YR2'!B13:B31,B9,'7.1b Allocation Adj. YR2'!V13:V31)-SUMIF('7.1b Allocation Adj. YR2'!B13:B31,B9,'7.1b Allocation Adj. YR2'!Q13:Q31)</f>
        <v>3634775299</v>
      </c>
      <c r="O9" s="2242">
        <f t="shared" si="1"/>
        <v>22545561</v>
      </c>
      <c r="P9" s="2233">
        <f>SUMIF('7.1b Allocation Adj. YR2'!B13:B31,B9,'7.1b Allocation Adj. YR2'!Q13:Q31)</f>
        <v>0</v>
      </c>
      <c r="Q9" s="2233">
        <f t="shared" si="7"/>
        <v>3634775299</v>
      </c>
      <c r="R9" s="777">
        <f t="shared" si="2"/>
        <v>7247005037</v>
      </c>
      <c r="S9" s="789">
        <f t="shared" si="3"/>
        <v>98000763</v>
      </c>
      <c r="T9" s="784">
        <f t="shared" si="4"/>
        <v>1.3708309471350584E-2</v>
      </c>
      <c r="U9" s="794"/>
      <c r="V9" s="789">
        <v>361998045</v>
      </c>
      <c r="W9" s="2273">
        <f t="shared" si="8"/>
        <v>-263997282</v>
      </c>
    </row>
    <row r="10" spans="2:23" x14ac:dyDescent="0.25">
      <c r="B10" s="770" t="s">
        <v>275</v>
      </c>
      <c r="C10" s="773">
        <v>57553833.024416402</v>
      </c>
      <c r="D10" s="773">
        <v>57604019.329376876</v>
      </c>
      <c r="E10" s="777">
        <f t="shared" si="5"/>
        <v>115157852.35379328</v>
      </c>
      <c r="F10" s="773">
        <v>61298705.32</v>
      </c>
      <c r="G10" s="773">
        <v>64023793.909999996</v>
      </c>
      <c r="H10" s="777">
        <f>SUM(F10:G10)</f>
        <v>125322499.22999999</v>
      </c>
      <c r="I10" s="2239">
        <f>SUMIF('3.1b Allocation Adj. YR1 '!B14:B32,B10,'3.1b Allocation Adj. YR1 '!V14:V32)-SUMIF('3.1b Allocation Adj. YR1 '!B14:B32,B10,'3.1b Allocation Adj. YR1 '!Q14:Q32)</f>
        <v>61579298</v>
      </c>
      <c r="J10" s="2242">
        <f t="shared" si="0"/>
        <v>-2444495.9099999964</v>
      </c>
      <c r="K10" s="774">
        <f>SUMIF('7.1b Allocation Adj. YR2'!B14:B32,B10,'7.1b Allocation Adj. YR2'!Q14:Q32)</f>
        <v>0</v>
      </c>
      <c r="L10" s="774">
        <f t="shared" si="6"/>
        <v>61579298</v>
      </c>
      <c r="M10" s="2228"/>
      <c r="N10" s="2234">
        <f>SUMIF('7.1b Allocation Adj. YR2'!B14:B32,B10,'7.1b Allocation Adj. YR2'!V14:V32)-SUMIF('7.1b Allocation Adj. YR2'!B14:B32,B10,'7.1b Allocation Adj. YR2'!Q14:Q32)</f>
        <v>61968272</v>
      </c>
      <c r="O10" s="2242">
        <f t="shared" si="1"/>
        <v>388974</v>
      </c>
      <c r="P10" s="2233">
        <f>SUMIF('7.1b Allocation Adj. YR2'!B14:B32,B10,'7.1b Allocation Adj. YR2'!Q14:Q32)</f>
        <v>0</v>
      </c>
      <c r="Q10" s="2233">
        <f t="shared" si="7"/>
        <v>61968272</v>
      </c>
      <c r="R10" s="777">
        <f t="shared" si="2"/>
        <v>123547570</v>
      </c>
      <c r="S10" s="789">
        <f t="shared" si="3"/>
        <v>-1774929.2299999893</v>
      </c>
      <c r="T10" s="784">
        <f t="shared" si="4"/>
        <v>-1.4162893661596421E-2</v>
      </c>
      <c r="U10" s="794"/>
      <c r="V10" s="789">
        <v>6352754.7700000107</v>
      </c>
      <c r="W10" s="2273">
        <f t="shared" si="8"/>
        <v>-8127684</v>
      </c>
    </row>
    <row r="11" spans="2:23" x14ac:dyDescent="0.25">
      <c r="B11" s="770" t="s">
        <v>277</v>
      </c>
      <c r="C11" s="773">
        <v>102068308.21297005</v>
      </c>
      <c r="D11" s="773">
        <v>102157310.6472754</v>
      </c>
      <c r="E11" s="777">
        <f t="shared" si="5"/>
        <v>204225618.86024547</v>
      </c>
      <c r="F11" s="773">
        <v>123010505.78</v>
      </c>
      <c r="G11" s="773">
        <v>128754455.77</v>
      </c>
      <c r="H11" s="777">
        <f t="shared" ref="H11:H24" si="9">SUM(F11:G11)</f>
        <v>251764961.55000001</v>
      </c>
      <c r="I11" s="2239">
        <f>SUMIF('3.1b Allocation Adj. YR1 '!B15:B33,B11,'3.1b Allocation Adj. YR1 '!V15:V33)-SUMIF('3.1b Allocation Adj. YR1 '!B15:B33,B11,'3.1b Allocation Adj. YR1 '!Q15:Q33)</f>
        <v>124790556</v>
      </c>
      <c r="J11" s="2242">
        <f t="shared" si="0"/>
        <v>-3963899.7699999958</v>
      </c>
      <c r="K11" s="774">
        <f>SUMIF('7.1b Allocation Adj. YR2'!B15:B33,B11,'7.1b Allocation Adj. YR2'!Q15:Q33)</f>
        <v>0</v>
      </c>
      <c r="L11" s="774">
        <f t="shared" si="6"/>
        <v>124790556</v>
      </c>
      <c r="M11" s="2228"/>
      <c r="N11" s="2234">
        <f>SUMIF('7.1b Allocation Adj. YR2'!B15:B33,B11,'7.1b Allocation Adj. YR2'!V15:V33)-SUMIF('7.1b Allocation Adj. YR2'!B15:B33,B11,'7.1b Allocation Adj. YR2'!Q15:Q33)</f>
        <v>125625723</v>
      </c>
      <c r="O11" s="2242">
        <f t="shared" si="1"/>
        <v>835167</v>
      </c>
      <c r="P11" s="2233">
        <f>SUMIF('7.1b Allocation Adj. YR2'!B15:B33,B11,'7.1b Allocation Adj. YR2'!Q15:Q33)</f>
        <v>0</v>
      </c>
      <c r="Q11" s="2233">
        <f t="shared" si="7"/>
        <v>125625723</v>
      </c>
      <c r="R11" s="777">
        <f t="shared" si="2"/>
        <v>250416279</v>
      </c>
      <c r="S11" s="789">
        <f t="shared" si="3"/>
        <v>-1348682.5500000119</v>
      </c>
      <c r="T11" s="784">
        <f t="shared" si="4"/>
        <v>-5.3569112306049238E-3</v>
      </c>
      <c r="U11" s="794"/>
      <c r="V11" s="789">
        <v>13775225.449999988</v>
      </c>
      <c r="W11" s="2273">
        <f t="shared" si="8"/>
        <v>-15123908</v>
      </c>
    </row>
    <row r="12" spans="2:23" x14ac:dyDescent="0.25">
      <c r="B12" s="770" t="s">
        <v>279</v>
      </c>
      <c r="C12" s="773">
        <v>2565629.7991793025</v>
      </c>
      <c r="D12" s="773">
        <v>2567866.9999485835</v>
      </c>
      <c r="E12" s="777">
        <f t="shared" si="5"/>
        <v>5133496.7991278861</v>
      </c>
      <c r="F12" s="773">
        <v>2859970.4</v>
      </c>
      <c r="G12" s="773">
        <v>2863379.46</v>
      </c>
      <c r="H12" s="777">
        <f t="shared" si="9"/>
        <v>5723349.8599999994</v>
      </c>
      <c r="I12" s="2239">
        <f>SUMIF('3.1b Allocation Adj. YR1 '!B16:B34,B12,'3.1b Allocation Adj. YR1 '!V16:V34)-SUMIF('3.1b Allocation Adj. YR1 '!B16:B34,B12,'3.1b Allocation Adj. YR1 '!Q16:Q34)</f>
        <v>2983489</v>
      </c>
      <c r="J12" s="2242">
        <f t="shared" si="0"/>
        <v>120109.54000000004</v>
      </c>
      <c r="K12" s="774">
        <f>SUMIF('7.1b Allocation Adj. YR2'!B16:B34,B12,'7.1b Allocation Adj. YR2'!Q16:Q34)</f>
        <v>0</v>
      </c>
      <c r="L12" s="774">
        <f t="shared" si="6"/>
        <v>2983489</v>
      </c>
      <c r="M12" s="2228"/>
      <c r="N12" s="2234">
        <f>SUMIF('7.1b Allocation Adj. YR2'!B16:B34,B12,'7.1b Allocation Adj. YR2'!V16:V34)-SUMIF('7.1b Allocation Adj. YR2'!B16:B34,B12,'7.1b Allocation Adj. YR2'!Q16:Q34)</f>
        <v>2983574</v>
      </c>
      <c r="O12" s="2242">
        <f t="shared" si="1"/>
        <v>85</v>
      </c>
      <c r="P12" s="2233">
        <f>SUMIF('7.1b Allocation Adj. YR2'!B16:B34,B12,'7.1b Allocation Adj. YR2'!Q16:Q34)</f>
        <v>0</v>
      </c>
      <c r="Q12" s="2233">
        <f t="shared" si="7"/>
        <v>2983574</v>
      </c>
      <c r="R12" s="777">
        <f t="shared" si="2"/>
        <v>5967063</v>
      </c>
      <c r="S12" s="789">
        <f t="shared" si="3"/>
        <v>243713.1400000006</v>
      </c>
      <c r="T12" s="784">
        <f t="shared" si="4"/>
        <v>4.2582254442156471E-2</v>
      </c>
      <c r="U12" s="794"/>
      <c r="V12" s="789">
        <v>1022892.1400000006</v>
      </c>
      <c r="W12" s="2275">
        <f t="shared" si="8"/>
        <v>-779179</v>
      </c>
    </row>
    <row r="13" spans="2:23" x14ac:dyDescent="0.25">
      <c r="B13" s="770" t="s">
        <v>281</v>
      </c>
      <c r="C13" s="773">
        <v>11961306.61973929</v>
      </c>
      <c r="D13" s="773">
        <v>11971736.74663439</v>
      </c>
      <c r="E13" s="777">
        <f t="shared" si="5"/>
        <v>23933043.366373681</v>
      </c>
      <c r="F13" s="773">
        <v>12711778.84</v>
      </c>
      <c r="G13" s="773">
        <v>12726932.59</v>
      </c>
      <c r="H13" s="777">
        <f t="shared" si="9"/>
        <v>25438711.43</v>
      </c>
      <c r="I13" s="2239">
        <f>SUMIF('3.1b Allocation Adj. YR1 '!B17:B35,B13,'3.1b Allocation Adj. YR1 '!V17:V35)-SUMIF('3.1b Allocation Adj. YR1 '!B17:B35,B13,'3.1b Allocation Adj. YR1 '!Q17:Q35)</f>
        <v>11687653</v>
      </c>
      <c r="J13" s="2242">
        <f t="shared" si="0"/>
        <v>-1039279.5899999999</v>
      </c>
      <c r="K13" s="774">
        <f>SUMIF('7.1b Allocation Adj. YR2'!B17:B35,B13,'7.1b Allocation Adj. YR2'!Q17:Q35)</f>
        <v>0</v>
      </c>
      <c r="L13" s="774">
        <f t="shared" si="6"/>
        <v>11687653</v>
      </c>
      <c r="M13" s="2228"/>
      <c r="N13" s="2234">
        <f>SUMIF('7.1b Allocation Adj. YR2'!B17:B35,B13,'7.1b Allocation Adj. YR2'!V17:V35)-SUMIF('7.1b Allocation Adj. YR2'!B17:B35,B13,'7.1b Allocation Adj. YR2'!Q17:Q35)</f>
        <v>11688010</v>
      </c>
      <c r="O13" s="2242">
        <f t="shared" si="1"/>
        <v>357</v>
      </c>
      <c r="P13" s="2233">
        <f>SUMIF('7.1b Allocation Adj. YR2'!B17:B35,B13,'7.1b Allocation Adj. YR2'!Q17:Q35)</f>
        <v>0</v>
      </c>
      <c r="Q13" s="2233">
        <f t="shared" si="7"/>
        <v>11688010</v>
      </c>
      <c r="R13" s="777">
        <f t="shared" si="2"/>
        <v>23375663</v>
      </c>
      <c r="S13" s="789">
        <f t="shared" si="3"/>
        <v>-2063048.4299999997</v>
      </c>
      <c r="T13" s="784">
        <f t="shared" si="4"/>
        <v>-8.1098778752096548E-2</v>
      </c>
      <c r="U13" s="794"/>
      <c r="V13" s="789">
        <v>-1479831.4299999997</v>
      </c>
      <c r="W13" s="2274">
        <f t="shared" si="8"/>
        <v>-583217</v>
      </c>
    </row>
    <row r="14" spans="2:23" x14ac:dyDescent="0.25">
      <c r="B14" s="770" t="s">
        <v>283</v>
      </c>
      <c r="C14" s="773">
        <v>36889900.244746849</v>
      </c>
      <c r="D14" s="773">
        <v>36922067.829186603</v>
      </c>
      <c r="E14" s="777">
        <f t="shared" si="5"/>
        <v>73811968.073933452</v>
      </c>
      <c r="F14" s="773">
        <v>40403306.57</v>
      </c>
      <c r="G14" s="773">
        <v>42232395.289999999</v>
      </c>
      <c r="H14" s="777">
        <f t="shared" si="9"/>
        <v>82635701.859999999</v>
      </c>
      <c r="I14" s="2239">
        <f>SUMIF('3.1b Allocation Adj. YR1 '!B18:B36,B14,'3.1b Allocation Adj. YR1 '!V18:V36)-SUMIF('3.1b Allocation Adj. YR1 '!B18:B36,B14,'3.1b Allocation Adj. YR1 '!Q18:Q36)</f>
        <v>42716586</v>
      </c>
      <c r="J14" s="2242">
        <f t="shared" si="0"/>
        <v>484190.71000000089</v>
      </c>
      <c r="K14" s="774">
        <f>SUMIF('7.1b Allocation Adj. YR2'!B18:B36,B14,'7.1b Allocation Adj. YR2'!Q18:Q36)</f>
        <v>0</v>
      </c>
      <c r="L14" s="774">
        <f t="shared" si="6"/>
        <v>42716586</v>
      </c>
      <c r="M14" s="2228"/>
      <c r="N14" s="2234">
        <f>SUMIF('7.1b Allocation Adj. YR2'!B18:B36,B14,'7.1b Allocation Adj. YR2'!V18:V36)-SUMIF('7.1b Allocation Adj. YR2'!B18:B36,B14,'7.1b Allocation Adj. YR2'!Q18:Q36)</f>
        <v>42996518</v>
      </c>
      <c r="O14" s="2242">
        <f t="shared" si="1"/>
        <v>279932</v>
      </c>
      <c r="P14" s="2233">
        <f>SUMIF('7.1b Allocation Adj. YR2'!B18:B36,B14,'7.1b Allocation Adj. YR2'!Q18:Q36)</f>
        <v>0</v>
      </c>
      <c r="Q14" s="2233">
        <f t="shared" si="7"/>
        <v>42996518</v>
      </c>
      <c r="R14" s="777">
        <f t="shared" si="2"/>
        <v>85713104</v>
      </c>
      <c r="S14" s="789">
        <f t="shared" si="3"/>
        <v>3077402.1400000006</v>
      </c>
      <c r="T14" s="784">
        <f t="shared" si="4"/>
        <v>3.7240588156601889E-2</v>
      </c>
      <c r="U14" s="794"/>
      <c r="V14" s="789">
        <v>7018222.1400000006</v>
      </c>
      <c r="W14" s="2273">
        <f t="shared" si="8"/>
        <v>-3940820</v>
      </c>
    </row>
    <row r="15" spans="2:23" x14ac:dyDescent="0.25">
      <c r="B15" s="770" t="s">
        <v>285</v>
      </c>
      <c r="C15" s="773">
        <v>12050389.32548048</v>
      </c>
      <c r="D15" s="773">
        <v>12213618.583764784</v>
      </c>
      <c r="E15" s="777">
        <f t="shared" si="5"/>
        <v>24264007.909245264</v>
      </c>
      <c r="F15" s="773">
        <v>15299862.609999999</v>
      </c>
      <c r="G15" s="773">
        <v>16001681.85</v>
      </c>
      <c r="H15" s="777">
        <f t="shared" si="9"/>
        <v>31301544.460000001</v>
      </c>
      <c r="I15" s="2239">
        <f>SUMIF('3.1b Allocation Adj. YR1 '!B19:B37,B15,'3.1b Allocation Adj. YR1 '!V19:V37)-SUMIF('3.1b Allocation Adj. YR1 '!B19:B37,B15,'3.1b Allocation Adj. YR1 '!Q19:Q37)</f>
        <v>15350914</v>
      </c>
      <c r="J15" s="2242">
        <f t="shared" si="0"/>
        <v>-650767.84999999963</v>
      </c>
      <c r="K15" s="774">
        <f>SUMIF('7.1b Allocation Adj. YR2'!B19:B37,B15,'7.1b Allocation Adj. YR2'!Q19:Q37)</f>
        <v>0</v>
      </c>
      <c r="L15" s="774">
        <f t="shared" si="6"/>
        <v>15350914</v>
      </c>
      <c r="M15" s="2228"/>
      <c r="N15" s="2234">
        <f>SUMIF('7.1b Allocation Adj. YR2'!B19:B37,B15,'7.1b Allocation Adj. YR2'!V19:V37)-SUMIF('7.1b Allocation Adj. YR2'!B19:B37,B15,'7.1b Allocation Adj. YR2'!Q19:Q37)</f>
        <v>15456085</v>
      </c>
      <c r="O15" s="2242">
        <f t="shared" si="1"/>
        <v>105171</v>
      </c>
      <c r="P15" s="2233">
        <f>SUMIF('7.1b Allocation Adj. YR2'!B19:B37,B15,'7.1b Allocation Adj. YR2'!Q19:Q37)</f>
        <v>0</v>
      </c>
      <c r="Q15" s="2233">
        <f t="shared" si="7"/>
        <v>15456085</v>
      </c>
      <c r="R15" s="777">
        <f t="shared" si="2"/>
        <v>30806999</v>
      </c>
      <c r="S15" s="789">
        <f t="shared" si="3"/>
        <v>-494545.46000000089</v>
      </c>
      <c r="T15" s="784">
        <f t="shared" si="4"/>
        <v>-1.5799394839190017E-2</v>
      </c>
      <c r="U15" s="794"/>
      <c r="V15" s="789">
        <v>1398677.5399999991</v>
      </c>
      <c r="W15" s="2274">
        <f t="shared" si="8"/>
        <v>-1893223</v>
      </c>
    </row>
    <row r="16" spans="2:23" x14ac:dyDescent="0.25">
      <c r="B16" s="770" t="s">
        <v>287</v>
      </c>
      <c r="C16" s="773">
        <v>12606513.358725967</v>
      </c>
      <c r="D16" s="773">
        <v>12617506.098751482</v>
      </c>
      <c r="E16" s="777">
        <f t="shared" si="5"/>
        <v>25224019.45747745</v>
      </c>
      <c r="F16" s="773">
        <v>15578241.039999999</v>
      </c>
      <c r="G16" s="773">
        <v>16319573.939999999</v>
      </c>
      <c r="H16" s="777">
        <f t="shared" si="9"/>
        <v>31897814.979999997</v>
      </c>
      <c r="I16" s="2239">
        <f>SUMIF('3.1b Allocation Adj. YR1 '!B20:B38,B16,'3.1b Allocation Adj. YR1 '!V20:V38)-SUMIF('3.1b Allocation Adj. YR1 '!B20:B38,B16,'3.1b Allocation Adj. YR1 '!Q20:Q38)</f>
        <v>15806365</v>
      </c>
      <c r="J16" s="2242">
        <f t="shared" si="0"/>
        <v>-513208.93999999948</v>
      </c>
      <c r="K16" s="774">
        <f>SUMIF('7.1b Allocation Adj. YR2'!B20:B38,B16,'7.1b Allocation Adj. YR2'!Q20:Q38)</f>
        <v>0</v>
      </c>
      <c r="L16" s="774">
        <f t="shared" si="6"/>
        <v>15806365</v>
      </c>
      <c r="M16" s="2228"/>
      <c r="N16" s="2234">
        <f>SUMIF('7.1b Allocation Adj. YR2'!B20:B38,B16,'7.1b Allocation Adj. YR2'!V20:V38)-SUMIF('7.1b Allocation Adj. YR2'!B20:B38,B16,'7.1b Allocation Adj. YR2'!Q20:Q38)</f>
        <v>15918972</v>
      </c>
      <c r="O16" s="2242">
        <f t="shared" si="1"/>
        <v>112607</v>
      </c>
      <c r="P16" s="2233">
        <f>SUMIF('7.1b Allocation Adj. YR2'!B20:B38,B16,'7.1b Allocation Adj. YR2'!Q20:Q38)</f>
        <v>0</v>
      </c>
      <c r="Q16" s="2233">
        <f t="shared" si="7"/>
        <v>15918972</v>
      </c>
      <c r="R16" s="777">
        <f t="shared" si="2"/>
        <v>31725337</v>
      </c>
      <c r="S16" s="789">
        <f t="shared" si="3"/>
        <v>-172477.97999999672</v>
      </c>
      <c r="T16" s="784">
        <f t="shared" si="4"/>
        <v>-5.407203600251014E-3</v>
      </c>
      <c r="U16" s="794"/>
      <c r="V16" s="789">
        <v>800186.02000000328</v>
      </c>
      <c r="W16" s="2273">
        <f t="shared" si="8"/>
        <v>-972664</v>
      </c>
    </row>
    <row r="17" spans="1:23" x14ac:dyDescent="0.25">
      <c r="B17" s="770" t="s">
        <v>289</v>
      </c>
      <c r="C17" s="773">
        <v>91207508.574422166</v>
      </c>
      <c r="D17" s="773">
        <v>92397478.492622152</v>
      </c>
      <c r="E17" s="777">
        <f t="shared" si="5"/>
        <v>183604987.06704432</v>
      </c>
      <c r="F17" s="773">
        <v>117060405.09</v>
      </c>
      <c r="G17" s="773">
        <v>122277366.18000001</v>
      </c>
      <c r="H17" s="777">
        <f t="shared" si="9"/>
        <v>239337771.27000001</v>
      </c>
      <c r="I17" s="2239">
        <f>SUMIF('3.1b Allocation Adj. YR1 '!B21:B39,B17,'3.1b Allocation Adj. YR1 '!V21:V39)-SUMIF('3.1b Allocation Adj. YR1 '!B21:B39,B17,'3.1b Allocation Adj. YR1 '!Q21:Q39)</f>
        <v>123608978</v>
      </c>
      <c r="J17" s="2242">
        <f t="shared" si="0"/>
        <v>1331611.8199999928</v>
      </c>
      <c r="K17" s="774">
        <f>SUMIF('7.1b Allocation Adj. YR2'!B21:B39,B17,'7.1b Allocation Adj. YR2'!Q21:Q39)</f>
        <v>0</v>
      </c>
      <c r="L17" s="774">
        <f t="shared" si="6"/>
        <v>123608978</v>
      </c>
      <c r="M17" s="2228"/>
      <c r="N17" s="2234">
        <f>SUMIF('7.1b Allocation Adj. YR2'!B21:B39,B17,'7.1b Allocation Adj. YR2'!V21:V39)-SUMIF('7.1b Allocation Adj. YR2'!B21:B39,B17,'7.1b Allocation Adj. YR2'!Q21:Q39)</f>
        <v>124401349</v>
      </c>
      <c r="O17" s="2242">
        <f t="shared" si="1"/>
        <v>792371</v>
      </c>
      <c r="P17" s="2233">
        <f>SUMIF('7.1b Allocation Adj. YR2'!B21:B39,B17,'7.1b Allocation Adj. YR2'!Q21:Q39)</f>
        <v>0</v>
      </c>
      <c r="Q17" s="2233">
        <f t="shared" si="7"/>
        <v>124401349</v>
      </c>
      <c r="R17" s="777">
        <f t="shared" si="2"/>
        <v>248010327</v>
      </c>
      <c r="S17" s="789">
        <f t="shared" si="3"/>
        <v>8672555.7299999893</v>
      </c>
      <c r="T17" s="784">
        <f t="shared" si="4"/>
        <v>3.6235633364431925E-2</v>
      </c>
      <c r="U17" s="794"/>
      <c r="V17" s="789">
        <v>16572881.729999989</v>
      </c>
      <c r="W17" s="2275">
        <f t="shared" si="8"/>
        <v>-7900326</v>
      </c>
    </row>
    <row r="18" spans="1:23" x14ac:dyDescent="0.25">
      <c r="B18" s="770" t="s">
        <v>291</v>
      </c>
      <c r="C18" s="773">
        <v>7611603.1561958073</v>
      </c>
      <c r="D18" s="773">
        <v>7715946.20192682</v>
      </c>
      <c r="E18" s="777">
        <f t="shared" si="5"/>
        <v>15327549.358122628</v>
      </c>
      <c r="F18" s="773">
        <v>9752656.0600000005</v>
      </c>
      <c r="G18" s="773">
        <v>10213576.619999999</v>
      </c>
      <c r="H18" s="777">
        <f t="shared" si="9"/>
        <v>19966232.68</v>
      </c>
      <c r="I18" s="2239">
        <f>SUMIF('3.1b Allocation Adj. YR1 '!B22:B40,B18,'3.1b Allocation Adj. YR1 '!V22:V40)-SUMIF('3.1b Allocation Adj. YR1 '!B22:B40,B18,'3.1b Allocation Adj. YR1 '!Q22:Q40)</f>
        <v>9383458</v>
      </c>
      <c r="J18" s="2242">
        <f t="shared" si="0"/>
        <v>-830118.61999999918</v>
      </c>
      <c r="K18" s="774">
        <f>SUMIF('7.1b Allocation Adj. YR2'!B22:B40,B18,'7.1b Allocation Adj. YR2'!Q22:Q40)</f>
        <v>0</v>
      </c>
      <c r="L18" s="774">
        <f t="shared" si="6"/>
        <v>9383458</v>
      </c>
      <c r="M18" s="2228"/>
      <c r="N18" s="2234">
        <f>SUMIF('7.1b Allocation Adj. YR2'!B22:B40,B18,'7.1b Allocation Adj. YR2'!V22:V40)-SUMIF('7.1b Allocation Adj. YR2'!B22:B40,B18,'7.1b Allocation Adj. YR2'!Q22:Q40)</f>
        <v>9448203</v>
      </c>
      <c r="O18" s="2242">
        <f t="shared" si="1"/>
        <v>64745</v>
      </c>
      <c r="P18" s="2233">
        <f>SUMIF('7.1b Allocation Adj. YR2'!B22:B40,B18,'7.1b Allocation Adj. YR2'!Q22:Q40)</f>
        <v>0</v>
      </c>
      <c r="Q18" s="2233">
        <f t="shared" si="7"/>
        <v>9448203</v>
      </c>
      <c r="R18" s="777">
        <f t="shared" si="2"/>
        <v>18831661</v>
      </c>
      <c r="S18" s="789">
        <f t="shared" si="3"/>
        <v>-1134571.6799999997</v>
      </c>
      <c r="T18" s="784">
        <f t="shared" si="4"/>
        <v>-5.6824524595292844E-2</v>
      </c>
      <c r="U18" s="794"/>
      <c r="V18" s="789">
        <v>452638.3200000003</v>
      </c>
      <c r="W18" s="2274">
        <f t="shared" si="8"/>
        <v>-1587210</v>
      </c>
    </row>
    <row r="19" spans="1:23" x14ac:dyDescent="0.25">
      <c r="B19" s="770" t="s">
        <v>293</v>
      </c>
      <c r="C19" s="773">
        <v>59672696.414798543</v>
      </c>
      <c r="D19" s="773">
        <v>60408008.740276881</v>
      </c>
      <c r="E19" s="777">
        <f t="shared" si="5"/>
        <v>120080705.15507543</v>
      </c>
      <c r="F19" s="773">
        <v>76518919.359999999</v>
      </c>
      <c r="G19" s="773">
        <v>79779822.769999996</v>
      </c>
      <c r="H19" s="777">
        <f t="shared" si="9"/>
        <v>156298742.13</v>
      </c>
      <c r="I19" s="2239">
        <f>SUMIF('3.1b Allocation Adj. YR1 '!B23:B41,B19,'3.1b Allocation Adj. YR1 '!V23:V41)-SUMIF('3.1b Allocation Adj. YR1 '!B23:B41,B19,'3.1b Allocation Adj. YR1 '!Q23:Q41)</f>
        <v>82705638</v>
      </c>
      <c r="J19" s="2242">
        <f t="shared" si="0"/>
        <v>2925815.2300000042</v>
      </c>
      <c r="K19" s="774">
        <f>SUMIF('7.1b Allocation Adj. YR2'!B23:B41,B19,'7.1b Allocation Adj. YR2'!Q23:Q41)</f>
        <v>0</v>
      </c>
      <c r="L19" s="774">
        <f t="shared" si="6"/>
        <v>82705638</v>
      </c>
      <c r="M19" s="2228"/>
      <c r="N19" s="2234">
        <f>SUMIF('7.1b Allocation Adj. YR2'!B23:B41,B19,'7.1b Allocation Adj. YR2'!V23:V41)-SUMIF('7.1b Allocation Adj. YR2'!B23:B41,B19,'7.1b Allocation Adj. YR2'!Q23:Q41)</f>
        <v>83188969</v>
      </c>
      <c r="O19" s="2242">
        <f t="shared" si="1"/>
        <v>483331</v>
      </c>
      <c r="P19" s="2233">
        <f>SUMIF('7.1b Allocation Adj. YR2'!B23:B41,B19,'7.1b Allocation Adj. YR2'!Q23:Q41)</f>
        <v>0</v>
      </c>
      <c r="Q19" s="2233">
        <f t="shared" si="7"/>
        <v>83188969</v>
      </c>
      <c r="R19" s="777">
        <f t="shared" si="2"/>
        <v>165894607</v>
      </c>
      <c r="S19" s="789">
        <f t="shared" si="3"/>
        <v>9595864.8700000048</v>
      </c>
      <c r="T19" s="784">
        <f t="shared" si="4"/>
        <v>6.1394383212749946E-2</v>
      </c>
      <c r="U19" s="794"/>
      <c r="V19" s="789">
        <v>14119529.870000005</v>
      </c>
      <c r="W19" s="2273">
        <f t="shared" si="8"/>
        <v>-4523665</v>
      </c>
    </row>
    <row r="20" spans="1:23" x14ac:dyDescent="0.25">
      <c r="B20" s="770" t="s">
        <v>295</v>
      </c>
      <c r="C20" s="773">
        <v>9060508.8091879785</v>
      </c>
      <c r="D20" s="773">
        <v>9068409.4725200292</v>
      </c>
      <c r="E20" s="777">
        <f t="shared" si="5"/>
        <v>18128918.28170801</v>
      </c>
      <c r="F20" s="773">
        <v>11030611.27</v>
      </c>
      <c r="G20" s="773">
        <v>11526278.060000001</v>
      </c>
      <c r="H20" s="777">
        <f t="shared" si="9"/>
        <v>22556889.329999998</v>
      </c>
      <c r="I20" s="2239">
        <f>SUMIF('3.1b Allocation Adj. YR1 '!B24:B42,B20,'3.1b Allocation Adj. YR1 '!V24:V42)-SUMIF('3.1b Allocation Adj. YR1 '!B24:B42,B20,'3.1b Allocation Adj. YR1 '!Q24:Q42)</f>
        <v>10884012</v>
      </c>
      <c r="J20" s="2242">
        <f t="shared" si="0"/>
        <v>-642266.06000000052</v>
      </c>
      <c r="K20" s="774">
        <f>SUMIF('7.1b Allocation Adj. YR2'!B24:B42,B20,'7.1b Allocation Adj. YR2'!Q24:Q42)</f>
        <v>0</v>
      </c>
      <c r="L20" s="774">
        <f t="shared" si="6"/>
        <v>10884012</v>
      </c>
      <c r="M20" s="2228"/>
      <c r="N20" s="2234">
        <f>SUMIF('7.1b Allocation Adj. YR2'!B24:B42,B20,'7.1b Allocation Adj. YR2'!V24:V42)-SUMIF('7.1b Allocation Adj. YR2'!B24:B42,B20,'7.1b Allocation Adj. YR2'!Q24:Q42)</f>
        <v>10958113</v>
      </c>
      <c r="O20" s="2242">
        <f t="shared" si="1"/>
        <v>74101</v>
      </c>
      <c r="P20" s="2233">
        <f>SUMIF('7.1b Allocation Adj. YR2'!B24:B42,B20,'7.1b Allocation Adj. YR2'!Q24:Q42)</f>
        <v>0</v>
      </c>
      <c r="Q20" s="2233">
        <f t="shared" si="7"/>
        <v>10958113</v>
      </c>
      <c r="R20" s="777">
        <f t="shared" si="2"/>
        <v>21842125</v>
      </c>
      <c r="S20" s="789">
        <f t="shared" si="3"/>
        <v>-714764.32999999821</v>
      </c>
      <c r="T20" s="784">
        <f t="shared" si="4"/>
        <v>-3.1687185211720779E-2</v>
      </c>
      <c r="U20" s="794"/>
      <c r="V20" s="789">
        <v>69390.670000001788</v>
      </c>
      <c r="W20" s="2273">
        <f t="shared" si="8"/>
        <v>-784155</v>
      </c>
    </row>
    <row r="21" spans="1:23" x14ac:dyDescent="0.25">
      <c r="B21" s="770" t="s">
        <v>297</v>
      </c>
      <c r="C21" s="773">
        <v>11304414.264099943</v>
      </c>
      <c r="D21" s="773">
        <v>11314271.588136328</v>
      </c>
      <c r="E21" s="777">
        <f t="shared" si="5"/>
        <v>22618685.852236271</v>
      </c>
      <c r="F21" s="773">
        <v>10721396</v>
      </c>
      <c r="G21" s="773">
        <v>10734176.74</v>
      </c>
      <c r="H21" s="777">
        <f t="shared" si="9"/>
        <v>21455572.740000002</v>
      </c>
      <c r="I21" s="2239">
        <f>SUMIF('3.1b Allocation Adj. YR1 '!B25:B43,B21,'3.1b Allocation Adj. YR1 '!V25:V43)-SUMIF('3.1b Allocation Adj. YR1 '!B25:B43,B21,'3.1b Allocation Adj. YR1 '!Q25:Q43)</f>
        <v>10262564</v>
      </c>
      <c r="J21" s="2242">
        <f t="shared" si="0"/>
        <v>-471612.74000000022</v>
      </c>
      <c r="K21" s="774">
        <f>SUMIF('7.1b Allocation Adj. YR2'!B25:B43,B21,'7.1b Allocation Adj. YR2'!Q25:Q43)</f>
        <v>0</v>
      </c>
      <c r="L21" s="774">
        <f t="shared" si="6"/>
        <v>10262564</v>
      </c>
      <c r="M21" s="2228"/>
      <c r="N21" s="2234">
        <f>SUMIF('7.1b Allocation Adj. YR2'!B25:B43,B21,'7.1b Allocation Adj. YR2'!V25:V43)-SUMIF('7.1b Allocation Adj. YR2'!B25:B43,B21,'7.1b Allocation Adj. YR2'!Q25:Q43)</f>
        <v>10262887</v>
      </c>
      <c r="O21" s="2242">
        <f t="shared" si="1"/>
        <v>323</v>
      </c>
      <c r="P21" s="2233">
        <f>SUMIF('7.1b Allocation Adj. YR2'!B25:B43,B21,'7.1b Allocation Adj. YR2'!Q25:Q43)</f>
        <v>0</v>
      </c>
      <c r="Q21" s="2233">
        <f t="shared" si="7"/>
        <v>10262887</v>
      </c>
      <c r="R21" s="777">
        <f t="shared" si="2"/>
        <v>20525451</v>
      </c>
      <c r="S21" s="789">
        <f t="shared" si="3"/>
        <v>-930121.74000000209</v>
      </c>
      <c r="T21" s="784">
        <f t="shared" si="4"/>
        <v>-4.3351056216083185E-2</v>
      </c>
      <c r="U21" s="794"/>
      <c r="V21" s="789">
        <v>-654354.74000000209</v>
      </c>
      <c r="W21" s="2273">
        <f t="shared" si="8"/>
        <v>-275767</v>
      </c>
    </row>
    <row r="22" spans="1:23" x14ac:dyDescent="0.25">
      <c r="B22" s="770" t="s">
        <v>299</v>
      </c>
      <c r="C22" s="773">
        <v>543331302.61578381</v>
      </c>
      <c r="D22" s="773">
        <v>550494798.61604404</v>
      </c>
      <c r="E22" s="777">
        <f t="shared" si="5"/>
        <v>1093826101.2318277</v>
      </c>
      <c r="F22" s="773">
        <v>672137850.85000002</v>
      </c>
      <c r="G22" s="773">
        <v>702904934</v>
      </c>
      <c r="H22" s="777">
        <f t="shared" si="9"/>
        <v>1375042784.8499999</v>
      </c>
      <c r="I22" s="2239">
        <f>SUMIF('3.1b Allocation Adj. YR1 '!B26:B44,B22,'3.1b Allocation Adj. YR1 '!V26:V44)-SUMIF('3.1b Allocation Adj. YR1 '!B26:B44,B22,'3.1b Allocation Adj. YR1 '!Q26:Q44)</f>
        <v>711622856</v>
      </c>
      <c r="J22" s="2242">
        <f t="shared" si="0"/>
        <v>8717922</v>
      </c>
      <c r="K22" s="774">
        <f>SUMIF('7.1b Allocation Adj. YR2'!B26:B44,B22,'7.1b Allocation Adj. YR2'!Q26:Q44)</f>
        <v>0</v>
      </c>
      <c r="L22" s="774">
        <f t="shared" si="6"/>
        <v>711622856</v>
      </c>
      <c r="M22" s="2228"/>
      <c r="N22" s="2234">
        <f>SUMIF('7.1b Allocation Adj. YR2'!B26:B44,B22,'7.1b Allocation Adj. YR2'!V26:V44)-SUMIF('7.1b Allocation Adj. YR2'!B26:B44,B22,'7.1b Allocation Adj. YR2'!Q26:Q44)</f>
        <v>716211721</v>
      </c>
      <c r="O22" s="2242">
        <f t="shared" si="1"/>
        <v>4588865</v>
      </c>
      <c r="P22" s="2233">
        <f>SUMIF('7.1b Allocation Adj. YR2'!B26:B44,B22,'7.1b Allocation Adj. YR2'!Q26:Q44)</f>
        <v>0</v>
      </c>
      <c r="Q22" s="2233">
        <f t="shared" si="7"/>
        <v>716211721</v>
      </c>
      <c r="R22" s="777">
        <f t="shared" si="2"/>
        <v>1427834577</v>
      </c>
      <c r="S22" s="789">
        <f t="shared" si="3"/>
        <v>52791792.150000095</v>
      </c>
      <c r="T22" s="784">
        <f t="shared" si="4"/>
        <v>3.8392836013287412E-2</v>
      </c>
      <c r="U22" s="794"/>
      <c r="V22" s="789">
        <v>111857720.1500001</v>
      </c>
      <c r="W22" s="2275">
        <f t="shared" si="8"/>
        <v>-59065928</v>
      </c>
    </row>
    <row r="23" spans="1:23" x14ac:dyDescent="0.25">
      <c r="B23" s="770" t="s">
        <v>301</v>
      </c>
      <c r="C23" s="773">
        <v>15768298.280410098</v>
      </c>
      <c r="D23" s="773">
        <v>15980917.184978817</v>
      </c>
      <c r="E23" s="777">
        <f t="shared" si="5"/>
        <v>31749215.465388916</v>
      </c>
      <c r="F23" s="773">
        <v>20094905.859999999</v>
      </c>
      <c r="G23" s="773">
        <v>21021828.18</v>
      </c>
      <c r="H23" s="777">
        <f t="shared" si="9"/>
        <v>41116734.039999999</v>
      </c>
      <c r="I23" s="2239">
        <f>SUMIF('3.1b Allocation Adj. YR1 '!B27:B45,B23,'3.1b Allocation Adj. YR1 '!V27:V45)-SUMIF('3.1b Allocation Adj. YR1 '!B27:B45,B23,'3.1b Allocation Adj. YR1 '!Q27:Q45)</f>
        <v>21464002</v>
      </c>
      <c r="J23" s="2242">
        <f t="shared" si="0"/>
        <v>442173.8200000003</v>
      </c>
      <c r="K23" s="774">
        <f>SUMIF('7.1b Allocation Adj. YR2'!B27:B45,B23,'7.1b Allocation Adj. YR2'!Q27:Q45)</f>
        <v>0</v>
      </c>
      <c r="L23" s="774">
        <f t="shared" si="6"/>
        <v>21464002</v>
      </c>
      <c r="M23" s="2228"/>
      <c r="N23" s="2234">
        <f>SUMIF('7.1b Allocation Adj. YR2'!B27:B45,B23,'7.1b Allocation Adj. YR2'!V27:V45)-SUMIF('7.1b Allocation Adj. YR2'!B27:B45,B23,'7.1b Allocation Adj. YR2'!Q27:Q45)</f>
        <v>21605594</v>
      </c>
      <c r="O23" s="2242">
        <f t="shared" si="1"/>
        <v>141592</v>
      </c>
      <c r="P23" s="2233">
        <f>SUMIF('7.1b Allocation Adj. YR2'!B27:B45,B23,'7.1b Allocation Adj. YR2'!Q27:Q45)</f>
        <v>0</v>
      </c>
      <c r="Q23" s="2233">
        <f t="shared" si="7"/>
        <v>21605594</v>
      </c>
      <c r="R23" s="777">
        <f t="shared" si="2"/>
        <v>43069596</v>
      </c>
      <c r="S23" s="789">
        <f t="shared" si="3"/>
        <v>1952861.9600000009</v>
      </c>
      <c r="T23" s="784">
        <f t="shared" si="4"/>
        <v>4.7495551521679197E-2</v>
      </c>
      <c r="U23" s="794"/>
      <c r="V23" s="789">
        <v>3609364.9600000009</v>
      </c>
      <c r="W23" s="2275">
        <f t="shared" si="8"/>
        <v>-1656503</v>
      </c>
    </row>
    <row r="24" spans="1:23" x14ac:dyDescent="0.25">
      <c r="B24" s="770" t="s">
        <v>305</v>
      </c>
      <c r="C24" s="773">
        <v>478980079.3150683</v>
      </c>
      <c r="D24" s="773">
        <v>490887501.26115948</v>
      </c>
      <c r="E24" s="777">
        <f t="shared" si="5"/>
        <v>969867580.57622778</v>
      </c>
      <c r="F24" s="773">
        <v>668557599.54999983</v>
      </c>
      <c r="G24" s="773">
        <v>701894836</v>
      </c>
      <c r="H24" s="777">
        <f t="shared" si="9"/>
        <v>1370452435.5499997</v>
      </c>
      <c r="I24" s="2239">
        <f>SUMIF('3.1b Allocation Adj. YR1 '!B28:B46,B24,'3.1b Allocation Adj. YR1 '!V28:V46)-SUMIF('3.1b Allocation Adj. YR1 '!B28:B46,B24,'3.1b Allocation Adj. YR1 '!Q28:Q46)-'3.1b Allocation Adj. YR1 '!N28</f>
        <v>743197479</v>
      </c>
      <c r="J24" s="2242">
        <f t="shared" si="0"/>
        <v>41302643</v>
      </c>
      <c r="K24" s="774">
        <f>SUMIF('7.1b Allocation Adj. YR2'!B28:B46,B24,'7.1b Allocation Adj. YR2'!Q28:Q46)</f>
        <v>0</v>
      </c>
      <c r="L24" s="774">
        <f t="shared" si="6"/>
        <v>743197479</v>
      </c>
      <c r="M24" s="2228"/>
      <c r="N24" s="2234">
        <f>SUMIF('7.1b Allocation Adj. YR2'!B28:B46,B24,'7.1b Allocation Adj. YR2'!V28:V46)-SUMIF('7.1b Allocation Adj. YR2'!B28:B46,B24,'7.1b Allocation Adj. YR2'!Q28:Q46)-'7.1b Allocation Adj. YR2'!N28</f>
        <v>748554830</v>
      </c>
      <c r="O24" s="2242">
        <f t="shared" si="1"/>
        <v>5357351</v>
      </c>
      <c r="P24" s="2233">
        <f>SUMIF('7.1b Allocation Adj. YR2'!B28:B46,B24,'7.1b Allocation Adj. YR2'!Q28:Q46)</f>
        <v>0</v>
      </c>
      <c r="Q24" s="2233">
        <f t="shared" si="7"/>
        <v>748554830</v>
      </c>
      <c r="R24" s="777">
        <f t="shared" si="2"/>
        <v>1491752309</v>
      </c>
      <c r="S24" s="789">
        <f t="shared" si="3"/>
        <v>121299873.45000029</v>
      </c>
      <c r="T24" s="784">
        <f t="shared" si="4"/>
        <v>8.8510823362738134E-2</v>
      </c>
      <c r="U24" s="794"/>
      <c r="V24" s="789">
        <v>143725223.45000029</v>
      </c>
      <c r="W24" s="2275">
        <f t="shared" si="8"/>
        <v>-22425350</v>
      </c>
    </row>
    <row r="25" spans="1:23" ht="15.75" thickBot="1" x14ac:dyDescent="0.3">
      <c r="B25" s="2108" t="s">
        <v>306</v>
      </c>
      <c r="C25" s="2109">
        <v>1210164.3810307779</v>
      </c>
      <c r="D25" s="2109">
        <v>1229047.9792725565</v>
      </c>
      <c r="E25" s="2110">
        <f>SUM(C25:D25)</f>
        <v>2439212.3603033344</v>
      </c>
      <c r="F25" s="2109">
        <v>1452873.52</v>
      </c>
      <c r="G25" s="2109">
        <v>1527033.08</v>
      </c>
      <c r="H25" s="2110">
        <f>SUM(F25:G25)</f>
        <v>2979906.6</v>
      </c>
      <c r="I25" s="2240">
        <f>SUMIF('3.1b Allocation Adj. YR1 '!B29:B47,B25,'3.1b Allocation Adj. YR1 '!V29:V47)-SUMIF('3.1b Allocation Adj. YR1 '!B29:B47,B25,'3.1b Allocation Adj. YR1 '!Q29:Q47)</f>
        <v>1633076</v>
      </c>
      <c r="J25" s="2243">
        <f t="shared" si="0"/>
        <v>106042.91999999993</v>
      </c>
      <c r="K25" s="2111">
        <f>SUMIF('7.1b Allocation Adj. YR2'!B29:B47,B25,'7.1b Allocation Adj. YR2'!Q29:Q47)</f>
        <v>0</v>
      </c>
      <c r="L25" s="2109">
        <f t="shared" si="6"/>
        <v>1633076</v>
      </c>
      <c r="M25" s="2229"/>
      <c r="N25" s="2235">
        <f>SUMIF('7.1b Allocation Adj. YR2'!B29:B47,B25,'7.1b Allocation Adj. YR2'!V29:V47)-SUMIF('7.1b Allocation Adj. YR2'!B29:B47,B25,'7.1b Allocation Adj. YR2'!Q29:Q47)</f>
        <v>1644861</v>
      </c>
      <c r="O25" s="2243">
        <f t="shared" si="1"/>
        <v>11785</v>
      </c>
      <c r="P25" s="2109">
        <f>SUMIF('7.1b Allocation Adj. YR2'!B29:B47,B25,'7.1b Allocation Adj. YR2'!Q29:Q47)</f>
        <v>0</v>
      </c>
      <c r="Q25" s="2233">
        <f t="shared" si="7"/>
        <v>1644861</v>
      </c>
      <c r="R25" s="2110">
        <f t="shared" si="2"/>
        <v>3277937</v>
      </c>
      <c r="S25" s="792">
        <f t="shared" si="3"/>
        <v>298030.39999999991</v>
      </c>
      <c r="T25" s="793">
        <f t="shared" si="4"/>
        <v>0.10001333598845007</v>
      </c>
      <c r="U25" s="794"/>
      <c r="V25" s="792">
        <v>358174.39999999991</v>
      </c>
      <c r="W25" s="2279">
        <f t="shared" si="8"/>
        <v>-60144</v>
      </c>
    </row>
    <row r="26" spans="1:23" ht="16.5" thickTop="1" thickBot="1" x14ac:dyDescent="0.3">
      <c r="B26" s="2112" t="s">
        <v>156</v>
      </c>
      <c r="C26" s="2112">
        <f>SUM(C7:C25)</f>
        <v>4410326643</v>
      </c>
      <c r="D26" s="2112">
        <f t="shared" ref="D26" si="10">SUM(D7:D25)</f>
        <v>4463364280</v>
      </c>
      <c r="E26" s="2113">
        <f t="shared" ref="E26:Q26" si="11">SUM(E7:E25)</f>
        <v>8873690923</v>
      </c>
      <c r="F26" s="2112">
        <f t="shared" si="11"/>
        <v>5476921808.7300014</v>
      </c>
      <c r="G26" s="2112">
        <f t="shared" si="11"/>
        <v>5720230864.2600002</v>
      </c>
      <c r="H26" s="2113">
        <f t="shared" si="11"/>
        <v>11197152672.99</v>
      </c>
      <c r="I26" s="2241">
        <f t="shared" si="11"/>
        <v>5724491159</v>
      </c>
      <c r="J26" s="2237">
        <f>SUM(J7:J25)</f>
        <v>4260294.74</v>
      </c>
      <c r="K26" s="2112">
        <f t="shared" si="11"/>
        <v>0</v>
      </c>
      <c r="L26" s="2298">
        <f t="shared" si="6"/>
        <v>5724491159</v>
      </c>
      <c r="M26" s="2230"/>
      <c r="N26" s="2113">
        <f t="shared" si="11"/>
        <v>5761084312</v>
      </c>
      <c r="O26" s="2237">
        <f t="shared" si="11"/>
        <v>36593153</v>
      </c>
      <c r="P26" s="2112">
        <f t="shared" si="11"/>
        <v>0</v>
      </c>
      <c r="Q26" s="2112">
        <f t="shared" si="11"/>
        <v>5761084312</v>
      </c>
      <c r="R26" s="2113">
        <f>SUM(R7:R25)</f>
        <v>11485575471</v>
      </c>
      <c r="S26" s="790">
        <f t="shared" si="3"/>
        <v>288422798.01000023</v>
      </c>
      <c r="T26" s="791">
        <f t="shared" si="4"/>
        <v>2.5758584028753986E-2</v>
      </c>
      <c r="U26" s="794"/>
      <c r="V26" s="790">
        <v>692570919.01000023</v>
      </c>
      <c r="W26" s="2274">
        <f t="shared" si="8"/>
        <v>-404148121</v>
      </c>
    </row>
    <row r="27" spans="1:23" ht="15.75" thickTop="1" x14ac:dyDescent="0.25">
      <c r="B27" s="2114" t="s">
        <v>2140</v>
      </c>
      <c r="H27" s="616"/>
      <c r="I27" s="616"/>
      <c r="J27" s="616"/>
      <c r="K27" s="616"/>
      <c r="L27" s="616"/>
      <c r="M27" s="616"/>
      <c r="N27" s="1"/>
      <c r="O27" s="1"/>
      <c r="P27" s="1"/>
      <c r="Q27" s="1"/>
      <c r="W27" s="2232"/>
    </row>
    <row r="28" spans="1:23" ht="15.75" thickBot="1" x14ac:dyDescent="0.3">
      <c r="G28" s="2392" t="s">
        <v>2293</v>
      </c>
      <c r="H28" s="2392"/>
      <c r="I28" s="2392"/>
      <c r="J28" s="616"/>
      <c r="K28" s="2280" t="s">
        <v>2291</v>
      </c>
      <c r="L28" s="616" t="s">
        <v>2292</v>
      </c>
      <c r="M28" s="616"/>
      <c r="N28" s="616"/>
    </row>
    <row r="29" spans="1:23" ht="15.75" thickBot="1" x14ac:dyDescent="0.3">
      <c r="A29" s="2115" t="s">
        <v>2141</v>
      </c>
      <c r="B29" s="2116" t="s">
        <v>1857</v>
      </c>
      <c r="C29" s="2116" t="s">
        <v>2142</v>
      </c>
      <c r="D29" s="2117" t="s">
        <v>2143</v>
      </c>
      <c r="E29" s="2118" t="s">
        <v>2144</v>
      </c>
      <c r="F29" s="2119" t="s">
        <v>156</v>
      </c>
      <c r="G29" s="2120" t="s">
        <v>2145</v>
      </c>
      <c r="H29" s="2118" t="s">
        <v>2146</v>
      </c>
      <c r="I29" s="2119" t="s">
        <v>156</v>
      </c>
      <c r="J29" s="616"/>
      <c r="K29" s="2119" t="s">
        <v>156</v>
      </c>
      <c r="L29" t="s">
        <v>2301</v>
      </c>
    </row>
    <row r="30" spans="1:23" ht="15.75" thickBot="1" x14ac:dyDescent="0.3">
      <c r="A30" s="2218">
        <v>0</v>
      </c>
      <c r="B30" s="2213" t="s">
        <v>2147</v>
      </c>
      <c r="C30" s="2213" t="s">
        <v>2148</v>
      </c>
      <c r="D30" s="2214">
        <v>5496523809</v>
      </c>
      <c r="E30" s="2215">
        <v>5739453864</v>
      </c>
      <c r="F30" s="2216">
        <f>SUM(D30:E30)</f>
        <v>11235977673</v>
      </c>
      <c r="G30" s="2217">
        <f>'1.3 Budgeted Revenues YR1'!C43</f>
        <v>5724491159</v>
      </c>
      <c r="H30" s="2215">
        <f>'5.3 Budgeted Revenues YR2'!C43</f>
        <v>5761084316</v>
      </c>
      <c r="I30" s="2216">
        <f>SUM(G30:H30)</f>
        <v>11485575475</v>
      </c>
      <c r="J30" s="616"/>
      <c r="K30" s="2216">
        <v>11889723594</v>
      </c>
      <c r="L30" s="2282">
        <f>I30-K30</f>
        <v>-404148119</v>
      </c>
      <c r="O30" s="2137"/>
      <c r="P30" s="2137"/>
    </row>
    <row r="31" spans="1:23" ht="15.75" thickTop="1" x14ac:dyDescent="0.25">
      <c r="A31" s="2219">
        <v>8</v>
      </c>
      <c r="B31" s="2121" t="s">
        <v>2149</v>
      </c>
      <c r="C31" s="2121" t="s">
        <v>2150</v>
      </c>
      <c r="D31" s="2122">
        <v>4379176006</v>
      </c>
      <c r="E31" s="2123">
        <v>4601409680</v>
      </c>
      <c r="F31" s="2124">
        <f t="shared" ref="F31:F40" si="12">SUM(D31:E31)</f>
        <v>8980585686</v>
      </c>
      <c r="G31" s="2125">
        <f>'3.1b Allocation Adj. YR1 '!F32</f>
        <v>4523487318</v>
      </c>
      <c r="H31" s="2123">
        <f>'7.1b Allocation Adj. YR2'!F32</f>
        <v>4557042431</v>
      </c>
      <c r="I31" s="2124">
        <f t="shared" ref="I31:I40" si="13">SUM(G31:H31)</f>
        <v>9080529749</v>
      </c>
      <c r="J31" s="616"/>
      <c r="K31" s="2124">
        <v>9193392086</v>
      </c>
      <c r="L31" s="2282">
        <f t="shared" ref="L31:L41" si="14">I31-K31</f>
        <v>-112862337</v>
      </c>
      <c r="O31" s="2137"/>
      <c r="P31" s="2137"/>
    </row>
    <row r="32" spans="1:23" x14ac:dyDescent="0.25">
      <c r="A32" s="2126">
        <v>9</v>
      </c>
      <c r="B32" s="2106" t="s">
        <v>2151</v>
      </c>
      <c r="C32" s="2106" t="s">
        <v>2150</v>
      </c>
      <c r="D32" s="2127">
        <v>193150692</v>
      </c>
      <c r="E32" s="2128">
        <v>193187746</v>
      </c>
      <c r="F32" s="2129">
        <f t="shared" si="12"/>
        <v>386338438</v>
      </c>
      <c r="G32" s="2130">
        <f>'3.1b Allocation Adj. YR1 '!N32</f>
        <v>192112974</v>
      </c>
      <c r="H32" s="2128">
        <f>'7.1b Allocation Adj. YR2'!N32</f>
        <v>192112974</v>
      </c>
      <c r="I32" s="2129">
        <f t="shared" si="13"/>
        <v>384225948</v>
      </c>
      <c r="J32" s="616"/>
      <c r="K32" s="2129">
        <v>398605580</v>
      </c>
      <c r="L32" s="2281">
        <f t="shared" si="14"/>
        <v>-14379632</v>
      </c>
      <c r="O32" s="2137"/>
      <c r="P32" s="2137"/>
    </row>
    <row r="33" spans="1:20" x14ac:dyDescent="0.25">
      <c r="A33" s="2126">
        <v>10</v>
      </c>
      <c r="B33" s="2106" t="s">
        <v>2152</v>
      </c>
      <c r="C33" s="2106" t="s">
        <v>2150</v>
      </c>
      <c r="D33" s="2127">
        <v>1619718</v>
      </c>
      <c r="E33" s="2128">
        <v>1620030</v>
      </c>
      <c r="F33" s="2129">
        <f t="shared" si="12"/>
        <v>3239748</v>
      </c>
      <c r="G33" s="2130">
        <f>'3.1b Allocation Adj. YR1 '!P32</f>
        <v>1499704</v>
      </c>
      <c r="H33" s="2128">
        <f>'7.1b Allocation Adj. YR2'!P32</f>
        <v>1499704</v>
      </c>
      <c r="I33" s="2129">
        <f t="shared" si="13"/>
        <v>2999408</v>
      </c>
      <c r="J33" s="616"/>
      <c r="K33" s="2129">
        <v>2056390</v>
      </c>
      <c r="L33" s="2282">
        <f t="shared" si="14"/>
        <v>943018</v>
      </c>
      <c r="O33" s="2137"/>
      <c r="P33" s="2137"/>
    </row>
    <row r="34" spans="1:20" x14ac:dyDescent="0.25">
      <c r="A34" s="2126">
        <v>11</v>
      </c>
      <c r="B34" s="2106" t="s">
        <v>2153</v>
      </c>
      <c r="C34" s="2106" t="s">
        <v>2150</v>
      </c>
      <c r="D34" s="2127">
        <v>483781493</v>
      </c>
      <c r="E34" s="2128">
        <v>483874302</v>
      </c>
      <c r="F34" s="2129">
        <f t="shared" si="12"/>
        <v>967655795</v>
      </c>
      <c r="G34" s="2130">
        <f>'3.1b Allocation Adj. YR1 '!T32</f>
        <v>599829442</v>
      </c>
      <c r="H34" s="2128">
        <f>'7.1b Allocation Adj. YR2'!T32</f>
        <v>599829442</v>
      </c>
      <c r="I34" s="2129">
        <f t="shared" si="13"/>
        <v>1199658884</v>
      </c>
      <c r="J34" s="616"/>
      <c r="K34" s="2129">
        <v>1194802862</v>
      </c>
      <c r="L34" s="2283">
        <f t="shared" si="14"/>
        <v>4856022</v>
      </c>
      <c r="O34" s="2137"/>
      <c r="P34" s="2137"/>
    </row>
    <row r="35" spans="1:20" x14ac:dyDescent="0.25">
      <c r="A35" s="2126">
        <v>12</v>
      </c>
      <c r="B35" s="2106" t="s">
        <v>2154</v>
      </c>
      <c r="C35" s="2106" t="s">
        <v>2150</v>
      </c>
      <c r="D35" s="2127">
        <v>212534769</v>
      </c>
      <c r="E35" s="2128">
        <v>223153735</v>
      </c>
      <c r="F35" s="2129">
        <f t="shared" si="12"/>
        <v>435688504</v>
      </c>
      <c r="G35" s="2130">
        <f>'3.1b Allocation Adj. YR1 '!I32</f>
        <v>232694619</v>
      </c>
      <c r="H35" s="2128">
        <f>'7.1b Allocation Adj. YR2'!I32</f>
        <v>234429130</v>
      </c>
      <c r="I35" s="2129">
        <f t="shared" si="13"/>
        <v>467123749</v>
      </c>
      <c r="J35" s="616"/>
      <c r="K35" s="2129">
        <v>464158844</v>
      </c>
      <c r="L35" s="2281">
        <f t="shared" si="14"/>
        <v>2964905</v>
      </c>
      <c r="O35" s="2137"/>
      <c r="P35" s="2137"/>
    </row>
    <row r="36" spans="1:20" x14ac:dyDescent="0.25">
      <c r="A36" s="2126">
        <v>13</v>
      </c>
      <c r="B36" s="2106" t="s">
        <v>2155</v>
      </c>
      <c r="C36" s="2106" t="s">
        <v>2150</v>
      </c>
      <c r="D36" s="2127">
        <v>198666203</v>
      </c>
      <c r="E36" s="2128">
        <v>208593011</v>
      </c>
      <c r="F36" s="2129">
        <f t="shared" si="12"/>
        <v>407259214</v>
      </c>
      <c r="G36" s="2130">
        <f>'3.1b Allocation Adj. YR1 '!J32</f>
        <v>165011887</v>
      </c>
      <c r="H36" s="2128">
        <f>'7.1b Allocation Adj. YR2'!J32</f>
        <v>166241943</v>
      </c>
      <c r="I36" s="2129">
        <f t="shared" si="13"/>
        <v>331253830</v>
      </c>
      <c r="J36" s="616"/>
      <c r="K36" s="2129">
        <v>329163223</v>
      </c>
      <c r="L36" s="2282">
        <f t="shared" si="14"/>
        <v>2090607</v>
      </c>
      <c r="O36" s="2137"/>
      <c r="P36" s="2137"/>
    </row>
    <row r="37" spans="1:20" x14ac:dyDescent="0.25">
      <c r="A37" s="2126">
        <v>14</v>
      </c>
      <c r="B37" s="2106" t="s">
        <v>2156</v>
      </c>
      <c r="C37" s="2106" t="s">
        <v>2150</v>
      </c>
      <c r="D37" s="2127">
        <v>7992928</v>
      </c>
      <c r="E37" s="2128">
        <v>8392360</v>
      </c>
      <c r="F37" s="2129">
        <f t="shared" si="12"/>
        <v>16385288</v>
      </c>
      <c r="G37" s="2130">
        <f>'3.1b Allocation Adj. YR1 '!K32</f>
        <v>9855215</v>
      </c>
      <c r="H37" s="2128">
        <f>'7.1b Allocation Adj. YR2'!K32</f>
        <v>9928690</v>
      </c>
      <c r="I37" s="2129">
        <f t="shared" si="13"/>
        <v>19783905</v>
      </c>
      <c r="J37" s="616"/>
      <c r="K37" s="2129">
        <v>19661818</v>
      </c>
      <c r="L37" s="2282">
        <f t="shared" si="14"/>
        <v>122087</v>
      </c>
      <c r="O37" s="2137"/>
      <c r="P37" s="2137"/>
    </row>
    <row r="38" spans="1:20" x14ac:dyDescent="0.25">
      <c r="A38" s="2126">
        <v>15</v>
      </c>
      <c r="B38" s="2106" t="s">
        <v>2248</v>
      </c>
      <c r="C38" s="2106" t="s">
        <v>2150</v>
      </c>
      <c r="D38" s="2127">
        <v>0</v>
      </c>
      <c r="E38" s="2128">
        <v>0</v>
      </c>
      <c r="F38" s="2129">
        <f t="shared" ref="F38" si="15">SUM(D38:E38)</f>
        <v>0</v>
      </c>
      <c r="G38" s="2130">
        <f>'3.1b Allocation Adj. YR1 '!Q32</f>
        <v>0</v>
      </c>
      <c r="H38" s="2128">
        <f>'7.1b Allocation Adj. YR2'!Q32</f>
        <v>0</v>
      </c>
      <c r="I38" s="2129">
        <f t="shared" ref="I38" si="16">SUM(G38:H38)</f>
        <v>0</v>
      </c>
      <c r="J38" s="616"/>
      <c r="K38" s="2129">
        <v>287882786</v>
      </c>
      <c r="L38" s="2282">
        <f t="shared" si="14"/>
        <v>-287882786</v>
      </c>
      <c r="O38" s="2137"/>
      <c r="P38" s="2137"/>
    </row>
    <row r="39" spans="1:20" x14ac:dyDescent="0.25">
      <c r="A39" s="2126">
        <v>25</v>
      </c>
      <c r="B39" s="2106" t="s">
        <v>2157</v>
      </c>
      <c r="C39" s="2106" t="s">
        <v>2150</v>
      </c>
      <c r="D39" s="2127">
        <v>0</v>
      </c>
      <c r="E39" s="2128">
        <v>0</v>
      </c>
      <c r="F39" s="2129">
        <f t="shared" si="12"/>
        <v>0</v>
      </c>
      <c r="G39" s="2130">
        <v>0</v>
      </c>
      <c r="H39" s="2128">
        <v>0</v>
      </c>
      <c r="I39" s="2129">
        <f t="shared" si="13"/>
        <v>0</v>
      </c>
      <c r="J39" s="616"/>
      <c r="K39" s="2129">
        <v>0</v>
      </c>
      <c r="L39" s="2282">
        <f t="shared" si="14"/>
        <v>0</v>
      </c>
      <c r="O39" s="2137"/>
      <c r="P39" s="2137"/>
    </row>
    <row r="40" spans="1:20" x14ac:dyDescent="0.25">
      <c r="A40" s="2126">
        <v>32</v>
      </c>
      <c r="B40" s="2106" t="s">
        <v>2158</v>
      </c>
      <c r="C40" s="2106" t="s">
        <v>2150</v>
      </c>
      <c r="D40" s="2127">
        <v>0</v>
      </c>
      <c r="E40" s="2128">
        <v>0</v>
      </c>
      <c r="F40" s="2129">
        <f t="shared" si="12"/>
        <v>0</v>
      </c>
      <c r="G40" s="2130">
        <v>0</v>
      </c>
      <c r="H40" s="2128">
        <v>0</v>
      </c>
      <c r="I40" s="2129">
        <f t="shared" si="13"/>
        <v>0</v>
      </c>
      <c r="J40" s="616"/>
      <c r="K40" s="2129">
        <v>0</v>
      </c>
      <c r="L40" s="2282">
        <f t="shared" si="14"/>
        <v>0</v>
      </c>
      <c r="O40" s="2137"/>
      <c r="P40" s="2137"/>
    </row>
    <row r="41" spans="1:20" ht="15.75" thickBot="1" x14ac:dyDescent="0.3">
      <c r="A41" s="2220">
        <v>85</v>
      </c>
      <c r="B41" s="2131" t="s">
        <v>2160</v>
      </c>
      <c r="C41" s="2131" t="s">
        <v>2150</v>
      </c>
      <c r="D41" s="2132">
        <v>19602000</v>
      </c>
      <c r="E41" s="2133">
        <v>19223000</v>
      </c>
      <c r="F41" s="2134">
        <f>SUM(D41:E41)</f>
        <v>38825000</v>
      </c>
      <c r="G41" s="2135">
        <f>'1.3 Budgeted Revenues YR1'!C23</f>
        <v>31930000</v>
      </c>
      <c r="H41" s="2133">
        <f>'5.3 Budgeted Revenues YR2'!C23</f>
        <v>32627000</v>
      </c>
      <c r="I41" s="2134">
        <f>SUM(G41:H41)</f>
        <v>64557000</v>
      </c>
      <c r="J41" s="616"/>
      <c r="K41" s="2134">
        <v>55395000</v>
      </c>
      <c r="L41" s="2282">
        <f t="shared" si="14"/>
        <v>9162000</v>
      </c>
      <c r="O41" s="2137"/>
      <c r="P41" s="2137"/>
    </row>
    <row r="42" spans="1:20" x14ac:dyDescent="0.25">
      <c r="H42" s="616"/>
      <c r="I42" s="616"/>
      <c r="J42" s="616"/>
      <c r="L42" s="2232"/>
    </row>
    <row r="43" spans="1:20" ht="15.75" thickBot="1" x14ac:dyDescent="0.3"/>
    <row r="44" spans="1:20" ht="17.25" thickTop="1" x14ac:dyDescent="0.3">
      <c r="L44" s="785" t="s">
        <v>1840</v>
      </c>
      <c r="M44" s="785" t="s">
        <v>1841</v>
      </c>
      <c r="N44" s="2221"/>
    </row>
    <row r="45" spans="1:20" ht="17.25" thickBot="1" x14ac:dyDescent="0.35">
      <c r="F45" s="2137"/>
      <c r="G45" s="2136"/>
      <c r="I45" s="616"/>
      <c r="L45" s="786" t="s">
        <v>1797</v>
      </c>
      <c r="M45" s="786" t="s">
        <v>1797</v>
      </c>
      <c r="N45" s="2221"/>
      <c r="T45" s="2137"/>
    </row>
    <row r="46" spans="1:20" ht="17.25" thickBot="1" x14ac:dyDescent="0.35">
      <c r="A46" s="2138" t="s">
        <v>1856</v>
      </c>
      <c r="B46" s="2139" t="s">
        <v>1857</v>
      </c>
      <c r="C46" s="2120" t="s">
        <v>2161</v>
      </c>
      <c r="D46" s="2118" t="s">
        <v>1163</v>
      </c>
      <c r="E46" s="2119" t="s">
        <v>2162</v>
      </c>
      <c r="F46" s="2117" t="s">
        <v>2143</v>
      </c>
      <c r="G46" s="2118" t="s">
        <v>2144</v>
      </c>
      <c r="H46" s="2119" t="s">
        <v>2163</v>
      </c>
      <c r="I46" s="2117" t="s">
        <v>2145</v>
      </c>
      <c r="J46" s="2118" t="s">
        <v>2146</v>
      </c>
      <c r="K46" s="2119" t="s">
        <v>2164</v>
      </c>
      <c r="L46" s="786" t="s">
        <v>2247</v>
      </c>
      <c r="M46" s="2263" t="s">
        <v>140</v>
      </c>
      <c r="N46" s="2221"/>
      <c r="P46" s="2119" t="s">
        <v>2164</v>
      </c>
      <c r="T46" s="2137"/>
    </row>
    <row r="47" spans="1:20" x14ac:dyDescent="0.25">
      <c r="A47" s="2140">
        <v>2501</v>
      </c>
      <c r="B47" t="s">
        <v>1866</v>
      </c>
      <c r="C47" s="2122">
        <f>SUMIF('RGL Download'!$A$8:$A$27,A47,'RGL Download'!$F$8:$F$27)</f>
        <v>1396939483</v>
      </c>
      <c r="D47" s="2123">
        <f>SUMIF('RGL Download'!$A$8:$A$27,A47,'RGL Download'!$G$8:$G$27)</f>
        <v>1223780931</v>
      </c>
      <c r="E47" s="2124">
        <f>SUM(C47:D47)</f>
        <v>2620720414</v>
      </c>
      <c r="F47" s="2122">
        <f>SUMIF('RGL Download'!$A$37:$A$64,A47,'RGL Download'!$F$37:$F$64)</f>
        <v>1137995964</v>
      </c>
      <c r="G47" s="2123">
        <f>SUMIF('RGL Download'!$A$37:$A$64,A47,'RGL Download'!$G$37:$G$64)</f>
        <v>1487995964</v>
      </c>
      <c r="H47" s="2124">
        <f>SUM(F47:G47)</f>
        <v>2625991928</v>
      </c>
      <c r="I47" s="2122">
        <f>SUMIF('RGL Download'!$A$74:$A$101,A47,'RGL Download'!$F$74:$F$101)</f>
        <v>1597338576</v>
      </c>
      <c r="J47" s="2123">
        <f>SUMIF('RGL Download'!$A$74:$A$101,A47,'RGL Download'!$G$74:$G$101)</f>
        <v>1463854290</v>
      </c>
      <c r="K47" s="2124">
        <f>SUM(I47:J47)</f>
        <v>3061192866</v>
      </c>
      <c r="L47" s="789">
        <f>K47-H47</f>
        <v>435200938</v>
      </c>
      <c r="M47" s="2141">
        <f>(K47-H47)/H47</f>
        <v>0.16572820859028931</v>
      </c>
      <c r="N47" s="2222"/>
      <c r="P47" s="2124">
        <v>3130251975</v>
      </c>
      <c r="Q47" s="2137">
        <f>K47-P47</f>
        <v>-69059109</v>
      </c>
      <c r="T47" s="2137"/>
    </row>
    <row r="48" spans="1:20" x14ac:dyDescent="0.25">
      <c r="A48" s="2140">
        <v>2511</v>
      </c>
      <c r="B48" t="s">
        <v>1867</v>
      </c>
      <c r="C48" s="2122">
        <f>SUMIF('RGL Download'!$A$8:$A$27,A48,'RGL Download'!$F$8:$F$27)</f>
        <v>615090</v>
      </c>
      <c r="D48" s="2123">
        <f>SUMIF('RGL Download'!$A$8:$A$27,A48,'RGL Download'!$G$8:$G$27)</f>
        <v>0</v>
      </c>
      <c r="E48" s="2129">
        <f>SUM(C48:D48)</f>
        <v>615090</v>
      </c>
      <c r="F48" s="2122">
        <f>SUMIF('RGL Download'!$A$37:$A$64,A48,'RGL Download'!$F$37:$F$64)</f>
        <v>308815945</v>
      </c>
      <c r="G48" s="2123">
        <f>SUMIF('RGL Download'!$A$37:$A$64,A48,'RGL Download'!$G$37:$G$64)</f>
        <v>19602000</v>
      </c>
      <c r="H48" s="2129">
        <f>SUM(F48:G48)</f>
        <v>328417945</v>
      </c>
      <c r="I48" s="2122">
        <f>SUMIF('RGL Download'!$A$74:$A$101,A48,'RGL Download'!$F$74:$F$101)</f>
        <v>25648000</v>
      </c>
      <c r="J48" s="2123">
        <f>SUMIF('RGL Download'!$A$74:$A$101,A48,'RGL Download'!$G$74:$G$101)</f>
        <v>27047000</v>
      </c>
      <c r="K48" s="2129">
        <f t="shared" ref="K48:K74" si="17">SUM(I48:J48)</f>
        <v>52695000</v>
      </c>
      <c r="L48" s="789">
        <f t="shared" ref="L48:L74" si="18">K48-H48</f>
        <v>-275722945</v>
      </c>
      <c r="M48" s="2142">
        <f>(K48-H48)/H48</f>
        <v>-0.83954896252700195</v>
      </c>
      <c r="N48" s="2222"/>
      <c r="P48" s="2129">
        <v>52695000</v>
      </c>
      <c r="Q48" s="2137">
        <f t="shared" ref="Q48:Q74" si="19">K48-P48</f>
        <v>0</v>
      </c>
    </row>
    <row r="49" spans="1:20" x14ac:dyDescent="0.25">
      <c r="A49" s="2140">
        <v>2512</v>
      </c>
      <c r="B49" t="s">
        <v>1868</v>
      </c>
      <c r="C49" s="2122">
        <f>SUMIF('RGL Download'!$A$8:$A$27,A49,'RGL Download'!$F$8:$F$27)</f>
        <v>0</v>
      </c>
      <c r="D49" s="2123">
        <f>SUMIF('RGL Download'!$A$8:$A$27,A49,'RGL Download'!$G$8:$G$27)</f>
        <v>0</v>
      </c>
      <c r="E49" s="2129">
        <f t="shared" ref="E49:E74" si="20">SUM(C49:D49)</f>
        <v>0</v>
      </c>
      <c r="F49" s="2122">
        <f>SUMIF('RGL Download'!$A$37:$A$64,A49,'RGL Download'!$F$37:$F$64)</f>
        <v>0</v>
      </c>
      <c r="G49" s="2123">
        <f>SUMIF('RGL Download'!$A$37:$A$64,A49,'RGL Download'!$G$37:$G$64)</f>
        <v>0</v>
      </c>
      <c r="H49" s="2129">
        <f t="shared" ref="H49:H74" si="21">SUM(F49:G49)</f>
        <v>0</v>
      </c>
      <c r="I49" s="2122">
        <f>SUMIF('RGL Download'!$A$74:$A$101,A49,'RGL Download'!$F$74:$F$101)</f>
        <v>0</v>
      </c>
      <c r="J49" s="2123">
        <f>SUMIF('RGL Download'!$A$74:$A$101,A49,'RGL Download'!$G$74:$G$101)</f>
        <v>0</v>
      </c>
      <c r="K49" s="2129">
        <f t="shared" si="17"/>
        <v>0</v>
      </c>
      <c r="L49" s="789">
        <f t="shared" si="18"/>
        <v>0</v>
      </c>
      <c r="M49" s="2142">
        <v>0</v>
      </c>
      <c r="N49" s="2222"/>
      <c r="P49" s="2129">
        <v>0</v>
      </c>
      <c r="Q49" s="2137">
        <f t="shared" si="19"/>
        <v>0</v>
      </c>
      <c r="T49" s="2137"/>
    </row>
    <row r="50" spans="1:20" x14ac:dyDescent="0.25">
      <c r="A50" s="2140">
        <v>3064</v>
      </c>
      <c r="B50" t="s">
        <v>1869</v>
      </c>
      <c r="C50" s="2122">
        <f>SUMIF('RGL Download'!$A$8:$A$27,A50,'RGL Download'!$F$8:$F$27)</f>
        <v>0</v>
      </c>
      <c r="D50" s="2123">
        <f>SUMIF('RGL Download'!$A$8:$A$27,A50,'RGL Download'!$G$8:$G$27)</f>
        <v>0</v>
      </c>
      <c r="E50" s="2129">
        <f t="shared" si="20"/>
        <v>0</v>
      </c>
      <c r="F50" s="2122">
        <f>SUMIF('RGL Download'!$A$37:$A$64,A50,'RGL Download'!$F$37:$F$64)</f>
        <v>37525000</v>
      </c>
      <c r="G50" s="2123">
        <f>SUMIF('RGL Download'!$A$37:$A$64,A50,'RGL Download'!$G$37:$G$64)</f>
        <v>58305000</v>
      </c>
      <c r="H50" s="2129">
        <f t="shared" si="21"/>
        <v>95830000</v>
      </c>
      <c r="I50" s="2122">
        <f>SUMIF('RGL Download'!$A$74:$A$101,A50,'RGL Download'!$F$74:$F$101)</f>
        <v>82694000</v>
      </c>
      <c r="J50" s="2123">
        <f>SUMIF('RGL Download'!$A$74:$A$101,A50,'RGL Download'!$G$74:$G$101)</f>
        <v>86685000</v>
      </c>
      <c r="K50" s="2129">
        <f t="shared" si="17"/>
        <v>169379000</v>
      </c>
      <c r="L50" s="789">
        <f t="shared" si="18"/>
        <v>73549000</v>
      </c>
      <c r="M50" s="2142">
        <f t="shared" ref="M50:M60" si="22">(K50-H50)/H50</f>
        <v>0.76749452154857556</v>
      </c>
      <c r="N50" s="2222"/>
      <c r="P50" s="2129">
        <v>169379000</v>
      </c>
      <c r="Q50" s="2137">
        <f t="shared" si="19"/>
        <v>0</v>
      </c>
    </row>
    <row r="51" spans="1:20" x14ac:dyDescent="0.25">
      <c r="A51" s="2140">
        <v>3074</v>
      </c>
      <c r="B51" t="s">
        <v>1870</v>
      </c>
      <c r="C51" s="2122">
        <f>SUMIF('RGL Download'!$A$8:$A$27,A51,'RGL Download'!$F$8:$F$27)</f>
        <v>0</v>
      </c>
      <c r="D51" s="2123">
        <f>SUMIF('RGL Download'!$A$8:$A$27,A51,'RGL Download'!$G$8:$G$27)</f>
        <v>0</v>
      </c>
      <c r="E51" s="2129">
        <f t="shared" si="20"/>
        <v>0</v>
      </c>
      <c r="F51" s="2122">
        <f>SUMIF('RGL Download'!$A$37:$A$64,A51,'RGL Download'!$F$37:$F$64)</f>
        <v>65747000</v>
      </c>
      <c r="G51" s="2123">
        <f>SUMIF('RGL Download'!$A$37:$A$64,A51,'RGL Download'!$G$37:$G$64)</f>
        <v>63063000</v>
      </c>
      <c r="H51" s="2129">
        <f t="shared" si="21"/>
        <v>128810000</v>
      </c>
      <c r="I51" s="2122">
        <f>SUMIF('RGL Download'!$A$74:$A$101,A51,'RGL Download'!$F$74:$F$101)</f>
        <v>93509000</v>
      </c>
      <c r="J51" s="2123">
        <f>SUMIF('RGL Download'!$A$74:$A$101,A51,'RGL Download'!$G$74:$G$101)</f>
        <v>98125000</v>
      </c>
      <c r="K51" s="2129">
        <f t="shared" si="17"/>
        <v>191634000</v>
      </c>
      <c r="L51" s="789">
        <f t="shared" si="18"/>
        <v>62824000</v>
      </c>
      <c r="M51" s="2142">
        <f t="shared" si="22"/>
        <v>0.48772610822141138</v>
      </c>
      <c r="N51" s="2222"/>
      <c r="P51" s="2129">
        <v>191634000</v>
      </c>
      <c r="Q51" s="2137">
        <f t="shared" si="19"/>
        <v>0</v>
      </c>
    </row>
    <row r="52" spans="1:20" x14ac:dyDescent="0.25">
      <c r="A52" s="2140">
        <v>3324</v>
      </c>
      <c r="B52" t="s">
        <v>1871</v>
      </c>
      <c r="C52" s="2122">
        <f>SUMIF('RGL Download'!$A$8:$A$27,A52,'RGL Download'!$F$8:$F$27)</f>
        <v>122669000</v>
      </c>
      <c r="D52" s="2123">
        <f>SUMIF('RGL Download'!$A$8:$A$27,A52,'RGL Download'!$G$8:$G$27)</f>
        <v>125635000</v>
      </c>
      <c r="E52" s="2129">
        <f t="shared" si="20"/>
        <v>248304000</v>
      </c>
      <c r="F52" s="2122">
        <f>SUMIF('RGL Download'!$A$37:$A$64,A52,'RGL Download'!$F$37:$F$64)</f>
        <v>130140000</v>
      </c>
      <c r="G52" s="2123">
        <f>SUMIF('RGL Download'!$A$37:$A$64,A52,'RGL Download'!$G$37:$G$64)</f>
        <v>134499000</v>
      </c>
      <c r="H52" s="2129">
        <f t="shared" si="21"/>
        <v>264639000</v>
      </c>
      <c r="I52" s="2122">
        <f>SUMIF('RGL Download'!$A$74:$A$101,A52,'RGL Download'!$F$74:$F$101)</f>
        <v>141250000</v>
      </c>
      <c r="J52" s="2123">
        <f>SUMIF('RGL Download'!$A$74:$A$101,A52,'RGL Download'!$G$74:$G$101)</f>
        <v>145488000</v>
      </c>
      <c r="K52" s="2129">
        <f t="shared" si="17"/>
        <v>286738000</v>
      </c>
      <c r="L52" s="789">
        <f t="shared" si="18"/>
        <v>22099000</v>
      </c>
      <c r="M52" s="2142">
        <f t="shared" si="22"/>
        <v>8.350621034692543E-2</v>
      </c>
      <c r="N52" s="2222"/>
      <c r="P52" s="2129">
        <v>286738000</v>
      </c>
      <c r="Q52" s="2137">
        <f t="shared" si="19"/>
        <v>0</v>
      </c>
    </row>
    <row r="53" spans="1:20" x14ac:dyDescent="0.25">
      <c r="A53" s="2140">
        <v>3325</v>
      </c>
      <c r="B53" t="s">
        <v>1872</v>
      </c>
      <c r="C53" s="2122">
        <f>SUMIF('RGL Download'!$A$8:$A$27,A53,'RGL Download'!$F$8:$F$27)</f>
        <v>89908000</v>
      </c>
      <c r="D53" s="2123">
        <f>SUMIF('RGL Download'!$A$8:$A$27,A53,'RGL Download'!$G$8:$G$27)</f>
        <v>94934000</v>
      </c>
      <c r="E53" s="2129">
        <f t="shared" si="20"/>
        <v>184842000</v>
      </c>
      <c r="F53" s="2122">
        <f>SUMIF('RGL Download'!$A$37:$A$64,A53,'RGL Download'!$F$37:$F$64)</f>
        <v>76037000</v>
      </c>
      <c r="G53" s="2123">
        <f>SUMIF('RGL Download'!$A$37:$A$64,A53,'RGL Download'!$G$37:$G$64)</f>
        <v>75404000</v>
      </c>
      <c r="H53" s="2129">
        <f t="shared" si="21"/>
        <v>151441000</v>
      </c>
      <c r="I53" s="2122">
        <f>SUMIF('RGL Download'!$A$74:$A$101,A53,'RGL Download'!$F$74:$F$101)</f>
        <v>76705000</v>
      </c>
      <c r="J53" s="2123">
        <f>SUMIF('RGL Download'!$A$74:$A$101,A53,'RGL Download'!$G$74:$G$101)</f>
        <v>76763000</v>
      </c>
      <c r="K53" s="2129">
        <f t="shared" si="17"/>
        <v>153468000</v>
      </c>
      <c r="L53" s="789">
        <f t="shared" si="18"/>
        <v>2027000</v>
      </c>
      <c r="M53" s="2142">
        <f t="shared" si="22"/>
        <v>1.338475049689318E-2</v>
      </c>
      <c r="N53" s="2222"/>
      <c r="P53" s="2129">
        <v>153468000</v>
      </c>
      <c r="Q53" s="2137">
        <f t="shared" si="19"/>
        <v>0</v>
      </c>
    </row>
    <row r="54" spans="1:20" x14ac:dyDescent="0.25">
      <c r="A54" s="2140">
        <v>3328</v>
      </c>
      <c r="B54" t="s">
        <v>1873</v>
      </c>
      <c r="C54" s="2122">
        <f>SUMIF('RGL Download'!$A$8:$A$27,A54,'RGL Download'!$F$8:$F$27)</f>
        <v>1679865000</v>
      </c>
      <c r="D54" s="2123">
        <f>SUMIF('RGL Download'!$A$8:$A$27,A54,'RGL Download'!$G$8:$G$27)</f>
        <v>1787026000</v>
      </c>
      <c r="E54" s="2129">
        <f t="shared" si="20"/>
        <v>3466891000</v>
      </c>
      <c r="F54" s="2122">
        <f>SUMIF('RGL Download'!$A$37:$A$64,A54,'RGL Download'!$F$37:$F$64)</f>
        <v>2347428000</v>
      </c>
      <c r="G54" s="2123">
        <f>SUMIF('RGL Download'!$A$37:$A$64,A54,'RGL Download'!$G$37:$G$64)</f>
        <v>2454407000</v>
      </c>
      <c r="H54" s="2129">
        <f t="shared" si="21"/>
        <v>4801835000</v>
      </c>
      <c r="I54" s="2122">
        <f>SUMIF('RGL Download'!$A$74:$A$101,A54,'RGL Download'!$F$74:$F$101)</f>
        <v>2341894000</v>
      </c>
      <c r="J54" s="2123">
        <f>SUMIF('RGL Download'!$A$74:$A$101,A54,'RGL Download'!$G$74:$G$101)</f>
        <v>2417537000</v>
      </c>
      <c r="K54" s="2129">
        <f t="shared" si="17"/>
        <v>4759431000</v>
      </c>
      <c r="L54" s="789">
        <f t="shared" si="18"/>
        <v>-42404000</v>
      </c>
      <c r="M54" s="2142">
        <f t="shared" si="22"/>
        <v>-8.8307907289609071E-3</v>
      </c>
      <c r="N54" s="2222"/>
      <c r="P54" s="2129">
        <v>4759431000</v>
      </c>
      <c r="Q54" s="2137">
        <f t="shared" si="19"/>
        <v>0</v>
      </c>
    </row>
    <row r="55" spans="1:20" x14ac:dyDescent="0.25">
      <c r="A55" s="2140">
        <v>3329</v>
      </c>
      <c r="B55" t="s">
        <v>1167</v>
      </c>
      <c r="C55" s="2122">
        <f>SUMIF('RGL Download'!$A$8:$A$27,A55,'RGL Download'!$F$8:$F$27)</f>
        <v>23902000</v>
      </c>
      <c r="D55" s="2123">
        <f>SUMIF('RGL Download'!$A$8:$A$27,A55,'RGL Download'!$G$8:$G$27)</f>
        <v>25322000</v>
      </c>
      <c r="E55" s="2129">
        <f t="shared" si="20"/>
        <v>49224000</v>
      </c>
      <c r="F55" s="2122">
        <f>SUMIF('RGL Download'!$A$37:$A$64,A55,'RGL Download'!$F$37:$F$64)</f>
        <v>25788000</v>
      </c>
      <c r="G55" s="2123">
        <f>SUMIF('RGL Download'!$A$37:$A$64,A55,'RGL Download'!$G$37:$G$64)</f>
        <v>25152000</v>
      </c>
      <c r="H55" s="2129">
        <f t="shared" si="21"/>
        <v>50940000</v>
      </c>
      <c r="I55" s="2122">
        <f>SUMIF('RGL Download'!$A$74:$A$101,A55,'RGL Download'!$F$74:$F$101)</f>
        <v>25011000</v>
      </c>
      <c r="J55" s="2123">
        <f>SUMIF('RGL Download'!$A$74:$A$101,A55,'RGL Download'!$G$74:$G$101)</f>
        <v>25022000</v>
      </c>
      <c r="K55" s="2129">
        <f t="shared" si="17"/>
        <v>50033000</v>
      </c>
      <c r="L55" s="789">
        <f t="shared" si="18"/>
        <v>-907000</v>
      </c>
      <c r="M55" s="2142">
        <f t="shared" si="22"/>
        <v>-1.7805261091480173E-2</v>
      </c>
      <c r="N55" s="2222"/>
      <c r="P55" s="2129">
        <v>50033000</v>
      </c>
      <c r="Q55" s="2137">
        <f t="shared" si="19"/>
        <v>0</v>
      </c>
    </row>
    <row r="56" spans="1:20" x14ac:dyDescent="0.25">
      <c r="A56" s="2140">
        <v>3335</v>
      </c>
      <c r="B56" t="s">
        <v>1874</v>
      </c>
      <c r="C56" s="2122">
        <f>SUMIF('RGL Download'!$A$8:$A$27,A56,'RGL Download'!$F$8:$F$27)</f>
        <v>126189000</v>
      </c>
      <c r="D56" s="2123">
        <f>SUMIF('RGL Download'!$A$8:$A$27,A56,'RGL Download'!$G$8:$G$27)</f>
        <v>173735000</v>
      </c>
      <c r="E56" s="2129">
        <f t="shared" si="20"/>
        <v>299924000</v>
      </c>
      <c r="F56" s="2122">
        <f>SUMIF('RGL Download'!$A$37:$A$64,A56,'RGL Download'!$F$37:$F$64)</f>
        <v>249739000</v>
      </c>
      <c r="G56" s="2123">
        <f>SUMIF('RGL Download'!$A$37:$A$64,A56,'RGL Download'!$G$37:$G$64)</f>
        <v>241840000</v>
      </c>
      <c r="H56" s="2129">
        <f t="shared" si="21"/>
        <v>491579000</v>
      </c>
      <c r="I56" s="2122">
        <f>SUMIF('RGL Download'!$A$74:$A$101,A56,'RGL Download'!$F$74:$F$101)</f>
        <v>249644000</v>
      </c>
      <c r="J56" s="2123">
        <f>SUMIF('RGL Download'!$A$74:$A$101,A56,'RGL Download'!$G$74:$G$101)</f>
        <v>257082000</v>
      </c>
      <c r="K56" s="2129">
        <f t="shared" si="17"/>
        <v>506726000</v>
      </c>
      <c r="L56" s="789">
        <f t="shared" si="18"/>
        <v>15147000</v>
      </c>
      <c r="M56" s="2142">
        <f t="shared" si="22"/>
        <v>3.0812951733088678E-2</v>
      </c>
      <c r="N56" s="2222"/>
      <c r="P56" s="2129">
        <v>506726000</v>
      </c>
      <c r="Q56" s="2137">
        <f t="shared" si="19"/>
        <v>0</v>
      </c>
    </row>
    <row r="57" spans="1:20" x14ac:dyDescent="0.25">
      <c r="A57" s="2140">
        <v>3340</v>
      </c>
      <c r="B57" t="s">
        <v>1169</v>
      </c>
      <c r="C57" s="2122">
        <f>SUMIF('RGL Download'!$A$8:$A$27,A57,'RGL Download'!$F$8:$F$27)</f>
        <v>860351000</v>
      </c>
      <c r="D57" s="2123">
        <f>SUMIF('RGL Download'!$A$8:$A$27,A57,'RGL Download'!$G$8:$G$27)</f>
        <v>918578000</v>
      </c>
      <c r="E57" s="2129">
        <f t="shared" si="20"/>
        <v>1778929000</v>
      </c>
      <c r="F57" s="2122">
        <f>SUMIF('RGL Download'!$A$37:$A$64,A57,'RGL Download'!$F$37:$F$64)</f>
        <v>1012450000</v>
      </c>
      <c r="G57" s="2123">
        <f>SUMIF('RGL Download'!$A$37:$A$64,A57,'RGL Download'!$G$37:$G$64)</f>
        <v>1080279000</v>
      </c>
      <c r="H57" s="2129">
        <f t="shared" si="21"/>
        <v>2092729000</v>
      </c>
      <c r="I57" s="2122">
        <f>SUMIF('RGL Download'!$A$74:$A$101,A57,'RGL Download'!$F$74:$F$101)</f>
        <v>1208120000</v>
      </c>
      <c r="J57" s="2123">
        <f>SUMIF('RGL Download'!$A$74:$A$101,A57,'RGL Download'!$G$74:$G$101)</f>
        <v>1281818000</v>
      </c>
      <c r="K57" s="2129">
        <f t="shared" si="17"/>
        <v>2489938000</v>
      </c>
      <c r="L57" s="789">
        <f t="shared" si="18"/>
        <v>397209000</v>
      </c>
      <c r="M57" s="2142">
        <f t="shared" si="22"/>
        <v>0.18980431771146669</v>
      </c>
      <c r="N57" s="2222"/>
      <c r="P57" s="2129">
        <v>2489938000</v>
      </c>
      <c r="Q57" s="2137">
        <f t="shared" si="19"/>
        <v>0</v>
      </c>
    </row>
    <row r="58" spans="1:20" x14ac:dyDescent="0.25">
      <c r="A58" s="2140">
        <v>3536</v>
      </c>
      <c r="B58" t="s">
        <v>1876</v>
      </c>
      <c r="C58" s="2122">
        <f>SUMIF('RGL Download'!$A$8:$A$27,A58,'RGL Download'!$F$8:$F$27)</f>
        <v>5000000</v>
      </c>
      <c r="D58" s="2123">
        <f>SUMIF('RGL Download'!$A$8:$A$27,A58,'RGL Download'!$G$8:$G$27)</f>
        <v>5000000</v>
      </c>
      <c r="E58" s="2129">
        <f t="shared" si="20"/>
        <v>10000000</v>
      </c>
      <c r="F58" s="2122">
        <f>SUMIF('RGL Download'!$A$37:$A$64,A58,'RGL Download'!$F$37:$F$64)</f>
        <v>7500000</v>
      </c>
      <c r="G58" s="2123">
        <f>SUMIF('RGL Download'!$A$37:$A$64,A58,'RGL Download'!$G$37:$G$64)</f>
        <v>7500000</v>
      </c>
      <c r="H58" s="2129">
        <f t="shared" si="21"/>
        <v>15000000</v>
      </c>
      <c r="I58" s="2122">
        <f>SUMIF('RGL Download'!$A$74:$A$101,A58,'RGL Download'!$F$74:$F$101)</f>
        <v>7000000</v>
      </c>
      <c r="J58" s="2123">
        <f>SUMIF('RGL Download'!$A$74:$A$101,A58,'RGL Download'!$G$74:$G$101)</f>
        <v>7000000</v>
      </c>
      <c r="K58" s="2129">
        <f t="shared" si="17"/>
        <v>14000000</v>
      </c>
      <c r="L58" s="789">
        <f t="shared" si="18"/>
        <v>-1000000</v>
      </c>
      <c r="M58" s="2142">
        <f t="shared" si="22"/>
        <v>-6.6666666666666666E-2</v>
      </c>
      <c r="N58" s="2222"/>
      <c r="P58" s="2129">
        <v>14000000</v>
      </c>
      <c r="Q58" s="2137">
        <f t="shared" si="19"/>
        <v>0</v>
      </c>
    </row>
    <row r="59" spans="1:20" x14ac:dyDescent="0.25">
      <c r="A59" s="2140">
        <v>3867</v>
      </c>
      <c r="B59" t="s">
        <v>1171</v>
      </c>
      <c r="C59" s="2122">
        <f>SUMIF('RGL Download'!$A$8:$A$27,A59,'RGL Download'!$F$8:$F$27)</f>
        <v>3997500</v>
      </c>
      <c r="D59" s="2123">
        <f>SUMIF('RGL Download'!$A$8:$A$27,A59,'RGL Download'!$G$8:$G$27)</f>
        <v>3366900</v>
      </c>
      <c r="E59" s="2129">
        <f t="shared" si="20"/>
        <v>7364400</v>
      </c>
      <c r="F59" s="2122">
        <f>SUMIF('RGL Download'!$A$37:$A$64,A59,'RGL Download'!$F$37:$F$64)</f>
        <v>3500000</v>
      </c>
      <c r="G59" s="2123">
        <f>SUMIF('RGL Download'!$A$37:$A$64,A59,'RGL Download'!$G$37:$G$64)</f>
        <v>3500000</v>
      </c>
      <c r="H59" s="2129">
        <f t="shared" si="21"/>
        <v>7000000</v>
      </c>
      <c r="I59" s="2122">
        <f>SUMIF('RGL Download'!$A$74:$A$101,A59,'RGL Download'!$F$74:$F$101)</f>
        <v>3250000</v>
      </c>
      <c r="J59" s="2123">
        <f>SUMIF('RGL Download'!$A$74:$A$101,A59,'RGL Download'!$G$74:$G$101)</f>
        <v>3500000</v>
      </c>
      <c r="K59" s="2129">
        <f t="shared" si="17"/>
        <v>6750000</v>
      </c>
      <c r="L59" s="789">
        <f>K59-H59</f>
        <v>-250000</v>
      </c>
      <c r="M59" s="2142">
        <f t="shared" si="22"/>
        <v>-3.5714285714285712E-2</v>
      </c>
      <c r="N59" s="2222"/>
      <c r="P59" s="2129">
        <v>6750000</v>
      </c>
      <c r="Q59" s="2137">
        <f t="shared" si="19"/>
        <v>0</v>
      </c>
    </row>
    <row r="60" spans="1:20" x14ac:dyDescent="0.25">
      <c r="A60" s="2140">
        <v>3868</v>
      </c>
      <c r="B60" t="s">
        <v>1878</v>
      </c>
      <c r="C60" s="2122">
        <f>SUMIF('RGL Download'!$A$8:$A$27,A60,'RGL Download'!$F$8:$F$27)</f>
        <v>28667000</v>
      </c>
      <c r="D60" s="2123">
        <f>SUMIF('RGL Download'!$A$8:$A$27,A60,'RGL Download'!$G$8:$G$27)</f>
        <v>28936000</v>
      </c>
      <c r="E60" s="2129">
        <f t="shared" si="20"/>
        <v>57603000</v>
      </c>
      <c r="F60" s="2122">
        <f>SUMIF('RGL Download'!$A$37:$A$64,A60,'RGL Download'!$F$37:$F$64)</f>
        <v>19602000</v>
      </c>
      <c r="G60" s="2123">
        <f>SUMIF('RGL Download'!$A$37:$A$64,A60,'RGL Download'!$G$37:$G$64)</f>
        <v>19223000</v>
      </c>
      <c r="H60" s="2129">
        <f t="shared" si="21"/>
        <v>38825000</v>
      </c>
      <c r="I60" s="2122">
        <f>SUMIF('RGL Download'!$A$74:$A$101,A60,'RGL Download'!$F$74:$F$101)</f>
        <v>27047000</v>
      </c>
      <c r="J60" s="2123">
        <f>SUMIF('RGL Download'!$A$74:$A$101,A60,'RGL Download'!$G$74:$G$101)</f>
        <v>28348000</v>
      </c>
      <c r="K60" s="2129">
        <f t="shared" si="17"/>
        <v>55395000</v>
      </c>
      <c r="L60" s="789">
        <f t="shared" si="18"/>
        <v>16570000</v>
      </c>
      <c r="M60" s="2142">
        <f t="shared" si="22"/>
        <v>0.4267868641339343</v>
      </c>
      <c r="N60" s="2222"/>
      <c r="P60" s="2129">
        <v>55395000</v>
      </c>
      <c r="Q60" s="2137">
        <f t="shared" si="19"/>
        <v>0</v>
      </c>
    </row>
    <row r="61" spans="1:20" x14ac:dyDescent="0.25">
      <c r="A61" s="2140">
        <v>4105</v>
      </c>
      <c r="B61" t="s">
        <v>2179</v>
      </c>
      <c r="C61" s="2122">
        <f>SUMIF('RGL Download'!$A$8:$A$27,A61,'RGL Download'!$F$8:$F$27)</f>
        <v>0</v>
      </c>
      <c r="D61" s="2123">
        <f>SUMIF('RGL Download'!$A$8:$A$27,A61,'RGL Download'!$G$8:$G$27)</f>
        <v>0</v>
      </c>
      <c r="E61" s="2129">
        <f t="shared" si="20"/>
        <v>0</v>
      </c>
      <c r="F61" s="2122">
        <f>SUMIF('RGL Download'!$A$37:$A$64,A61,'RGL Download'!$F$37:$F$64)</f>
        <v>0</v>
      </c>
      <c r="G61" s="2123">
        <f>SUMIF('RGL Download'!$A$37:$A$64,A61,'RGL Download'!$G$37:$G$64)</f>
        <v>0</v>
      </c>
      <c r="H61" s="2129">
        <f t="shared" si="21"/>
        <v>0</v>
      </c>
      <c r="I61" s="2122">
        <f>SUMIF('RGL Download'!$A$74:$A$101,A61,'RGL Download'!$F$74:$F$101)</f>
        <v>0</v>
      </c>
      <c r="J61" s="2123">
        <f>SUMIF('RGL Download'!$A$74:$A$101,A61,'RGL Download'!$G$74:$G$101)</f>
        <v>0</v>
      </c>
      <c r="K61" s="2129">
        <f t="shared" si="17"/>
        <v>0</v>
      </c>
      <c r="L61" s="789">
        <f t="shared" si="18"/>
        <v>0</v>
      </c>
      <c r="M61" s="2142">
        <v>0</v>
      </c>
      <c r="N61" s="2222"/>
      <c r="P61" s="2129">
        <v>0</v>
      </c>
      <c r="Q61" s="2137">
        <f t="shared" si="19"/>
        <v>0</v>
      </c>
    </row>
    <row r="62" spans="1:20" x14ac:dyDescent="0.25">
      <c r="A62" s="2140">
        <v>4152</v>
      </c>
      <c r="B62" t="s">
        <v>1879</v>
      </c>
      <c r="C62" s="2122">
        <f>SUMIF('RGL Download'!$A$8:$A$27,A62,'RGL Download'!$F$8:$F$27)</f>
        <v>290100</v>
      </c>
      <c r="D62" s="2123">
        <f>SUMIF('RGL Download'!$A$8:$A$27,A62,'RGL Download'!$G$8:$G$27)</f>
        <v>361800</v>
      </c>
      <c r="E62" s="2129">
        <f t="shared" si="20"/>
        <v>651900</v>
      </c>
      <c r="F62" s="2122">
        <f>SUMIF('RGL Download'!$A$37:$A$64,A62,'RGL Download'!$F$37:$F$64)</f>
        <v>740000</v>
      </c>
      <c r="G62" s="2123">
        <f>SUMIF('RGL Download'!$A$37:$A$64,A62,'RGL Download'!$G$37:$G$64)</f>
        <v>740000</v>
      </c>
      <c r="H62" s="2129">
        <f t="shared" si="21"/>
        <v>1480000</v>
      </c>
      <c r="I62" s="2122">
        <f>SUMIF('RGL Download'!$A$74:$A$101,A62,'RGL Download'!$F$74:$F$101)</f>
        <v>750000</v>
      </c>
      <c r="J62" s="2123">
        <f>SUMIF('RGL Download'!$A$74:$A$101,A62,'RGL Download'!$G$74:$G$101)</f>
        <v>750000</v>
      </c>
      <c r="K62" s="2129">
        <f t="shared" si="17"/>
        <v>1500000</v>
      </c>
      <c r="L62" s="789">
        <f t="shared" si="18"/>
        <v>20000</v>
      </c>
      <c r="M62" s="2142">
        <f>(K62-H62)/H62</f>
        <v>1.3513513513513514E-2</v>
      </c>
      <c r="N62" s="2222"/>
      <c r="P62" s="2129">
        <v>1500000</v>
      </c>
      <c r="Q62" s="2137">
        <f t="shared" si="19"/>
        <v>0</v>
      </c>
    </row>
    <row r="63" spans="1:20" x14ac:dyDescent="0.25">
      <c r="A63" s="2140">
        <v>4157</v>
      </c>
      <c r="B63" t="s">
        <v>1880</v>
      </c>
      <c r="C63" s="2122">
        <f>SUMIF('RGL Download'!$A$8:$A$27,A63,'RGL Download'!$F$8:$F$27)</f>
        <v>0</v>
      </c>
      <c r="D63" s="2123">
        <f>SUMIF('RGL Download'!$A$8:$A$27,A63,'RGL Download'!$G$8:$G$27)</f>
        <v>0</v>
      </c>
      <c r="E63" s="2129">
        <f t="shared" si="20"/>
        <v>0</v>
      </c>
      <c r="F63" s="2122">
        <f>SUMIF('RGL Download'!$A$37:$A$64,A63,'RGL Download'!$F$37:$F$64)</f>
        <v>50000</v>
      </c>
      <c r="G63" s="2123">
        <f>SUMIF('RGL Download'!$A$37:$A$64,A63,'RGL Download'!$G$37:$G$64)</f>
        <v>50000</v>
      </c>
      <c r="H63" s="2129">
        <f t="shared" si="21"/>
        <v>100000</v>
      </c>
      <c r="I63" s="2122">
        <f>SUMIF('RGL Download'!$A$74:$A$101,A63,'RGL Download'!$F$74:$F$101)</f>
        <v>50000</v>
      </c>
      <c r="J63" s="2123">
        <f>SUMIF('RGL Download'!$A$74:$A$101,A63,'RGL Download'!$G$74:$G$101)</f>
        <v>50000</v>
      </c>
      <c r="K63" s="2129">
        <f t="shared" si="17"/>
        <v>100000</v>
      </c>
      <c r="L63" s="789">
        <f t="shared" si="18"/>
        <v>0</v>
      </c>
      <c r="M63" s="2142">
        <f>(K63-H63)/H63</f>
        <v>0</v>
      </c>
      <c r="N63" s="2222"/>
      <c r="P63" s="2129">
        <v>100000</v>
      </c>
      <c r="Q63" s="2137">
        <f t="shared" si="19"/>
        <v>0</v>
      </c>
    </row>
    <row r="64" spans="1:20" x14ac:dyDescent="0.25">
      <c r="A64" s="2140">
        <v>4203</v>
      </c>
      <c r="B64" t="s">
        <v>1881</v>
      </c>
      <c r="C64" s="2122">
        <f>SUMIF('RGL Download'!$A$8:$A$27,A64,'RGL Download'!$F$8:$F$27)</f>
        <v>0</v>
      </c>
      <c r="D64" s="2123">
        <f>SUMIF('RGL Download'!$A$8:$A$27,A64,'RGL Download'!$G$8:$G$27)</f>
        <v>0</v>
      </c>
      <c r="E64" s="2129">
        <f t="shared" si="20"/>
        <v>0</v>
      </c>
      <c r="F64" s="2122">
        <f>SUMIF('RGL Download'!$A$37:$A$64,A64,'RGL Download'!$F$37:$F$64)</f>
        <v>0</v>
      </c>
      <c r="G64" s="2123">
        <f>SUMIF('RGL Download'!$A$37:$A$64,A64,'RGL Download'!$G$37:$G$64)</f>
        <v>0</v>
      </c>
      <c r="H64" s="2129">
        <f t="shared" si="21"/>
        <v>0</v>
      </c>
      <c r="I64" s="2122">
        <f>SUMIF('RGL Download'!$A$74:$A$101,A64,'RGL Download'!$F$74:$F$101)</f>
        <v>0</v>
      </c>
      <c r="J64" s="2123">
        <f>SUMIF('RGL Download'!$A$74:$A$101,A64,'RGL Download'!$G$74:$G$101)</f>
        <v>0</v>
      </c>
      <c r="K64" s="2129">
        <f t="shared" si="17"/>
        <v>0</v>
      </c>
      <c r="L64" s="789">
        <f t="shared" si="18"/>
        <v>0</v>
      </c>
      <c r="M64" s="2142">
        <v>0</v>
      </c>
      <c r="N64" s="2222"/>
      <c r="P64" s="2129">
        <v>0</v>
      </c>
      <c r="Q64" s="2137">
        <f t="shared" si="19"/>
        <v>0</v>
      </c>
    </row>
    <row r="65" spans="1:17" x14ac:dyDescent="0.25">
      <c r="A65" s="2140">
        <v>4251</v>
      </c>
      <c r="B65" t="s">
        <v>1176</v>
      </c>
      <c r="C65" s="2122">
        <f>SUMIF('RGL Download'!$A$8:$A$27,A65,'RGL Download'!$F$8:$F$27)</f>
        <v>0</v>
      </c>
      <c r="D65" s="2123">
        <f>SUMIF('RGL Download'!$A$8:$A$27,A65,'RGL Download'!$G$8:$G$27)</f>
        <v>0</v>
      </c>
      <c r="E65" s="2129">
        <f t="shared" si="20"/>
        <v>0</v>
      </c>
      <c r="F65" s="2122">
        <f>SUMIF('RGL Download'!$A$37:$A$64,A65,'RGL Download'!$F$37:$F$64)</f>
        <v>900</v>
      </c>
      <c r="G65" s="2123">
        <f>SUMIF('RGL Download'!$A$37:$A$64,A65,'RGL Download'!$G$37:$G$64)</f>
        <v>900</v>
      </c>
      <c r="H65" s="2129">
        <f t="shared" si="21"/>
        <v>1800</v>
      </c>
      <c r="I65" s="2122">
        <f>SUMIF('RGL Download'!$A$74:$A$101,A65,'RGL Download'!$F$74:$F$101)</f>
        <v>1000</v>
      </c>
      <c r="J65" s="2123">
        <f>SUMIF('RGL Download'!$A$74:$A$101,A65,'RGL Download'!$G$74:$G$101)</f>
        <v>1000</v>
      </c>
      <c r="K65" s="2129">
        <f t="shared" si="17"/>
        <v>2000</v>
      </c>
      <c r="L65" s="789">
        <f t="shared" si="18"/>
        <v>200</v>
      </c>
      <c r="M65" s="2142">
        <f>(K65-H65)/H65</f>
        <v>0.1111111111111111</v>
      </c>
      <c r="N65" s="2222"/>
      <c r="P65" s="2129">
        <v>2000</v>
      </c>
      <c r="Q65" s="2137">
        <f t="shared" si="19"/>
        <v>0</v>
      </c>
    </row>
    <row r="66" spans="1:17" x14ac:dyDescent="0.25">
      <c r="A66" s="2140">
        <v>4326</v>
      </c>
      <c r="B66" t="s">
        <v>1177</v>
      </c>
      <c r="C66" s="2122">
        <f>SUMIF('RGL Download'!$A$8:$A$27,A66,'RGL Download'!$F$8:$F$27)</f>
        <v>228000</v>
      </c>
      <c r="D66" s="2123">
        <f>SUMIF('RGL Download'!$A$8:$A$27,A66,'RGL Download'!$G$8:$G$27)</f>
        <v>603000</v>
      </c>
      <c r="E66" s="2129">
        <f t="shared" si="20"/>
        <v>831000</v>
      </c>
      <c r="F66" s="2122">
        <f>SUMIF('RGL Download'!$A$37:$A$64,A66,'RGL Download'!$F$37:$F$64)</f>
        <v>18569000</v>
      </c>
      <c r="G66" s="2123">
        <f>SUMIF('RGL Download'!$A$37:$A$64,A66,'RGL Download'!$G$37:$G$64)</f>
        <v>14540000</v>
      </c>
      <c r="H66" s="2129">
        <f t="shared" si="21"/>
        <v>33109000</v>
      </c>
      <c r="I66" s="2122">
        <f>SUMIF('RGL Download'!$A$74:$A$101,A66,'RGL Download'!$F$74:$F$101)</f>
        <v>10034000</v>
      </c>
      <c r="J66" s="2123">
        <f>SUMIF('RGL Download'!$A$74:$A$101,A66,'RGL Download'!$G$74:$G$101)</f>
        <v>9814000</v>
      </c>
      <c r="K66" s="2129">
        <f t="shared" si="17"/>
        <v>19848000</v>
      </c>
      <c r="L66" s="789">
        <f t="shared" si="18"/>
        <v>-13261000</v>
      </c>
      <c r="M66" s="2142">
        <f>(K66-H66)/H66</f>
        <v>-0.40052553686308856</v>
      </c>
      <c r="N66" s="2222"/>
      <c r="P66" s="2129">
        <v>19848000</v>
      </c>
      <c r="Q66" s="2137">
        <f t="shared" si="19"/>
        <v>0</v>
      </c>
    </row>
    <row r="67" spans="1:17" x14ac:dyDescent="0.25">
      <c r="A67" s="2140">
        <v>4588</v>
      </c>
      <c r="B67" t="s">
        <v>2186</v>
      </c>
      <c r="C67" s="2122">
        <f>SUMIF('RGL Download'!$A$8:$A$27,A67,'RGL Download'!$F$8:$F$27)</f>
        <v>0</v>
      </c>
      <c r="D67" s="2123">
        <f>SUMIF('RGL Download'!$A$8:$A$27,A67,'RGL Download'!$G$8:$G$27)</f>
        <v>0</v>
      </c>
      <c r="E67" s="2129">
        <f t="shared" si="20"/>
        <v>0</v>
      </c>
      <c r="F67" s="2122">
        <f>SUMIF('RGL Download'!$A$37:$A$64,A67,'RGL Download'!$F$37:$F$64)</f>
        <v>11000</v>
      </c>
      <c r="G67" s="2123">
        <f>SUMIF('RGL Download'!$A$37:$A$64,A67,'RGL Download'!$G$37:$G$64)</f>
        <v>11000</v>
      </c>
      <c r="H67" s="2129">
        <f t="shared" si="21"/>
        <v>22000</v>
      </c>
      <c r="I67" s="2122">
        <f>SUMIF('RGL Download'!$A$74:$A$101,A67,'RGL Download'!$F$74:$F$101)</f>
        <v>0</v>
      </c>
      <c r="J67" s="2123">
        <f>SUMIF('RGL Download'!$A$74:$A$101,A67,'RGL Download'!$G$74:$G$101)</f>
        <v>0</v>
      </c>
      <c r="K67" s="2129">
        <f t="shared" si="17"/>
        <v>0</v>
      </c>
      <c r="L67" s="789">
        <f t="shared" si="18"/>
        <v>-22000</v>
      </c>
      <c r="M67" s="2142">
        <f>(K67-H67)/H67</f>
        <v>-1</v>
      </c>
      <c r="N67" s="2222"/>
      <c r="P67" s="2129">
        <v>0</v>
      </c>
      <c r="Q67" s="2137">
        <f t="shared" si="19"/>
        <v>0</v>
      </c>
    </row>
    <row r="68" spans="1:17" x14ac:dyDescent="0.25">
      <c r="A68" s="2140">
        <v>4621</v>
      </c>
      <c r="B68" t="s">
        <v>1179</v>
      </c>
      <c r="C68" s="2122">
        <f>SUMIF('RGL Download'!$A$8:$A$27,A68,'RGL Download'!$F$8:$F$27)</f>
        <v>148000</v>
      </c>
      <c r="D68" s="2123">
        <f>SUMIF('RGL Download'!$A$8:$A$27,A68,'RGL Download'!$G$8:$G$27)</f>
        <v>148000</v>
      </c>
      <c r="E68" s="2129">
        <f t="shared" si="20"/>
        <v>296000</v>
      </c>
      <c r="F68" s="2122">
        <f>SUMIF('RGL Download'!$A$37:$A$64,A68,'RGL Download'!$F$37:$F$64)</f>
        <v>34000</v>
      </c>
      <c r="G68" s="2123">
        <f>SUMIF('RGL Download'!$A$37:$A$64,A68,'RGL Download'!$G$37:$G$64)</f>
        <v>34000</v>
      </c>
      <c r="H68" s="2129">
        <f t="shared" si="21"/>
        <v>68000</v>
      </c>
      <c r="I68" s="2122">
        <f>SUMIF('RGL Download'!$A$74:$A$101,A68,'RGL Download'!$F$74:$F$101)</f>
        <v>500000</v>
      </c>
      <c r="J68" s="2123">
        <f>SUMIF('RGL Download'!$A$74:$A$101,A68,'RGL Download'!$G$74:$G$101)</f>
        <v>500000</v>
      </c>
      <c r="K68" s="2129">
        <f t="shared" si="17"/>
        <v>1000000</v>
      </c>
      <c r="L68" s="789">
        <f t="shared" si="18"/>
        <v>932000</v>
      </c>
      <c r="M68" s="2142">
        <f>(K68-H68)/H68</f>
        <v>13.705882352941176</v>
      </c>
      <c r="N68" s="2222"/>
      <c r="P68" s="2129">
        <v>1000000</v>
      </c>
      <c r="Q68" s="2137">
        <f t="shared" si="19"/>
        <v>0</v>
      </c>
    </row>
    <row r="69" spans="1:17" x14ac:dyDescent="0.25">
      <c r="A69" s="2140">
        <v>4669</v>
      </c>
      <c r="B69" t="s">
        <v>1181</v>
      </c>
      <c r="C69" s="2122">
        <f>SUMIF('RGL Download'!$A$8:$A$27,A69,'RGL Download'!$F$8:$F$27)</f>
        <v>0</v>
      </c>
      <c r="D69" s="2123">
        <f>SUMIF('RGL Download'!$A$8:$A$27,A69,'RGL Download'!$G$8:$G$27)</f>
        <v>0</v>
      </c>
      <c r="E69" s="2129">
        <f t="shared" si="20"/>
        <v>0</v>
      </c>
      <c r="F69" s="2122">
        <f>SUMIF('RGL Download'!$A$37:$A$64,A69,'RGL Download'!$F$37:$F$64)</f>
        <v>0</v>
      </c>
      <c r="G69" s="2123">
        <f>SUMIF('RGL Download'!$A$37:$A$64,A69,'RGL Download'!$G$37:$G$64)</f>
        <v>0</v>
      </c>
      <c r="H69" s="2129">
        <f t="shared" si="21"/>
        <v>0</v>
      </c>
      <c r="I69" s="2122">
        <f>SUMIF('RGL Download'!$A$74:$A$101,A69,'RGL Download'!$F$74:$F$101)</f>
        <v>0</v>
      </c>
      <c r="J69" s="2123">
        <f>SUMIF('RGL Download'!$A$74:$A$101,A69,'RGL Download'!$G$74:$G$101)</f>
        <v>0</v>
      </c>
      <c r="K69" s="2129">
        <f t="shared" si="17"/>
        <v>0</v>
      </c>
      <c r="L69" s="789">
        <f t="shared" si="18"/>
        <v>0</v>
      </c>
      <c r="M69" s="2142">
        <v>0</v>
      </c>
      <c r="N69" s="2222"/>
      <c r="P69" s="2129">
        <v>0</v>
      </c>
      <c r="Q69" s="2137">
        <f t="shared" si="19"/>
        <v>0</v>
      </c>
    </row>
    <row r="70" spans="1:17" x14ac:dyDescent="0.25">
      <c r="A70" s="2140">
        <v>4770</v>
      </c>
      <c r="B70" t="s">
        <v>1182</v>
      </c>
      <c r="C70" s="2122">
        <f>SUMIF('RGL Download'!$A$8:$A$27,A70,'RGL Download'!$F$8:$F$27)</f>
        <v>729000</v>
      </c>
      <c r="D70" s="2123">
        <f>SUMIF('RGL Download'!$A$8:$A$27,A70,'RGL Download'!$G$8:$G$27)</f>
        <v>729000</v>
      </c>
      <c r="E70" s="2129">
        <f t="shared" si="20"/>
        <v>1458000</v>
      </c>
      <c r="F70" s="2122">
        <f>SUMIF('RGL Download'!$A$37:$A$64,A70,'RGL Download'!$F$37:$F$64)</f>
        <v>900000</v>
      </c>
      <c r="G70" s="2123">
        <f>SUMIF('RGL Download'!$A$37:$A$64,A70,'RGL Download'!$G$37:$G$64)</f>
        <v>900000</v>
      </c>
      <c r="H70" s="2129">
        <f t="shared" si="21"/>
        <v>1800000</v>
      </c>
      <c r="I70" s="2122">
        <f>SUMIF('RGL Download'!$A$74:$A$101,A70,'RGL Download'!$F$74:$F$101)</f>
        <v>800000</v>
      </c>
      <c r="J70" s="2123">
        <f>SUMIF('RGL Download'!$A$74:$A$101,A70,'RGL Download'!$G$74:$G$101)</f>
        <v>800000</v>
      </c>
      <c r="K70" s="2129">
        <f t="shared" si="17"/>
        <v>1600000</v>
      </c>
      <c r="L70" s="789">
        <f t="shared" si="18"/>
        <v>-200000</v>
      </c>
      <c r="M70" s="2142">
        <f t="shared" ref="M70:M75" si="23">(K70-H70)/H70</f>
        <v>-0.1111111111111111</v>
      </c>
      <c r="N70" s="2222"/>
      <c r="P70" s="2129">
        <v>1600000</v>
      </c>
      <c r="Q70" s="2137">
        <f t="shared" si="19"/>
        <v>0</v>
      </c>
    </row>
    <row r="71" spans="1:17" x14ac:dyDescent="0.25">
      <c r="A71" s="2140">
        <v>4771</v>
      </c>
      <c r="B71" t="s">
        <v>1183</v>
      </c>
      <c r="C71" s="2271">
        <f>SUMIF('RGL Download'!$A$8:$A$27,A71,'RGL Download'!$F$8:$F$27)</f>
        <v>60312470</v>
      </c>
      <c r="D71" s="2272">
        <f>SUMIF('RGL Download'!$A$8:$A$27,A71,'RGL Download'!$G$8:$G$27)</f>
        <v>63631649</v>
      </c>
      <c r="E71" s="2145">
        <f t="shared" si="20"/>
        <v>123944119</v>
      </c>
      <c r="F71" s="2271">
        <f>SUMIF('RGL Download'!$A$37:$A$64,A71,'RGL Download'!$F$37:$F$64)</f>
        <v>40504000</v>
      </c>
      <c r="G71" s="2272">
        <f>SUMIF('RGL Download'!$A$37:$A$64,A71,'RGL Download'!$G$37:$G$64)</f>
        <v>40907000</v>
      </c>
      <c r="H71" s="2145">
        <f t="shared" si="21"/>
        <v>81411000</v>
      </c>
      <c r="I71" s="2271">
        <f>SUMIF('RGL Download'!$A$74:$A$101,A71,'RGL Download'!$F$74:$F$101)</f>
        <v>17832115</v>
      </c>
      <c r="J71" s="2272">
        <f>SUMIF('RGL Download'!$A$74:$A$101,A71,'RGL Download'!$G$74:$G$101)</f>
        <v>16713499</v>
      </c>
      <c r="K71" s="2145">
        <f t="shared" si="17"/>
        <v>34545614</v>
      </c>
      <c r="L71" s="2284">
        <f t="shared" si="18"/>
        <v>-46865386</v>
      </c>
      <c r="M71" s="2142">
        <f t="shared" si="23"/>
        <v>-0.57566405031261136</v>
      </c>
      <c r="N71" s="2222"/>
      <c r="P71" s="2129">
        <v>34545614</v>
      </c>
      <c r="Q71" s="2137">
        <f t="shared" si="19"/>
        <v>0</v>
      </c>
    </row>
    <row r="72" spans="1:17" ht="15.75" thickBot="1" x14ac:dyDescent="0.3">
      <c r="A72" s="2291">
        <v>4869</v>
      </c>
      <c r="B72" s="2290" t="s">
        <v>1884</v>
      </c>
      <c r="C72" s="2286">
        <f>SUMIF('RGL Download'!$A$8:$A$27,A72,'RGL Download'!$F$8:$F$27)</f>
        <v>10516000</v>
      </c>
      <c r="D72" s="2287">
        <f>SUMIF('RGL Download'!$A$8:$A$27,A72,'RGL Download'!$G$8:$G$27)</f>
        <v>11577000</v>
      </c>
      <c r="E72" s="2288">
        <f t="shared" si="20"/>
        <v>22093000</v>
      </c>
      <c r="F72" s="2286">
        <f>SUMIF('RGL Download'!$A$37:$A$64,A72,'RGL Download'!$F$37:$F$64)</f>
        <v>13447000</v>
      </c>
      <c r="G72" s="2287">
        <f>SUMIF('RGL Download'!$A$37:$A$64,A72,'RGL Download'!$G$37:$G$64)</f>
        <v>11501000</v>
      </c>
      <c r="H72" s="2288">
        <f t="shared" si="21"/>
        <v>24948000</v>
      </c>
      <c r="I72" s="2286">
        <f>SUMIF('RGL Download'!$A$74:$A$101,A72,'RGL Download'!$F$74:$F$101)</f>
        <v>10124000</v>
      </c>
      <c r="J72" s="2287">
        <f>SUMIF('RGL Download'!$A$74:$A$101,A72,'RGL Download'!$G$74:$G$101)</f>
        <v>9960000</v>
      </c>
      <c r="K72" s="2288">
        <f t="shared" si="17"/>
        <v>20084000</v>
      </c>
      <c r="L72" s="2289">
        <f t="shared" si="18"/>
        <v>-4864000</v>
      </c>
      <c r="M72" s="2143">
        <f t="shared" si="23"/>
        <v>-0.19496552829886163</v>
      </c>
      <c r="N72" s="2222"/>
      <c r="P72" s="2288">
        <v>20084000</v>
      </c>
      <c r="Q72" s="2137">
        <f t="shared" si="19"/>
        <v>0</v>
      </c>
    </row>
    <row r="73" spans="1:17" x14ac:dyDescent="0.25">
      <c r="A73" s="2140">
        <v>8600</v>
      </c>
      <c r="B73" t="s">
        <v>1890</v>
      </c>
      <c r="C73" s="2122">
        <f>SUMIF('RGL Download'!$A$8:$A$27,A73,'RGL Download'!$F$8:$F$27)</f>
        <v>4410326643</v>
      </c>
      <c r="D73" s="2123">
        <f>SUMIF('RGL Download'!$A$8:$A$27,A73,'RGL Download'!$G$8:$G$27)</f>
        <v>4463364280</v>
      </c>
      <c r="E73" s="2124">
        <f t="shared" si="20"/>
        <v>8873690923</v>
      </c>
      <c r="F73" s="2122">
        <f>SUMIF('RGL Download'!$A$37:$A$64,A73,'RGL Download'!$F$37:$F$64)</f>
        <v>5476921809</v>
      </c>
      <c r="G73" s="2123">
        <f>SUMIF('RGL Download'!$A$37:$A$64,A73,'RGL Download'!$G$37:$G$64)</f>
        <v>5720230864</v>
      </c>
      <c r="H73" s="2124">
        <f t="shared" si="21"/>
        <v>11197152673</v>
      </c>
      <c r="I73" s="2122">
        <f>SUMIF('RGL Download'!$A$74:$A$101,A73,'RGL Download'!$F$74:$F$101)</f>
        <v>5892154691</v>
      </c>
      <c r="J73" s="2123">
        <f>SUMIF('RGL Download'!$A$74:$A$101,A73,'RGL Download'!$G$74:$G$101)</f>
        <v>5928509789</v>
      </c>
      <c r="K73" s="2124">
        <f t="shared" si="17"/>
        <v>11820664480</v>
      </c>
      <c r="L73" s="2285">
        <f t="shared" si="18"/>
        <v>623511807</v>
      </c>
      <c r="M73" s="2144">
        <f t="shared" si="23"/>
        <v>5.5684853570273363E-2</v>
      </c>
      <c r="N73" s="2223"/>
      <c r="P73" s="2124">
        <v>11889723589</v>
      </c>
      <c r="Q73" s="2137">
        <f>K73-P73</f>
        <v>-69059109</v>
      </c>
    </row>
    <row r="74" spans="1:17" ht="15.75" thickBot="1" x14ac:dyDescent="0.3">
      <c r="A74" s="2140">
        <v>9178</v>
      </c>
      <c r="B74" t="s">
        <v>2050</v>
      </c>
      <c r="C74" s="2122">
        <f>SUMIF('RGL Download'!$A$8:$A$27,A74,'RGL Download'!$F$8:$F$27)</f>
        <v>0</v>
      </c>
      <c r="D74" s="2123">
        <f>SUMIF('RGL Download'!$A$8:$A$27,A74,'RGL Download'!$G$8:$G$27)</f>
        <v>0</v>
      </c>
      <c r="E74" s="2145">
        <f t="shared" si="20"/>
        <v>0</v>
      </c>
      <c r="F74" s="2122">
        <f>SUMIF('RGL Download'!$A$37:$A$64,A74,'RGL Download'!$F$37:$F$64)</f>
        <v>19602000</v>
      </c>
      <c r="G74" s="2123">
        <f>SUMIF('RGL Download'!$A$37:$A$64,A74,'RGL Download'!$G$37:$G$64)</f>
        <v>19223000</v>
      </c>
      <c r="H74" s="2145">
        <f t="shared" si="21"/>
        <v>38825000</v>
      </c>
      <c r="I74" s="2122">
        <f>SUMIF('RGL Download'!$A$74:$A$101,A74,'RGL Download'!$F$74:$F$101)</f>
        <v>27047000</v>
      </c>
      <c r="J74" s="2123">
        <f>SUMIF('RGL Download'!$A$74:$A$101,A74,'RGL Download'!$G$74:$G$101)</f>
        <v>28348000</v>
      </c>
      <c r="K74" s="2145">
        <f t="shared" si="17"/>
        <v>55395000</v>
      </c>
      <c r="L74" s="789">
        <f t="shared" si="18"/>
        <v>16570000</v>
      </c>
      <c r="M74" s="2146">
        <f t="shared" si="23"/>
        <v>0.4267868641339343</v>
      </c>
      <c r="N74" s="2223"/>
      <c r="P74" s="2145">
        <v>55395000</v>
      </c>
      <c r="Q74" s="2137">
        <f t="shared" si="19"/>
        <v>0</v>
      </c>
    </row>
    <row r="75" spans="1:17" ht="15.75" thickBot="1" x14ac:dyDescent="0.3">
      <c r="A75" s="2138"/>
      <c r="B75" s="2147" t="s">
        <v>156</v>
      </c>
      <c r="C75" s="2148">
        <f>SUM(C47:C72)</f>
        <v>4410326643</v>
      </c>
      <c r="D75" s="2148">
        <f>SUM(D47:D72)</f>
        <v>4463364280</v>
      </c>
      <c r="E75" s="2148">
        <f t="shared" ref="E75" si="24">SUM(E47:E72)</f>
        <v>8873690923</v>
      </c>
      <c r="F75" s="2148">
        <f t="shared" ref="F75:H75" si="25">SUM(F47:F72)</f>
        <v>5496523809</v>
      </c>
      <c r="G75" s="2148">
        <f t="shared" si="25"/>
        <v>5739453864</v>
      </c>
      <c r="H75" s="2148">
        <f t="shared" si="25"/>
        <v>11235977673</v>
      </c>
      <c r="I75" s="2148">
        <f>SUM(I47:I72)</f>
        <v>5919201691</v>
      </c>
      <c r="J75" s="2148">
        <f>SUM(J47:J72)</f>
        <v>5956857789</v>
      </c>
      <c r="K75" s="2149">
        <f>SUM(K47:K72)</f>
        <v>11876059480</v>
      </c>
      <c r="L75" s="2150">
        <f>SUM(L47:L72)</f>
        <v>640081807</v>
      </c>
      <c r="M75" s="2151">
        <f t="shared" si="23"/>
        <v>5.6967166153962148E-2</v>
      </c>
      <c r="N75" s="2223"/>
      <c r="P75" s="2299">
        <f>SUM(P47:P72)</f>
        <v>11945118589</v>
      </c>
      <c r="Q75" s="2137">
        <f>K75-P75</f>
        <v>-69059109</v>
      </c>
    </row>
    <row r="76" spans="1:17" ht="15.75" thickBot="1" x14ac:dyDescent="0.3">
      <c r="I76" s="2154">
        <f>(I75-G75)/G75</f>
        <v>3.1317932203871447E-2</v>
      </c>
      <c r="J76" s="2151">
        <f>(J75-I75)/I75</f>
        <v>6.3616852348949635E-3</v>
      </c>
      <c r="K76" s="2137"/>
      <c r="L76" s="1"/>
    </row>
    <row r="77" spans="1:17" ht="15.75" thickBot="1" x14ac:dyDescent="0.3">
      <c r="I77" s="2223"/>
      <c r="J77" s="2223"/>
      <c r="K77" s="2292" t="s">
        <v>2297</v>
      </c>
      <c r="L77" s="2293">
        <f>K75-H75</f>
        <v>640081807</v>
      </c>
    </row>
    <row r="78" spans="1:17" ht="15.75" thickBot="1" x14ac:dyDescent="0.3">
      <c r="C78" s="2403" t="s">
        <v>2288</v>
      </c>
      <c r="D78" s="2404"/>
      <c r="E78" s="2405" t="s">
        <v>2289</v>
      </c>
      <c r="F78" s="2406"/>
      <c r="G78" s="2405" t="s">
        <v>2290</v>
      </c>
      <c r="H78" s="2406"/>
      <c r="I78" s="2223"/>
      <c r="J78" s="2223"/>
      <c r="K78" s="2294" t="s">
        <v>2295</v>
      </c>
      <c r="L78" s="2295">
        <f>SUM(L48:L72)</f>
        <v>204880869</v>
      </c>
    </row>
    <row r="79" spans="1:17" ht="15.75" thickBot="1" x14ac:dyDescent="0.3">
      <c r="C79" s="2266" t="s">
        <v>2060</v>
      </c>
      <c r="D79" s="2267" t="s">
        <v>2061</v>
      </c>
      <c r="E79" s="2266" t="s">
        <v>2063</v>
      </c>
      <c r="F79" s="2267" t="s">
        <v>2064</v>
      </c>
      <c r="G79" s="2266" t="s">
        <v>2283</v>
      </c>
      <c r="H79" s="2267" t="s">
        <v>2284</v>
      </c>
      <c r="I79" s="2223"/>
      <c r="J79" s="2223"/>
      <c r="K79" s="2296" t="s">
        <v>2294</v>
      </c>
      <c r="L79" s="2297">
        <f>L47</f>
        <v>435200938</v>
      </c>
    </row>
    <row r="80" spans="1:17" ht="15.75" thickBot="1" x14ac:dyDescent="0.3">
      <c r="B80" s="2268" t="s">
        <v>2287</v>
      </c>
      <c r="C80" s="2269">
        <v>6980</v>
      </c>
      <c r="D80" s="2270">
        <v>7074</v>
      </c>
      <c r="E80" s="2269">
        <v>8966</v>
      </c>
      <c r="F80" s="2270">
        <v>9414</v>
      </c>
      <c r="G80" s="2269">
        <v>9416</v>
      </c>
      <c r="H80" s="2270">
        <v>9486</v>
      </c>
      <c r="I80" s="2223"/>
      <c r="J80" s="2223"/>
      <c r="K80" s="2296" t="s">
        <v>2296</v>
      </c>
      <c r="L80" s="2297">
        <f>SUM(L78:L79)</f>
        <v>640081807</v>
      </c>
    </row>
    <row r="81" spans="2:12" x14ac:dyDescent="0.25">
      <c r="I81" s="2223"/>
      <c r="J81" s="2223"/>
      <c r="K81" s="2137"/>
      <c r="L81" s="1"/>
    </row>
    <row r="82" spans="2:12" x14ac:dyDescent="0.25">
      <c r="I82" s="2223"/>
      <c r="J82" s="2223"/>
      <c r="K82" s="2137"/>
      <c r="L82" s="1"/>
    </row>
    <row r="83" spans="2:12" x14ac:dyDescent="0.25">
      <c r="I83" s="2223"/>
      <c r="J83" s="2223"/>
      <c r="K83" s="2137"/>
      <c r="L83" s="1"/>
    </row>
    <row r="84" spans="2:12" x14ac:dyDescent="0.25">
      <c r="I84" s="2223"/>
      <c r="J84" s="2223"/>
      <c r="K84" s="2137"/>
      <c r="L84" s="1"/>
    </row>
    <row r="85" spans="2:12" x14ac:dyDescent="0.25">
      <c r="I85" s="2223"/>
      <c r="J85" s="2223"/>
      <c r="K85" s="2137"/>
      <c r="L85" s="1"/>
    </row>
    <row r="86" spans="2:12" x14ac:dyDescent="0.25">
      <c r="I86" s="2223"/>
      <c r="J86" s="2223"/>
      <c r="K86" s="2137"/>
      <c r="L86" s="1"/>
    </row>
    <row r="87" spans="2:12" x14ac:dyDescent="0.25">
      <c r="I87" s="2223"/>
      <c r="J87" s="2223"/>
      <c r="K87" s="2137"/>
      <c r="L87" s="1"/>
    </row>
    <row r="88" spans="2:12" x14ac:dyDescent="0.25">
      <c r="I88" s="2223"/>
      <c r="J88" s="2223"/>
      <c r="K88" s="2137"/>
      <c r="L88" s="1"/>
    </row>
    <row r="89" spans="2:12" x14ac:dyDescent="0.25">
      <c r="I89" s="2223"/>
      <c r="J89" s="2223"/>
      <c r="K89" s="2137"/>
      <c r="L89" s="1"/>
    </row>
    <row r="90" spans="2:12" x14ac:dyDescent="0.25">
      <c r="I90" s="2223"/>
      <c r="J90" s="2223"/>
      <c r="K90" s="2137"/>
      <c r="L90" s="1"/>
    </row>
    <row r="91" spans="2:12" x14ac:dyDescent="0.25">
      <c r="I91" s="2223"/>
      <c r="J91" s="2223"/>
      <c r="K91" s="2137"/>
      <c r="L91" s="1"/>
    </row>
    <row r="92" spans="2:12" x14ac:dyDescent="0.25">
      <c r="I92" s="2223"/>
      <c r="J92" s="2223"/>
      <c r="K92" s="2137"/>
      <c r="L92" s="1"/>
    </row>
    <row r="93" spans="2:12" x14ac:dyDescent="0.25">
      <c r="I93" s="2223"/>
      <c r="J93" s="2223"/>
      <c r="K93" s="2137"/>
      <c r="L93" s="1"/>
    </row>
    <row r="94" spans="2:12" ht="15.75" thickBot="1" x14ac:dyDescent="0.3">
      <c r="B94" s="2393" t="s">
        <v>1394</v>
      </c>
      <c r="C94" s="2393"/>
      <c r="D94" s="2393"/>
      <c r="E94" s="2393"/>
      <c r="F94" s="2393"/>
      <c r="G94" s="2393"/>
      <c r="H94" s="2393"/>
      <c r="I94" s="2393"/>
      <c r="J94" s="2223"/>
      <c r="K94" s="2137"/>
      <c r="L94" s="1"/>
    </row>
    <row r="95" spans="2:12" x14ac:dyDescent="0.25">
      <c r="B95" s="2249"/>
      <c r="C95" s="2250" t="s">
        <v>2281</v>
      </c>
      <c r="D95" s="2250" t="s">
        <v>2281</v>
      </c>
      <c r="E95" s="2250" t="s">
        <v>2281</v>
      </c>
      <c r="F95" s="2250" t="s">
        <v>2281</v>
      </c>
      <c r="G95" s="2250" t="s">
        <v>2281</v>
      </c>
      <c r="H95" s="2251" t="s">
        <v>2281</v>
      </c>
    </row>
    <row r="96" spans="2:12" ht="15.75" thickBot="1" x14ac:dyDescent="0.3">
      <c r="B96" s="2252" t="s">
        <v>1228</v>
      </c>
      <c r="C96" s="2244">
        <v>2022</v>
      </c>
      <c r="D96" s="2244">
        <v>2023</v>
      </c>
      <c r="E96" s="2244">
        <v>2024</v>
      </c>
      <c r="F96" s="2244">
        <v>2025</v>
      </c>
      <c r="G96" s="2244">
        <v>2026</v>
      </c>
      <c r="H96" s="2262">
        <v>2027</v>
      </c>
    </row>
    <row r="97" spans="2:9" ht="16.5" thickTop="1" thickBot="1" x14ac:dyDescent="0.3">
      <c r="B97" s="2253" t="s">
        <v>270</v>
      </c>
      <c r="C97" s="2245">
        <v>7606.0979191062243</v>
      </c>
      <c r="D97" s="2245">
        <v>7622.6938860399223</v>
      </c>
      <c r="E97" s="2245">
        <v>7200.2984639728293</v>
      </c>
      <c r="F97" s="2245">
        <v>7207.4987624368023</v>
      </c>
      <c r="G97" s="2245">
        <v>6995.1888471000002</v>
      </c>
      <c r="H97" s="2254">
        <v>6995.1888471000002</v>
      </c>
      <c r="I97" s="2248"/>
    </row>
    <row r="98" spans="2:9" ht="16.5" thickTop="1" thickBot="1" x14ac:dyDescent="0.3">
      <c r="B98" s="2253" t="s">
        <v>271</v>
      </c>
      <c r="C98" s="2245">
        <v>3196.3699089019619</v>
      </c>
      <c r="D98" s="2245">
        <v>3203.3441616502405</v>
      </c>
      <c r="E98" s="2245">
        <v>3191.1266236748447</v>
      </c>
      <c r="F98" s="2245">
        <v>3194.3177502985195</v>
      </c>
      <c r="G98" s="2245">
        <v>3147.3864392</v>
      </c>
      <c r="H98" s="2254">
        <v>3147.3864392</v>
      </c>
      <c r="I98" s="2248"/>
    </row>
    <row r="99" spans="2:9" ht="16.5" thickTop="1" thickBot="1" x14ac:dyDescent="0.3">
      <c r="B99" s="2253" t="s">
        <v>273</v>
      </c>
      <c r="C99" s="2245">
        <v>309190.66574710899</v>
      </c>
      <c r="D99" s="2245">
        <v>309219.9707436036</v>
      </c>
      <c r="E99" s="2245">
        <v>293209.81057058816</v>
      </c>
      <c r="F99" s="2245">
        <v>293503.02038115874</v>
      </c>
      <c r="G99" s="2245">
        <v>288546.18787845003</v>
      </c>
      <c r="H99" s="2254">
        <v>288546.18787845003</v>
      </c>
      <c r="I99" s="2248"/>
    </row>
    <row r="100" spans="2:9" ht="16.5" thickTop="1" thickBot="1" x14ac:dyDescent="0.3">
      <c r="B100" s="2253" t="s">
        <v>275</v>
      </c>
      <c r="C100" s="2245">
        <v>5412.2718175991249</v>
      </c>
      <c r="D100" s="2245">
        <v>5424.0810113639636</v>
      </c>
      <c r="E100" s="2245">
        <v>5165.4763710930883</v>
      </c>
      <c r="F100" s="2245">
        <v>5170.6418474641814</v>
      </c>
      <c r="G100" s="2245">
        <v>4933.4900532500005</v>
      </c>
      <c r="H100" s="2254">
        <v>4933.4900532500005</v>
      </c>
      <c r="I100" s="2248"/>
    </row>
    <row r="101" spans="2:9" ht="16.5" thickTop="1" thickBot="1" x14ac:dyDescent="0.3">
      <c r="B101" s="2253" t="s">
        <v>277</v>
      </c>
      <c r="C101" s="2245">
        <v>9562.7264867370777</v>
      </c>
      <c r="D101" s="2245">
        <v>9583.5916786209746</v>
      </c>
      <c r="E101" s="2245">
        <v>9808.5957553950393</v>
      </c>
      <c r="F101" s="2245">
        <v>9818.4043511504351</v>
      </c>
      <c r="G101" s="2245">
        <v>9507.9886650000026</v>
      </c>
      <c r="H101" s="2254">
        <v>9507.9886650000026</v>
      </c>
      <c r="I101" s="2248"/>
    </row>
    <row r="102" spans="2:9" ht="16.5" thickTop="1" thickBot="1" x14ac:dyDescent="0.3">
      <c r="B102" s="2253" t="s">
        <v>279</v>
      </c>
      <c r="C102" s="2245">
        <v>94.832946437890527</v>
      </c>
      <c r="D102" s="2245">
        <v>95.039865210176501</v>
      </c>
      <c r="E102" s="2245">
        <v>77.315222103844732</v>
      </c>
      <c r="F102" s="2245">
        <v>77.392537325948581</v>
      </c>
      <c r="G102" s="2245">
        <v>88.934956249999999</v>
      </c>
      <c r="H102" s="2254">
        <v>88.934956249999999</v>
      </c>
      <c r="I102" s="2248"/>
    </row>
    <row r="103" spans="2:9" ht="16.5" thickTop="1" thickBot="1" x14ac:dyDescent="0.3">
      <c r="B103" s="2253" t="s">
        <v>281</v>
      </c>
      <c r="C103" s="2245">
        <v>323.70543440791937</v>
      </c>
      <c r="D103" s="2245">
        <v>324.4117367383426</v>
      </c>
      <c r="E103" s="2245">
        <v>323.70253352744805</v>
      </c>
      <c r="F103" s="2245">
        <v>324.02623606097552</v>
      </c>
      <c r="G103" s="2245">
        <v>300.24168144999999</v>
      </c>
      <c r="H103" s="2254">
        <v>300.24168144999999</v>
      </c>
      <c r="I103" s="2248"/>
    </row>
    <row r="104" spans="2:9" ht="16.5" thickTop="1" thickBot="1" x14ac:dyDescent="0.3">
      <c r="B104" s="2253" t="s">
        <v>283</v>
      </c>
      <c r="C104" s="2245">
        <v>3294.4270444665867</v>
      </c>
      <c r="D104" s="2245">
        <v>3301.6152509394619</v>
      </c>
      <c r="E104" s="2245">
        <v>3182.6225722447102</v>
      </c>
      <c r="F104" s="2245">
        <v>3185.805194816955</v>
      </c>
      <c r="G104" s="2245">
        <v>3182.3725798</v>
      </c>
      <c r="H104" s="2254">
        <v>3182.3725798</v>
      </c>
      <c r="I104" s="2248"/>
    </row>
    <row r="105" spans="2:9" ht="16.5" thickTop="1" thickBot="1" x14ac:dyDescent="0.3">
      <c r="B105" s="2253" t="s">
        <v>285</v>
      </c>
      <c r="C105" s="2245">
        <v>1013.9080426374818</v>
      </c>
      <c r="D105" s="2245">
        <v>1016.1203181732927</v>
      </c>
      <c r="E105" s="2245">
        <v>1002.8726085550823</v>
      </c>
      <c r="F105" s="2245">
        <v>1003.8754811636373</v>
      </c>
      <c r="G105" s="2245">
        <v>1010.5261711999999</v>
      </c>
      <c r="H105" s="2254">
        <v>1010.5261711999999</v>
      </c>
      <c r="I105" s="2248"/>
    </row>
    <row r="106" spans="2:9" ht="16.5" thickTop="1" thickBot="1" x14ac:dyDescent="0.3">
      <c r="B106" s="2253" t="s">
        <v>287</v>
      </c>
      <c r="C106" s="2245">
        <v>826.39704006332465</v>
      </c>
      <c r="D106" s="2245">
        <v>828.20017987257495</v>
      </c>
      <c r="E106" s="2245">
        <v>883.01945001270019</v>
      </c>
      <c r="F106" s="2245">
        <v>883.90246946271293</v>
      </c>
      <c r="G106" s="2245">
        <v>867.36418594999998</v>
      </c>
      <c r="H106" s="2254">
        <v>867.36418594999998</v>
      </c>
      <c r="I106" s="2248"/>
    </row>
    <row r="107" spans="2:9" ht="16.5" thickTop="1" thickBot="1" x14ac:dyDescent="0.3">
      <c r="B107" s="2253" t="s">
        <v>289</v>
      </c>
      <c r="C107" s="2245">
        <v>9003.1931780647537</v>
      </c>
      <c r="D107" s="2245">
        <v>9022.8375078998361</v>
      </c>
      <c r="E107" s="2245">
        <v>9036.0334518079708</v>
      </c>
      <c r="F107" s="2245">
        <v>9045.069485259779</v>
      </c>
      <c r="G107" s="2245">
        <v>8957.4803927499997</v>
      </c>
      <c r="H107" s="2254">
        <v>8957.4803927499997</v>
      </c>
      <c r="I107" s="2248"/>
    </row>
    <row r="108" spans="2:9" ht="16.5" thickTop="1" thickBot="1" x14ac:dyDescent="0.3">
      <c r="B108" s="2253" t="s">
        <v>291</v>
      </c>
      <c r="C108" s="2245">
        <v>553.06460991180938</v>
      </c>
      <c r="D108" s="2245">
        <v>554.27135771809753</v>
      </c>
      <c r="E108" s="2245">
        <v>567.43327210269706</v>
      </c>
      <c r="F108" s="2245">
        <v>568.00070537479974</v>
      </c>
      <c r="G108" s="2245">
        <v>543.36936969999999</v>
      </c>
      <c r="H108" s="2254">
        <v>543.36936969999999</v>
      </c>
      <c r="I108" s="2248"/>
    </row>
    <row r="109" spans="2:9" ht="16.5" thickTop="1" thickBot="1" x14ac:dyDescent="0.3">
      <c r="B109" s="2253" t="s">
        <v>293</v>
      </c>
      <c r="C109" s="2245">
        <v>5332.5005602122419</v>
      </c>
      <c r="D109" s="2245">
        <v>5344.1356987435129</v>
      </c>
      <c r="E109" s="2245">
        <v>5588.923509690796</v>
      </c>
      <c r="F109" s="2245">
        <v>5594.5124332004871</v>
      </c>
      <c r="G109" s="2245">
        <v>5440.4455700000008</v>
      </c>
      <c r="H109" s="2254">
        <v>5440.4455700000008</v>
      </c>
      <c r="I109" s="2248"/>
    </row>
    <row r="110" spans="2:9" ht="16.5" thickTop="1" thickBot="1" x14ac:dyDescent="0.3">
      <c r="B110" s="2253" t="s">
        <v>295</v>
      </c>
      <c r="C110" s="2245">
        <v>650.9379249749461</v>
      </c>
      <c r="D110" s="2245">
        <v>652.35822542251685</v>
      </c>
      <c r="E110" s="2245">
        <v>660.16040063426465</v>
      </c>
      <c r="F110" s="2245">
        <v>660.8205610348989</v>
      </c>
      <c r="G110" s="2245">
        <v>632.09964564999996</v>
      </c>
      <c r="H110" s="2254">
        <v>632.09964564999996</v>
      </c>
      <c r="I110" s="2248"/>
    </row>
    <row r="111" spans="2:9" ht="16.5" thickTop="1" thickBot="1" x14ac:dyDescent="0.3">
      <c r="B111" s="2253" t="s">
        <v>297</v>
      </c>
      <c r="C111" s="2245">
        <v>457.85495438491591</v>
      </c>
      <c r="D111" s="2245">
        <v>458.85396146636748</v>
      </c>
      <c r="E111" s="2245">
        <v>413.05444673325331</v>
      </c>
      <c r="F111" s="2245">
        <v>413.46750117998658</v>
      </c>
      <c r="G111" s="2245">
        <v>393.52697899999998</v>
      </c>
      <c r="H111" s="2254">
        <v>393.52697899999998</v>
      </c>
      <c r="I111" s="2248"/>
    </row>
    <row r="112" spans="2:9" ht="16.5" thickTop="1" thickBot="1" x14ac:dyDescent="0.3">
      <c r="B112" s="2253" t="s">
        <v>299</v>
      </c>
      <c r="C112" s="2245">
        <v>62977.548767253356</v>
      </c>
      <c r="D112" s="2245">
        <v>63114.961318080677</v>
      </c>
      <c r="E112" s="2245">
        <v>60547.590413175996</v>
      </c>
      <c r="F112" s="2245">
        <v>60608.138003589171</v>
      </c>
      <c r="G112" s="2245">
        <v>59542.67942855</v>
      </c>
      <c r="H112" s="2254">
        <v>59542.67942855</v>
      </c>
      <c r="I112" s="2248"/>
    </row>
    <row r="113" spans="2:9" ht="16.5" thickTop="1" thickBot="1" x14ac:dyDescent="0.3">
      <c r="B113" s="2253" t="s">
        <v>301</v>
      </c>
      <c r="C113" s="2245">
        <v>1229.4081759776564</v>
      </c>
      <c r="D113" s="2245">
        <v>1232.0906575409413</v>
      </c>
      <c r="E113" s="2245">
        <v>1259.3902506538202</v>
      </c>
      <c r="F113" s="2245">
        <v>1260.6496409044739</v>
      </c>
      <c r="G113" s="2245">
        <v>1249.1103254500001</v>
      </c>
      <c r="H113" s="2254">
        <v>1249.1103254500001</v>
      </c>
      <c r="I113" s="2248"/>
    </row>
    <row r="114" spans="2:9" ht="16.5" thickTop="1" thickBot="1" x14ac:dyDescent="0.3">
      <c r="B114" s="2253" t="s">
        <v>305</v>
      </c>
      <c r="C114" s="2247">
        <v>63992.72</v>
      </c>
      <c r="D114" s="2247">
        <f>64951.4224409154-D115</f>
        <v>64777.6824409154</v>
      </c>
      <c r="E114" s="2247">
        <v>69003.49592143159</v>
      </c>
      <c r="F114" s="2247">
        <v>69072.499417353014</v>
      </c>
      <c r="G114" s="2247">
        <v>70418.171000000002</v>
      </c>
      <c r="H114" s="2255">
        <v>70418.171000000002</v>
      </c>
      <c r="I114" s="2248"/>
    </row>
    <row r="115" spans="2:9" ht="16.5" thickTop="1" thickBot="1" x14ac:dyDescent="0.3">
      <c r="B115" s="2256" t="s">
        <v>306</v>
      </c>
      <c r="C115" s="2246">
        <v>173.37</v>
      </c>
      <c r="D115" s="2246">
        <v>173.74</v>
      </c>
      <c r="E115" s="2246">
        <v>162.04408445225002</v>
      </c>
      <c r="F115" s="2246">
        <v>162.20612853670227</v>
      </c>
      <c r="G115" s="2246">
        <v>170.042</v>
      </c>
      <c r="H115" s="2257">
        <v>170.042</v>
      </c>
      <c r="I115" s="2248"/>
    </row>
    <row r="116" spans="2:9" ht="16.5" thickTop="1" thickBot="1" x14ac:dyDescent="0.3">
      <c r="B116" s="2258" t="s">
        <v>156</v>
      </c>
      <c r="C116" s="2259">
        <f t="shared" ref="C116:H116" si="26">SUM(C97:C115)</f>
        <v>484892.00055824628</v>
      </c>
      <c r="D116" s="2260">
        <f t="shared" si="26"/>
        <v>485949.99999999983</v>
      </c>
      <c r="E116" s="2260">
        <f t="shared" si="26"/>
        <v>471282.96592185041</v>
      </c>
      <c r="F116" s="2260">
        <f t="shared" si="26"/>
        <v>471754.24888777226</v>
      </c>
      <c r="G116" s="2260">
        <f t="shared" si="26"/>
        <v>465926.60616875009</v>
      </c>
      <c r="H116" s="2261">
        <f t="shared" si="26"/>
        <v>465926.60616875009</v>
      </c>
      <c r="I116" s="2248"/>
    </row>
  </sheetData>
  <mergeCells count="12">
    <mergeCell ref="W1:W4"/>
    <mergeCell ref="G28:I28"/>
    <mergeCell ref="B94:I94"/>
    <mergeCell ref="Q2:Q4"/>
    <mergeCell ref="K2:K4"/>
    <mergeCell ref="J2:J4"/>
    <mergeCell ref="L2:L4"/>
    <mergeCell ref="O2:O4"/>
    <mergeCell ref="P2:P4"/>
    <mergeCell ref="C78:D78"/>
    <mergeCell ref="E78:F78"/>
    <mergeCell ref="G78:H78"/>
  </mergeCells>
  <pageMargins left="0.7" right="0.7" top="0.75" bottom="0.75" header="0.3" footer="0.3"/>
  <pageSetup paperSize="3" scale="52" fitToHeight="0" orientation="landscape" r:id="rId1"/>
  <rowBreaks count="1" manualBreakCount="1">
    <brk id="87" max="16383" man="1"/>
  </rowBreaks>
  <extLst>
    <ext xmlns:x14="http://schemas.microsoft.com/office/spreadsheetml/2009/9/main" uri="{05C60535-1F16-4fd2-B633-F4F36F0B64E0}">
      <x14:sparklineGroups xmlns:xm="http://schemas.microsoft.com/office/excel/2006/main">
        <x14:sparklineGroup displayEmptyCellsAs="gap" markers="1" negative="1" xr2:uid="{C36B81CA-1CCD-4999-B0BB-DD8B3A23BCBF}">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'Biennial Comparison'!C97:H97</xm:f>
              <xm:sqref>I97</xm:sqref>
            </x14:sparkline>
            <x14:sparkline>
              <xm:f>'Biennial Comparison'!C98:H98</xm:f>
              <xm:sqref>I98</xm:sqref>
            </x14:sparkline>
            <x14:sparkline>
              <xm:f>'Biennial Comparison'!C99:H99</xm:f>
              <xm:sqref>I99</xm:sqref>
            </x14:sparkline>
            <x14:sparkline>
              <xm:f>'Biennial Comparison'!C100:H100</xm:f>
              <xm:sqref>I100</xm:sqref>
            </x14:sparkline>
            <x14:sparkline>
              <xm:f>'Biennial Comparison'!C101:H101</xm:f>
              <xm:sqref>I101</xm:sqref>
            </x14:sparkline>
            <x14:sparkline>
              <xm:f>'Biennial Comparison'!C102:H102</xm:f>
              <xm:sqref>I102</xm:sqref>
            </x14:sparkline>
            <x14:sparkline>
              <xm:f>'Biennial Comparison'!C103:H103</xm:f>
              <xm:sqref>I103</xm:sqref>
            </x14:sparkline>
            <x14:sparkline>
              <xm:f>'Biennial Comparison'!C104:H104</xm:f>
              <xm:sqref>I104</xm:sqref>
            </x14:sparkline>
            <x14:sparkline>
              <xm:f>'Biennial Comparison'!C105:H105</xm:f>
              <xm:sqref>I105</xm:sqref>
            </x14:sparkline>
            <x14:sparkline>
              <xm:f>'Biennial Comparison'!C106:H106</xm:f>
              <xm:sqref>I106</xm:sqref>
            </x14:sparkline>
            <x14:sparkline>
              <xm:f>'Biennial Comparison'!C107:H107</xm:f>
              <xm:sqref>I107</xm:sqref>
            </x14:sparkline>
            <x14:sparkline>
              <xm:f>'Biennial Comparison'!C108:H108</xm:f>
              <xm:sqref>I108</xm:sqref>
            </x14:sparkline>
            <x14:sparkline>
              <xm:f>'Biennial Comparison'!C109:H109</xm:f>
              <xm:sqref>I109</xm:sqref>
            </x14:sparkline>
            <x14:sparkline>
              <xm:f>'Biennial Comparison'!C110:H110</xm:f>
              <xm:sqref>I110</xm:sqref>
            </x14:sparkline>
            <x14:sparkline>
              <xm:f>'Biennial Comparison'!C111:H111</xm:f>
              <xm:sqref>I111</xm:sqref>
            </x14:sparkline>
            <x14:sparkline>
              <xm:f>'Biennial Comparison'!C112:H112</xm:f>
              <xm:sqref>I112</xm:sqref>
            </x14:sparkline>
            <x14:sparkline>
              <xm:f>'Biennial Comparison'!C113:H113</xm:f>
              <xm:sqref>I113</xm:sqref>
            </x14:sparkline>
            <x14:sparkline>
              <xm:f>'Biennial Comparison'!C114:H114</xm:f>
              <xm:sqref>I114</xm:sqref>
            </x14:sparkline>
            <x14:sparkline>
              <xm:f>'Biennial Comparison'!C115:H115</xm:f>
              <xm:sqref>I115</xm:sqref>
            </x14:sparkline>
            <x14:sparkline>
              <xm:f>'Biennial Comparison'!C116:H116</xm:f>
              <xm:sqref>I116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C8B2-0490-489F-8608-6029DD0664B8}">
  <sheetPr>
    <tabColor rgb="FFFFB3B3"/>
  </sheetPr>
  <dimension ref="A1:P30"/>
  <sheetViews>
    <sheetView workbookViewId="0">
      <selection sqref="A1:F1"/>
    </sheetView>
  </sheetViews>
  <sheetFormatPr defaultColWidth="9.140625" defaultRowHeight="15" x14ac:dyDescent="0.25"/>
  <cols>
    <col min="1" max="1" width="20" style="1909" customWidth="1"/>
    <col min="2" max="2" width="8" style="1909" customWidth="1"/>
    <col min="3" max="13" width="9.140625" style="1909"/>
    <col min="14" max="14" width="10.140625" style="1909" bestFit="1" customWidth="1"/>
    <col min="15" max="16384" width="9.140625" style="1909"/>
  </cols>
  <sheetData>
    <row r="1" spans="1:16" ht="15.75" x14ac:dyDescent="0.25">
      <c r="A1" s="2344" t="s">
        <v>104</v>
      </c>
      <c r="B1" s="2342"/>
      <c r="C1" s="2342"/>
      <c r="D1" s="2342"/>
      <c r="E1" s="2342"/>
      <c r="F1" s="2342"/>
    </row>
    <row r="2" spans="1:16" ht="15.75" x14ac:dyDescent="0.25">
      <c r="A2" s="2344" t="s">
        <v>105</v>
      </c>
      <c r="B2" s="2342"/>
      <c r="C2" s="2342"/>
      <c r="D2" s="2342"/>
      <c r="E2" s="2342"/>
      <c r="F2" s="2342"/>
    </row>
    <row r="3" spans="1:16" x14ac:dyDescent="0.25">
      <c r="A3" s="2342"/>
      <c r="B3" s="2342"/>
      <c r="C3" s="2342"/>
      <c r="D3" s="2342"/>
      <c r="E3" s="2342"/>
      <c r="F3" s="2342"/>
    </row>
    <row r="4" spans="1:16" x14ac:dyDescent="0.25">
      <c r="A4" s="2091" t="s">
        <v>106</v>
      </c>
      <c r="B4" s="2341" t="s">
        <v>107</v>
      </c>
      <c r="C4" s="2342"/>
      <c r="D4" s="2342"/>
      <c r="E4" s="2342"/>
      <c r="F4" s="2342"/>
    </row>
    <row r="5" spans="1:16" x14ac:dyDescent="0.25">
      <c r="A5" s="2345" t="s">
        <v>108</v>
      </c>
      <c r="B5" s="2342"/>
      <c r="C5" s="2342"/>
      <c r="D5" s="2342"/>
      <c r="E5" s="2342"/>
      <c r="F5" s="2342"/>
    </row>
    <row r="6" spans="1:16" x14ac:dyDescent="0.25">
      <c r="A6" s="2091" t="s">
        <v>109</v>
      </c>
      <c r="B6" s="2341" t="s">
        <v>110</v>
      </c>
      <c r="C6" s="2342"/>
      <c r="D6" s="2342"/>
      <c r="E6" s="2342"/>
      <c r="F6" s="2342"/>
    </row>
    <row r="7" spans="1:16" x14ac:dyDescent="0.25">
      <c r="A7" s="2091" t="s">
        <v>111</v>
      </c>
      <c r="B7" s="2341" t="s">
        <v>112</v>
      </c>
      <c r="C7" s="2342"/>
      <c r="D7" s="2342"/>
      <c r="E7" s="2342"/>
      <c r="F7" s="2342"/>
    </row>
    <row r="8" spans="1:16" x14ac:dyDescent="0.25">
      <c r="A8" s="2091" t="s">
        <v>113</v>
      </c>
      <c r="B8" s="2341" t="s">
        <v>114</v>
      </c>
      <c r="C8" s="2342"/>
      <c r="D8" s="2342"/>
      <c r="E8" s="2342"/>
      <c r="F8" s="2342"/>
    </row>
    <row r="9" spans="1:16" x14ac:dyDescent="0.25">
      <c r="A9" s="2091" t="s">
        <v>115</v>
      </c>
      <c r="B9" s="2341" t="s">
        <v>116</v>
      </c>
      <c r="C9" s="2342"/>
      <c r="D9" s="2342"/>
      <c r="E9" s="2342"/>
      <c r="F9" s="2342"/>
    </row>
    <row r="10" spans="1:16" x14ac:dyDescent="0.25">
      <c r="A10" s="2091" t="s">
        <v>117</v>
      </c>
      <c r="B10" s="2343" t="s">
        <v>118</v>
      </c>
      <c r="C10" s="2342"/>
      <c r="D10" s="2342"/>
      <c r="E10" s="2342"/>
      <c r="F10" s="2342"/>
    </row>
    <row r="12" spans="1:16" ht="15.75" thickBot="1" x14ac:dyDescent="0.3">
      <c r="A12" s="1910" t="s">
        <v>119</v>
      </c>
      <c r="B12" s="1910" t="s">
        <v>120</v>
      </c>
      <c r="C12" s="1910" t="s">
        <v>121</v>
      </c>
      <c r="D12" s="1910" t="s">
        <v>122</v>
      </c>
      <c r="E12" s="1910" t="s">
        <v>123</v>
      </c>
      <c r="F12" s="1910" t="s">
        <v>124</v>
      </c>
      <c r="G12" s="1910" t="s">
        <v>125</v>
      </c>
      <c r="H12" s="1910" t="s">
        <v>126</v>
      </c>
      <c r="I12" s="1910" t="s">
        <v>127</v>
      </c>
      <c r="J12" s="1910" t="s">
        <v>128</v>
      </c>
      <c r="K12" s="1910" t="s">
        <v>129</v>
      </c>
      <c r="L12" s="1910" t="s">
        <v>130</v>
      </c>
      <c r="M12" s="1910" t="s">
        <v>131</v>
      </c>
      <c r="N12" s="1910" t="s">
        <v>132</v>
      </c>
      <c r="O12" s="1910" t="s">
        <v>133</v>
      </c>
      <c r="P12" s="1910" t="s">
        <v>134</v>
      </c>
    </row>
    <row r="13" spans="1:16" ht="15.75" thickTop="1" x14ac:dyDescent="0.25">
      <c r="A13" s="1911">
        <v>2014</v>
      </c>
      <c r="B13" s="1912">
        <v>236.70699999999999</v>
      </c>
      <c r="C13" s="1912">
        <v>237.614</v>
      </c>
      <c r="D13" s="1912">
        <v>239.09200000000001</v>
      </c>
      <c r="E13" s="1912">
        <v>239.80799999999999</v>
      </c>
      <c r="F13" s="1912">
        <v>241.35</v>
      </c>
      <c r="G13" s="1912">
        <v>241.61600000000001</v>
      </c>
      <c r="H13" s="1912">
        <v>241.85</v>
      </c>
      <c r="I13" s="1912">
        <v>241.66</v>
      </c>
      <c r="J13" s="1912">
        <v>241.92</v>
      </c>
      <c r="K13" s="1912">
        <v>241.65</v>
      </c>
      <c r="L13" s="1912">
        <v>240.22</v>
      </c>
      <c r="M13" s="1912">
        <v>239.095</v>
      </c>
      <c r="N13" s="1912">
        <v>240.215</v>
      </c>
      <c r="O13" s="1912">
        <v>239.36500000000001</v>
      </c>
      <c r="P13" s="1912">
        <v>241.066</v>
      </c>
    </row>
    <row r="14" spans="1:16" x14ac:dyDescent="0.25">
      <c r="A14" s="1911">
        <v>2015</v>
      </c>
      <c r="B14" s="1912">
        <v>238.31800000000001</v>
      </c>
      <c r="C14" s="1912">
        <v>239.74799999999999</v>
      </c>
      <c r="D14" s="1912">
        <v>241.69</v>
      </c>
      <c r="E14" s="1912">
        <v>242.30199999999999</v>
      </c>
      <c r="F14" s="1912">
        <v>244.227</v>
      </c>
      <c r="G14" s="1912">
        <v>244.33199999999999</v>
      </c>
      <c r="H14" s="1912">
        <v>245.04</v>
      </c>
      <c r="I14" s="1912">
        <v>244.73699999999999</v>
      </c>
      <c r="J14" s="1912">
        <v>244.25700000000001</v>
      </c>
      <c r="K14" s="1912">
        <v>244.34100000000001</v>
      </c>
      <c r="L14" s="1912">
        <v>243.749</v>
      </c>
      <c r="M14" s="1912">
        <v>243.434</v>
      </c>
      <c r="N14" s="1912">
        <v>243.01499999999999</v>
      </c>
      <c r="O14" s="1912">
        <v>241.77</v>
      </c>
      <c r="P14" s="1912">
        <v>244.26</v>
      </c>
    </row>
    <row r="15" spans="1:16" x14ac:dyDescent="0.25">
      <c r="A15" s="1911">
        <v>2016</v>
      </c>
      <c r="B15" s="1912">
        <v>244.6</v>
      </c>
      <c r="C15" s="1912">
        <v>244.821</v>
      </c>
      <c r="D15" s="1912">
        <v>245.404</v>
      </c>
      <c r="E15" s="1912">
        <v>246.589</v>
      </c>
      <c r="F15" s="1912">
        <v>247.85499999999999</v>
      </c>
      <c r="G15" s="1912">
        <v>248.22800000000001</v>
      </c>
      <c r="H15" s="1912">
        <v>248.375</v>
      </c>
      <c r="I15" s="1912">
        <v>248.49799999999999</v>
      </c>
      <c r="J15" s="1912">
        <v>249.23400000000001</v>
      </c>
      <c r="K15" s="1912">
        <v>249.89699999999999</v>
      </c>
      <c r="L15" s="1912">
        <v>249.44800000000001</v>
      </c>
      <c r="M15" s="1912">
        <v>249.51599999999999</v>
      </c>
      <c r="N15" s="1912">
        <v>247.70500000000001</v>
      </c>
      <c r="O15" s="1912">
        <v>246.25</v>
      </c>
      <c r="P15" s="1912">
        <v>249.161</v>
      </c>
    </row>
    <row r="16" spans="1:16" x14ac:dyDescent="0.25">
      <c r="A16" s="1911">
        <v>2017</v>
      </c>
      <c r="B16" s="1912">
        <v>250.81399999999999</v>
      </c>
      <c r="C16" s="1912">
        <v>252.25200000000001</v>
      </c>
      <c r="D16" s="1912">
        <v>252.94900000000001</v>
      </c>
      <c r="E16" s="1912">
        <v>253.80600000000001</v>
      </c>
      <c r="F16" s="1912">
        <v>254.38</v>
      </c>
      <c r="G16" s="1912">
        <v>254.46899999999999</v>
      </c>
      <c r="H16" s="1912">
        <v>254.708</v>
      </c>
      <c r="I16" s="1912">
        <v>255.28200000000001</v>
      </c>
      <c r="J16" s="1912">
        <v>256.50400000000002</v>
      </c>
      <c r="K16" s="1912">
        <v>257.22300000000001</v>
      </c>
      <c r="L16" s="1912">
        <v>257.12599999999998</v>
      </c>
      <c r="M16" s="1912">
        <v>257.34699999999998</v>
      </c>
      <c r="N16" s="1912">
        <v>254.738</v>
      </c>
      <c r="O16" s="1912">
        <v>253.11199999999999</v>
      </c>
      <c r="P16" s="1912">
        <v>256.36500000000001</v>
      </c>
    </row>
    <row r="17" spans="1:16" x14ac:dyDescent="0.25">
      <c r="A17" s="1911">
        <v>2018</v>
      </c>
      <c r="B17" s="1912">
        <v>258.63799999999998</v>
      </c>
      <c r="C17" s="1912">
        <v>259.98599999999999</v>
      </c>
      <c r="D17" s="1912">
        <v>260.99400000000003</v>
      </c>
      <c r="E17" s="1912">
        <v>262.03699999999998</v>
      </c>
      <c r="F17" s="1912">
        <v>263.24</v>
      </c>
      <c r="G17" s="1912">
        <v>263.73200000000003</v>
      </c>
      <c r="H17" s="1912">
        <v>263.971</v>
      </c>
      <c r="I17" s="1912">
        <v>264.39499999999998</v>
      </c>
      <c r="J17" s="1912">
        <v>265.10500000000002</v>
      </c>
      <c r="K17" s="1912">
        <v>266.19499999999999</v>
      </c>
      <c r="L17" s="1912">
        <v>265.65800000000002</v>
      </c>
      <c r="M17" s="1912">
        <v>265.209</v>
      </c>
      <c r="N17" s="1912">
        <v>263.26299999999998</v>
      </c>
      <c r="O17" s="1912">
        <v>261.43799999999999</v>
      </c>
      <c r="P17" s="1912">
        <v>265.089</v>
      </c>
    </row>
    <row r="18" spans="1:16" x14ac:dyDescent="0.25">
      <c r="A18" s="1911">
        <v>2019</v>
      </c>
      <c r="B18" s="1912">
        <v>265.62400000000002</v>
      </c>
      <c r="C18" s="1912">
        <v>266.21499999999997</v>
      </c>
      <c r="D18" s="1912">
        <v>267.37</v>
      </c>
      <c r="E18" s="1912">
        <v>269.52199999999999</v>
      </c>
      <c r="F18" s="1912">
        <v>270.88</v>
      </c>
      <c r="G18" s="1912">
        <v>270.95699999999999</v>
      </c>
      <c r="H18" s="1912">
        <v>271.029</v>
      </c>
      <c r="I18" s="1912">
        <v>271.26400000000001</v>
      </c>
      <c r="J18" s="1912">
        <v>272.10199999999998</v>
      </c>
      <c r="K18" s="1912">
        <v>273.524</v>
      </c>
      <c r="L18" s="1912">
        <v>273.12799999999999</v>
      </c>
      <c r="M18" s="1912">
        <v>272.584</v>
      </c>
      <c r="N18" s="1912">
        <v>270.35000000000002</v>
      </c>
      <c r="O18" s="1912">
        <v>268.428</v>
      </c>
      <c r="P18" s="1912">
        <v>272.27199999999999</v>
      </c>
    </row>
    <row r="19" spans="1:16" x14ac:dyDescent="0.25">
      <c r="A19" s="1911">
        <v>2020</v>
      </c>
      <c r="B19" s="1912">
        <v>273.33999999999997</v>
      </c>
      <c r="C19" s="1912">
        <v>274.41199999999998</v>
      </c>
      <c r="D19" s="1912">
        <v>273.995</v>
      </c>
      <c r="E19" s="1912">
        <v>272.91300000000001</v>
      </c>
      <c r="F19" s="1912">
        <v>273.06200000000001</v>
      </c>
      <c r="G19" s="1912">
        <v>274.15499999999997</v>
      </c>
      <c r="H19" s="1912">
        <v>275.59699999999998</v>
      </c>
      <c r="I19" s="1912">
        <v>276.44299999999998</v>
      </c>
      <c r="J19" s="1912">
        <v>276.42200000000003</v>
      </c>
      <c r="K19" s="1912">
        <v>276.87599999999998</v>
      </c>
      <c r="L19" s="1912">
        <v>276.875</v>
      </c>
      <c r="M19" s="1912">
        <v>276.59300000000002</v>
      </c>
      <c r="N19" s="1993">
        <v>275.05700000000002</v>
      </c>
      <c r="O19" s="1912">
        <v>273.64600000000002</v>
      </c>
      <c r="P19" s="1912">
        <v>276.46800000000002</v>
      </c>
    </row>
    <row r="20" spans="1:16" x14ac:dyDescent="0.25">
      <c r="A20" s="1911">
        <v>2021</v>
      </c>
      <c r="B20" s="1912">
        <v>277.238</v>
      </c>
      <c r="C20" s="1912">
        <v>278.702</v>
      </c>
      <c r="D20" s="1912">
        <v>280.625</v>
      </c>
      <c r="E20" s="1912">
        <v>283.50700000000001</v>
      </c>
      <c r="F20" s="1912">
        <v>285.79300000000001</v>
      </c>
      <c r="G20" s="1912">
        <v>288.26299999999998</v>
      </c>
      <c r="H20" s="1912">
        <v>289.863</v>
      </c>
      <c r="I20" s="1912">
        <v>290.39299999999997</v>
      </c>
      <c r="J20" s="1912">
        <v>291.053</v>
      </c>
      <c r="K20" s="1912">
        <v>293.39699999999999</v>
      </c>
      <c r="L20" s="1912">
        <v>294.98599999999999</v>
      </c>
      <c r="M20" s="1912">
        <v>296.10199999999998</v>
      </c>
      <c r="N20" s="1916">
        <v>287.49400000000003</v>
      </c>
      <c r="O20" s="1912">
        <v>282.35500000000002</v>
      </c>
      <c r="P20" s="1912">
        <v>292.63200000000001</v>
      </c>
    </row>
    <row r="21" spans="1:16" x14ac:dyDescent="0.25">
      <c r="A21" s="1911">
        <v>2022</v>
      </c>
      <c r="B21" s="1912">
        <v>298.70499999999998</v>
      </c>
      <c r="C21" s="1912">
        <v>301.15800000000002</v>
      </c>
      <c r="D21" s="1912">
        <v>305.08199999999999</v>
      </c>
      <c r="E21" s="1912">
        <v>307.14499999999998</v>
      </c>
      <c r="F21" s="1912">
        <v>309.64499999999998</v>
      </c>
      <c r="G21" s="1912">
        <v>313.49599999999998</v>
      </c>
      <c r="H21" s="1912">
        <v>313.95100000000002</v>
      </c>
      <c r="I21" s="1912">
        <v>314.01299999999998</v>
      </c>
      <c r="J21" s="1912">
        <v>315.09399999999999</v>
      </c>
      <c r="K21" s="1912">
        <v>317.29899999999998</v>
      </c>
      <c r="L21" s="1912">
        <v>315.91899999999998</v>
      </c>
      <c r="M21" s="1912">
        <v>314.59899999999999</v>
      </c>
      <c r="N21" s="1916">
        <v>310.50900000000001</v>
      </c>
      <c r="O21" s="1912">
        <v>305.87200000000001</v>
      </c>
      <c r="P21" s="1912">
        <v>315.14600000000002</v>
      </c>
    </row>
    <row r="22" spans="1:16" x14ac:dyDescent="0.25">
      <c r="A22" s="1911">
        <v>2023</v>
      </c>
      <c r="B22" s="1912">
        <v>317.47699999999998</v>
      </c>
      <c r="C22" s="1912">
        <v>319.13</v>
      </c>
      <c r="D22" s="1912">
        <v>320.71499999999997</v>
      </c>
      <c r="E22" s="1912">
        <v>322.18700000000001</v>
      </c>
      <c r="F22" s="1912">
        <v>323.52499999999998</v>
      </c>
      <c r="G22" s="1912">
        <v>324.44799999999998</v>
      </c>
      <c r="H22" s="1912">
        <v>324.86500000000001</v>
      </c>
      <c r="I22" s="1912">
        <v>326.23399999999998</v>
      </c>
      <c r="J22" s="1912">
        <v>327.49099999999999</v>
      </c>
      <c r="K22" s="1912">
        <v>327.70800000000003</v>
      </c>
      <c r="L22" s="1912">
        <v>326.29899999999998</v>
      </c>
      <c r="M22" s="1912">
        <v>325.93200000000002</v>
      </c>
      <c r="N22" s="1916">
        <v>323.834</v>
      </c>
      <c r="O22" s="1912">
        <v>321.24700000000001</v>
      </c>
      <c r="P22" s="1912">
        <v>326.42200000000003</v>
      </c>
    </row>
    <row r="23" spans="1:16" x14ac:dyDescent="0.25">
      <c r="A23" s="1911">
        <v>2024</v>
      </c>
      <c r="B23" s="1912">
        <v>328.053</v>
      </c>
      <c r="C23" s="1909">
        <v>329.339</v>
      </c>
      <c r="D23" s="1909">
        <v>332.202</v>
      </c>
      <c r="E23" s="1909">
        <v>334.05</v>
      </c>
      <c r="F23" s="1909">
        <v>334.29199999999997</v>
      </c>
      <c r="G23" s="1909">
        <v>333.66199999999998</v>
      </c>
      <c r="H23" s="1909">
        <v>333.17399999999998</v>
      </c>
      <c r="I23" s="1909">
        <v>333.44200000000001</v>
      </c>
      <c r="J23" s="1909">
        <v>334.26499999999999</v>
      </c>
      <c r="K23" s="1909">
        <v>334.55799999999999</v>
      </c>
      <c r="N23" s="1917">
        <f>(N20-N19)/N19</f>
        <v>4.5216082484721386E-2</v>
      </c>
    </row>
    <row r="24" spans="1:16" x14ac:dyDescent="0.25">
      <c r="N24" s="1917">
        <f>(N21-N20)/N20</f>
        <v>8.0053844601974247E-2</v>
      </c>
    </row>
    <row r="25" spans="1:16" x14ac:dyDescent="0.25">
      <c r="N25" s="1917">
        <f>(N22-N21)/N21</f>
        <v>4.291340991726484E-2</v>
      </c>
    </row>
    <row r="26" spans="1:16" x14ac:dyDescent="0.25">
      <c r="N26" s="1918">
        <f>SUM(N23:N25)/3</f>
        <v>5.6061112334653489E-2</v>
      </c>
      <c r="O26" s="1919" t="s">
        <v>135</v>
      </c>
      <c r="P26" s="1920"/>
    </row>
    <row r="28" spans="1:16" x14ac:dyDescent="0.25">
      <c r="N28" s="1913"/>
    </row>
    <row r="30" spans="1:16" x14ac:dyDescent="0.25">
      <c r="N30" s="1914"/>
    </row>
  </sheetData>
  <mergeCells count="10">
    <mergeCell ref="B7:F7"/>
    <mergeCell ref="B8:F8"/>
    <mergeCell ref="B9:F9"/>
    <mergeCell ref="B10:F10"/>
    <mergeCell ref="A1:F1"/>
    <mergeCell ref="A2:F2"/>
    <mergeCell ref="A3:F3"/>
    <mergeCell ref="B4:F4"/>
    <mergeCell ref="A5:F5"/>
    <mergeCell ref="B6:F6"/>
  </mergeCells>
  <pageMargins left="0.7" right="0.7" top="0.75" bottom="0.75" header="0.3" footer="0.3"/>
  <pageSetup scale="77" orientation="landscape" r:id="rId1"/>
  <headerFooter>
    <oddHeader>&amp;CBureau of Labor Statistics</oddHeader>
    <oddFooter>&amp;LSource: Bureau of Labor Statistics&amp;RGenerated on: March 7, 2024 (05:48:30 PM)</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8DD0-61D2-4A29-BC70-D2BC916C9D62}">
  <dimension ref="A1:P370"/>
  <sheetViews>
    <sheetView workbookViewId="0"/>
  </sheetViews>
  <sheetFormatPr defaultRowHeight="12.75" outlineLevelRow="2" x14ac:dyDescent="0.2"/>
  <cols>
    <col min="1" max="2" width="7" style="681" customWidth="1"/>
    <col min="3" max="3" width="46" style="681" customWidth="1"/>
    <col min="4" max="4" width="18" style="681" customWidth="1"/>
    <col min="5" max="5" width="17.7109375" style="681" customWidth="1"/>
    <col min="6" max="6" width="18.140625" style="681" customWidth="1"/>
    <col min="7" max="9" width="15.5703125" style="681" customWidth="1"/>
    <col min="10" max="10" width="17.7109375" style="681" customWidth="1"/>
    <col min="11" max="11" width="18.140625" style="681" customWidth="1"/>
    <col min="12" max="12" width="16" style="681" bestFit="1" customWidth="1"/>
    <col min="13" max="14" width="16" style="681" customWidth="1"/>
    <col min="15" max="16" width="18.5703125" style="681" bestFit="1" customWidth="1"/>
    <col min="17" max="17" width="18.7109375" style="681" customWidth="1"/>
    <col min="18" max="256" width="9.140625" style="681"/>
    <col min="257" max="258" width="7" style="681" customWidth="1"/>
    <col min="259" max="259" width="50" style="681" bestFit="1" customWidth="1"/>
    <col min="260" max="260" width="15" style="681" bestFit="1" customWidth="1"/>
    <col min="261" max="261" width="16" style="681" bestFit="1" customWidth="1"/>
    <col min="262" max="262" width="15" style="681" bestFit="1" customWidth="1"/>
    <col min="263" max="263" width="13.42578125" style="681" bestFit="1" customWidth="1"/>
    <col min="264" max="264" width="15.5703125" style="681" bestFit="1" customWidth="1"/>
    <col min="265" max="265" width="11.140625" style="681" bestFit="1" customWidth="1"/>
    <col min="266" max="266" width="15.5703125" style="681" customWidth="1"/>
    <col min="267" max="267" width="15" style="681" bestFit="1" customWidth="1"/>
    <col min="268" max="268" width="13.42578125" style="681" bestFit="1" customWidth="1"/>
    <col min="269" max="269" width="15.5703125" style="681" bestFit="1" customWidth="1"/>
    <col min="270" max="270" width="11.140625" style="681" bestFit="1" customWidth="1"/>
    <col min="271" max="271" width="17" style="681" customWidth="1"/>
    <col min="272" max="272" width="16" style="681" bestFit="1" customWidth="1"/>
    <col min="273" max="512" width="9.140625" style="681"/>
    <col min="513" max="514" width="7" style="681" customWidth="1"/>
    <col min="515" max="515" width="50" style="681" bestFit="1" customWidth="1"/>
    <col min="516" max="516" width="15" style="681" bestFit="1" customWidth="1"/>
    <col min="517" max="517" width="16" style="681" bestFit="1" customWidth="1"/>
    <col min="518" max="518" width="15" style="681" bestFit="1" customWidth="1"/>
    <col min="519" max="519" width="13.42578125" style="681" bestFit="1" customWidth="1"/>
    <col min="520" max="520" width="15.5703125" style="681" bestFit="1" customWidth="1"/>
    <col min="521" max="521" width="11.140625" style="681" bestFit="1" customWidth="1"/>
    <col min="522" max="522" width="15.5703125" style="681" customWidth="1"/>
    <col min="523" max="523" width="15" style="681" bestFit="1" customWidth="1"/>
    <col min="524" max="524" width="13.42578125" style="681" bestFit="1" customWidth="1"/>
    <col min="525" max="525" width="15.5703125" style="681" bestFit="1" customWidth="1"/>
    <col min="526" max="526" width="11.140625" style="681" bestFit="1" customWidth="1"/>
    <col min="527" max="527" width="17" style="681" customWidth="1"/>
    <col min="528" max="528" width="16" style="681" bestFit="1" customWidth="1"/>
    <col min="529" max="768" width="9.140625" style="681"/>
    <col min="769" max="770" width="7" style="681" customWidth="1"/>
    <col min="771" max="771" width="50" style="681" bestFit="1" customWidth="1"/>
    <col min="772" max="772" width="15" style="681" bestFit="1" customWidth="1"/>
    <col min="773" max="773" width="16" style="681" bestFit="1" customWidth="1"/>
    <col min="774" max="774" width="15" style="681" bestFit="1" customWidth="1"/>
    <col min="775" max="775" width="13.42578125" style="681" bestFit="1" customWidth="1"/>
    <col min="776" max="776" width="15.5703125" style="681" bestFit="1" customWidth="1"/>
    <col min="777" max="777" width="11.140625" style="681" bestFit="1" customWidth="1"/>
    <col min="778" max="778" width="15.5703125" style="681" customWidth="1"/>
    <col min="779" max="779" width="15" style="681" bestFit="1" customWidth="1"/>
    <col min="780" max="780" width="13.42578125" style="681" bestFit="1" customWidth="1"/>
    <col min="781" max="781" width="15.5703125" style="681" bestFit="1" customWidth="1"/>
    <col min="782" max="782" width="11.140625" style="681" bestFit="1" customWidth="1"/>
    <col min="783" max="783" width="17" style="681" customWidth="1"/>
    <col min="784" max="784" width="16" style="681" bestFit="1" customWidth="1"/>
    <col min="785" max="1024" width="9.140625" style="681"/>
    <col min="1025" max="1026" width="7" style="681" customWidth="1"/>
    <col min="1027" max="1027" width="50" style="681" bestFit="1" customWidth="1"/>
    <col min="1028" max="1028" width="15" style="681" bestFit="1" customWidth="1"/>
    <col min="1029" max="1029" width="16" style="681" bestFit="1" customWidth="1"/>
    <col min="1030" max="1030" width="15" style="681" bestFit="1" customWidth="1"/>
    <col min="1031" max="1031" width="13.42578125" style="681" bestFit="1" customWidth="1"/>
    <col min="1032" max="1032" width="15.5703125" style="681" bestFit="1" customWidth="1"/>
    <col min="1033" max="1033" width="11.140625" style="681" bestFit="1" customWidth="1"/>
    <col min="1034" max="1034" width="15.5703125" style="681" customWidth="1"/>
    <col min="1035" max="1035" width="15" style="681" bestFit="1" customWidth="1"/>
    <col min="1036" max="1036" width="13.42578125" style="681" bestFit="1" customWidth="1"/>
    <col min="1037" max="1037" width="15.5703125" style="681" bestFit="1" customWidth="1"/>
    <col min="1038" max="1038" width="11.140625" style="681" bestFit="1" customWidth="1"/>
    <col min="1039" max="1039" width="17" style="681" customWidth="1"/>
    <col min="1040" max="1040" width="16" style="681" bestFit="1" customWidth="1"/>
    <col min="1041" max="1280" width="9.140625" style="681"/>
    <col min="1281" max="1282" width="7" style="681" customWidth="1"/>
    <col min="1283" max="1283" width="50" style="681" bestFit="1" customWidth="1"/>
    <col min="1284" max="1284" width="15" style="681" bestFit="1" customWidth="1"/>
    <col min="1285" max="1285" width="16" style="681" bestFit="1" customWidth="1"/>
    <col min="1286" max="1286" width="15" style="681" bestFit="1" customWidth="1"/>
    <col min="1287" max="1287" width="13.42578125" style="681" bestFit="1" customWidth="1"/>
    <col min="1288" max="1288" width="15.5703125" style="681" bestFit="1" customWidth="1"/>
    <col min="1289" max="1289" width="11.140625" style="681" bestFit="1" customWidth="1"/>
    <col min="1290" max="1290" width="15.5703125" style="681" customWidth="1"/>
    <col min="1291" max="1291" width="15" style="681" bestFit="1" customWidth="1"/>
    <col min="1292" max="1292" width="13.42578125" style="681" bestFit="1" customWidth="1"/>
    <col min="1293" max="1293" width="15.5703125" style="681" bestFit="1" customWidth="1"/>
    <col min="1294" max="1294" width="11.140625" style="681" bestFit="1" customWidth="1"/>
    <col min="1295" max="1295" width="17" style="681" customWidth="1"/>
    <col min="1296" max="1296" width="16" style="681" bestFit="1" customWidth="1"/>
    <col min="1297" max="1536" width="9.140625" style="681"/>
    <col min="1537" max="1538" width="7" style="681" customWidth="1"/>
    <col min="1539" max="1539" width="50" style="681" bestFit="1" customWidth="1"/>
    <col min="1540" max="1540" width="15" style="681" bestFit="1" customWidth="1"/>
    <col min="1541" max="1541" width="16" style="681" bestFit="1" customWidth="1"/>
    <col min="1542" max="1542" width="15" style="681" bestFit="1" customWidth="1"/>
    <col min="1543" max="1543" width="13.42578125" style="681" bestFit="1" customWidth="1"/>
    <col min="1544" max="1544" width="15.5703125" style="681" bestFit="1" customWidth="1"/>
    <col min="1545" max="1545" width="11.140625" style="681" bestFit="1" customWidth="1"/>
    <col min="1546" max="1546" width="15.5703125" style="681" customWidth="1"/>
    <col min="1547" max="1547" width="15" style="681" bestFit="1" customWidth="1"/>
    <col min="1548" max="1548" width="13.42578125" style="681" bestFit="1" customWidth="1"/>
    <col min="1549" max="1549" width="15.5703125" style="681" bestFit="1" customWidth="1"/>
    <col min="1550" max="1550" width="11.140625" style="681" bestFit="1" customWidth="1"/>
    <col min="1551" max="1551" width="17" style="681" customWidth="1"/>
    <col min="1552" max="1552" width="16" style="681" bestFit="1" customWidth="1"/>
    <col min="1553" max="1792" width="9.140625" style="681"/>
    <col min="1793" max="1794" width="7" style="681" customWidth="1"/>
    <col min="1795" max="1795" width="50" style="681" bestFit="1" customWidth="1"/>
    <col min="1796" max="1796" width="15" style="681" bestFit="1" customWidth="1"/>
    <col min="1797" max="1797" width="16" style="681" bestFit="1" customWidth="1"/>
    <col min="1798" max="1798" width="15" style="681" bestFit="1" customWidth="1"/>
    <col min="1799" max="1799" width="13.42578125" style="681" bestFit="1" customWidth="1"/>
    <col min="1800" max="1800" width="15.5703125" style="681" bestFit="1" customWidth="1"/>
    <col min="1801" max="1801" width="11.140625" style="681" bestFit="1" customWidth="1"/>
    <col min="1802" max="1802" width="15.5703125" style="681" customWidth="1"/>
    <col min="1803" max="1803" width="15" style="681" bestFit="1" customWidth="1"/>
    <col min="1804" max="1804" width="13.42578125" style="681" bestFit="1" customWidth="1"/>
    <col min="1805" max="1805" width="15.5703125" style="681" bestFit="1" customWidth="1"/>
    <col min="1806" max="1806" width="11.140625" style="681" bestFit="1" customWidth="1"/>
    <col min="1807" max="1807" width="17" style="681" customWidth="1"/>
    <col min="1808" max="1808" width="16" style="681" bestFit="1" customWidth="1"/>
    <col min="1809" max="2048" width="9.140625" style="681"/>
    <col min="2049" max="2050" width="7" style="681" customWidth="1"/>
    <col min="2051" max="2051" width="50" style="681" bestFit="1" customWidth="1"/>
    <col min="2052" max="2052" width="15" style="681" bestFit="1" customWidth="1"/>
    <col min="2053" max="2053" width="16" style="681" bestFit="1" customWidth="1"/>
    <col min="2054" max="2054" width="15" style="681" bestFit="1" customWidth="1"/>
    <col min="2055" max="2055" width="13.42578125" style="681" bestFit="1" customWidth="1"/>
    <col min="2056" max="2056" width="15.5703125" style="681" bestFit="1" customWidth="1"/>
    <col min="2057" max="2057" width="11.140625" style="681" bestFit="1" customWidth="1"/>
    <col min="2058" max="2058" width="15.5703125" style="681" customWidth="1"/>
    <col min="2059" max="2059" width="15" style="681" bestFit="1" customWidth="1"/>
    <col min="2060" max="2060" width="13.42578125" style="681" bestFit="1" customWidth="1"/>
    <col min="2061" max="2061" width="15.5703125" style="681" bestFit="1" customWidth="1"/>
    <col min="2062" max="2062" width="11.140625" style="681" bestFit="1" customWidth="1"/>
    <col min="2063" max="2063" width="17" style="681" customWidth="1"/>
    <col min="2064" max="2064" width="16" style="681" bestFit="1" customWidth="1"/>
    <col min="2065" max="2304" width="9.140625" style="681"/>
    <col min="2305" max="2306" width="7" style="681" customWidth="1"/>
    <col min="2307" max="2307" width="50" style="681" bestFit="1" customWidth="1"/>
    <col min="2308" max="2308" width="15" style="681" bestFit="1" customWidth="1"/>
    <col min="2309" max="2309" width="16" style="681" bestFit="1" customWidth="1"/>
    <col min="2310" max="2310" width="15" style="681" bestFit="1" customWidth="1"/>
    <col min="2311" max="2311" width="13.42578125" style="681" bestFit="1" customWidth="1"/>
    <col min="2312" max="2312" width="15.5703125" style="681" bestFit="1" customWidth="1"/>
    <col min="2313" max="2313" width="11.140625" style="681" bestFit="1" customWidth="1"/>
    <col min="2314" max="2314" width="15.5703125" style="681" customWidth="1"/>
    <col min="2315" max="2315" width="15" style="681" bestFit="1" customWidth="1"/>
    <col min="2316" max="2316" width="13.42578125" style="681" bestFit="1" customWidth="1"/>
    <col min="2317" max="2317" width="15.5703125" style="681" bestFit="1" customWidth="1"/>
    <col min="2318" max="2318" width="11.140625" style="681" bestFit="1" customWidth="1"/>
    <col min="2319" max="2319" width="17" style="681" customWidth="1"/>
    <col min="2320" max="2320" width="16" style="681" bestFit="1" customWidth="1"/>
    <col min="2321" max="2560" width="9.140625" style="681"/>
    <col min="2561" max="2562" width="7" style="681" customWidth="1"/>
    <col min="2563" max="2563" width="50" style="681" bestFit="1" customWidth="1"/>
    <col min="2564" max="2564" width="15" style="681" bestFit="1" customWidth="1"/>
    <col min="2565" max="2565" width="16" style="681" bestFit="1" customWidth="1"/>
    <col min="2566" max="2566" width="15" style="681" bestFit="1" customWidth="1"/>
    <col min="2567" max="2567" width="13.42578125" style="681" bestFit="1" customWidth="1"/>
    <col min="2568" max="2568" width="15.5703125" style="681" bestFit="1" customWidth="1"/>
    <col min="2569" max="2569" width="11.140625" style="681" bestFit="1" customWidth="1"/>
    <col min="2570" max="2570" width="15.5703125" style="681" customWidth="1"/>
    <col min="2571" max="2571" width="15" style="681" bestFit="1" customWidth="1"/>
    <col min="2572" max="2572" width="13.42578125" style="681" bestFit="1" customWidth="1"/>
    <col min="2573" max="2573" width="15.5703125" style="681" bestFit="1" customWidth="1"/>
    <col min="2574" max="2574" width="11.140625" style="681" bestFit="1" customWidth="1"/>
    <col min="2575" max="2575" width="17" style="681" customWidth="1"/>
    <col min="2576" max="2576" width="16" style="681" bestFit="1" customWidth="1"/>
    <col min="2577" max="2816" width="9.140625" style="681"/>
    <col min="2817" max="2818" width="7" style="681" customWidth="1"/>
    <col min="2819" max="2819" width="50" style="681" bestFit="1" customWidth="1"/>
    <col min="2820" max="2820" width="15" style="681" bestFit="1" customWidth="1"/>
    <col min="2821" max="2821" width="16" style="681" bestFit="1" customWidth="1"/>
    <col min="2822" max="2822" width="15" style="681" bestFit="1" customWidth="1"/>
    <col min="2823" max="2823" width="13.42578125" style="681" bestFit="1" customWidth="1"/>
    <col min="2824" max="2824" width="15.5703125" style="681" bestFit="1" customWidth="1"/>
    <col min="2825" max="2825" width="11.140625" style="681" bestFit="1" customWidth="1"/>
    <col min="2826" max="2826" width="15.5703125" style="681" customWidth="1"/>
    <col min="2827" max="2827" width="15" style="681" bestFit="1" customWidth="1"/>
    <col min="2828" max="2828" width="13.42578125" style="681" bestFit="1" customWidth="1"/>
    <col min="2829" max="2829" width="15.5703125" style="681" bestFit="1" customWidth="1"/>
    <col min="2830" max="2830" width="11.140625" style="681" bestFit="1" customWidth="1"/>
    <col min="2831" max="2831" width="17" style="681" customWidth="1"/>
    <col min="2832" max="2832" width="16" style="681" bestFit="1" customWidth="1"/>
    <col min="2833" max="3072" width="9.140625" style="681"/>
    <col min="3073" max="3074" width="7" style="681" customWidth="1"/>
    <col min="3075" max="3075" width="50" style="681" bestFit="1" customWidth="1"/>
    <col min="3076" max="3076" width="15" style="681" bestFit="1" customWidth="1"/>
    <col min="3077" max="3077" width="16" style="681" bestFit="1" customWidth="1"/>
    <col min="3078" max="3078" width="15" style="681" bestFit="1" customWidth="1"/>
    <col min="3079" max="3079" width="13.42578125" style="681" bestFit="1" customWidth="1"/>
    <col min="3080" max="3080" width="15.5703125" style="681" bestFit="1" customWidth="1"/>
    <col min="3081" max="3081" width="11.140625" style="681" bestFit="1" customWidth="1"/>
    <col min="3082" max="3082" width="15.5703125" style="681" customWidth="1"/>
    <col min="3083" max="3083" width="15" style="681" bestFit="1" customWidth="1"/>
    <col min="3084" max="3084" width="13.42578125" style="681" bestFit="1" customWidth="1"/>
    <col min="3085" max="3085" width="15.5703125" style="681" bestFit="1" customWidth="1"/>
    <col min="3086" max="3086" width="11.140625" style="681" bestFit="1" customWidth="1"/>
    <col min="3087" max="3087" width="17" style="681" customWidth="1"/>
    <col min="3088" max="3088" width="16" style="681" bestFit="1" customWidth="1"/>
    <col min="3089" max="3328" width="9.140625" style="681"/>
    <col min="3329" max="3330" width="7" style="681" customWidth="1"/>
    <col min="3331" max="3331" width="50" style="681" bestFit="1" customWidth="1"/>
    <col min="3332" max="3332" width="15" style="681" bestFit="1" customWidth="1"/>
    <col min="3333" max="3333" width="16" style="681" bestFit="1" customWidth="1"/>
    <col min="3334" max="3334" width="15" style="681" bestFit="1" customWidth="1"/>
    <col min="3335" max="3335" width="13.42578125" style="681" bestFit="1" customWidth="1"/>
    <col min="3336" max="3336" width="15.5703125" style="681" bestFit="1" customWidth="1"/>
    <col min="3337" max="3337" width="11.140625" style="681" bestFit="1" customWidth="1"/>
    <col min="3338" max="3338" width="15.5703125" style="681" customWidth="1"/>
    <col min="3339" max="3339" width="15" style="681" bestFit="1" customWidth="1"/>
    <col min="3340" max="3340" width="13.42578125" style="681" bestFit="1" customWidth="1"/>
    <col min="3341" max="3341" width="15.5703125" style="681" bestFit="1" customWidth="1"/>
    <col min="3342" max="3342" width="11.140625" style="681" bestFit="1" customWidth="1"/>
    <col min="3343" max="3343" width="17" style="681" customWidth="1"/>
    <col min="3344" max="3344" width="16" style="681" bestFit="1" customWidth="1"/>
    <col min="3345" max="3584" width="9.140625" style="681"/>
    <col min="3585" max="3586" width="7" style="681" customWidth="1"/>
    <col min="3587" max="3587" width="50" style="681" bestFit="1" customWidth="1"/>
    <col min="3588" max="3588" width="15" style="681" bestFit="1" customWidth="1"/>
    <col min="3589" max="3589" width="16" style="681" bestFit="1" customWidth="1"/>
    <col min="3590" max="3590" width="15" style="681" bestFit="1" customWidth="1"/>
    <col min="3591" max="3591" width="13.42578125" style="681" bestFit="1" customWidth="1"/>
    <col min="3592" max="3592" width="15.5703125" style="681" bestFit="1" customWidth="1"/>
    <col min="3593" max="3593" width="11.140625" style="681" bestFit="1" customWidth="1"/>
    <col min="3594" max="3594" width="15.5703125" style="681" customWidth="1"/>
    <col min="3595" max="3595" width="15" style="681" bestFit="1" customWidth="1"/>
    <col min="3596" max="3596" width="13.42578125" style="681" bestFit="1" customWidth="1"/>
    <col min="3597" max="3597" width="15.5703125" style="681" bestFit="1" customWidth="1"/>
    <col min="3598" max="3598" width="11.140625" style="681" bestFit="1" customWidth="1"/>
    <col min="3599" max="3599" width="17" style="681" customWidth="1"/>
    <col min="3600" max="3600" width="16" style="681" bestFit="1" customWidth="1"/>
    <col min="3601" max="3840" width="9.140625" style="681"/>
    <col min="3841" max="3842" width="7" style="681" customWidth="1"/>
    <col min="3843" max="3843" width="50" style="681" bestFit="1" customWidth="1"/>
    <col min="3844" max="3844" width="15" style="681" bestFit="1" customWidth="1"/>
    <col min="3845" max="3845" width="16" style="681" bestFit="1" customWidth="1"/>
    <col min="3846" max="3846" width="15" style="681" bestFit="1" customWidth="1"/>
    <col min="3847" max="3847" width="13.42578125" style="681" bestFit="1" customWidth="1"/>
    <col min="3848" max="3848" width="15.5703125" style="681" bestFit="1" customWidth="1"/>
    <col min="3849" max="3849" width="11.140625" style="681" bestFit="1" customWidth="1"/>
    <col min="3850" max="3850" width="15.5703125" style="681" customWidth="1"/>
    <col min="3851" max="3851" width="15" style="681" bestFit="1" customWidth="1"/>
    <col min="3852" max="3852" width="13.42578125" style="681" bestFit="1" customWidth="1"/>
    <col min="3853" max="3853" width="15.5703125" style="681" bestFit="1" customWidth="1"/>
    <col min="3854" max="3854" width="11.140625" style="681" bestFit="1" customWidth="1"/>
    <col min="3855" max="3855" width="17" style="681" customWidth="1"/>
    <col min="3856" max="3856" width="16" style="681" bestFit="1" customWidth="1"/>
    <col min="3857" max="4096" width="9.140625" style="681"/>
    <col min="4097" max="4098" width="7" style="681" customWidth="1"/>
    <col min="4099" max="4099" width="50" style="681" bestFit="1" customWidth="1"/>
    <col min="4100" max="4100" width="15" style="681" bestFit="1" customWidth="1"/>
    <col min="4101" max="4101" width="16" style="681" bestFit="1" customWidth="1"/>
    <col min="4102" max="4102" width="15" style="681" bestFit="1" customWidth="1"/>
    <col min="4103" max="4103" width="13.42578125" style="681" bestFit="1" customWidth="1"/>
    <col min="4104" max="4104" width="15.5703125" style="681" bestFit="1" customWidth="1"/>
    <col min="4105" max="4105" width="11.140625" style="681" bestFit="1" customWidth="1"/>
    <col min="4106" max="4106" width="15.5703125" style="681" customWidth="1"/>
    <col min="4107" max="4107" width="15" style="681" bestFit="1" customWidth="1"/>
    <col min="4108" max="4108" width="13.42578125" style="681" bestFit="1" customWidth="1"/>
    <col min="4109" max="4109" width="15.5703125" style="681" bestFit="1" customWidth="1"/>
    <col min="4110" max="4110" width="11.140625" style="681" bestFit="1" customWidth="1"/>
    <col min="4111" max="4111" width="17" style="681" customWidth="1"/>
    <col min="4112" max="4112" width="16" style="681" bestFit="1" customWidth="1"/>
    <col min="4113" max="4352" width="9.140625" style="681"/>
    <col min="4353" max="4354" width="7" style="681" customWidth="1"/>
    <col min="4355" max="4355" width="50" style="681" bestFit="1" customWidth="1"/>
    <col min="4356" max="4356" width="15" style="681" bestFit="1" customWidth="1"/>
    <col min="4357" max="4357" width="16" style="681" bestFit="1" customWidth="1"/>
    <col min="4358" max="4358" width="15" style="681" bestFit="1" customWidth="1"/>
    <col min="4359" max="4359" width="13.42578125" style="681" bestFit="1" customWidth="1"/>
    <col min="4360" max="4360" width="15.5703125" style="681" bestFit="1" customWidth="1"/>
    <col min="4361" max="4361" width="11.140625" style="681" bestFit="1" customWidth="1"/>
    <col min="4362" max="4362" width="15.5703125" style="681" customWidth="1"/>
    <col min="4363" max="4363" width="15" style="681" bestFit="1" customWidth="1"/>
    <col min="4364" max="4364" width="13.42578125" style="681" bestFit="1" customWidth="1"/>
    <col min="4365" max="4365" width="15.5703125" style="681" bestFit="1" customWidth="1"/>
    <col min="4366" max="4366" width="11.140625" style="681" bestFit="1" customWidth="1"/>
    <col min="4367" max="4367" width="17" style="681" customWidth="1"/>
    <col min="4368" max="4368" width="16" style="681" bestFit="1" customWidth="1"/>
    <col min="4369" max="4608" width="9.140625" style="681"/>
    <col min="4609" max="4610" width="7" style="681" customWidth="1"/>
    <col min="4611" max="4611" width="50" style="681" bestFit="1" customWidth="1"/>
    <col min="4612" max="4612" width="15" style="681" bestFit="1" customWidth="1"/>
    <col min="4613" max="4613" width="16" style="681" bestFit="1" customWidth="1"/>
    <col min="4614" max="4614" width="15" style="681" bestFit="1" customWidth="1"/>
    <col min="4615" max="4615" width="13.42578125" style="681" bestFit="1" customWidth="1"/>
    <col min="4616" max="4616" width="15.5703125" style="681" bestFit="1" customWidth="1"/>
    <col min="4617" max="4617" width="11.140625" style="681" bestFit="1" customWidth="1"/>
    <col min="4618" max="4618" width="15.5703125" style="681" customWidth="1"/>
    <col min="4619" max="4619" width="15" style="681" bestFit="1" customWidth="1"/>
    <col min="4620" max="4620" width="13.42578125" style="681" bestFit="1" customWidth="1"/>
    <col min="4621" max="4621" width="15.5703125" style="681" bestFit="1" customWidth="1"/>
    <col min="4622" max="4622" width="11.140625" style="681" bestFit="1" customWidth="1"/>
    <col min="4623" max="4623" width="17" style="681" customWidth="1"/>
    <col min="4624" max="4624" width="16" style="681" bestFit="1" customWidth="1"/>
    <col min="4625" max="4864" width="9.140625" style="681"/>
    <col min="4865" max="4866" width="7" style="681" customWidth="1"/>
    <col min="4867" max="4867" width="50" style="681" bestFit="1" customWidth="1"/>
    <col min="4868" max="4868" width="15" style="681" bestFit="1" customWidth="1"/>
    <col min="4869" max="4869" width="16" style="681" bestFit="1" customWidth="1"/>
    <col min="4870" max="4870" width="15" style="681" bestFit="1" customWidth="1"/>
    <col min="4871" max="4871" width="13.42578125" style="681" bestFit="1" customWidth="1"/>
    <col min="4872" max="4872" width="15.5703125" style="681" bestFit="1" customWidth="1"/>
    <col min="4873" max="4873" width="11.140625" style="681" bestFit="1" customWidth="1"/>
    <col min="4874" max="4874" width="15.5703125" style="681" customWidth="1"/>
    <col min="4875" max="4875" width="15" style="681" bestFit="1" customWidth="1"/>
    <col min="4876" max="4876" width="13.42578125" style="681" bestFit="1" customWidth="1"/>
    <col min="4877" max="4877" width="15.5703125" style="681" bestFit="1" customWidth="1"/>
    <col min="4878" max="4878" width="11.140625" style="681" bestFit="1" customWidth="1"/>
    <col min="4879" max="4879" width="17" style="681" customWidth="1"/>
    <col min="4880" max="4880" width="16" style="681" bestFit="1" customWidth="1"/>
    <col min="4881" max="5120" width="9.140625" style="681"/>
    <col min="5121" max="5122" width="7" style="681" customWidth="1"/>
    <col min="5123" max="5123" width="50" style="681" bestFit="1" customWidth="1"/>
    <col min="5124" max="5124" width="15" style="681" bestFit="1" customWidth="1"/>
    <col min="5125" max="5125" width="16" style="681" bestFit="1" customWidth="1"/>
    <col min="5126" max="5126" width="15" style="681" bestFit="1" customWidth="1"/>
    <col min="5127" max="5127" width="13.42578125" style="681" bestFit="1" customWidth="1"/>
    <col min="5128" max="5128" width="15.5703125" style="681" bestFit="1" customWidth="1"/>
    <col min="5129" max="5129" width="11.140625" style="681" bestFit="1" customWidth="1"/>
    <col min="5130" max="5130" width="15.5703125" style="681" customWidth="1"/>
    <col min="5131" max="5131" width="15" style="681" bestFit="1" customWidth="1"/>
    <col min="5132" max="5132" width="13.42578125" style="681" bestFit="1" customWidth="1"/>
    <col min="5133" max="5133" width="15.5703125" style="681" bestFit="1" customWidth="1"/>
    <col min="5134" max="5134" width="11.140625" style="681" bestFit="1" customWidth="1"/>
    <col min="5135" max="5135" width="17" style="681" customWidth="1"/>
    <col min="5136" max="5136" width="16" style="681" bestFit="1" customWidth="1"/>
    <col min="5137" max="5376" width="9.140625" style="681"/>
    <col min="5377" max="5378" width="7" style="681" customWidth="1"/>
    <col min="5379" max="5379" width="50" style="681" bestFit="1" customWidth="1"/>
    <col min="5380" max="5380" width="15" style="681" bestFit="1" customWidth="1"/>
    <col min="5381" max="5381" width="16" style="681" bestFit="1" customWidth="1"/>
    <col min="5382" max="5382" width="15" style="681" bestFit="1" customWidth="1"/>
    <col min="5383" max="5383" width="13.42578125" style="681" bestFit="1" customWidth="1"/>
    <col min="5384" max="5384" width="15.5703125" style="681" bestFit="1" customWidth="1"/>
    <col min="5385" max="5385" width="11.140625" style="681" bestFit="1" customWidth="1"/>
    <col min="5386" max="5386" width="15.5703125" style="681" customWidth="1"/>
    <col min="5387" max="5387" width="15" style="681" bestFit="1" customWidth="1"/>
    <col min="5388" max="5388" width="13.42578125" style="681" bestFit="1" customWidth="1"/>
    <col min="5389" max="5389" width="15.5703125" style="681" bestFit="1" customWidth="1"/>
    <col min="5390" max="5390" width="11.140625" style="681" bestFit="1" customWidth="1"/>
    <col min="5391" max="5391" width="17" style="681" customWidth="1"/>
    <col min="5392" max="5392" width="16" style="681" bestFit="1" customWidth="1"/>
    <col min="5393" max="5632" width="9.140625" style="681"/>
    <col min="5633" max="5634" width="7" style="681" customWidth="1"/>
    <col min="5635" max="5635" width="50" style="681" bestFit="1" customWidth="1"/>
    <col min="5636" max="5636" width="15" style="681" bestFit="1" customWidth="1"/>
    <col min="5637" max="5637" width="16" style="681" bestFit="1" customWidth="1"/>
    <col min="5638" max="5638" width="15" style="681" bestFit="1" customWidth="1"/>
    <col min="5639" max="5639" width="13.42578125" style="681" bestFit="1" customWidth="1"/>
    <col min="5640" max="5640" width="15.5703125" style="681" bestFit="1" customWidth="1"/>
    <col min="5641" max="5641" width="11.140625" style="681" bestFit="1" customWidth="1"/>
    <col min="5642" max="5642" width="15.5703125" style="681" customWidth="1"/>
    <col min="5643" max="5643" width="15" style="681" bestFit="1" customWidth="1"/>
    <col min="5644" max="5644" width="13.42578125" style="681" bestFit="1" customWidth="1"/>
    <col min="5645" max="5645" width="15.5703125" style="681" bestFit="1" customWidth="1"/>
    <col min="5646" max="5646" width="11.140625" style="681" bestFit="1" customWidth="1"/>
    <col min="5647" max="5647" width="17" style="681" customWidth="1"/>
    <col min="5648" max="5648" width="16" style="681" bestFit="1" customWidth="1"/>
    <col min="5649" max="5888" width="9.140625" style="681"/>
    <col min="5889" max="5890" width="7" style="681" customWidth="1"/>
    <col min="5891" max="5891" width="50" style="681" bestFit="1" customWidth="1"/>
    <col min="5892" max="5892" width="15" style="681" bestFit="1" customWidth="1"/>
    <col min="5893" max="5893" width="16" style="681" bestFit="1" customWidth="1"/>
    <col min="5894" max="5894" width="15" style="681" bestFit="1" customWidth="1"/>
    <col min="5895" max="5895" width="13.42578125" style="681" bestFit="1" customWidth="1"/>
    <col min="5896" max="5896" width="15.5703125" style="681" bestFit="1" customWidth="1"/>
    <col min="5897" max="5897" width="11.140625" style="681" bestFit="1" customWidth="1"/>
    <col min="5898" max="5898" width="15.5703125" style="681" customWidth="1"/>
    <col min="5899" max="5899" width="15" style="681" bestFit="1" customWidth="1"/>
    <col min="5900" max="5900" width="13.42578125" style="681" bestFit="1" customWidth="1"/>
    <col min="5901" max="5901" width="15.5703125" style="681" bestFit="1" customWidth="1"/>
    <col min="5902" max="5902" width="11.140625" style="681" bestFit="1" customWidth="1"/>
    <col min="5903" max="5903" width="17" style="681" customWidth="1"/>
    <col min="5904" max="5904" width="16" style="681" bestFit="1" customWidth="1"/>
    <col min="5905" max="6144" width="9.140625" style="681"/>
    <col min="6145" max="6146" width="7" style="681" customWidth="1"/>
    <col min="6147" max="6147" width="50" style="681" bestFit="1" customWidth="1"/>
    <col min="6148" max="6148" width="15" style="681" bestFit="1" customWidth="1"/>
    <col min="6149" max="6149" width="16" style="681" bestFit="1" customWidth="1"/>
    <col min="6150" max="6150" width="15" style="681" bestFit="1" customWidth="1"/>
    <col min="6151" max="6151" width="13.42578125" style="681" bestFit="1" customWidth="1"/>
    <col min="6152" max="6152" width="15.5703125" style="681" bestFit="1" customWidth="1"/>
    <col min="6153" max="6153" width="11.140625" style="681" bestFit="1" customWidth="1"/>
    <col min="6154" max="6154" width="15.5703125" style="681" customWidth="1"/>
    <col min="6155" max="6155" width="15" style="681" bestFit="1" customWidth="1"/>
    <col min="6156" max="6156" width="13.42578125" style="681" bestFit="1" customWidth="1"/>
    <col min="6157" max="6157" width="15.5703125" style="681" bestFit="1" customWidth="1"/>
    <col min="6158" max="6158" width="11.140625" style="681" bestFit="1" customWidth="1"/>
    <col min="6159" max="6159" width="17" style="681" customWidth="1"/>
    <col min="6160" max="6160" width="16" style="681" bestFit="1" customWidth="1"/>
    <col min="6161" max="6400" width="9.140625" style="681"/>
    <col min="6401" max="6402" width="7" style="681" customWidth="1"/>
    <col min="6403" max="6403" width="50" style="681" bestFit="1" customWidth="1"/>
    <col min="6404" max="6404" width="15" style="681" bestFit="1" customWidth="1"/>
    <col min="6405" max="6405" width="16" style="681" bestFit="1" customWidth="1"/>
    <col min="6406" max="6406" width="15" style="681" bestFit="1" customWidth="1"/>
    <col min="6407" max="6407" width="13.42578125" style="681" bestFit="1" customWidth="1"/>
    <col min="6408" max="6408" width="15.5703125" style="681" bestFit="1" customWidth="1"/>
    <col min="6409" max="6409" width="11.140625" style="681" bestFit="1" customWidth="1"/>
    <col min="6410" max="6410" width="15.5703125" style="681" customWidth="1"/>
    <col min="6411" max="6411" width="15" style="681" bestFit="1" customWidth="1"/>
    <col min="6412" max="6412" width="13.42578125" style="681" bestFit="1" customWidth="1"/>
    <col min="6413" max="6413" width="15.5703125" style="681" bestFit="1" customWidth="1"/>
    <col min="6414" max="6414" width="11.140625" style="681" bestFit="1" customWidth="1"/>
    <col min="6415" max="6415" width="17" style="681" customWidth="1"/>
    <col min="6416" max="6416" width="16" style="681" bestFit="1" customWidth="1"/>
    <col min="6417" max="6656" width="9.140625" style="681"/>
    <col min="6657" max="6658" width="7" style="681" customWidth="1"/>
    <col min="6659" max="6659" width="50" style="681" bestFit="1" customWidth="1"/>
    <col min="6660" max="6660" width="15" style="681" bestFit="1" customWidth="1"/>
    <col min="6661" max="6661" width="16" style="681" bestFit="1" customWidth="1"/>
    <col min="6662" max="6662" width="15" style="681" bestFit="1" customWidth="1"/>
    <col min="6663" max="6663" width="13.42578125" style="681" bestFit="1" customWidth="1"/>
    <col min="6664" max="6664" width="15.5703125" style="681" bestFit="1" customWidth="1"/>
    <col min="6665" max="6665" width="11.140625" style="681" bestFit="1" customWidth="1"/>
    <col min="6666" max="6666" width="15.5703125" style="681" customWidth="1"/>
    <col min="6667" max="6667" width="15" style="681" bestFit="1" customWidth="1"/>
    <col min="6668" max="6668" width="13.42578125" style="681" bestFit="1" customWidth="1"/>
    <col min="6669" max="6669" width="15.5703125" style="681" bestFit="1" customWidth="1"/>
    <col min="6670" max="6670" width="11.140625" style="681" bestFit="1" customWidth="1"/>
    <col min="6671" max="6671" width="17" style="681" customWidth="1"/>
    <col min="6672" max="6672" width="16" style="681" bestFit="1" customWidth="1"/>
    <col min="6673" max="6912" width="9.140625" style="681"/>
    <col min="6913" max="6914" width="7" style="681" customWidth="1"/>
    <col min="6915" max="6915" width="50" style="681" bestFit="1" customWidth="1"/>
    <col min="6916" max="6916" width="15" style="681" bestFit="1" customWidth="1"/>
    <col min="6917" max="6917" width="16" style="681" bestFit="1" customWidth="1"/>
    <col min="6918" max="6918" width="15" style="681" bestFit="1" customWidth="1"/>
    <col min="6919" max="6919" width="13.42578125" style="681" bestFit="1" customWidth="1"/>
    <col min="6920" max="6920" width="15.5703125" style="681" bestFit="1" customWidth="1"/>
    <col min="6921" max="6921" width="11.140625" style="681" bestFit="1" customWidth="1"/>
    <col min="6922" max="6922" width="15.5703125" style="681" customWidth="1"/>
    <col min="6923" max="6923" width="15" style="681" bestFit="1" customWidth="1"/>
    <col min="6924" max="6924" width="13.42578125" style="681" bestFit="1" customWidth="1"/>
    <col min="6925" max="6925" width="15.5703125" style="681" bestFit="1" customWidth="1"/>
    <col min="6926" max="6926" width="11.140625" style="681" bestFit="1" customWidth="1"/>
    <col min="6927" max="6927" width="17" style="681" customWidth="1"/>
    <col min="6928" max="6928" width="16" style="681" bestFit="1" customWidth="1"/>
    <col min="6929" max="7168" width="9.140625" style="681"/>
    <col min="7169" max="7170" width="7" style="681" customWidth="1"/>
    <col min="7171" max="7171" width="50" style="681" bestFit="1" customWidth="1"/>
    <col min="7172" max="7172" width="15" style="681" bestFit="1" customWidth="1"/>
    <col min="7173" max="7173" width="16" style="681" bestFit="1" customWidth="1"/>
    <col min="7174" max="7174" width="15" style="681" bestFit="1" customWidth="1"/>
    <col min="7175" max="7175" width="13.42578125" style="681" bestFit="1" customWidth="1"/>
    <col min="7176" max="7176" width="15.5703125" style="681" bestFit="1" customWidth="1"/>
    <col min="7177" max="7177" width="11.140625" style="681" bestFit="1" customWidth="1"/>
    <col min="7178" max="7178" width="15.5703125" style="681" customWidth="1"/>
    <col min="7179" max="7179" width="15" style="681" bestFit="1" customWidth="1"/>
    <col min="7180" max="7180" width="13.42578125" style="681" bestFit="1" customWidth="1"/>
    <col min="7181" max="7181" width="15.5703125" style="681" bestFit="1" customWidth="1"/>
    <col min="7182" max="7182" width="11.140625" style="681" bestFit="1" customWidth="1"/>
    <col min="7183" max="7183" width="17" style="681" customWidth="1"/>
    <col min="7184" max="7184" width="16" style="681" bestFit="1" customWidth="1"/>
    <col min="7185" max="7424" width="9.140625" style="681"/>
    <col min="7425" max="7426" width="7" style="681" customWidth="1"/>
    <col min="7427" max="7427" width="50" style="681" bestFit="1" customWidth="1"/>
    <col min="7428" max="7428" width="15" style="681" bestFit="1" customWidth="1"/>
    <col min="7429" max="7429" width="16" style="681" bestFit="1" customWidth="1"/>
    <col min="7430" max="7430" width="15" style="681" bestFit="1" customWidth="1"/>
    <col min="7431" max="7431" width="13.42578125" style="681" bestFit="1" customWidth="1"/>
    <col min="7432" max="7432" width="15.5703125" style="681" bestFit="1" customWidth="1"/>
    <col min="7433" max="7433" width="11.140625" style="681" bestFit="1" customWidth="1"/>
    <col min="7434" max="7434" width="15.5703125" style="681" customWidth="1"/>
    <col min="7435" max="7435" width="15" style="681" bestFit="1" customWidth="1"/>
    <col min="7436" max="7436" width="13.42578125" style="681" bestFit="1" customWidth="1"/>
    <col min="7437" max="7437" width="15.5703125" style="681" bestFit="1" customWidth="1"/>
    <col min="7438" max="7438" width="11.140625" style="681" bestFit="1" customWidth="1"/>
    <col min="7439" max="7439" width="17" style="681" customWidth="1"/>
    <col min="7440" max="7440" width="16" style="681" bestFit="1" customWidth="1"/>
    <col min="7441" max="7680" width="9.140625" style="681"/>
    <col min="7681" max="7682" width="7" style="681" customWidth="1"/>
    <col min="7683" max="7683" width="50" style="681" bestFit="1" customWidth="1"/>
    <col min="7684" max="7684" width="15" style="681" bestFit="1" customWidth="1"/>
    <col min="7685" max="7685" width="16" style="681" bestFit="1" customWidth="1"/>
    <col min="7686" max="7686" width="15" style="681" bestFit="1" customWidth="1"/>
    <col min="7687" max="7687" width="13.42578125" style="681" bestFit="1" customWidth="1"/>
    <col min="7688" max="7688" width="15.5703125" style="681" bestFit="1" customWidth="1"/>
    <col min="7689" max="7689" width="11.140625" style="681" bestFit="1" customWidth="1"/>
    <col min="7690" max="7690" width="15.5703125" style="681" customWidth="1"/>
    <col min="7691" max="7691" width="15" style="681" bestFit="1" customWidth="1"/>
    <col min="7692" max="7692" width="13.42578125" style="681" bestFit="1" customWidth="1"/>
    <col min="7693" max="7693" width="15.5703125" style="681" bestFit="1" customWidth="1"/>
    <col min="7694" max="7694" width="11.140625" style="681" bestFit="1" customWidth="1"/>
    <col min="7695" max="7695" width="17" style="681" customWidth="1"/>
    <col min="7696" max="7696" width="16" style="681" bestFit="1" customWidth="1"/>
    <col min="7697" max="7936" width="9.140625" style="681"/>
    <col min="7937" max="7938" width="7" style="681" customWidth="1"/>
    <col min="7939" max="7939" width="50" style="681" bestFit="1" customWidth="1"/>
    <col min="7940" max="7940" width="15" style="681" bestFit="1" customWidth="1"/>
    <col min="7941" max="7941" width="16" style="681" bestFit="1" customWidth="1"/>
    <col min="7942" max="7942" width="15" style="681" bestFit="1" customWidth="1"/>
    <col min="7943" max="7943" width="13.42578125" style="681" bestFit="1" customWidth="1"/>
    <col min="7944" max="7944" width="15.5703125" style="681" bestFit="1" customWidth="1"/>
    <col min="7945" max="7945" width="11.140625" style="681" bestFit="1" customWidth="1"/>
    <col min="7946" max="7946" width="15.5703125" style="681" customWidth="1"/>
    <col min="7947" max="7947" width="15" style="681" bestFit="1" customWidth="1"/>
    <col min="7948" max="7948" width="13.42578125" style="681" bestFit="1" customWidth="1"/>
    <col min="7949" max="7949" width="15.5703125" style="681" bestFit="1" customWidth="1"/>
    <col min="7950" max="7950" width="11.140625" style="681" bestFit="1" customWidth="1"/>
    <col min="7951" max="7951" width="17" style="681" customWidth="1"/>
    <col min="7952" max="7952" width="16" style="681" bestFit="1" customWidth="1"/>
    <col min="7953" max="8192" width="9.140625" style="681"/>
    <col min="8193" max="8194" width="7" style="681" customWidth="1"/>
    <col min="8195" max="8195" width="50" style="681" bestFit="1" customWidth="1"/>
    <col min="8196" max="8196" width="15" style="681" bestFit="1" customWidth="1"/>
    <col min="8197" max="8197" width="16" style="681" bestFit="1" customWidth="1"/>
    <col min="8198" max="8198" width="15" style="681" bestFit="1" customWidth="1"/>
    <col min="8199" max="8199" width="13.42578125" style="681" bestFit="1" customWidth="1"/>
    <col min="8200" max="8200" width="15.5703125" style="681" bestFit="1" customWidth="1"/>
    <col min="8201" max="8201" width="11.140625" style="681" bestFit="1" customWidth="1"/>
    <col min="8202" max="8202" width="15.5703125" style="681" customWidth="1"/>
    <col min="8203" max="8203" width="15" style="681" bestFit="1" customWidth="1"/>
    <col min="8204" max="8204" width="13.42578125" style="681" bestFit="1" customWidth="1"/>
    <col min="8205" max="8205" width="15.5703125" style="681" bestFit="1" customWidth="1"/>
    <col min="8206" max="8206" width="11.140625" style="681" bestFit="1" customWidth="1"/>
    <col min="8207" max="8207" width="17" style="681" customWidth="1"/>
    <col min="8208" max="8208" width="16" style="681" bestFit="1" customWidth="1"/>
    <col min="8209" max="8448" width="9.140625" style="681"/>
    <col min="8449" max="8450" width="7" style="681" customWidth="1"/>
    <col min="8451" max="8451" width="50" style="681" bestFit="1" customWidth="1"/>
    <col min="8452" max="8452" width="15" style="681" bestFit="1" customWidth="1"/>
    <col min="8453" max="8453" width="16" style="681" bestFit="1" customWidth="1"/>
    <col min="8454" max="8454" width="15" style="681" bestFit="1" customWidth="1"/>
    <col min="8455" max="8455" width="13.42578125" style="681" bestFit="1" customWidth="1"/>
    <col min="8456" max="8456" width="15.5703125" style="681" bestFit="1" customWidth="1"/>
    <col min="8457" max="8457" width="11.140625" style="681" bestFit="1" customWidth="1"/>
    <col min="8458" max="8458" width="15.5703125" style="681" customWidth="1"/>
    <col min="8459" max="8459" width="15" style="681" bestFit="1" customWidth="1"/>
    <col min="8460" max="8460" width="13.42578125" style="681" bestFit="1" customWidth="1"/>
    <col min="8461" max="8461" width="15.5703125" style="681" bestFit="1" customWidth="1"/>
    <col min="8462" max="8462" width="11.140625" style="681" bestFit="1" customWidth="1"/>
    <col min="8463" max="8463" width="17" style="681" customWidth="1"/>
    <col min="8464" max="8464" width="16" style="681" bestFit="1" customWidth="1"/>
    <col min="8465" max="8704" width="9.140625" style="681"/>
    <col min="8705" max="8706" width="7" style="681" customWidth="1"/>
    <col min="8707" max="8707" width="50" style="681" bestFit="1" customWidth="1"/>
    <col min="8708" max="8708" width="15" style="681" bestFit="1" customWidth="1"/>
    <col min="8709" max="8709" width="16" style="681" bestFit="1" customWidth="1"/>
    <col min="8710" max="8710" width="15" style="681" bestFit="1" customWidth="1"/>
    <col min="8711" max="8711" width="13.42578125" style="681" bestFit="1" customWidth="1"/>
    <col min="8712" max="8712" width="15.5703125" style="681" bestFit="1" customWidth="1"/>
    <col min="8713" max="8713" width="11.140625" style="681" bestFit="1" customWidth="1"/>
    <col min="8714" max="8714" width="15.5703125" style="681" customWidth="1"/>
    <col min="8715" max="8715" width="15" style="681" bestFit="1" customWidth="1"/>
    <col min="8716" max="8716" width="13.42578125" style="681" bestFit="1" customWidth="1"/>
    <col min="8717" max="8717" width="15.5703125" style="681" bestFit="1" customWidth="1"/>
    <col min="8718" max="8718" width="11.140625" style="681" bestFit="1" customWidth="1"/>
    <col min="8719" max="8719" width="17" style="681" customWidth="1"/>
    <col min="8720" max="8720" width="16" style="681" bestFit="1" customWidth="1"/>
    <col min="8721" max="8960" width="9.140625" style="681"/>
    <col min="8961" max="8962" width="7" style="681" customWidth="1"/>
    <col min="8963" max="8963" width="50" style="681" bestFit="1" customWidth="1"/>
    <col min="8964" max="8964" width="15" style="681" bestFit="1" customWidth="1"/>
    <col min="8965" max="8965" width="16" style="681" bestFit="1" customWidth="1"/>
    <col min="8966" max="8966" width="15" style="681" bestFit="1" customWidth="1"/>
    <col min="8967" max="8967" width="13.42578125" style="681" bestFit="1" customWidth="1"/>
    <col min="8968" max="8968" width="15.5703125" style="681" bestFit="1" customWidth="1"/>
    <col min="8969" max="8969" width="11.140625" style="681" bestFit="1" customWidth="1"/>
    <col min="8970" max="8970" width="15.5703125" style="681" customWidth="1"/>
    <col min="8971" max="8971" width="15" style="681" bestFit="1" customWidth="1"/>
    <col min="8972" max="8972" width="13.42578125" style="681" bestFit="1" customWidth="1"/>
    <col min="8973" max="8973" width="15.5703125" style="681" bestFit="1" customWidth="1"/>
    <col min="8974" max="8974" width="11.140625" style="681" bestFit="1" customWidth="1"/>
    <col min="8975" max="8975" width="17" style="681" customWidth="1"/>
    <col min="8976" max="8976" width="16" style="681" bestFit="1" customWidth="1"/>
    <col min="8977" max="9216" width="9.140625" style="681"/>
    <col min="9217" max="9218" width="7" style="681" customWidth="1"/>
    <col min="9219" max="9219" width="50" style="681" bestFit="1" customWidth="1"/>
    <col min="9220" max="9220" width="15" style="681" bestFit="1" customWidth="1"/>
    <col min="9221" max="9221" width="16" style="681" bestFit="1" customWidth="1"/>
    <col min="9222" max="9222" width="15" style="681" bestFit="1" customWidth="1"/>
    <col min="9223" max="9223" width="13.42578125" style="681" bestFit="1" customWidth="1"/>
    <col min="9224" max="9224" width="15.5703125" style="681" bestFit="1" customWidth="1"/>
    <col min="9225" max="9225" width="11.140625" style="681" bestFit="1" customWidth="1"/>
    <col min="9226" max="9226" width="15.5703125" style="681" customWidth="1"/>
    <col min="9227" max="9227" width="15" style="681" bestFit="1" customWidth="1"/>
    <col min="9228" max="9228" width="13.42578125" style="681" bestFit="1" customWidth="1"/>
    <col min="9229" max="9229" width="15.5703125" style="681" bestFit="1" customWidth="1"/>
    <col min="9230" max="9230" width="11.140625" style="681" bestFit="1" customWidth="1"/>
    <col min="9231" max="9231" width="17" style="681" customWidth="1"/>
    <col min="9232" max="9232" width="16" style="681" bestFit="1" customWidth="1"/>
    <col min="9233" max="9472" width="9.140625" style="681"/>
    <col min="9473" max="9474" width="7" style="681" customWidth="1"/>
    <col min="9475" max="9475" width="50" style="681" bestFit="1" customWidth="1"/>
    <col min="9476" max="9476" width="15" style="681" bestFit="1" customWidth="1"/>
    <col min="9477" max="9477" width="16" style="681" bestFit="1" customWidth="1"/>
    <col min="9478" max="9478" width="15" style="681" bestFit="1" customWidth="1"/>
    <col min="9479" max="9479" width="13.42578125" style="681" bestFit="1" customWidth="1"/>
    <col min="9480" max="9480" width="15.5703125" style="681" bestFit="1" customWidth="1"/>
    <col min="9481" max="9481" width="11.140625" style="681" bestFit="1" customWidth="1"/>
    <col min="9482" max="9482" width="15.5703125" style="681" customWidth="1"/>
    <col min="9483" max="9483" width="15" style="681" bestFit="1" customWidth="1"/>
    <col min="9484" max="9484" width="13.42578125" style="681" bestFit="1" customWidth="1"/>
    <col min="9485" max="9485" width="15.5703125" style="681" bestFit="1" customWidth="1"/>
    <col min="9486" max="9486" width="11.140625" style="681" bestFit="1" customWidth="1"/>
    <col min="9487" max="9487" width="17" style="681" customWidth="1"/>
    <col min="9488" max="9488" width="16" style="681" bestFit="1" customWidth="1"/>
    <col min="9489" max="9728" width="9.140625" style="681"/>
    <col min="9729" max="9730" width="7" style="681" customWidth="1"/>
    <col min="9731" max="9731" width="50" style="681" bestFit="1" customWidth="1"/>
    <col min="9732" max="9732" width="15" style="681" bestFit="1" customWidth="1"/>
    <col min="9733" max="9733" width="16" style="681" bestFit="1" customWidth="1"/>
    <col min="9734" max="9734" width="15" style="681" bestFit="1" customWidth="1"/>
    <col min="9735" max="9735" width="13.42578125" style="681" bestFit="1" customWidth="1"/>
    <col min="9736" max="9736" width="15.5703125" style="681" bestFit="1" customWidth="1"/>
    <col min="9737" max="9737" width="11.140625" style="681" bestFit="1" customWidth="1"/>
    <col min="9738" max="9738" width="15.5703125" style="681" customWidth="1"/>
    <col min="9739" max="9739" width="15" style="681" bestFit="1" customWidth="1"/>
    <col min="9740" max="9740" width="13.42578125" style="681" bestFit="1" customWidth="1"/>
    <col min="9741" max="9741" width="15.5703125" style="681" bestFit="1" customWidth="1"/>
    <col min="9742" max="9742" width="11.140625" style="681" bestFit="1" customWidth="1"/>
    <col min="9743" max="9743" width="17" style="681" customWidth="1"/>
    <col min="9744" max="9744" width="16" style="681" bestFit="1" customWidth="1"/>
    <col min="9745" max="9984" width="9.140625" style="681"/>
    <col min="9985" max="9986" width="7" style="681" customWidth="1"/>
    <col min="9987" max="9987" width="50" style="681" bestFit="1" customWidth="1"/>
    <col min="9988" max="9988" width="15" style="681" bestFit="1" customWidth="1"/>
    <col min="9989" max="9989" width="16" style="681" bestFit="1" customWidth="1"/>
    <col min="9990" max="9990" width="15" style="681" bestFit="1" customWidth="1"/>
    <col min="9991" max="9991" width="13.42578125" style="681" bestFit="1" customWidth="1"/>
    <col min="9992" max="9992" width="15.5703125" style="681" bestFit="1" customWidth="1"/>
    <col min="9993" max="9993" width="11.140625" style="681" bestFit="1" customWidth="1"/>
    <col min="9994" max="9994" width="15.5703125" style="681" customWidth="1"/>
    <col min="9995" max="9995" width="15" style="681" bestFit="1" customWidth="1"/>
    <col min="9996" max="9996" width="13.42578125" style="681" bestFit="1" customWidth="1"/>
    <col min="9997" max="9997" width="15.5703125" style="681" bestFit="1" customWidth="1"/>
    <col min="9998" max="9998" width="11.140625" style="681" bestFit="1" customWidth="1"/>
    <col min="9999" max="9999" width="17" style="681" customWidth="1"/>
    <col min="10000" max="10000" width="16" style="681" bestFit="1" customWidth="1"/>
    <col min="10001" max="10240" width="9.140625" style="681"/>
    <col min="10241" max="10242" width="7" style="681" customWidth="1"/>
    <col min="10243" max="10243" width="50" style="681" bestFit="1" customWidth="1"/>
    <col min="10244" max="10244" width="15" style="681" bestFit="1" customWidth="1"/>
    <col min="10245" max="10245" width="16" style="681" bestFit="1" customWidth="1"/>
    <col min="10246" max="10246" width="15" style="681" bestFit="1" customWidth="1"/>
    <col min="10247" max="10247" width="13.42578125" style="681" bestFit="1" customWidth="1"/>
    <col min="10248" max="10248" width="15.5703125" style="681" bestFit="1" customWidth="1"/>
    <col min="10249" max="10249" width="11.140625" style="681" bestFit="1" customWidth="1"/>
    <col min="10250" max="10250" width="15.5703125" style="681" customWidth="1"/>
    <col min="10251" max="10251" width="15" style="681" bestFit="1" customWidth="1"/>
    <col min="10252" max="10252" width="13.42578125" style="681" bestFit="1" customWidth="1"/>
    <col min="10253" max="10253" width="15.5703125" style="681" bestFit="1" customWidth="1"/>
    <col min="10254" max="10254" width="11.140625" style="681" bestFit="1" customWidth="1"/>
    <col min="10255" max="10255" width="17" style="681" customWidth="1"/>
    <col min="10256" max="10256" width="16" style="681" bestFit="1" customWidth="1"/>
    <col min="10257" max="10496" width="9.140625" style="681"/>
    <col min="10497" max="10498" width="7" style="681" customWidth="1"/>
    <col min="10499" max="10499" width="50" style="681" bestFit="1" customWidth="1"/>
    <col min="10500" max="10500" width="15" style="681" bestFit="1" customWidth="1"/>
    <col min="10501" max="10501" width="16" style="681" bestFit="1" customWidth="1"/>
    <col min="10502" max="10502" width="15" style="681" bestFit="1" customWidth="1"/>
    <col min="10503" max="10503" width="13.42578125" style="681" bestFit="1" customWidth="1"/>
    <col min="10504" max="10504" width="15.5703125" style="681" bestFit="1" customWidth="1"/>
    <col min="10505" max="10505" width="11.140625" style="681" bestFit="1" customWidth="1"/>
    <col min="10506" max="10506" width="15.5703125" style="681" customWidth="1"/>
    <col min="10507" max="10507" width="15" style="681" bestFit="1" customWidth="1"/>
    <col min="10508" max="10508" width="13.42578125" style="681" bestFit="1" customWidth="1"/>
    <col min="10509" max="10509" width="15.5703125" style="681" bestFit="1" customWidth="1"/>
    <col min="10510" max="10510" width="11.140625" style="681" bestFit="1" customWidth="1"/>
    <col min="10511" max="10511" width="17" style="681" customWidth="1"/>
    <col min="10512" max="10512" width="16" style="681" bestFit="1" customWidth="1"/>
    <col min="10513" max="10752" width="9.140625" style="681"/>
    <col min="10753" max="10754" width="7" style="681" customWidth="1"/>
    <col min="10755" max="10755" width="50" style="681" bestFit="1" customWidth="1"/>
    <col min="10756" max="10756" width="15" style="681" bestFit="1" customWidth="1"/>
    <col min="10757" max="10757" width="16" style="681" bestFit="1" customWidth="1"/>
    <col min="10758" max="10758" width="15" style="681" bestFit="1" customWidth="1"/>
    <col min="10759" max="10759" width="13.42578125" style="681" bestFit="1" customWidth="1"/>
    <col min="10760" max="10760" width="15.5703125" style="681" bestFit="1" customWidth="1"/>
    <col min="10761" max="10761" width="11.140625" style="681" bestFit="1" customWidth="1"/>
    <col min="10762" max="10762" width="15.5703125" style="681" customWidth="1"/>
    <col min="10763" max="10763" width="15" style="681" bestFit="1" customWidth="1"/>
    <col min="10764" max="10764" width="13.42578125" style="681" bestFit="1" customWidth="1"/>
    <col min="10765" max="10765" width="15.5703125" style="681" bestFit="1" customWidth="1"/>
    <col min="10766" max="10766" width="11.140625" style="681" bestFit="1" customWidth="1"/>
    <col min="10767" max="10767" width="17" style="681" customWidth="1"/>
    <col min="10768" max="10768" width="16" style="681" bestFit="1" customWidth="1"/>
    <col min="10769" max="11008" width="9.140625" style="681"/>
    <col min="11009" max="11010" width="7" style="681" customWidth="1"/>
    <col min="11011" max="11011" width="50" style="681" bestFit="1" customWidth="1"/>
    <col min="11012" max="11012" width="15" style="681" bestFit="1" customWidth="1"/>
    <col min="11013" max="11013" width="16" style="681" bestFit="1" customWidth="1"/>
    <col min="11014" max="11014" width="15" style="681" bestFit="1" customWidth="1"/>
    <col min="11015" max="11015" width="13.42578125" style="681" bestFit="1" customWidth="1"/>
    <col min="11016" max="11016" width="15.5703125" style="681" bestFit="1" customWidth="1"/>
    <col min="11017" max="11017" width="11.140625" style="681" bestFit="1" customWidth="1"/>
    <col min="11018" max="11018" width="15.5703125" style="681" customWidth="1"/>
    <col min="11019" max="11019" width="15" style="681" bestFit="1" customWidth="1"/>
    <col min="11020" max="11020" width="13.42578125" style="681" bestFit="1" customWidth="1"/>
    <col min="11021" max="11021" width="15.5703125" style="681" bestFit="1" customWidth="1"/>
    <col min="11022" max="11022" width="11.140625" style="681" bestFit="1" customWidth="1"/>
    <col min="11023" max="11023" width="17" style="681" customWidth="1"/>
    <col min="11024" max="11024" width="16" style="681" bestFit="1" customWidth="1"/>
    <col min="11025" max="11264" width="9.140625" style="681"/>
    <col min="11265" max="11266" width="7" style="681" customWidth="1"/>
    <col min="11267" max="11267" width="50" style="681" bestFit="1" customWidth="1"/>
    <col min="11268" max="11268" width="15" style="681" bestFit="1" customWidth="1"/>
    <col min="11269" max="11269" width="16" style="681" bestFit="1" customWidth="1"/>
    <col min="11270" max="11270" width="15" style="681" bestFit="1" customWidth="1"/>
    <col min="11271" max="11271" width="13.42578125" style="681" bestFit="1" customWidth="1"/>
    <col min="11272" max="11272" width="15.5703125" style="681" bestFit="1" customWidth="1"/>
    <col min="11273" max="11273" width="11.140625" style="681" bestFit="1" customWidth="1"/>
    <col min="11274" max="11274" width="15.5703125" style="681" customWidth="1"/>
    <col min="11275" max="11275" width="15" style="681" bestFit="1" customWidth="1"/>
    <col min="11276" max="11276" width="13.42578125" style="681" bestFit="1" customWidth="1"/>
    <col min="11277" max="11277" width="15.5703125" style="681" bestFit="1" customWidth="1"/>
    <col min="11278" max="11278" width="11.140625" style="681" bestFit="1" customWidth="1"/>
    <col min="11279" max="11279" width="17" style="681" customWidth="1"/>
    <col min="11280" max="11280" width="16" style="681" bestFit="1" customWidth="1"/>
    <col min="11281" max="11520" width="9.140625" style="681"/>
    <col min="11521" max="11522" width="7" style="681" customWidth="1"/>
    <col min="11523" max="11523" width="50" style="681" bestFit="1" customWidth="1"/>
    <col min="11524" max="11524" width="15" style="681" bestFit="1" customWidth="1"/>
    <col min="11525" max="11525" width="16" style="681" bestFit="1" customWidth="1"/>
    <col min="11526" max="11526" width="15" style="681" bestFit="1" customWidth="1"/>
    <col min="11527" max="11527" width="13.42578125" style="681" bestFit="1" customWidth="1"/>
    <col min="11528" max="11528" width="15.5703125" style="681" bestFit="1" customWidth="1"/>
    <col min="11529" max="11529" width="11.140625" style="681" bestFit="1" customWidth="1"/>
    <col min="11530" max="11530" width="15.5703125" style="681" customWidth="1"/>
    <col min="11531" max="11531" width="15" style="681" bestFit="1" customWidth="1"/>
    <col min="11532" max="11532" width="13.42578125" style="681" bestFit="1" customWidth="1"/>
    <col min="11533" max="11533" width="15.5703125" style="681" bestFit="1" customWidth="1"/>
    <col min="11534" max="11534" width="11.140625" style="681" bestFit="1" customWidth="1"/>
    <col min="11535" max="11535" width="17" style="681" customWidth="1"/>
    <col min="11536" max="11536" width="16" style="681" bestFit="1" customWidth="1"/>
    <col min="11537" max="11776" width="9.140625" style="681"/>
    <col min="11777" max="11778" width="7" style="681" customWidth="1"/>
    <col min="11779" max="11779" width="50" style="681" bestFit="1" customWidth="1"/>
    <col min="11780" max="11780" width="15" style="681" bestFit="1" customWidth="1"/>
    <col min="11781" max="11781" width="16" style="681" bestFit="1" customWidth="1"/>
    <col min="11782" max="11782" width="15" style="681" bestFit="1" customWidth="1"/>
    <col min="11783" max="11783" width="13.42578125" style="681" bestFit="1" customWidth="1"/>
    <col min="11784" max="11784" width="15.5703125" style="681" bestFit="1" customWidth="1"/>
    <col min="11785" max="11785" width="11.140625" style="681" bestFit="1" customWidth="1"/>
    <col min="11786" max="11786" width="15.5703125" style="681" customWidth="1"/>
    <col min="11787" max="11787" width="15" style="681" bestFit="1" customWidth="1"/>
    <col min="11788" max="11788" width="13.42578125" style="681" bestFit="1" customWidth="1"/>
    <col min="11789" max="11789" width="15.5703125" style="681" bestFit="1" customWidth="1"/>
    <col min="11790" max="11790" width="11.140625" style="681" bestFit="1" customWidth="1"/>
    <col min="11791" max="11791" width="17" style="681" customWidth="1"/>
    <col min="11792" max="11792" width="16" style="681" bestFit="1" customWidth="1"/>
    <col min="11793" max="12032" width="9.140625" style="681"/>
    <col min="12033" max="12034" width="7" style="681" customWidth="1"/>
    <col min="12035" max="12035" width="50" style="681" bestFit="1" customWidth="1"/>
    <col min="12036" max="12036" width="15" style="681" bestFit="1" customWidth="1"/>
    <col min="12037" max="12037" width="16" style="681" bestFit="1" customWidth="1"/>
    <col min="12038" max="12038" width="15" style="681" bestFit="1" customWidth="1"/>
    <col min="12039" max="12039" width="13.42578125" style="681" bestFit="1" customWidth="1"/>
    <col min="12040" max="12040" width="15.5703125" style="681" bestFit="1" customWidth="1"/>
    <col min="12041" max="12041" width="11.140625" style="681" bestFit="1" customWidth="1"/>
    <col min="12042" max="12042" width="15.5703125" style="681" customWidth="1"/>
    <col min="12043" max="12043" width="15" style="681" bestFit="1" customWidth="1"/>
    <col min="12044" max="12044" width="13.42578125" style="681" bestFit="1" customWidth="1"/>
    <col min="12045" max="12045" width="15.5703125" style="681" bestFit="1" customWidth="1"/>
    <col min="12046" max="12046" width="11.140625" style="681" bestFit="1" customWidth="1"/>
    <col min="12047" max="12047" width="17" style="681" customWidth="1"/>
    <col min="12048" max="12048" width="16" style="681" bestFit="1" customWidth="1"/>
    <col min="12049" max="12288" width="9.140625" style="681"/>
    <col min="12289" max="12290" width="7" style="681" customWidth="1"/>
    <col min="12291" max="12291" width="50" style="681" bestFit="1" customWidth="1"/>
    <col min="12292" max="12292" width="15" style="681" bestFit="1" customWidth="1"/>
    <col min="12293" max="12293" width="16" style="681" bestFit="1" customWidth="1"/>
    <col min="12294" max="12294" width="15" style="681" bestFit="1" customWidth="1"/>
    <col min="12295" max="12295" width="13.42578125" style="681" bestFit="1" customWidth="1"/>
    <col min="12296" max="12296" width="15.5703125" style="681" bestFit="1" customWidth="1"/>
    <col min="12297" max="12297" width="11.140625" style="681" bestFit="1" customWidth="1"/>
    <col min="12298" max="12298" width="15.5703125" style="681" customWidth="1"/>
    <col min="12299" max="12299" width="15" style="681" bestFit="1" customWidth="1"/>
    <col min="12300" max="12300" width="13.42578125" style="681" bestFit="1" customWidth="1"/>
    <col min="12301" max="12301" width="15.5703125" style="681" bestFit="1" customWidth="1"/>
    <col min="12302" max="12302" width="11.140625" style="681" bestFit="1" customWidth="1"/>
    <col min="12303" max="12303" width="17" style="681" customWidth="1"/>
    <col min="12304" max="12304" width="16" style="681" bestFit="1" customWidth="1"/>
    <col min="12305" max="12544" width="9.140625" style="681"/>
    <col min="12545" max="12546" width="7" style="681" customWidth="1"/>
    <col min="12547" max="12547" width="50" style="681" bestFit="1" customWidth="1"/>
    <col min="12548" max="12548" width="15" style="681" bestFit="1" customWidth="1"/>
    <col min="12549" max="12549" width="16" style="681" bestFit="1" customWidth="1"/>
    <col min="12550" max="12550" width="15" style="681" bestFit="1" customWidth="1"/>
    <col min="12551" max="12551" width="13.42578125" style="681" bestFit="1" customWidth="1"/>
    <col min="12552" max="12552" width="15.5703125" style="681" bestFit="1" customWidth="1"/>
    <col min="12553" max="12553" width="11.140625" style="681" bestFit="1" customWidth="1"/>
    <col min="12554" max="12554" width="15.5703125" style="681" customWidth="1"/>
    <col min="12555" max="12555" width="15" style="681" bestFit="1" customWidth="1"/>
    <col min="12556" max="12556" width="13.42578125" style="681" bestFit="1" customWidth="1"/>
    <col min="12557" max="12557" width="15.5703125" style="681" bestFit="1" customWidth="1"/>
    <col min="12558" max="12558" width="11.140625" style="681" bestFit="1" customWidth="1"/>
    <col min="12559" max="12559" width="17" style="681" customWidth="1"/>
    <col min="12560" max="12560" width="16" style="681" bestFit="1" customWidth="1"/>
    <col min="12561" max="12800" width="9.140625" style="681"/>
    <col min="12801" max="12802" width="7" style="681" customWidth="1"/>
    <col min="12803" max="12803" width="50" style="681" bestFit="1" customWidth="1"/>
    <col min="12804" max="12804" width="15" style="681" bestFit="1" customWidth="1"/>
    <col min="12805" max="12805" width="16" style="681" bestFit="1" customWidth="1"/>
    <col min="12806" max="12806" width="15" style="681" bestFit="1" customWidth="1"/>
    <col min="12807" max="12807" width="13.42578125" style="681" bestFit="1" customWidth="1"/>
    <col min="12808" max="12808" width="15.5703125" style="681" bestFit="1" customWidth="1"/>
    <col min="12809" max="12809" width="11.140625" style="681" bestFit="1" customWidth="1"/>
    <col min="12810" max="12810" width="15.5703125" style="681" customWidth="1"/>
    <col min="12811" max="12811" width="15" style="681" bestFit="1" customWidth="1"/>
    <col min="12812" max="12812" width="13.42578125" style="681" bestFit="1" customWidth="1"/>
    <col min="12813" max="12813" width="15.5703125" style="681" bestFit="1" customWidth="1"/>
    <col min="12814" max="12814" width="11.140625" style="681" bestFit="1" customWidth="1"/>
    <col min="12815" max="12815" width="17" style="681" customWidth="1"/>
    <col min="12816" max="12816" width="16" style="681" bestFit="1" customWidth="1"/>
    <col min="12817" max="13056" width="9.140625" style="681"/>
    <col min="13057" max="13058" width="7" style="681" customWidth="1"/>
    <col min="13059" max="13059" width="50" style="681" bestFit="1" customWidth="1"/>
    <col min="13060" max="13060" width="15" style="681" bestFit="1" customWidth="1"/>
    <col min="13061" max="13061" width="16" style="681" bestFit="1" customWidth="1"/>
    <col min="13062" max="13062" width="15" style="681" bestFit="1" customWidth="1"/>
    <col min="13063" max="13063" width="13.42578125" style="681" bestFit="1" customWidth="1"/>
    <col min="13064" max="13064" width="15.5703125" style="681" bestFit="1" customWidth="1"/>
    <col min="13065" max="13065" width="11.140625" style="681" bestFit="1" customWidth="1"/>
    <col min="13066" max="13066" width="15.5703125" style="681" customWidth="1"/>
    <col min="13067" max="13067" width="15" style="681" bestFit="1" customWidth="1"/>
    <col min="13068" max="13068" width="13.42578125" style="681" bestFit="1" customWidth="1"/>
    <col min="13069" max="13069" width="15.5703125" style="681" bestFit="1" customWidth="1"/>
    <col min="13070" max="13070" width="11.140625" style="681" bestFit="1" customWidth="1"/>
    <col min="13071" max="13071" width="17" style="681" customWidth="1"/>
    <col min="13072" max="13072" width="16" style="681" bestFit="1" customWidth="1"/>
    <col min="13073" max="13312" width="9.140625" style="681"/>
    <col min="13313" max="13314" width="7" style="681" customWidth="1"/>
    <col min="13315" max="13315" width="50" style="681" bestFit="1" customWidth="1"/>
    <col min="13316" max="13316" width="15" style="681" bestFit="1" customWidth="1"/>
    <col min="13317" max="13317" width="16" style="681" bestFit="1" customWidth="1"/>
    <col min="13318" max="13318" width="15" style="681" bestFit="1" customWidth="1"/>
    <col min="13319" max="13319" width="13.42578125" style="681" bestFit="1" customWidth="1"/>
    <col min="13320" max="13320" width="15.5703125" style="681" bestFit="1" customWidth="1"/>
    <col min="13321" max="13321" width="11.140625" style="681" bestFit="1" customWidth="1"/>
    <col min="13322" max="13322" width="15.5703125" style="681" customWidth="1"/>
    <col min="13323" max="13323" width="15" style="681" bestFit="1" customWidth="1"/>
    <col min="13324" max="13324" width="13.42578125" style="681" bestFit="1" customWidth="1"/>
    <col min="13325" max="13325" width="15.5703125" style="681" bestFit="1" customWidth="1"/>
    <col min="13326" max="13326" width="11.140625" style="681" bestFit="1" customWidth="1"/>
    <col min="13327" max="13327" width="17" style="681" customWidth="1"/>
    <col min="13328" max="13328" width="16" style="681" bestFit="1" customWidth="1"/>
    <col min="13329" max="13568" width="9.140625" style="681"/>
    <col min="13569" max="13570" width="7" style="681" customWidth="1"/>
    <col min="13571" max="13571" width="50" style="681" bestFit="1" customWidth="1"/>
    <col min="13572" max="13572" width="15" style="681" bestFit="1" customWidth="1"/>
    <col min="13573" max="13573" width="16" style="681" bestFit="1" customWidth="1"/>
    <col min="13574" max="13574" width="15" style="681" bestFit="1" customWidth="1"/>
    <col min="13575" max="13575" width="13.42578125" style="681" bestFit="1" customWidth="1"/>
    <col min="13576" max="13576" width="15.5703125" style="681" bestFit="1" customWidth="1"/>
    <col min="13577" max="13577" width="11.140625" style="681" bestFit="1" customWidth="1"/>
    <col min="13578" max="13578" width="15.5703125" style="681" customWidth="1"/>
    <col min="13579" max="13579" width="15" style="681" bestFit="1" customWidth="1"/>
    <col min="13580" max="13580" width="13.42578125" style="681" bestFit="1" customWidth="1"/>
    <col min="13581" max="13581" width="15.5703125" style="681" bestFit="1" customWidth="1"/>
    <col min="13582" max="13582" width="11.140625" style="681" bestFit="1" customWidth="1"/>
    <col min="13583" max="13583" width="17" style="681" customWidth="1"/>
    <col min="13584" max="13584" width="16" style="681" bestFit="1" customWidth="1"/>
    <col min="13585" max="13824" width="9.140625" style="681"/>
    <col min="13825" max="13826" width="7" style="681" customWidth="1"/>
    <col min="13827" max="13827" width="50" style="681" bestFit="1" customWidth="1"/>
    <col min="13828" max="13828" width="15" style="681" bestFit="1" customWidth="1"/>
    <col min="13829" max="13829" width="16" style="681" bestFit="1" customWidth="1"/>
    <col min="13830" max="13830" width="15" style="681" bestFit="1" customWidth="1"/>
    <col min="13831" max="13831" width="13.42578125" style="681" bestFit="1" customWidth="1"/>
    <col min="13832" max="13832" width="15.5703125" style="681" bestFit="1" customWidth="1"/>
    <col min="13833" max="13833" width="11.140625" style="681" bestFit="1" customWidth="1"/>
    <col min="13834" max="13834" width="15.5703125" style="681" customWidth="1"/>
    <col min="13835" max="13835" width="15" style="681" bestFit="1" customWidth="1"/>
    <col min="13836" max="13836" width="13.42578125" style="681" bestFit="1" customWidth="1"/>
    <col min="13837" max="13837" width="15.5703125" style="681" bestFit="1" customWidth="1"/>
    <col min="13838" max="13838" width="11.140625" style="681" bestFit="1" customWidth="1"/>
    <col min="13839" max="13839" width="17" style="681" customWidth="1"/>
    <col min="13840" max="13840" width="16" style="681" bestFit="1" customWidth="1"/>
    <col min="13841" max="14080" width="9.140625" style="681"/>
    <col min="14081" max="14082" width="7" style="681" customWidth="1"/>
    <col min="14083" max="14083" width="50" style="681" bestFit="1" customWidth="1"/>
    <col min="14084" max="14084" width="15" style="681" bestFit="1" customWidth="1"/>
    <col min="14085" max="14085" width="16" style="681" bestFit="1" customWidth="1"/>
    <col min="14086" max="14086" width="15" style="681" bestFit="1" customWidth="1"/>
    <col min="14087" max="14087" width="13.42578125" style="681" bestFit="1" customWidth="1"/>
    <col min="14088" max="14088" width="15.5703125" style="681" bestFit="1" customWidth="1"/>
    <col min="14089" max="14089" width="11.140625" style="681" bestFit="1" customWidth="1"/>
    <col min="14090" max="14090" width="15.5703125" style="681" customWidth="1"/>
    <col min="14091" max="14091" width="15" style="681" bestFit="1" customWidth="1"/>
    <col min="14092" max="14092" width="13.42578125" style="681" bestFit="1" customWidth="1"/>
    <col min="14093" max="14093" width="15.5703125" style="681" bestFit="1" customWidth="1"/>
    <col min="14094" max="14094" width="11.140625" style="681" bestFit="1" customWidth="1"/>
    <col min="14095" max="14095" width="17" style="681" customWidth="1"/>
    <col min="14096" max="14096" width="16" style="681" bestFit="1" customWidth="1"/>
    <col min="14097" max="14336" width="9.140625" style="681"/>
    <col min="14337" max="14338" width="7" style="681" customWidth="1"/>
    <col min="14339" max="14339" width="50" style="681" bestFit="1" customWidth="1"/>
    <col min="14340" max="14340" width="15" style="681" bestFit="1" customWidth="1"/>
    <col min="14341" max="14341" width="16" style="681" bestFit="1" customWidth="1"/>
    <col min="14342" max="14342" width="15" style="681" bestFit="1" customWidth="1"/>
    <col min="14343" max="14343" width="13.42578125" style="681" bestFit="1" customWidth="1"/>
    <col min="14344" max="14344" width="15.5703125" style="681" bestFit="1" customWidth="1"/>
    <col min="14345" max="14345" width="11.140625" style="681" bestFit="1" customWidth="1"/>
    <col min="14346" max="14346" width="15.5703125" style="681" customWidth="1"/>
    <col min="14347" max="14347" width="15" style="681" bestFit="1" customWidth="1"/>
    <col min="14348" max="14348" width="13.42578125" style="681" bestFit="1" customWidth="1"/>
    <col min="14349" max="14349" width="15.5703125" style="681" bestFit="1" customWidth="1"/>
    <col min="14350" max="14350" width="11.140625" style="681" bestFit="1" customWidth="1"/>
    <col min="14351" max="14351" width="17" style="681" customWidth="1"/>
    <col min="14352" max="14352" width="16" style="681" bestFit="1" customWidth="1"/>
    <col min="14353" max="14592" width="9.140625" style="681"/>
    <col min="14593" max="14594" width="7" style="681" customWidth="1"/>
    <col min="14595" max="14595" width="50" style="681" bestFit="1" customWidth="1"/>
    <col min="14596" max="14596" width="15" style="681" bestFit="1" customWidth="1"/>
    <col min="14597" max="14597" width="16" style="681" bestFit="1" customWidth="1"/>
    <col min="14598" max="14598" width="15" style="681" bestFit="1" customWidth="1"/>
    <col min="14599" max="14599" width="13.42578125" style="681" bestFit="1" customWidth="1"/>
    <col min="14600" max="14600" width="15.5703125" style="681" bestFit="1" customWidth="1"/>
    <col min="14601" max="14601" width="11.140625" style="681" bestFit="1" customWidth="1"/>
    <col min="14602" max="14602" width="15.5703125" style="681" customWidth="1"/>
    <col min="14603" max="14603" width="15" style="681" bestFit="1" customWidth="1"/>
    <col min="14604" max="14604" width="13.42578125" style="681" bestFit="1" customWidth="1"/>
    <col min="14605" max="14605" width="15.5703125" style="681" bestFit="1" customWidth="1"/>
    <col min="14606" max="14606" width="11.140625" style="681" bestFit="1" customWidth="1"/>
    <col min="14607" max="14607" width="17" style="681" customWidth="1"/>
    <col min="14608" max="14608" width="16" style="681" bestFit="1" customWidth="1"/>
    <col min="14609" max="14848" width="9.140625" style="681"/>
    <col min="14849" max="14850" width="7" style="681" customWidth="1"/>
    <col min="14851" max="14851" width="50" style="681" bestFit="1" customWidth="1"/>
    <col min="14852" max="14852" width="15" style="681" bestFit="1" customWidth="1"/>
    <col min="14853" max="14853" width="16" style="681" bestFit="1" customWidth="1"/>
    <col min="14854" max="14854" width="15" style="681" bestFit="1" customWidth="1"/>
    <col min="14855" max="14855" width="13.42578125" style="681" bestFit="1" customWidth="1"/>
    <col min="14856" max="14856" width="15.5703125" style="681" bestFit="1" customWidth="1"/>
    <col min="14857" max="14857" width="11.140625" style="681" bestFit="1" customWidth="1"/>
    <col min="14858" max="14858" width="15.5703125" style="681" customWidth="1"/>
    <col min="14859" max="14859" width="15" style="681" bestFit="1" customWidth="1"/>
    <col min="14860" max="14860" width="13.42578125" style="681" bestFit="1" customWidth="1"/>
    <col min="14861" max="14861" width="15.5703125" style="681" bestFit="1" customWidth="1"/>
    <col min="14862" max="14862" width="11.140625" style="681" bestFit="1" customWidth="1"/>
    <col min="14863" max="14863" width="17" style="681" customWidth="1"/>
    <col min="14864" max="14864" width="16" style="681" bestFit="1" customWidth="1"/>
    <col min="14865" max="15104" width="9.140625" style="681"/>
    <col min="15105" max="15106" width="7" style="681" customWidth="1"/>
    <col min="15107" max="15107" width="50" style="681" bestFit="1" customWidth="1"/>
    <col min="15108" max="15108" width="15" style="681" bestFit="1" customWidth="1"/>
    <col min="15109" max="15109" width="16" style="681" bestFit="1" customWidth="1"/>
    <col min="15110" max="15110" width="15" style="681" bestFit="1" customWidth="1"/>
    <col min="15111" max="15111" width="13.42578125" style="681" bestFit="1" customWidth="1"/>
    <col min="15112" max="15112" width="15.5703125" style="681" bestFit="1" customWidth="1"/>
    <col min="15113" max="15113" width="11.140625" style="681" bestFit="1" customWidth="1"/>
    <col min="15114" max="15114" width="15.5703125" style="681" customWidth="1"/>
    <col min="15115" max="15115" width="15" style="681" bestFit="1" customWidth="1"/>
    <col min="15116" max="15116" width="13.42578125" style="681" bestFit="1" customWidth="1"/>
    <col min="15117" max="15117" width="15.5703125" style="681" bestFit="1" customWidth="1"/>
    <col min="15118" max="15118" width="11.140625" style="681" bestFit="1" customWidth="1"/>
    <col min="15119" max="15119" width="17" style="681" customWidth="1"/>
    <col min="15120" max="15120" width="16" style="681" bestFit="1" customWidth="1"/>
    <col min="15121" max="15360" width="9.140625" style="681"/>
    <col min="15361" max="15362" width="7" style="681" customWidth="1"/>
    <col min="15363" max="15363" width="50" style="681" bestFit="1" customWidth="1"/>
    <col min="15364" max="15364" width="15" style="681" bestFit="1" customWidth="1"/>
    <col min="15365" max="15365" width="16" style="681" bestFit="1" customWidth="1"/>
    <col min="15366" max="15366" width="15" style="681" bestFit="1" customWidth="1"/>
    <col min="15367" max="15367" width="13.42578125" style="681" bestFit="1" customWidth="1"/>
    <col min="15368" max="15368" width="15.5703125" style="681" bestFit="1" customWidth="1"/>
    <col min="15369" max="15369" width="11.140625" style="681" bestFit="1" customWidth="1"/>
    <col min="15370" max="15370" width="15.5703125" style="681" customWidth="1"/>
    <col min="15371" max="15371" width="15" style="681" bestFit="1" customWidth="1"/>
    <col min="15372" max="15372" width="13.42578125" style="681" bestFit="1" customWidth="1"/>
    <col min="15373" max="15373" width="15.5703125" style="681" bestFit="1" customWidth="1"/>
    <col min="15374" max="15374" width="11.140625" style="681" bestFit="1" customWidth="1"/>
    <col min="15375" max="15375" width="17" style="681" customWidth="1"/>
    <col min="15376" max="15376" width="16" style="681" bestFit="1" customWidth="1"/>
    <col min="15377" max="15616" width="9.140625" style="681"/>
    <col min="15617" max="15618" width="7" style="681" customWidth="1"/>
    <col min="15619" max="15619" width="50" style="681" bestFit="1" customWidth="1"/>
    <col min="15620" max="15620" width="15" style="681" bestFit="1" customWidth="1"/>
    <col min="15621" max="15621" width="16" style="681" bestFit="1" customWidth="1"/>
    <col min="15622" max="15622" width="15" style="681" bestFit="1" customWidth="1"/>
    <col min="15623" max="15623" width="13.42578125" style="681" bestFit="1" customWidth="1"/>
    <col min="15624" max="15624" width="15.5703125" style="681" bestFit="1" customWidth="1"/>
    <col min="15625" max="15625" width="11.140625" style="681" bestFit="1" customWidth="1"/>
    <col min="15626" max="15626" width="15.5703125" style="681" customWidth="1"/>
    <col min="15627" max="15627" width="15" style="681" bestFit="1" customWidth="1"/>
    <col min="15628" max="15628" width="13.42578125" style="681" bestFit="1" customWidth="1"/>
    <col min="15629" max="15629" width="15.5703125" style="681" bestFit="1" customWidth="1"/>
    <col min="15630" max="15630" width="11.140625" style="681" bestFit="1" customWidth="1"/>
    <col min="15631" max="15631" width="17" style="681" customWidth="1"/>
    <col min="15632" max="15632" width="16" style="681" bestFit="1" customWidth="1"/>
    <col min="15633" max="15872" width="9.140625" style="681"/>
    <col min="15873" max="15874" width="7" style="681" customWidth="1"/>
    <col min="15875" max="15875" width="50" style="681" bestFit="1" customWidth="1"/>
    <col min="15876" max="15876" width="15" style="681" bestFit="1" customWidth="1"/>
    <col min="15877" max="15877" width="16" style="681" bestFit="1" customWidth="1"/>
    <col min="15878" max="15878" width="15" style="681" bestFit="1" customWidth="1"/>
    <col min="15879" max="15879" width="13.42578125" style="681" bestFit="1" customWidth="1"/>
    <col min="15880" max="15880" width="15.5703125" style="681" bestFit="1" customWidth="1"/>
    <col min="15881" max="15881" width="11.140625" style="681" bestFit="1" customWidth="1"/>
    <col min="15882" max="15882" width="15.5703125" style="681" customWidth="1"/>
    <col min="15883" max="15883" width="15" style="681" bestFit="1" customWidth="1"/>
    <col min="15884" max="15884" width="13.42578125" style="681" bestFit="1" customWidth="1"/>
    <col min="15885" max="15885" width="15.5703125" style="681" bestFit="1" customWidth="1"/>
    <col min="15886" max="15886" width="11.140625" style="681" bestFit="1" customWidth="1"/>
    <col min="15887" max="15887" width="17" style="681" customWidth="1"/>
    <col min="15888" max="15888" width="16" style="681" bestFit="1" customWidth="1"/>
    <col min="15889" max="16128" width="9.140625" style="681"/>
    <col min="16129" max="16130" width="7" style="681" customWidth="1"/>
    <col min="16131" max="16131" width="50" style="681" bestFit="1" customWidth="1"/>
    <col min="16132" max="16132" width="15" style="681" bestFit="1" customWidth="1"/>
    <col min="16133" max="16133" width="16" style="681" bestFit="1" customWidth="1"/>
    <col min="16134" max="16134" width="15" style="681" bestFit="1" customWidth="1"/>
    <col min="16135" max="16135" width="13.42578125" style="681" bestFit="1" customWidth="1"/>
    <col min="16136" max="16136" width="15.5703125" style="681" bestFit="1" customWidth="1"/>
    <col min="16137" max="16137" width="11.140625" style="681" bestFit="1" customWidth="1"/>
    <col min="16138" max="16138" width="15.5703125" style="681" customWidth="1"/>
    <col min="16139" max="16139" width="15" style="681" bestFit="1" customWidth="1"/>
    <col min="16140" max="16140" width="13.42578125" style="681" bestFit="1" customWidth="1"/>
    <col min="16141" max="16141" width="15.5703125" style="681" bestFit="1" customWidth="1"/>
    <col min="16142" max="16142" width="11.140625" style="681" bestFit="1" customWidth="1"/>
    <col min="16143" max="16143" width="17" style="681" customWidth="1"/>
    <col min="16144" max="16144" width="16" style="681" bestFit="1" customWidth="1"/>
    <col min="16145" max="16384" width="9.140625" style="681"/>
  </cols>
  <sheetData>
    <row r="1" spans="1:16" s="678" customFormat="1" x14ac:dyDescent="0.2">
      <c r="A1" s="2265" t="s">
        <v>1843</v>
      </c>
      <c r="B1" s="2265"/>
      <c r="C1" s="2265"/>
      <c r="D1" s="679" t="s">
        <v>1844</v>
      </c>
      <c r="E1" s="680">
        <f>E33*2-E370</f>
        <v>12850000</v>
      </c>
      <c r="F1" s="680">
        <f>F33*2-F370</f>
        <v>12850000</v>
      </c>
      <c r="G1" s="680">
        <f>G33*2-G370</f>
        <v>-267642788</v>
      </c>
      <c r="H1" s="680"/>
      <c r="I1" s="680"/>
      <c r="J1" s="680">
        <f>J33*2-J370</f>
        <v>-123701395</v>
      </c>
      <c r="K1" s="680">
        <f>K33*2-K370</f>
        <v>0</v>
      </c>
      <c r="L1" s="680">
        <f>L33*2-L370</f>
        <v>-152941391</v>
      </c>
      <c r="M1" s="680"/>
      <c r="N1" s="680"/>
      <c r="O1" s="680">
        <f>O33*2-O370</f>
        <v>-8999998</v>
      </c>
      <c r="P1" s="680">
        <f>P33*2-P370</f>
        <v>-132701393</v>
      </c>
    </row>
    <row r="2" spans="1:16" s="678" customFormat="1" x14ac:dyDescent="0.2">
      <c r="A2" s="2265"/>
      <c r="B2" s="2265"/>
      <c r="C2" s="2265"/>
    </row>
    <row r="3" spans="1:16" s="678" customFormat="1" x14ac:dyDescent="0.2">
      <c r="A3" s="2265" t="s">
        <v>1845</v>
      </c>
      <c r="B3" s="2265" t="s">
        <v>2286</v>
      </c>
      <c r="C3" s="2265"/>
      <c r="D3" s="678" t="s">
        <v>1846</v>
      </c>
    </row>
    <row r="4" spans="1:16" s="678" customFormat="1" x14ac:dyDescent="0.2">
      <c r="A4" s="2265" t="s">
        <v>1847</v>
      </c>
      <c r="B4" s="2265" t="s">
        <v>2203</v>
      </c>
      <c r="C4" s="2265"/>
      <c r="D4" s="678" t="s">
        <v>1848</v>
      </c>
    </row>
    <row r="5" spans="1:16" s="678" customFormat="1" x14ac:dyDescent="0.2">
      <c r="A5" s="2265" t="s">
        <v>1849</v>
      </c>
      <c r="B5" s="2265" t="s">
        <v>1850</v>
      </c>
      <c r="C5" s="2265"/>
      <c r="D5" s="678" t="s">
        <v>1851</v>
      </c>
    </row>
    <row r="6" spans="1:16" s="678" customFormat="1" x14ac:dyDescent="0.2">
      <c r="A6" s="2265" t="s">
        <v>1852</v>
      </c>
      <c r="B6" s="2265" t="s">
        <v>1853</v>
      </c>
      <c r="C6" s="2265"/>
      <c r="D6" s="678" t="s">
        <v>1854</v>
      </c>
    </row>
    <row r="8" spans="1:16" x14ac:dyDescent="0.2">
      <c r="A8" s="681" t="s">
        <v>1855</v>
      </c>
      <c r="B8" s="681" t="s">
        <v>1856</v>
      </c>
      <c r="C8" s="681" t="s">
        <v>1857</v>
      </c>
      <c r="D8" s="2206" t="s">
        <v>1858</v>
      </c>
      <c r="E8" s="2206" t="s">
        <v>1859</v>
      </c>
      <c r="F8" s="2206" t="s">
        <v>1860</v>
      </c>
      <c r="G8" s="681" t="s">
        <v>1861</v>
      </c>
      <c r="H8" s="2206" t="s">
        <v>2245</v>
      </c>
      <c r="I8" s="2206" t="s">
        <v>2246</v>
      </c>
      <c r="J8" s="681" t="s">
        <v>1862</v>
      </c>
      <c r="K8" s="681" t="s">
        <v>1860</v>
      </c>
      <c r="L8" s="681" t="s">
        <v>1861</v>
      </c>
      <c r="M8" s="2206" t="s">
        <v>2245</v>
      </c>
      <c r="N8" s="2206" t="s">
        <v>2246</v>
      </c>
      <c r="O8" s="681" t="s">
        <v>1863</v>
      </c>
      <c r="P8" s="681" t="s">
        <v>1864</v>
      </c>
    </row>
    <row r="9" spans="1:16" s="682" customFormat="1" ht="15" outlineLevel="2" x14ac:dyDescent="0.25">
      <c r="A9" s="682" t="s">
        <v>1865</v>
      </c>
      <c r="B9" s="683" t="s">
        <v>2165</v>
      </c>
      <c r="C9" s="682" t="s">
        <v>1866</v>
      </c>
      <c r="D9" s="2207">
        <v>1187446261</v>
      </c>
      <c r="E9" s="2207">
        <v>1487995964</v>
      </c>
      <c r="F9" s="2155">
        <v>1488374964</v>
      </c>
      <c r="G9" s="682">
        <f>SUMIF('1.3 Budgeted Revenues YR1'!$A$9:$A$34,B9,'1.3 Budgeted Revenues YR1'!$C$9:$C$34)-F9-H9-I9</f>
        <v>-243810593</v>
      </c>
      <c r="H9" s="2155">
        <v>143941393</v>
      </c>
      <c r="I9" s="2155">
        <v>8000000</v>
      </c>
      <c r="J9" s="685">
        <f>SUM($F9:I9)</f>
        <v>1396505764</v>
      </c>
      <c r="K9" s="682">
        <v>1487616964</v>
      </c>
      <c r="L9" s="682">
        <f>SUMIF('5.3 Budgeted Revenues YR2'!$A$9:$A$34,B9,'5.3 Budgeted Revenues YR2'!$C$9:$C$34)-K9-M9-N9</f>
        <v>-263754041</v>
      </c>
      <c r="M9" s="2155">
        <v>143941393</v>
      </c>
      <c r="N9" s="2155">
        <v>9000000</v>
      </c>
      <c r="O9" s="685">
        <f>SUM(K9:N9)</f>
        <v>1376804316</v>
      </c>
      <c r="P9" s="685">
        <f t="shared" ref="P9:P32" si="0">+J9+O9</f>
        <v>2773310080</v>
      </c>
    </row>
    <row r="10" spans="1:16" s="682" customFormat="1" ht="15" outlineLevel="2" x14ac:dyDescent="0.25">
      <c r="A10" s="682" t="s">
        <v>1865</v>
      </c>
      <c r="B10" s="683" t="s">
        <v>2166</v>
      </c>
      <c r="C10" s="682" t="s">
        <v>1867</v>
      </c>
      <c r="D10" s="2207">
        <v>281421778</v>
      </c>
      <c r="E10" s="2207">
        <v>23184801</v>
      </c>
      <c r="F10" s="2155">
        <v>25648000</v>
      </c>
      <c r="G10" s="682">
        <f>SUMIF('1.3 Budgeted Revenues YR1'!$A$9:$A$34,B10,'1.3 Budgeted Revenues YR1'!$C$9:$C$34)-F10</f>
        <v>404000</v>
      </c>
      <c r="H10" s="2155">
        <v>0</v>
      </c>
      <c r="I10" s="2155">
        <v>0</v>
      </c>
      <c r="J10" s="685">
        <f>SUM($F10:G10)</f>
        <v>26052000</v>
      </c>
      <c r="K10" s="765">
        <v>25648000</v>
      </c>
      <c r="L10" s="682">
        <f>SUMIF('5.3 Budgeted Revenues YR2'!$A$9:$A$34,B10,'5.3 Budgeted Revenues YR2'!$C$9:$C$34)-K10</f>
        <v>6282000</v>
      </c>
      <c r="M10" s="2155">
        <v>0</v>
      </c>
      <c r="N10" s="2155">
        <v>0</v>
      </c>
      <c r="O10" s="685">
        <f t="shared" ref="O10:O32" si="1">SUM(K10:L10)</f>
        <v>31930000</v>
      </c>
      <c r="P10" s="685">
        <f t="shared" si="0"/>
        <v>57982000</v>
      </c>
    </row>
    <row r="11" spans="1:16" s="682" customFormat="1" ht="15" outlineLevel="2" x14ac:dyDescent="0.25">
      <c r="A11" s="682" t="s">
        <v>1865</v>
      </c>
      <c r="B11" s="683" t="s">
        <v>2167</v>
      </c>
      <c r="C11" s="682" t="s">
        <v>1868</v>
      </c>
      <c r="D11" s="2207">
        <v>-23184801</v>
      </c>
      <c r="E11" s="2207">
        <v>0</v>
      </c>
      <c r="F11" s="2155">
        <v>0</v>
      </c>
      <c r="G11" s="682">
        <f>SUMIF('1.3 Budgeted Revenues YR1'!$A$9:$A$34,B11,'1.3 Budgeted Revenues YR1'!$C$9:$C$34)-F11</f>
        <v>0</v>
      </c>
      <c r="H11" s="2155">
        <v>0</v>
      </c>
      <c r="I11" s="2155">
        <v>0</v>
      </c>
      <c r="J11" s="685">
        <f>SUM($F11:G11)</f>
        <v>0</v>
      </c>
      <c r="K11" s="682">
        <v>0</v>
      </c>
      <c r="L11" s="682">
        <f>SUMIF('5.3 Budgeted Revenues YR2'!$A$9:$A$34,B11,'5.3 Budgeted Revenues YR2'!$C$9:$C$34)-K11</f>
        <v>0</v>
      </c>
      <c r="M11" s="2155">
        <v>0</v>
      </c>
      <c r="N11" s="2155">
        <v>0</v>
      </c>
      <c r="O11" s="685">
        <f t="shared" si="1"/>
        <v>0</v>
      </c>
      <c r="P11" s="685">
        <f t="shared" si="0"/>
        <v>0</v>
      </c>
    </row>
    <row r="12" spans="1:16" s="682" customFormat="1" ht="15" outlineLevel="2" x14ac:dyDescent="0.25">
      <c r="A12" s="682" t="s">
        <v>1865</v>
      </c>
      <c r="B12" s="683" t="s">
        <v>2168</v>
      </c>
      <c r="C12" s="682" t="s">
        <v>1869</v>
      </c>
      <c r="D12" s="2207">
        <v>51140179</v>
      </c>
      <c r="E12" s="2207">
        <v>58305000</v>
      </c>
      <c r="F12" s="2155">
        <v>58305000</v>
      </c>
      <c r="G12" s="682">
        <f>SUMIF('1.3 Budgeted Revenues YR1'!$A$9:$A$34,B12,'1.3 Budgeted Revenues YR1'!$C$9:$C$34)-F12</f>
        <v>39667000</v>
      </c>
      <c r="H12" s="2155">
        <v>0</v>
      </c>
      <c r="I12" s="2155">
        <v>0</v>
      </c>
      <c r="J12" s="685">
        <f>SUM($F12:G12)</f>
        <v>97972000</v>
      </c>
      <c r="K12" s="682">
        <v>58305000</v>
      </c>
      <c r="L12" s="682">
        <f>SUMIF('5.3 Budgeted Revenues YR2'!$A$9:$A$34,B12,'5.3 Budgeted Revenues YR2'!$C$9:$C$34)-K12</f>
        <v>41789000</v>
      </c>
      <c r="M12" s="2155">
        <v>0</v>
      </c>
      <c r="N12" s="2155">
        <v>0</v>
      </c>
      <c r="O12" s="685">
        <f t="shared" si="1"/>
        <v>100094000</v>
      </c>
      <c r="P12" s="685">
        <f t="shared" si="0"/>
        <v>198066000</v>
      </c>
    </row>
    <row r="13" spans="1:16" s="682" customFormat="1" ht="15" outlineLevel="2" x14ac:dyDescent="0.25">
      <c r="A13" s="682" t="s">
        <v>1865</v>
      </c>
      <c r="B13" s="683" t="s">
        <v>2169</v>
      </c>
      <c r="C13" s="682" t="s">
        <v>1870</v>
      </c>
      <c r="D13" s="2207">
        <v>71729972</v>
      </c>
      <c r="E13" s="2207">
        <v>63063000</v>
      </c>
      <c r="F13" s="2155">
        <v>63063000</v>
      </c>
      <c r="G13" s="682">
        <f>SUMIF('1.3 Budgeted Revenues YR1'!$A$9:$A$34,B13,'1.3 Budgeted Revenues YR1'!$C$9:$C$34)-F13</f>
        <v>42124000</v>
      </c>
      <c r="H13" s="2155">
        <v>0</v>
      </c>
      <c r="I13" s="2155">
        <v>0</v>
      </c>
      <c r="J13" s="685">
        <f>SUM($F13:G13)</f>
        <v>105187000</v>
      </c>
      <c r="K13" s="682">
        <v>63063000</v>
      </c>
      <c r="L13" s="682">
        <f>SUMIF('5.3 Budgeted Revenues YR2'!$A$9:$A$34,B13,'5.3 Budgeted Revenues YR2'!$C$9:$C$34)-K13</f>
        <v>44384000</v>
      </c>
      <c r="M13" s="2155">
        <v>0</v>
      </c>
      <c r="N13" s="2155">
        <v>0</v>
      </c>
      <c r="O13" s="685">
        <f t="shared" si="1"/>
        <v>107447000</v>
      </c>
      <c r="P13" s="685">
        <f t="shared" si="0"/>
        <v>212634000</v>
      </c>
    </row>
    <row r="14" spans="1:16" s="682" customFormat="1" ht="15" outlineLevel="2" x14ac:dyDescent="0.25">
      <c r="A14" s="682" t="s">
        <v>1865</v>
      </c>
      <c r="B14" s="683" t="s">
        <v>2170</v>
      </c>
      <c r="C14" s="682" t="s">
        <v>1871</v>
      </c>
      <c r="D14" s="2207">
        <v>131944285</v>
      </c>
      <c r="E14" s="2207">
        <v>134499000</v>
      </c>
      <c r="F14" s="2155">
        <v>134499000</v>
      </c>
      <c r="G14" s="682">
        <f>SUMIF('1.3 Budgeted Revenues YR1'!$A$9:$A$34,B14,'1.3 Budgeted Revenues YR1'!$C$9:$C$34)-F14</f>
        <v>6363000</v>
      </c>
      <c r="H14" s="2155">
        <v>0</v>
      </c>
      <c r="I14" s="2155">
        <v>0</v>
      </c>
      <c r="J14" s="685">
        <f>SUM($F14:G14)</f>
        <v>140862000</v>
      </c>
      <c r="K14" s="682">
        <v>134499000</v>
      </c>
      <c r="L14" s="682">
        <f>SUMIF('5.3 Budgeted Revenues YR2'!$A$9:$A$34,B14,'5.3 Budgeted Revenues YR2'!$C$9:$C$34)-K14</f>
        <v>10589000</v>
      </c>
      <c r="M14" s="2155">
        <v>0</v>
      </c>
      <c r="N14" s="2155">
        <v>0</v>
      </c>
      <c r="O14" s="685">
        <f t="shared" si="1"/>
        <v>145088000</v>
      </c>
      <c r="P14" s="685">
        <f t="shared" si="0"/>
        <v>285950000</v>
      </c>
    </row>
    <row r="15" spans="1:16" s="682" customFormat="1" ht="15" outlineLevel="2" x14ac:dyDescent="0.25">
      <c r="A15" s="682" t="s">
        <v>1865</v>
      </c>
      <c r="B15" s="683" t="s">
        <v>2171</v>
      </c>
      <c r="C15" s="682" t="s">
        <v>1872</v>
      </c>
      <c r="D15" s="2207">
        <v>76800162</v>
      </c>
      <c r="E15" s="2207">
        <v>75404000</v>
      </c>
      <c r="F15" s="2155">
        <v>75404000</v>
      </c>
      <c r="G15" s="682">
        <f>SUMIF('1.3 Budgeted Revenues YR1'!$A$9:$A$34,B15,'1.3 Budgeted Revenues YR1'!$C$9:$C$34)-F15</f>
        <v>-1449000</v>
      </c>
      <c r="H15" s="2155">
        <v>0</v>
      </c>
      <c r="I15" s="2155">
        <v>0</v>
      </c>
      <c r="J15" s="685">
        <f>SUM($F15:G15)</f>
        <v>73955000</v>
      </c>
      <c r="K15" s="682">
        <v>75404000</v>
      </c>
      <c r="L15" s="682">
        <f>SUMIF('5.3 Budgeted Revenues YR2'!$A$9:$A$34,B15,'5.3 Budgeted Revenues YR2'!$C$9:$C$34)-K15</f>
        <v>-2585000</v>
      </c>
      <c r="M15" s="2155">
        <v>0</v>
      </c>
      <c r="N15" s="2155">
        <v>0</v>
      </c>
      <c r="O15" s="685">
        <f t="shared" si="1"/>
        <v>72819000</v>
      </c>
      <c r="P15" s="685">
        <f t="shared" si="0"/>
        <v>146774000</v>
      </c>
    </row>
    <row r="16" spans="1:16" s="682" customFormat="1" ht="15" outlineLevel="2" x14ac:dyDescent="0.25">
      <c r="A16" s="682" t="s">
        <v>1865</v>
      </c>
      <c r="B16" s="683" t="s">
        <v>2172</v>
      </c>
      <c r="C16" s="682" t="s">
        <v>1873</v>
      </c>
      <c r="D16" s="2207">
        <v>2257257330</v>
      </c>
      <c r="E16" s="2207">
        <v>2454407000</v>
      </c>
      <c r="F16" s="2155">
        <v>2454407000</v>
      </c>
      <c r="G16" s="682">
        <f>SUMIF('1.3 Budgeted Revenues YR1'!$A$9:$A$34,B16,'1.3 Budgeted Revenues YR1'!$C$9:$C$34)-F16</f>
        <v>-177038000</v>
      </c>
      <c r="H16" s="2155">
        <v>0</v>
      </c>
      <c r="I16" s="2155">
        <v>0</v>
      </c>
      <c r="J16" s="685">
        <f>SUM($F16:G16)</f>
        <v>2277369000</v>
      </c>
      <c r="K16" s="682">
        <v>2454407000</v>
      </c>
      <c r="L16" s="682">
        <f>SUMIF('5.3 Budgeted Revenues YR2'!$A$9:$A$34,B16,'5.3 Budgeted Revenues YR2'!$C$9:$C$34)-K16</f>
        <v>-100998000</v>
      </c>
      <c r="M16" s="2155">
        <v>0</v>
      </c>
      <c r="N16" s="2155">
        <v>0</v>
      </c>
      <c r="O16" s="685">
        <f t="shared" si="1"/>
        <v>2353409000</v>
      </c>
      <c r="P16" s="685">
        <f t="shared" si="0"/>
        <v>4630778000</v>
      </c>
    </row>
    <row r="17" spans="1:16" s="682" customFormat="1" ht="15" outlineLevel="2" x14ac:dyDescent="0.25">
      <c r="A17" s="682" t="s">
        <v>1865</v>
      </c>
      <c r="B17" s="683" t="s">
        <v>2173</v>
      </c>
      <c r="C17" s="682" t="s">
        <v>1167</v>
      </c>
      <c r="D17" s="2207">
        <v>26177827</v>
      </c>
      <c r="E17" s="2207">
        <v>25152000</v>
      </c>
      <c r="F17" s="2155">
        <v>25152000</v>
      </c>
      <c r="G17" s="682">
        <f>SUMIF('1.3 Budgeted Revenues YR1'!$A$9:$A$34,B17,'1.3 Budgeted Revenues YR1'!$C$9:$C$34)-F17</f>
        <v>-141000</v>
      </c>
      <c r="H17" s="2155">
        <v>0</v>
      </c>
      <c r="I17" s="2155">
        <v>0</v>
      </c>
      <c r="J17" s="685">
        <f>SUM($F17:G17)</f>
        <v>25011000</v>
      </c>
      <c r="K17" s="682">
        <v>25152000</v>
      </c>
      <c r="L17" s="682">
        <f>SUMIF('5.3 Budgeted Revenues YR2'!$A$9:$A$34,B17,'5.3 Budgeted Revenues YR2'!$C$9:$C$34)-K17</f>
        <v>-130000</v>
      </c>
      <c r="M17" s="2155">
        <v>0</v>
      </c>
      <c r="N17" s="2155">
        <v>0</v>
      </c>
      <c r="O17" s="685">
        <f t="shared" si="1"/>
        <v>25022000</v>
      </c>
      <c r="P17" s="685">
        <f t="shared" si="0"/>
        <v>50033000</v>
      </c>
    </row>
    <row r="18" spans="1:16" s="682" customFormat="1" ht="15" outlineLevel="2" x14ac:dyDescent="0.25">
      <c r="A18" s="682" t="s">
        <v>1865</v>
      </c>
      <c r="B18" s="683" t="s">
        <v>2174</v>
      </c>
      <c r="C18" s="682" t="s">
        <v>1874</v>
      </c>
      <c r="D18" s="2207">
        <v>245004523</v>
      </c>
      <c r="E18" s="2207">
        <v>241840000</v>
      </c>
      <c r="F18" s="2155">
        <v>241840000</v>
      </c>
      <c r="G18" s="682">
        <f>SUMIF('1.3 Budgeted Revenues YR1'!$A$9:$A$34,B18,'1.3 Budgeted Revenues YR1'!$C$9:$C$34)-F18</f>
        <v>-5591000</v>
      </c>
      <c r="H18" s="2155">
        <v>0</v>
      </c>
      <c r="I18" s="2155">
        <v>0</v>
      </c>
      <c r="J18" s="685">
        <f>SUM($F18:G18)</f>
        <v>236249000</v>
      </c>
      <c r="K18" s="682">
        <v>241840000</v>
      </c>
      <c r="L18" s="682">
        <f>SUMIF('5.3 Budgeted Revenues YR2'!$A$9:$A$34,B18,'5.3 Budgeted Revenues YR2'!$C$9:$C$34)-K18</f>
        <v>1261000</v>
      </c>
      <c r="M18" s="2155">
        <v>0</v>
      </c>
      <c r="N18" s="2155">
        <v>0</v>
      </c>
      <c r="O18" s="685">
        <f t="shared" si="1"/>
        <v>243101000</v>
      </c>
      <c r="P18" s="685">
        <f t="shared" si="0"/>
        <v>479350000</v>
      </c>
    </row>
    <row r="19" spans="1:16" s="682" customFormat="1" ht="15" outlineLevel="2" x14ac:dyDescent="0.25">
      <c r="A19" s="682" t="s">
        <v>1865</v>
      </c>
      <c r="B19" s="683" t="s">
        <v>2175</v>
      </c>
      <c r="C19" s="682" t="s">
        <v>1169</v>
      </c>
      <c r="D19" s="2207">
        <v>1037676931</v>
      </c>
      <c r="E19" s="2207">
        <v>1086704000</v>
      </c>
      <c r="F19" s="2155">
        <v>1080279000</v>
      </c>
      <c r="G19" s="682">
        <f>SUMIF('1.3 Budgeted Revenues YR1'!$A$9:$A$34,B19,'1.3 Budgeted Revenues YR1'!$C$9:$C$34)-F19</f>
        <v>106955000</v>
      </c>
      <c r="H19" s="2155">
        <v>0</v>
      </c>
      <c r="I19" s="2155">
        <v>0</v>
      </c>
      <c r="J19" s="685">
        <f>SUM($F19:G19)</f>
        <v>1187234000</v>
      </c>
      <c r="K19" s="682">
        <v>1080279000</v>
      </c>
      <c r="L19" s="682">
        <f>SUMIF('5.3 Budgeted Revenues YR2'!$A$9:$A$34,B19,'5.3 Budgeted Revenues YR2'!$C$9:$C$34)-K19</f>
        <v>183587000</v>
      </c>
      <c r="M19" s="2155">
        <v>0</v>
      </c>
      <c r="N19" s="2155">
        <v>0</v>
      </c>
      <c r="O19" s="685">
        <f t="shared" si="1"/>
        <v>1263866000</v>
      </c>
      <c r="P19" s="685">
        <f t="shared" si="0"/>
        <v>2451100000</v>
      </c>
    </row>
    <row r="20" spans="1:16" s="682" customFormat="1" ht="15" outlineLevel="2" x14ac:dyDescent="0.25">
      <c r="A20" s="682" t="s">
        <v>1865</v>
      </c>
      <c r="B20" s="683" t="s">
        <v>2176</v>
      </c>
      <c r="C20" s="682" t="s">
        <v>1876</v>
      </c>
      <c r="D20" s="2207">
        <v>6740004</v>
      </c>
      <c r="E20" s="2207">
        <v>7500000</v>
      </c>
      <c r="F20" s="2155">
        <v>7500000</v>
      </c>
      <c r="G20" s="682">
        <f>SUMIF('1.3 Budgeted Revenues YR1'!$A$9:$A$34,B20,'1.3 Budgeted Revenues YR1'!$C$9:$C$34)-F20</f>
        <v>-500000</v>
      </c>
      <c r="H20" s="2155">
        <v>0</v>
      </c>
      <c r="I20" s="2155">
        <v>0</v>
      </c>
      <c r="J20" s="685">
        <f>SUM($F20:G20)</f>
        <v>7000000</v>
      </c>
      <c r="K20" s="682">
        <v>7500000</v>
      </c>
      <c r="L20" s="682">
        <f>SUMIF('5.3 Budgeted Revenues YR2'!$A$9:$A$34,B20,'5.3 Budgeted Revenues YR2'!$C$9:$C$34)-K20</f>
        <v>-500000</v>
      </c>
      <c r="M20" s="2155">
        <v>0</v>
      </c>
      <c r="N20" s="2155">
        <v>0</v>
      </c>
      <c r="O20" s="685">
        <f t="shared" si="1"/>
        <v>7000000</v>
      </c>
      <c r="P20" s="685">
        <f t="shared" si="0"/>
        <v>14000000</v>
      </c>
    </row>
    <row r="21" spans="1:16" s="682" customFormat="1" ht="15" outlineLevel="2" x14ac:dyDescent="0.25">
      <c r="A21" s="682" t="s">
        <v>1865</v>
      </c>
      <c r="B21" s="683" t="s">
        <v>2177</v>
      </c>
      <c r="C21" s="682" t="s">
        <v>1171</v>
      </c>
      <c r="D21" s="2207">
        <v>640279</v>
      </c>
      <c r="E21" s="2207">
        <v>3500000</v>
      </c>
      <c r="F21" s="2155">
        <v>3500000</v>
      </c>
      <c r="G21" s="682">
        <f>SUMIF('1.3 Budgeted Revenues YR1'!$A$9:$A$34,B21,'1.3 Budgeted Revenues YR1'!$C$9:$C$34)-F21</f>
        <v>-500000</v>
      </c>
      <c r="H21" s="2155">
        <v>0</v>
      </c>
      <c r="I21" s="2155">
        <v>0</v>
      </c>
      <c r="J21" s="685">
        <f>SUM($F21:G21)</f>
        <v>3000000</v>
      </c>
      <c r="K21" s="682">
        <v>3500000</v>
      </c>
      <c r="L21" s="682">
        <f>SUMIF('5.3 Budgeted Revenues YR2'!$A$9:$A$34,B21,'5.3 Budgeted Revenues YR2'!$C$9:$C$34)-K21</f>
        <v>-500000</v>
      </c>
      <c r="M21" s="2155">
        <v>0</v>
      </c>
      <c r="N21" s="2155">
        <v>0</v>
      </c>
      <c r="O21" s="685">
        <f t="shared" si="1"/>
        <v>3000000</v>
      </c>
      <c r="P21" s="685">
        <f t="shared" si="0"/>
        <v>6000000</v>
      </c>
    </row>
    <row r="22" spans="1:16" s="682" customFormat="1" ht="15" outlineLevel="2" x14ac:dyDescent="0.25">
      <c r="A22" s="682" t="s">
        <v>1865</v>
      </c>
      <c r="B22" s="683" t="s">
        <v>2178</v>
      </c>
      <c r="C22" s="682" t="s">
        <v>1878</v>
      </c>
      <c r="D22" s="2207">
        <v>23184801</v>
      </c>
      <c r="E22" s="2207">
        <v>19223000</v>
      </c>
      <c r="F22" s="2155">
        <v>19223000</v>
      </c>
      <c r="G22" s="682">
        <f>SUMIF('1.3 Budgeted Revenues YR1'!$A$9:$A$34,B22,'1.3 Budgeted Revenues YR1'!$C$9:$C$34)-F22</f>
        <v>12707000</v>
      </c>
      <c r="H22" s="2155">
        <v>0</v>
      </c>
      <c r="I22" s="2155">
        <v>0</v>
      </c>
      <c r="J22" s="685">
        <f>SUM($F22:G22)</f>
        <v>31930000</v>
      </c>
      <c r="K22" s="682">
        <v>19223000</v>
      </c>
      <c r="L22" s="682">
        <f>SUMIF('5.3 Budgeted Revenues YR2'!$A$9:$A$34,B22,'5.3 Budgeted Revenues YR2'!$C$9:$C$34)-K22</f>
        <v>13404000</v>
      </c>
      <c r="M22" s="2155">
        <v>0</v>
      </c>
      <c r="N22" s="2155">
        <v>0</v>
      </c>
      <c r="O22" s="685">
        <f t="shared" si="1"/>
        <v>32627000</v>
      </c>
      <c r="P22" s="685">
        <f t="shared" si="0"/>
        <v>64557000</v>
      </c>
    </row>
    <row r="23" spans="1:16" s="682" customFormat="1" ht="15" outlineLevel="2" x14ac:dyDescent="0.25">
      <c r="A23" s="682" t="s">
        <v>1865</v>
      </c>
      <c r="B23" s="683" t="s">
        <v>2180</v>
      </c>
      <c r="C23" s="682" t="s">
        <v>1879</v>
      </c>
      <c r="D23" s="2207">
        <v>314032</v>
      </c>
      <c r="E23" s="2207">
        <v>740000</v>
      </c>
      <c r="F23" s="2155">
        <v>740000</v>
      </c>
      <c r="G23" s="682">
        <f>SUMIF('1.3 Budgeted Revenues YR1'!$A$9:$A$34,B23,'1.3 Budgeted Revenues YR1'!$C$9:$C$34)-F23</f>
        <v>-440000</v>
      </c>
      <c r="H23" s="2155">
        <v>0</v>
      </c>
      <c r="I23" s="2155">
        <v>0</v>
      </c>
      <c r="J23" s="685">
        <f>SUM($F23:G23)</f>
        <v>300000</v>
      </c>
      <c r="K23" s="682">
        <v>740000</v>
      </c>
      <c r="L23" s="682">
        <f>SUMIF('5.3 Budgeted Revenues YR2'!$A$9:$A$34,B23,'5.3 Budgeted Revenues YR2'!$C$9:$C$34)-K23</f>
        <v>-440000</v>
      </c>
      <c r="M23" s="2155">
        <v>0</v>
      </c>
      <c r="N23" s="2155">
        <v>0</v>
      </c>
      <c r="O23" s="685">
        <f t="shared" si="1"/>
        <v>300000</v>
      </c>
      <c r="P23" s="685">
        <f t="shared" si="0"/>
        <v>600000</v>
      </c>
    </row>
    <row r="24" spans="1:16" s="682" customFormat="1" ht="15" outlineLevel="2" x14ac:dyDescent="0.25">
      <c r="A24" s="682" t="s">
        <v>1865</v>
      </c>
      <c r="B24" s="683" t="s">
        <v>2181</v>
      </c>
      <c r="C24" s="682" t="s">
        <v>1880</v>
      </c>
      <c r="D24" s="2207">
        <v>118100</v>
      </c>
      <c r="E24" s="2207">
        <v>50000</v>
      </c>
      <c r="F24" s="2155">
        <v>50000</v>
      </c>
      <c r="G24" s="682">
        <f>SUMIF('1.3 Budgeted Revenues YR1'!$A$9:$A$34,B24,'1.3 Budgeted Revenues YR1'!$C$9:$C$34)-F24</f>
        <v>20000</v>
      </c>
      <c r="H24" s="2155">
        <v>0</v>
      </c>
      <c r="I24" s="2155">
        <v>0</v>
      </c>
      <c r="J24" s="685">
        <f>SUM($F24:G24)</f>
        <v>70000</v>
      </c>
      <c r="K24" s="682">
        <v>50000</v>
      </c>
      <c r="L24" s="682">
        <f>SUMIF('5.3 Budgeted Revenues YR2'!$A$9:$A$34,B24,'5.3 Budgeted Revenues YR2'!$C$9:$C$34)-K24</f>
        <v>20000</v>
      </c>
      <c r="M24" s="2155">
        <v>0</v>
      </c>
      <c r="N24" s="2155">
        <v>0</v>
      </c>
      <c r="O24" s="685">
        <f t="shared" si="1"/>
        <v>70000</v>
      </c>
      <c r="P24" s="685">
        <f t="shared" si="0"/>
        <v>140000</v>
      </c>
    </row>
    <row r="25" spans="1:16" s="682" customFormat="1" ht="15" outlineLevel="2" x14ac:dyDescent="0.25">
      <c r="A25" s="682" t="s">
        <v>1865</v>
      </c>
      <c r="B25" s="683" t="s">
        <v>2182</v>
      </c>
      <c r="C25" s="682" t="s">
        <v>1881</v>
      </c>
      <c r="D25" s="2207">
        <v>5301052</v>
      </c>
      <c r="E25" s="2207">
        <v>0</v>
      </c>
      <c r="F25" s="2155">
        <v>0</v>
      </c>
      <c r="G25" s="682">
        <f>SUMIF('1.3 Budgeted Revenues YR1'!$A$9:$A$34,B25,'1.3 Budgeted Revenues YR1'!$C$9:$C$34)-F25</f>
        <v>0</v>
      </c>
      <c r="H25" s="2155">
        <v>0</v>
      </c>
      <c r="I25" s="2155">
        <v>0</v>
      </c>
      <c r="J25" s="685">
        <f>SUM($F25:G25)</f>
        <v>0</v>
      </c>
      <c r="K25" s="682">
        <v>0</v>
      </c>
      <c r="L25" s="682">
        <f>SUMIF('5.3 Budgeted Revenues YR2'!$A$9:$A$34,B25,'5.3 Budgeted Revenues YR2'!$C$9:$C$34)-K25</f>
        <v>0</v>
      </c>
      <c r="M25" s="2155">
        <v>0</v>
      </c>
      <c r="N25" s="2155">
        <v>0</v>
      </c>
      <c r="O25" s="685">
        <f t="shared" si="1"/>
        <v>0</v>
      </c>
      <c r="P25" s="685">
        <f t="shared" si="0"/>
        <v>0</v>
      </c>
    </row>
    <row r="26" spans="1:16" s="682" customFormat="1" ht="15" outlineLevel="2" x14ac:dyDescent="0.25">
      <c r="A26" s="682" t="s">
        <v>1865</v>
      </c>
      <c r="B26" s="683" t="s">
        <v>2183</v>
      </c>
      <c r="C26" s="682" t="s">
        <v>1176</v>
      </c>
      <c r="D26" s="2207">
        <v>1494</v>
      </c>
      <c r="E26" s="2207">
        <v>900</v>
      </c>
      <c r="F26" s="2155">
        <v>900</v>
      </c>
      <c r="G26" s="682">
        <f>SUMIF('1.3 Budgeted Revenues YR1'!$A$9:$A$34,B26,'1.3 Budgeted Revenues YR1'!$C$9:$C$34)-F26</f>
        <v>100</v>
      </c>
      <c r="H26" s="2155">
        <v>0</v>
      </c>
      <c r="I26" s="2155">
        <v>0</v>
      </c>
      <c r="J26" s="685">
        <f>SUM($F26:G26)</f>
        <v>1000</v>
      </c>
      <c r="K26" s="682">
        <v>900</v>
      </c>
      <c r="L26" s="682">
        <f>SUMIF('5.3 Budgeted Revenues YR2'!$A$9:$A$34,B26,'5.3 Budgeted Revenues YR2'!$C$9:$C$34)-K26</f>
        <v>100</v>
      </c>
      <c r="M26" s="2155">
        <v>0</v>
      </c>
      <c r="N26" s="2155">
        <v>0</v>
      </c>
      <c r="O26" s="685">
        <f t="shared" si="1"/>
        <v>1000</v>
      </c>
      <c r="P26" s="685">
        <f t="shared" si="0"/>
        <v>2000</v>
      </c>
    </row>
    <row r="27" spans="1:16" s="682" customFormat="1" ht="15" outlineLevel="2" x14ac:dyDescent="0.25">
      <c r="A27" s="682" t="s">
        <v>1865</v>
      </c>
      <c r="B27" s="683" t="s">
        <v>2184</v>
      </c>
      <c r="C27" s="682" t="s">
        <v>1177</v>
      </c>
      <c r="D27" s="2207">
        <v>10293102</v>
      </c>
      <c r="E27" s="2207">
        <v>14540000</v>
      </c>
      <c r="F27" s="2155">
        <v>14540000</v>
      </c>
      <c r="G27" s="682">
        <f>SUMIF('1.3 Budgeted Revenues YR1'!$A$9:$A$34,B27,'1.3 Budgeted Revenues YR1'!$C$9:$C$34)-F27</f>
        <v>-6668000</v>
      </c>
      <c r="H27" s="2155">
        <v>0</v>
      </c>
      <c r="I27" s="2155">
        <v>0</v>
      </c>
      <c r="J27" s="685">
        <f>SUM($F27:G27)</f>
        <v>7872000</v>
      </c>
      <c r="K27" s="682">
        <v>14540000</v>
      </c>
      <c r="L27" s="682">
        <f>SUMIF('5.3 Budgeted Revenues YR2'!$A$9:$A$34,B27,'5.3 Budgeted Revenues YR2'!$C$9:$C$34)-K27</f>
        <v>-6751000</v>
      </c>
      <c r="M27" s="2155">
        <v>0</v>
      </c>
      <c r="N27" s="2155">
        <v>0</v>
      </c>
      <c r="O27" s="685">
        <f t="shared" si="1"/>
        <v>7789000</v>
      </c>
      <c r="P27" s="685">
        <f t="shared" si="0"/>
        <v>15661000</v>
      </c>
    </row>
    <row r="28" spans="1:16" s="682" customFormat="1" ht="15" outlineLevel="2" x14ac:dyDescent="0.25">
      <c r="A28" s="682" t="s">
        <v>1865</v>
      </c>
      <c r="B28" s="683" t="s">
        <v>2185</v>
      </c>
      <c r="C28" s="2155" t="s">
        <v>2186</v>
      </c>
      <c r="D28" s="2207">
        <v>0</v>
      </c>
      <c r="E28" s="2207">
        <v>11000</v>
      </c>
      <c r="F28" s="2155">
        <v>11000</v>
      </c>
      <c r="G28" s="682">
        <f>SUMIF('1.3 Budgeted Revenues YR1'!$A$9:$A$34,B28,'1.3 Budgeted Revenues YR1'!$C$9:$C$34)-F28</f>
        <v>-6000</v>
      </c>
      <c r="H28" s="2155">
        <v>0</v>
      </c>
      <c r="I28" s="2155">
        <v>0</v>
      </c>
      <c r="J28" s="685">
        <f>SUM($F28:G28)</f>
        <v>5000</v>
      </c>
      <c r="K28" s="682">
        <v>11000</v>
      </c>
      <c r="L28" s="682">
        <f>SUMIF('5.3 Budgeted Revenues YR2'!$A$9:$A$34,B28,'5.3 Budgeted Revenues YR2'!$C$9:$C$34)-K28</f>
        <v>-6000</v>
      </c>
      <c r="M28" s="2155">
        <v>0</v>
      </c>
      <c r="N28" s="2155">
        <v>0</v>
      </c>
      <c r="O28" s="685">
        <f t="shared" ref="O28" si="2">SUM(K28:L28)</f>
        <v>5000</v>
      </c>
      <c r="P28" s="685">
        <f t="shared" si="0"/>
        <v>10000</v>
      </c>
    </row>
    <row r="29" spans="1:16" s="682" customFormat="1" ht="15" outlineLevel="2" x14ac:dyDescent="0.25">
      <c r="A29" s="682" t="s">
        <v>1865</v>
      </c>
      <c r="B29" s="683" t="s">
        <v>2187</v>
      </c>
      <c r="C29" s="682" t="s">
        <v>1179</v>
      </c>
      <c r="D29" s="2207">
        <v>572973</v>
      </c>
      <c r="E29" s="2207">
        <v>34000</v>
      </c>
      <c r="F29" s="2155">
        <v>34000</v>
      </c>
      <c r="G29" s="682">
        <f>SUMIF('1.3 Budgeted Revenues YR1'!$A$9:$A$34,B29,'1.3 Budgeted Revenues YR1'!$C$9:$C$34)-F29</f>
        <v>66000</v>
      </c>
      <c r="H29" s="2155">
        <v>0</v>
      </c>
      <c r="I29" s="2155">
        <v>0</v>
      </c>
      <c r="J29" s="685">
        <f>SUM($F29:G29)</f>
        <v>100000</v>
      </c>
      <c r="K29" s="682">
        <v>34000</v>
      </c>
      <c r="L29" s="682">
        <f>SUMIF('5.3 Budgeted Revenues YR2'!$A$9:$A$34,B29,'5.3 Budgeted Revenues YR2'!$C$9:$C$34)-K29</f>
        <v>66000</v>
      </c>
      <c r="M29" s="2155">
        <v>0</v>
      </c>
      <c r="N29" s="2155">
        <v>0</v>
      </c>
      <c r="O29" s="685">
        <f t="shared" si="1"/>
        <v>100000</v>
      </c>
      <c r="P29" s="685">
        <f t="shared" si="0"/>
        <v>200000</v>
      </c>
    </row>
    <row r="30" spans="1:16" s="682" customFormat="1" ht="15" outlineLevel="2" x14ac:dyDescent="0.25">
      <c r="A30" s="682" t="s">
        <v>1865</v>
      </c>
      <c r="B30" s="683" t="s">
        <v>2188</v>
      </c>
      <c r="C30" s="682" t="s">
        <v>1182</v>
      </c>
      <c r="D30" s="2207">
        <v>726430</v>
      </c>
      <c r="E30" s="2207">
        <v>900000</v>
      </c>
      <c r="F30" s="2155">
        <v>900000</v>
      </c>
      <c r="G30" s="682">
        <f>SUMIF('1.3 Budgeted Revenues YR1'!$A$9:$A$34,B30,'1.3 Budgeted Revenues YR1'!$C$9:$C$34)-F30</f>
        <v>-150000</v>
      </c>
      <c r="H30" s="2155">
        <v>0</v>
      </c>
      <c r="I30" s="2155">
        <v>0</v>
      </c>
      <c r="J30" s="685">
        <f>SUM($F30:G30)</f>
        <v>750000</v>
      </c>
      <c r="K30" s="682">
        <v>900000</v>
      </c>
      <c r="L30" s="682">
        <f>SUMIF('5.3 Budgeted Revenues YR2'!$A$9:$A$34,B30,'5.3 Budgeted Revenues YR2'!$C$9:$C$34)-K30</f>
        <v>-150000</v>
      </c>
      <c r="M30" s="2155">
        <v>0</v>
      </c>
      <c r="N30" s="2155">
        <v>0</v>
      </c>
      <c r="O30" s="685">
        <f t="shared" si="1"/>
        <v>750000</v>
      </c>
      <c r="P30" s="685">
        <f t="shared" si="0"/>
        <v>1500000</v>
      </c>
    </row>
    <row r="31" spans="1:16" s="682" customFormat="1" ht="15" outlineLevel="2" x14ac:dyDescent="0.25">
      <c r="A31" s="682" t="s">
        <v>1865</v>
      </c>
      <c r="B31" s="683" t="s">
        <v>2189</v>
      </c>
      <c r="C31" s="682" t="s">
        <v>1183</v>
      </c>
      <c r="D31" s="2207">
        <v>31079460</v>
      </c>
      <c r="E31" s="2207">
        <v>40907000</v>
      </c>
      <c r="F31" s="2155">
        <v>40907000</v>
      </c>
      <c r="G31" s="682">
        <f>SUMIF('1.3 Budgeted Revenues YR1'!$A$9:$A$34,B31,'1.3 Budgeted Revenues YR1'!$C$9:$C$34)-F31</f>
        <v>-25718000</v>
      </c>
      <c r="H31" s="2155">
        <v>0</v>
      </c>
      <c r="I31" s="2155">
        <v>0</v>
      </c>
      <c r="J31" s="685">
        <f>SUM($F31:G31)</f>
        <v>15189000</v>
      </c>
      <c r="K31" s="682">
        <v>40907000</v>
      </c>
      <c r="L31" s="682">
        <f>SUMIF('5.3 Budgeted Revenues YR2'!$A$9:$A$34,B31,'5.3 Budgeted Revenues YR2'!$C$9:$C$34)-K31</f>
        <v>-26567000</v>
      </c>
      <c r="M31" s="2155">
        <v>0</v>
      </c>
      <c r="N31" s="2155">
        <v>0</v>
      </c>
      <c r="O31" s="685">
        <f t="shared" si="1"/>
        <v>14340000</v>
      </c>
      <c r="P31" s="685">
        <f t="shared" si="0"/>
        <v>29529000</v>
      </c>
    </row>
    <row r="32" spans="1:16" s="682" customFormat="1" ht="15" outlineLevel="2" x14ac:dyDescent="0.25">
      <c r="A32" s="682" t="s">
        <v>1865</v>
      </c>
      <c r="B32" s="683" t="s">
        <v>2190</v>
      </c>
      <c r="C32" s="682" t="s">
        <v>1884</v>
      </c>
      <c r="D32" s="2207">
        <v>16123708</v>
      </c>
      <c r="E32" s="2207">
        <v>11501000</v>
      </c>
      <c r="F32" s="2155">
        <v>11501000</v>
      </c>
      <c r="G32" s="682">
        <f>SUMIF('1.3 Budgeted Revenues YR1'!$A$9:$A$34,B32,'1.3 Budgeted Revenues YR1'!$C$9:$C$34)-F32</f>
        <v>-3395000</v>
      </c>
      <c r="H32" s="2155">
        <v>0</v>
      </c>
      <c r="I32" s="2155">
        <v>0</v>
      </c>
      <c r="J32" s="685">
        <f>SUM($F32:G32)</f>
        <v>8106000</v>
      </c>
      <c r="K32" s="682">
        <v>11501000</v>
      </c>
      <c r="L32" s="682">
        <f>SUMIF('5.3 Budgeted Revenues YR2'!$A$9:$A$34,B32,'5.3 Budgeted Revenues YR2'!$C$9:$C$34)-K32</f>
        <v>-3352000</v>
      </c>
      <c r="M32" s="2155">
        <v>0</v>
      </c>
      <c r="N32" s="2155">
        <v>0</v>
      </c>
      <c r="O32" s="685">
        <f t="shared" si="1"/>
        <v>8149000</v>
      </c>
      <c r="P32" s="685">
        <f t="shared" si="0"/>
        <v>16255000</v>
      </c>
    </row>
    <row r="33" spans="1:16" outlineLevel="1" x14ac:dyDescent="0.2">
      <c r="A33" s="681" t="s">
        <v>1885</v>
      </c>
      <c r="D33" s="2206">
        <f t="shared" ref="D33:J33" si="3">SUBTOTAL(9,D9:D32)</f>
        <v>5438509882</v>
      </c>
      <c r="E33" s="2206">
        <f t="shared" si="3"/>
        <v>5749461665</v>
      </c>
      <c r="F33" s="2206">
        <f t="shared" si="3"/>
        <v>5745878864</v>
      </c>
      <c r="G33" s="681">
        <f t="shared" si="3"/>
        <v>-257100493</v>
      </c>
      <c r="H33" s="2206">
        <f t="shared" si="3"/>
        <v>143941393</v>
      </c>
      <c r="I33" s="2206">
        <f t="shared" si="3"/>
        <v>8000000</v>
      </c>
      <c r="J33" s="681">
        <f t="shared" si="3"/>
        <v>5640719764</v>
      </c>
      <c r="K33" s="681">
        <v>5738695864</v>
      </c>
      <c r="L33" s="681">
        <f>SUBTOTAL(9,L9:L32)</f>
        <v>-104350941</v>
      </c>
      <c r="M33" s="2206">
        <f>SUBTOTAL(9,M9:M32)</f>
        <v>143941393</v>
      </c>
      <c r="N33" s="2206">
        <f>SUBTOTAL(9,N9:N32)</f>
        <v>9000000</v>
      </c>
      <c r="O33" s="681">
        <f>SUBTOTAL(9,O9:O32)</f>
        <v>5793711316</v>
      </c>
      <c r="P33" s="681">
        <f>SUBTOTAL(9,P9:P32)</f>
        <v>11434431080</v>
      </c>
    </row>
    <row r="34" spans="1:16" s="682" customFormat="1" ht="15" hidden="1" outlineLevel="2" x14ac:dyDescent="0.25">
      <c r="A34" s="682" t="s">
        <v>1886</v>
      </c>
      <c r="B34" s="682" t="s">
        <v>1887</v>
      </c>
      <c r="C34" s="682" t="s">
        <v>1888</v>
      </c>
      <c r="D34" s="2207">
        <v>6969673</v>
      </c>
      <c r="E34" s="2207">
        <v>0</v>
      </c>
      <c r="F34" s="2155">
        <v>0</v>
      </c>
      <c r="H34" s="2155">
        <v>0</v>
      </c>
      <c r="I34" s="2155">
        <v>0</v>
      </c>
      <c r="J34" s="685">
        <f>SUM($F34:G34)</f>
        <v>0</v>
      </c>
      <c r="K34" s="2155">
        <v>0</v>
      </c>
      <c r="M34" s="2155">
        <v>0</v>
      </c>
      <c r="N34" s="2155">
        <v>0</v>
      </c>
      <c r="O34" s="685">
        <f t="shared" ref="O34:O96" si="4">SUM(K34:L34)</f>
        <v>0</v>
      </c>
      <c r="P34" s="685">
        <f t="shared" ref="P34:P96" si="5">+J34+O34</f>
        <v>0</v>
      </c>
    </row>
    <row r="35" spans="1:16" s="682" customFormat="1" ht="15" hidden="1" outlineLevel="2" x14ac:dyDescent="0.25">
      <c r="A35" s="682" t="s">
        <v>1886</v>
      </c>
      <c r="B35" s="682" t="s">
        <v>1889</v>
      </c>
      <c r="C35" s="682" t="s">
        <v>1890</v>
      </c>
      <c r="D35" s="2207">
        <v>0</v>
      </c>
      <c r="E35" s="2207">
        <v>4604992481</v>
      </c>
      <c r="F35" s="2155">
        <v>4601409680</v>
      </c>
      <c r="G35" s="682">
        <f>'3.1b Allocation Adj. YR1 '!$F$32-F35</f>
        <v>-77922362</v>
      </c>
      <c r="H35" s="2155">
        <v>0</v>
      </c>
      <c r="I35" s="2155">
        <v>0</v>
      </c>
      <c r="J35" s="685">
        <f>SUM($F35:I35)</f>
        <v>4523487318</v>
      </c>
      <c r="K35" s="2155">
        <v>4601409680</v>
      </c>
      <c r="L35" s="682">
        <f>'7.1b Allocation Adj. YR2'!F32-K35</f>
        <v>-44367249</v>
      </c>
      <c r="M35" s="2155">
        <v>0</v>
      </c>
      <c r="N35" s="2155">
        <v>0</v>
      </c>
      <c r="O35" s="685">
        <f>SUM(K35:N35)</f>
        <v>4557042431</v>
      </c>
      <c r="P35" s="685">
        <f t="shared" si="5"/>
        <v>9080529749</v>
      </c>
    </row>
    <row r="36" spans="1:16" s="682" customFormat="1" ht="15" hidden="1" outlineLevel="2" x14ac:dyDescent="0.25">
      <c r="A36" s="682" t="s">
        <v>1886</v>
      </c>
      <c r="B36" s="682" t="s">
        <v>1891</v>
      </c>
      <c r="C36" s="682" t="s">
        <v>1892</v>
      </c>
      <c r="D36" s="2207">
        <v>67565950</v>
      </c>
      <c r="E36" s="2207">
        <v>0</v>
      </c>
      <c r="F36" s="2155">
        <v>0</v>
      </c>
      <c r="H36" s="2155">
        <v>0</v>
      </c>
      <c r="I36" s="2155">
        <v>0</v>
      </c>
      <c r="J36" s="685">
        <f>SUM($F36:G36)</f>
        <v>0</v>
      </c>
      <c r="K36" s="2155">
        <v>0</v>
      </c>
      <c r="M36" s="2155">
        <v>0</v>
      </c>
      <c r="N36" s="2155">
        <v>0</v>
      </c>
      <c r="O36" s="685">
        <f t="shared" si="4"/>
        <v>0</v>
      </c>
      <c r="P36" s="685">
        <f t="shared" si="5"/>
        <v>0</v>
      </c>
    </row>
    <row r="37" spans="1:16" s="682" customFormat="1" ht="15" hidden="1" outlineLevel="2" x14ac:dyDescent="0.25">
      <c r="A37" s="682" t="s">
        <v>1886</v>
      </c>
      <c r="B37" s="682" t="s">
        <v>1893</v>
      </c>
      <c r="C37" s="682" t="s">
        <v>1894</v>
      </c>
      <c r="D37" s="2207">
        <v>32020792</v>
      </c>
      <c r="E37" s="2207">
        <v>0</v>
      </c>
      <c r="F37" s="2155">
        <v>0</v>
      </c>
      <c r="H37" s="2155">
        <v>0</v>
      </c>
      <c r="I37" s="2155">
        <v>0</v>
      </c>
      <c r="J37" s="685">
        <f>SUM($F37:G37)</f>
        <v>0</v>
      </c>
      <c r="K37" s="2155">
        <v>0</v>
      </c>
      <c r="M37" s="2155">
        <v>0</v>
      </c>
      <c r="N37" s="2155">
        <v>0</v>
      </c>
      <c r="O37" s="685">
        <f t="shared" si="4"/>
        <v>0</v>
      </c>
      <c r="P37" s="685">
        <f t="shared" si="5"/>
        <v>0</v>
      </c>
    </row>
    <row r="38" spans="1:16" s="682" customFormat="1" ht="15" hidden="1" outlineLevel="2" x14ac:dyDescent="0.25">
      <c r="A38" s="682" t="s">
        <v>1886</v>
      </c>
      <c r="B38" s="682" t="s">
        <v>1895</v>
      </c>
      <c r="C38" s="682" t="s">
        <v>1896</v>
      </c>
      <c r="D38" s="2207">
        <v>2611176661</v>
      </c>
      <c r="E38" s="2207">
        <v>0</v>
      </c>
      <c r="F38" s="2155">
        <v>0</v>
      </c>
      <c r="H38" s="2155">
        <v>0</v>
      </c>
      <c r="I38" s="2155">
        <v>0</v>
      </c>
      <c r="J38" s="685">
        <f>SUM($F38:G38)</f>
        <v>0</v>
      </c>
      <c r="K38" s="2155">
        <v>0</v>
      </c>
      <c r="M38" s="2155">
        <v>0</v>
      </c>
      <c r="N38" s="2155">
        <v>0</v>
      </c>
      <c r="O38" s="685">
        <f t="shared" si="4"/>
        <v>0</v>
      </c>
      <c r="P38" s="685">
        <f t="shared" si="5"/>
        <v>0</v>
      </c>
    </row>
    <row r="39" spans="1:16" s="682" customFormat="1" ht="15" hidden="1" outlineLevel="2" x14ac:dyDescent="0.25">
      <c r="A39" s="682" t="s">
        <v>1886</v>
      </c>
      <c r="B39" s="682" t="s">
        <v>1897</v>
      </c>
      <c r="C39" s="682" t="s">
        <v>1898</v>
      </c>
      <c r="D39" s="2207">
        <v>49874089</v>
      </c>
      <c r="E39" s="2207">
        <v>0</v>
      </c>
      <c r="F39" s="2155">
        <v>0</v>
      </c>
      <c r="H39" s="2155">
        <v>0</v>
      </c>
      <c r="I39" s="2155">
        <v>0</v>
      </c>
      <c r="J39" s="685">
        <f>SUM($F39:G39)</f>
        <v>0</v>
      </c>
      <c r="K39" s="2155">
        <v>0</v>
      </c>
      <c r="M39" s="2155">
        <v>0</v>
      </c>
      <c r="N39" s="2155">
        <v>0</v>
      </c>
      <c r="O39" s="685">
        <f t="shared" si="4"/>
        <v>0</v>
      </c>
      <c r="P39" s="685">
        <f t="shared" si="5"/>
        <v>0</v>
      </c>
    </row>
    <row r="40" spans="1:16" s="682" customFormat="1" ht="15" hidden="1" outlineLevel="2" x14ac:dyDescent="0.25">
      <c r="A40" s="682" t="s">
        <v>1886</v>
      </c>
      <c r="B40" s="682" t="s">
        <v>1899</v>
      </c>
      <c r="C40" s="682" t="s">
        <v>1900</v>
      </c>
      <c r="D40" s="2207">
        <v>104960546</v>
      </c>
      <c r="E40" s="2207">
        <v>0</v>
      </c>
      <c r="F40" s="2155">
        <v>0</v>
      </c>
      <c r="H40" s="2155">
        <v>0</v>
      </c>
      <c r="I40" s="2155">
        <v>0</v>
      </c>
      <c r="J40" s="685">
        <f>SUM($F40:G40)</f>
        <v>0</v>
      </c>
      <c r="K40" s="2155">
        <v>0</v>
      </c>
      <c r="M40" s="2155">
        <v>0</v>
      </c>
      <c r="N40" s="2155">
        <v>0</v>
      </c>
      <c r="O40" s="685">
        <f t="shared" si="4"/>
        <v>0</v>
      </c>
      <c r="P40" s="685">
        <f t="shared" si="5"/>
        <v>0</v>
      </c>
    </row>
    <row r="41" spans="1:16" s="682" customFormat="1" ht="15" hidden="1" outlineLevel="2" x14ac:dyDescent="0.25">
      <c r="A41" s="682" t="s">
        <v>1886</v>
      </c>
      <c r="B41" s="682" t="s">
        <v>1901</v>
      </c>
      <c r="C41" s="682" t="s">
        <v>1902</v>
      </c>
      <c r="D41" s="2207">
        <v>2793340</v>
      </c>
      <c r="E41" s="2207">
        <v>0</v>
      </c>
      <c r="F41" s="2155">
        <v>0</v>
      </c>
      <c r="H41" s="2155">
        <v>0</v>
      </c>
      <c r="I41" s="2155">
        <v>0</v>
      </c>
      <c r="J41" s="685">
        <f>SUM($F41:G41)</f>
        <v>0</v>
      </c>
      <c r="K41" s="2155">
        <v>0</v>
      </c>
      <c r="M41" s="2155">
        <v>0</v>
      </c>
      <c r="N41" s="2155">
        <v>0</v>
      </c>
      <c r="O41" s="685">
        <f t="shared" si="4"/>
        <v>0</v>
      </c>
      <c r="P41" s="685">
        <f t="shared" si="5"/>
        <v>0</v>
      </c>
    </row>
    <row r="42" spans="1:16" s="682" customFormat="1" ht="15" hidden="1" outlineLevel="2" x14ac:dyDescent="0.25">
      <c r="A42" s="682" t="s">
        <v>1886</v>
      </c>
      <c r="B42" s="682" t="s">
        <v>1903</v>
      </c>
      <c r="C42" s="682" t="s">
        <v>1904</v>
      </c>
      <c r="D42" s="2207">
        <v>11558679</v>
      </c>
      <c r="E42" s="2207">
        <v>0</v>
      </c>
      <c r="F42" s="2155">
        <v>0</v>
      </c>
      <c r="H42" s="2155">
        <v>0</v>
      </c>
      <c r="I42" s="2155">
        <v>0</v>
      </c>
      <c r="J42" s="685">
        <f>SUM($F42:G42)</f>
        <v>0</v>
      </c>
      <c r="K42" s="682">
        <v>0</v>
      </c>
      <c r="M42" s="2155">
        <v>0</v>
      </c>
      <c r="N42" s="2155">
        <v>0</v>
      </c>
      <c r="O42" s="685">
        <f t="shared" si="4"/>
        <v>0</v>
      </c>
      <c r="P42" s="685">
        <f t="shared" si="5"/>
        <v>0</v>
      </c>
    </row>
    <row r="43" spans="1:16" s="682" customFormat="1" ht="15" hidden="1" outlineLevel="2" x14ac:dyDescent="0.25">
      <c r="A43" s="682" t="s">
        <v>1886</v>
      </c>
      <c r="B43" s="682" t="s">
        <v>1905</v>
      </c>
      <c r="C43" s="682" t="s">
        <v>1906</v>
      </c>
      <c r="D43" s="2207">
        <v>35026598</v>
      </c>
      <c r="E43" s="2207">
        <v>0</v>
      </c>
      <c r="F43" s="2155">
        <v>0</v>
      </c>
      <c r="H43" s="2155">
        <v>0</v>
      </c>
      <c r="I43" s="2155">
        <v>0</v>
      </c>
      <c r="J43" s="685">
        <f>SUM($F43:G43)</f>
        <v>0</v>
      </c>
      <c r="K43" s="682">
        <v>0</v>
      </c>
      <c r="M43" s="2155">
        <v>0</v>
      </c>
      <c r="N43" s="2155">
        <v>0</v>
      </c>
      <c r="O43" s="685">
        <f t="shared" si="4"/>
        <v>0</v>
      </c>
      <c r="P43" s="685">
        <f t="shared" si="5"/>
        <v>0</v>
      </c>
    </row>
    <row r="44" spans="1:16" s="682" customFormat="1" ht="15" hidden="1" outlineLevel="2" x14ac:dyDescent="0.25">
      <c r="A44" s="682" t="s">
        <v>1886</v>
      </c>
      <c r="B44" s="682" t="s">
        <v>1907</v>
      </c>
      <c r="C44" s="682" t="s">
        <v>1908</v>
      </c>
      <c r="D44" s="2207">
        <v>13515830</v>
      </c>
      <c r="E44" s="2207">
        <v>0</v>
      </c>
      <c r="F44" s="2155">
        <v>0</v>
      </c>
      <c r="H44" s="2155">
        <v>0</v>
      </c>
      <c r="I44" s="2155">
        <v>0</v>
      </c>
      <c r="J44" s="685">
        <f>SUM($F44:G44)</f>
        <v>0</v>
      </c>
      <c r="K44" s="682">
        <v>0</v>
      </c>
      <c r="M44" s="2155">
        <v>0</v>
      </c>
      <c r="N44" s="2155">
        <v>0</v>
      </c>
      <c r="O44" s="685">
        <f t="shared" si="4"/>
        <v>0</v>
      </c>
      <c r="P44" s="685">
        <f t="shared" si="5"/>
        <v>0</v>
      </c>
    </row>
    <row r="45" spans="1:16" s="682" customFormat="1" ht="15" hidden="1" outlineLevel="2" x14ac:dyDescent="0.25">
      <c r="A45" s="682" t="s">
        <v>1886</v>
      </c>
      <c r="B45" s="682" t="s">
        <v>1909</v>
      </c>
      <c r="C45" s="682" t="s">
        <v>1910</v>
      </c>
      <c r="D45" s="2207">
        <v>14192065</v>
      </c>
      <c r="E45" s="2207">
        <v>0</v>
      </c>
      <c r="F45" s="2155">
        <v>0</v>
      </c>
      <c r="H45" s="2155">
        <v>0</v>
      </c>
      <c r="I45" s="2155">
        <v>0</v>
      </c>
      <c r="J45" s="685">
        <f>SUM($F45:G45)</f>
        <v>0</v>
      </c>
      <c r="K45" s="682">
        <v>0</v>
      </c>
      <c r="M45" s="2155">
        <v>0</v>
      </c>
      <c r="N45" s="2155">
        <v>0</v>
      </c>
      <c r="O45" s="685">
        <f t="shared" si="4"/>
        <v>0</v>
      </c>
      <c r="P45" s="685">
        <f t="shared" si="5"/>
        <v>0</v>
      </c>
    </row>
    <row r="46" spans="1:16" s="682" customFormat="1" ht="15" hidden="1" outlineLevel="2" x14ac:dyDescent="0.25">
      <c r="A46" s="682" t="s">
        <v>1886</v>
      </c>
      <c r="B46" s="682" t="s">
        <v>1911</v>
      </c>
      <c r="C46" s="682" t="s">
        <v>1912</v>
      </c>
      <c r="D46" s="2207">
        <v>98156455</v>
      </c>
      <c r="E46" s="2207">
        <v>0</v>
      </c>
      <c r="F46" s="2155">
        <v>0</v>
      </c>
      <c r="H46" s="2155">
        <v>0</v>
      </c>
      <c r="I46" s="2155">
        <v>0</v>
      </c>
      <c r="J46" s="685">
        <f>SUM($F46:G46)</f>
        <v>0</v>
      </c>
      <c r="K46" s="682">
        <v>0</v>
      </c>
      <c r="M46" s="2155">
        <v>0</v>
      </c>
      <c r="N46" s="2155">
        <v>0</v>
      </c>
      <c r="O46" s="685">
        <f t="shared" si="4"/>
        <v>0</v>
      </c>
      <c r="P46" s="685">
        <f t="shared" si="5"/>
        <v>0</v>
      </c>
    </row>
    <row r="47" spans="1:16" s="682" customFormat="1" ht="15" hidden="1" outlineLevel="2" x14ac:dyDescent="0.25">
      <c r="A47" s="682" t="s">
        <v>1886</v>
      </c>
      <c r="B47" s="682" t="s">
        <v>1913</v>
      </c>
      <c r="C47" s="682" t="s">
        <v>1914</v>
      </c>
      <c r="D47" s="2207">
        <v>8569211</v>
      </c>
      <c r="E47" s="2207">
        <v>0</v>
      </c>
      <c r="F47" s="2155">
        <v>0</v>
      </c>
      <c r="H47" s="2155">
        <v>0</v>
      </c>
      <c r="I47" s="2155">
        <v>0</v>
      </c>
      <c r="J47" s="685">
        <f>SUM($F47:G47)</f>
        <v>0</v>
      </c>
      <c r="K47" s="682">
        <v>0</v>
      </c>
      <c r="M47" s="2155">
        <v>0</v>
      </c>
      <c r="N47" s="2155">
        <v>0</v>
      </c>
      <c r="O47" s="685">
        <f t="shared" si="4"/>
        <v>0</v>
      </c>
      <c r="P47" s="685">
        <f t="shared" si="5"/>
        <v>0</v>
      </c>
    </row>
    <row r="48" spans="1:16" s="682" customFormat="1" ht="15" hidden="1" outlineLevel="2" x14ac:dyDescent="0.25">
      <c r="A48" s="682" t="s">
        <v>1886</v>
      </c>
      <c r="B48" s="682" t="s">
        <v>1915</v>
      </c>
      <c r="C48" s="682" t="s">
        <v>1916</v>
      </c>
      <c r="D48" s="2207">
        <v>59610925</v>
      </c>
      <c r="E48" s="2207">
        <v>0</v>
      </c>
      <c r="F48" s="2155">
        <v>0</v>
      </c>
      <c r="H48" s="2155">
        <v>0</v>
      </c>
      <c r="I48" s="2155">
        <v>0</v>
      </c>
      <c r="J48" s="685">
        <f>SUM($F48:G48)</f>
        <v>0</v>
      </c>
      <c r="K48" s="682">
        <v>0</v>
      </c>
      <c r="M48" s="2155">
        <v>0</v>
      </c>
      <c r="N48" s="2155">
        <v>0</v>
      </c>
      <c r="O48" s="685">
        <f t="shared" si="4"/>
        <v>0</v>
      </c>
      <c r="P48" s="685">
        <f t="shared" si="5"/>
        <v>0</v>
      </c>
    </row>
    <row r="49" spans="1:16" s="682" customFormat="1" ht="15" hidden="1" outlineLevel="2" x14ac:dyDescent="0.25">
      <c r="A49" s="682" t="s">
        <v>1886</v>
      </c>
      <c r="B49" s="682" t="s">
        <v>1917</v>
      </c>
      <c r="C49" s="682" t="s">
        <v>1918</v>
      </c>
      <c r="D49" s="2207">
        <v>9133980</v>
      </c>
      <c r="E49" s="2207">
        <v>0</v>
      </c>
      <c r="F49" s="2155">
        <v>0</v>
      </c>
      <c r="H49" s="2155">
        <v>0</v>
      </c>
      <c r="I49" s="2155">
        <v>0</v>
      </c>
      <c r="J49" s="685">
        <f>SUM($F49:G49)</f>
        <v>0</v>
      </c>
      <c r="K49" s="682">
        <v>0</v>
      </c>
      <c r="M49" s="2155">
        <v>0</v>
      </c>
      <c r="N49" s="2155">
        <v>0</v>
      </c>
      <c r="O49" s="685">
        <f t="shared" si="4"/>
        <v>0</v>
      </c>
      <c r="P49" s="685">
        <f t="shared" si="5"/>
        <v>0</v>
      </c>
    </row>
    <row r="50" spans="1:16" s="682" customFormat="1" ht="15" hidden="1" outlineLevel="2" x14ac:dyDescent="0.25">
      <c r="A50" s="682" t="s">
        <v>1886</v>
      </c>
      <c r="B50" s="682" t="s">
        <v>1919</v>
      </c>
      <c r="C50" s="682" t="s">
        <v>1920</v>
      </c>
      <c r="D50" s="2207">
        <v>9858667</v>
      </c>
      <c r="E50" s="2207">
        <v>0</v>
      </c>
      <c r="F50" s="2155">
        <v>0</v>
      </c>
      <c r="H50" s="2155">
        <v>0</v>
      </c>
      <c r="I50" s="2155">
        <v>0</v>
      </c>
      <c r="J50" s="685">
        <f>SUM($F50:G50)</f>
        <v>0</v>
      </c>
      <c r="K50" s="682">
        <v>0</v>
      </c>
      <c r="M50" s="2155">
        <v>0</v>
      </c>
      <c r="N50" s="2155">
        <v>0</v>
      </c>
      <c r="O50" s="685">
        <f t="shared" si="4"/>
        <v>0</v>
      </c>
      <c r="P50" s="685">
        <f t="shared" si="5"/>
        <v>0</v>
      </c>
    </row>
    <row r="51" spans="1:16" s="682" customFormat="1" ht="15" hidden="1" outlineLevel="2" x14ac:dyDescent="0.25">
      <c r="A51" s="682" t="s">
        <v>1886</v>
      </c>
      <c r="B51" s="682" t="s">
        <v>1921</v>
      </c>
      <c r="C51" s="682" t="s">
        <v>1922</v>
      </c>
      <c r="D51" s="2207">
        <v>550987402</v>
      </c>
      <c r="E51" s="2207">
        <v>0</v>
      </c>
      <c r="F51" s="2155">
        <v>0</v>
      </c>
      <c r="H51" s="2155">
        <v>0</v>
      </c>
      <c r="I51" s="2155">
        <v>0</v>
      </c>
      <c r="J51" s="685">
        <f>SUM($F51:G51)</f>
        <v>0</v>
      </c>
      <c r="K51" s="682">
        <v>0</v>
      </c>
      <c r="M51" s="2155">
        <v>0</v>
      </c>
      <c r="N51" s="2155">
        <v>0</v>
      </c>
      <c r="O51" s="685">
        <f t="shared" si="4"/>
        <v>0</v>
      </c>
      <c r="P51" s="685">
        <f t="shared" si="5"/>
        <v>0</v>
      </c>
    </row>
    <row r="52" spans="1:16" s="682" customFormat="1" ht="15" hidden="1" outlineLevel="2" x14ac:dyDescent="0.25">
      <c r="A52" s="682" t="s">
        <v>1886</v>
      </c>
      <c r="B52" s="682" t="s">
        <v>1923</v>
      </c>
      <c r="C52" s="682" t="s">
        <v>1924</v>
      </c>
      <c r="D52" s="2207">
        <v>17743053</v>
      </c>
      <c r="E52" s="2207">
        <v>0</v>
      </c>
      <c r="F52" s="2155">
        <v>0</v>
      </c>
      <c r="H52" s="2155">
        <v>0</v>
      </c>
      <c r="I52" s="2155">
        <v>0</v>
      </c>
      <c r="J52" s="685">
        <f>SUM($F52:G52)</f>
        <v>0</v>
      </c>
      <c r="K52" s="682">
        <v>0</v>
      </c>
      <c r="M52" s="2155">
        <v>0</v>
      </c>
      <c r="N52" s="2155">
        <v>0</v>
      </c>
      <c r="O52" s="685">
        <f t="shared" si="4"/>
        <v>0</v>
      </c>
      <c r="P52" s="685">
        <f t="shared" si="5"/>
        <v>0</v>
      </c>
    </row>
    <row r="53" spans="1:16" s="682" customFormat="1" ht="15" hidden="1" outlineLevel="2" x14ac:dyDescent="0.25">
      <c r="A53" s="682" t="s">
        <v>1886</v>
      </c>
      <c r="B53" s="682" t="s">
        <v>1925</v>
      </c>
      <c r="C53" s="682" t="s">
        <v>1926</v>
      </c>
      <c r="D53" s="2207">
        <v>3585089</v>
      </c>
      <c r="E53" s="2207">
        <v>0</v>
      </c>
      <c r="F53" s="2155">
        <v>0</v>
      </c>
      <c r="H53" s="2155">
        <v>0</v>
      </c>
      <c r="I53" s="2155">
        <v>0</v>
      </c>
      <c r="J53" s="685">
        <f>SUM($F53:G53)</f>
        <v>0</v>
      </c>
      <c r="K53" s="682">
        <v>0</v>
      </c>
      <c r="M53" s="2155">
        <v>0</v>
      </c>
      <c r="N53" s="2155">
        <v>0</v>
      </c>
      <c r="O53" s="685">
        <f t="shared" si="4"/>
        <v>0</v>
      </c>
      <c r="P53" s="685">
        <f t="shared" si="5"/>
        <v>0</v>
      </c>
    </row>
    <row r="54" spans="1:16" s="682" customFormat="1" ht="15" hidden="1" outlineLevel="2" x14ac:dyDescent="0.25">
      <c r="A54" s="682" t="s">
        <v>1886</v>
      </c>
      <c r="B54" s="682" t="s">
        <v>1927</v>
      </c>
      <c r="C54" s="682" t="s">
        <v>1928</v>
      </c>
      <c r="D54" s="2207">
        <v>17457455</v>
      </c>
      <c r="E54" s="2207">
        <v>0</v>
      </c>
      <c r="F54" s="2155">
        <v>0</v>
      </c>
      <c r="H54" s="2155">
        <v>0</v>
      </c>
      <c r="I54" s="2155">
        <v>0</v>
      </c>
      <c r="J54" s="685">
        <f>SUM($F54:G54)</f>
        <v>0</v>
      </c>
      <c r="K54" s="682">
        <v>0</v>
      </c>
      <c r="M54" s="2155">
        <v>0</v>
      </c>
      <c r="N54" s="2155">
        <v>0</v>
      </c>
      <c r="O54" s="685">
        <f t="shared" si="4"/>
        <v>0</v>
      </c>
      <c r="P54" s="685">
        <f t="shared" si="5"/>
        <v>0</v>
      </c>
    </row>
    <row r="55" spans="1:16" s="682" customFormat="1" ht="15" hidden="1" outlineLevel="2" x14ac:dyDescent="0.25">
      <c r="A55" s="682" t="s">
        <v>1886</v>
      </c>
      <c r="B55" s="682" t="s">
        <v>1929</v>
      </c>
      <c r="C55" s="682" t="s">
        <v>1930</v>
      </c>
      <c r="D55" s="2207">
        <v>10381394</v>
      </c>
      <c r="E55" s="2207">
        <v>0</v>
      </c>
      <c r="F55" s="2155">
        <v>0</v>
      </c>
      <c r="H55" s="2155">
        <v>0</v>
      </c>
      <c r="I55" s="2155">
        <v>0</v>
      </c>
      <c r="J55" s="685">
        <f>SUM($F55:G55)</f>
        <v>0</v>
      </c>
      <c r="K55" s="682">
        <v>0</v>
      </c>
      <c r="M55" s="2155">
        <v>0</v>
      </c>
      <c r="N55" s="2155">
        <v>0</v>
      </c>
      <c r="O55" s="685">
        <f t="shared" si="4"/>
        <v>0</v>
      </c>
      <c r="P55" s="685">
        <f t="shared" si="5"/>
        <v>0</v>
      </c>
    </row>
    <row r="56" spans="1:16" s="682" customFormat="1" ht="15" hidden="1" outlineLevel="2" x14ac:dyDescent="0.25">
      <c r="A56" s="682" t="s">
        <v>1886</v>
      </c>
      <c r="B56" s="682" t="s">
        <v>1931</v>
      </c>
      <c r="C56" s="682" t="s">
        <v>1932</v>
      </c>
      <c r="D56" s="2207">
        <v>2197885</v>
      </c>
      <c r="E56" s="2207">
        <v>0</v>
      </c>
      <c r="F56" s="2155">
        <v>0</v>
      </c>
      <c r="H56" s="2155">
        <v>0</v>
      </c>
      <c r="I56" s="2155">
        <v>0</v>
      </c>
      <c r="J56" s="685">
        <f>SUM($F56:G56)</f>
        <v>0</v>
      </c>
      <c r="K56" s="682">
        <v>0</v>
      </c>
      <c r="M56" s="2155">
        <v>0</v>
      </c>
      <c r="N56" s="2155">
        <v>0</v>
      </c>
      <c r="O56" s="685">
        <f t="shared" si="4"/>
        <v>0</v>
      </c>
      <c r="P56" s="685">
        <f t="shared" si="5"/>
        <v>0</v>
      </c>
    </row>
    <row r="57" spans="1:16" s="682" customFormat="1" ht="15" hidden="1" outlineLevel="2" x14ac:dyDescent="0.25">
      <c r="A57" s="682" t="s">
        <v>1886</v>
      </c>
      <c r="B57" s="682" t="s">
        <v>1933</v>
      </c>
      <c r="C57" s="682" t="s">
        <v>1934</v>
      </c>
      <c r="D57" s="2207">
        <v>69560200</v>
      </c>
      <c r="E57" s="2207">
        <v>0</v>
      </c>
      <c r="F57" s="2155">
        <v>0</v>
      </c>
      <c r="H57" s="2155">
        <v>0</v>
      </c>
      <c r="I57" s="2155">
        <v>0</v>
      </c>
      <c r="J57" s="685">
        <f>SUM($F57:G57)</f>
        <v>0</v>
      </c>
      <c r="K57" s="682">
        <v>0</v>
      </c>
      <c r="M57" s="2155">
        <v>0</v>
      </c>
      <c r="N57" s="2155">
        <v>0</v>
      </c>
      <c r="O57" s="685">
        <f t="shared" si="4"/>
        <v>0</v>
      </c>
      <c r="P57" s="685">
        <f t="shared" si="5"/>
        <v>0</v>
      </c>
    </row>
    <row r="58" spans="1:16" s="682" customFormat="1" ht="15" hidden="1" outlineLevel="2" x14ac:dyDescent="0.25">
      <c r="A58" s="682" t="s">
        <v>1886</v>
      </c>
      <c r="B58" s="682" t="s">
        <v>2204</v>
      </c>
      <c r="C58" s="682" t="s">
        <v>2205</v>
      </c>
      <c r="D58" s="2207">
        <v>1100206</v>
      </c>
      <c r="E58" s="2207">
        <v>0</v>
      </c>
      <c r="F58" s="2155">
        <v>0</v>
      </c>
      <c r="H58" s="2155">
        <v>0</v>
      </c>
      <c r="I58" s="2155">
        <v>0</v>
      </c>
      <c r="J58" s="685">
        <f>SUM($F58:G58)</f>
        <v>0</v>
      </c>
      <c r="K58" s="682">
        <v>0</v>
      </c>
      <c r="M58" s="2155">
        <v>0</v>
      </c>
      <c r="N58" s="2155">
        <v>0</v>
      </c>
      <c r="O58" s="685">
        <f t="shared" si="4"/>
        <v>0</v>
      </c>
      <c r="P58" s="685">
        <f t="shared" si="5"/>
        <v>0</v>
      </c>
    </row>
    <row r="59" spans="1:16" s="682" customFormat="1" ht="15" hidden="1" outlineLevel="2" x14ac:dyDescent="0.25">
      <c r="A59" s="682" t="s">
        <v>1886</v>
      </c>
      <c r="B59" s="682" t="s">
        <v>1935</v>
      </c>
      <c r="C59" s="682" t="s">
        <v>1936</v>
      </c>
      <c r="D59" s="2207">
        <v>4321819</v>
      </c>
      <c r="E59" s="2207">
        <v>0</v>
      </c>
      <c r="F59" s="2155">
        <v>0</v>
      </c>
      <c r="H59" s="2155">
        <v>0</v>
      </c>
      <c r="I59" s="2155">
        <v>0</v>
      </c>
      <c r="J59" s="685">
        <f>SUM($F59:G59)</f>
        <v>0</v>
      </c>
      <c r="K59" s="682">
        <v>0</v>
      </c>
      <c r="M59" s="2155">
        <v>0</v>
      </c>
      <c r="N59" s="2155">
        <v>0</v>
      </c>
      <c r="O59" s="685">
        <f t="shared" si="4"/>
        <v>0</v>
      </c>
      <c r="P59" s="685">
        <f t="shared" si="5"/>
        <v>0</v>
      </c>
    </row>
    <row r="60" spans="1:16" s="682" customFormat="1" ht="15" hidden="1" outlineLevel="2" x14ac:dyDescent="0.25">
      <c r="A60" s="682" t="s">
        <v>1886</v>
      </c>
      <c r="B60" s="682" t="s">
        <v>1937</v>
      </c>
      <c r="C60" s="682" t="s">
        <v>1938</v>
      </c>
      <c r="D60" s="2207">
        <v>19095971</v>
      </c>
      <c r="E60" s="2207">
        <v>0</v>
      </c>
      <c r="F60" s="2155">
        <v>0</v>
      </c>
      <c r="H60" s="2155">
        <v>0</v>
      </c>
      <c r="I60" s="2155">
        <v>0</v>
      </c>
      <c r="J60" s="685">
        <f>SUM($F60:G60)</f>
        <v>0</v>
      </c>
      <c r="K60" s="682">
        <v>0</v>
      </c>
      <c r="M60" s="2155">
        <v>0</v>
      </c>
      <c r="N60" s="2155">
        <v>0</v>
      </c>
      <c r="O60" s="685">
        <f t="shared" si="4"/>
        <v>0</v>
      </c>
      <c r="P60" s="685">
        <f t="shared" si="5"/>
        <v>0</v>
      </c>
    </row>
    <row r="61" spans="1:16" s="682" customFormat="1" ht="15" hidden="1" outlineLevel="2" x14ac:dyDescent="0.25">
      <c r="A61" s="682" t="s">
        <v>1886</v>
      </c>
      <c r="B61" s="682" t="s">
        <v>1939</v>
      </c>
      <c r="C61" s="682" t="s">
        <v>1940</v>
      </c>
      <c r="D61" s="2207">
        <v>1525896</v>
      </c>
      <c r="E61" s="2207">
        <v>0</v>
      </c>
      <c r="F61" s="2155">
        <v>0</v>
      </c>
      <c r="H61" s="2155">
        <v>0</v>
      </c>
      <c r="I61" s="2155">
        <v>0</v>
      </c>
      <c r="J61" s="685">
        <f>SUM($F61:G61)</f>
        <v>0</v>
      </c>
      <c r="K61" s="682">
        <v>0</v>
      </c>
      <c r="M61" s="2155">
        <v>0</v>
      </c>
      <c r="N61" s="2155">
        <v>0</v>
      </c>
      <c r="O61" s="685">
        <f t="shared" si="4"/>
        <v>0</v>
      </c>
      <c r="P61" s="685">
        <f t="shared" si="5"/>
        <v>0</v>
      </c>
    </row>
    <row r="62" spans="1:16" s="682" customFormat="1" ht="15" hidden="1" outlineLevel="2" x14ac:dyDescent="0.25">
      <c r="A62" s="682" t="s">
        <v>1886</v>
      </c>
      <c r="B62" s="682" t="s">
        <v>1941</v>
      </c>
      <c r="C62" s="682" t="s">
        <v>1942</v>
      </c>
      <c r="D62" s="2207">
        <v>7674580</v>
      </c>
      <c r="E62" s="2207">
        <v>0</v>
      </c>
      <c r="F62" s="2155">
        <v>0</v>
      </c>
      <c r="H62" s="2155">
        <v>0</v>
      </c>
      <c r="I62" s="2155">
        <v>0</v>
      </c>
      <c r="J62" s="685">
        <f>SUM($F62:G62)</f>
        <v>0</v>
      </c>
      <c r="K62" s="682">
        <v>0</v>
      </c>
      <c r="M62" s="2155">
        <v>0</v>
      </c>
      <c r="N62" s="2155">
        <v>0</v>
      </c>
      <c r="O62" s="685">
        <f t="shared" si="4"/>
        <v>0</v>
      </c>
      <c r="P62" s="685">
        <f t="shared" si="5"/>
        <v>0</v>
      </c>
    </row>
    <row r="63" spans="1:16" s="682" customFormat="1" ht="15" hidden="1" outlineLevel="2" x14ac:dyDescent="0.25">
      <c r="A63" s="682" t="s">
        <v>1886</v>
      </c>
      <c r="B63" s="682" t="s">
        <v>1943</v>
      </c>
      <c r="C63" s="682" t="s">
        <v>1944</v>
      </c>
      <c r="D63" s="2207">
        <v>20694112</v>
      </c>
      <c r="E63" s="2207">
        <v>0</v>
      </c>
      <c r="F63" s="2155">
        <v>0</v>
      </c>
      <c r="H63" s="2155">
        <v>0</v>
      </c>
      <c r="I63" s="2155">
        <v>0</v>
      </c>
      <c r="J63" s="685">
        <f>SUM($F63:G63)</f>
        <v>0</v>
      </c>
      <c r="K63" s="682">
        <v>0</v>
      </c>
      <c r="M63" s="2155">
        <v>0</v>
      </c>
      <c r="N63" s="2155">
        <v>0</v>
      </c>
      <c r="O63" s="685">
        <f t="shared" si="4"/>
        <v>0</v>
      </c>
      <c r="P63" s="685">
        <f t="shared" si="5"/>
        <v>0</v>
      </c>
    </row>
    <row r="64" spans="1:16" s="682" customFormat="1" ht="15" hidden="1" outlineLevel="2" x14ac:dyDescent="0.25">
      <c r="A64" s="682" t="s">
        <v>1886</v>
      </c>
      <c r="B64" s="682" t="s">
        <v>1945</v>
      </c>
      <c r="C64" s="682" t="s">
        <v>1946</v>
      </c>
      <c r="D64" s="2207">
        <v>1557011</v>
      </c>
      <c r="E64" s="2207">
        <v>0</v>
      </c>
      <c r="F64" s="2155">
        <v>0</v>
      </c>
      <c r="H64" s="2155">
        <v>0</v>
      </c>
      <c r="I64" s="2155">
        <v>0</v>
      </c>
      <c r="J64" s="685">
        <f>SUM($F64:G64)</f>
        <v>0</v>
      </c>
      <c r="K64" s="682">
        <v>0</v>
      </c>
      <c r="M64" s="2155">
        <v>0</v>
      </c>
      <c r="N64" s="2155">
        <v>0</v>
      </c>
      <c r="O64" s="685">
        <f t="shared" si="4"/>
        <v>0</v>
      </c>
      <c r="P64" s="685">
        <f t="shared" si="5"/>
        <v>0</v>
      </c>
    </row>
    <row r="65" spans="1:16" s="682" customFormat="1" ht="15" hidden="1" outlineLevel="2" x14ac:dyDescent="0.25">
      <c r="A65" s="682" t="s">
        <v>1886</v>
      </c>
      <c r="B65" s="682" t="s">
        <v>1947</v>
      </c>
      <c r="C65" s="682" t="s">
        <v>1948</v>
      </c>
      <c r="D65" s="2207">
        <v>3084946</v>
      </c>
      <c r="E65" s="2207">
        <v>0</v>
      </c>
      <c r="F65" s="2155">
        <v>0</v>
      </c>
      <c r="H65" s="2155">
        <v>0</v>
      </c>
      <c r="I65" s="2155">
        <v>0</v>
      </c>
      <c r="J65" s="685">
        <f>SUM($F65:G65)</f>
        <v>0</v>
      </c>
      <c r="K65" s="682">
        <v>0</v>
      </c>
      <c r="M65" s="2155">
        <v>0</v>
      </c>
      <c r="N65" s="2155">
        <v>0</v>
      </c>
      <c r="O65" s="685">
        <f t="shared" si="4"/>
        <v>0</v>
      </c>
      <c r="P65" s="685">
        <f t="shared" si="5"/>
        <v>0</v>
      </c>
    </row>
    <row r="66" spans="1:16" s="682" customFormat="1" ht="15" hidden="1" outlineLevel="2" x14ac:dyDescent="0.25">
      <c r="A66" s="682" t="s">
        <v>1886</v>
      </c>
      <c r="B66" s="682" t="s">
        <v>2206</v>
      </c>
      <c r="C66" s="682" t="s">
        <v>2207</v>
      </c>
      <c r="D66" s="2207">
        <v>2313610</v>
      </c>
      <c r="E66" s="2207">
        <v>0</v>
      </c>
      <c r="F66" s="2155">
        <v>0</v>
      </c>
      <c r="H66" s="2155">
        <v>0</v>
      </c>
      <c r="I66" s="2155">
        <v>0</v>
      </c>
      <c r="J66" s="685">
        <f>SUM($F66:G66)</f>
        <v>0</v>
      </c>
      <c r="K66" s="682">
        <v>0</v>
      </c>
      <c r="M66" s="2155">
        <v>0</v>
      </c>
      <c r="N66" s="2155">
        <v>0</v>
      </c>
      <c r="O66" s="685">
        <f t="shared" si="4"/>
        <v>0</v>
      </c>
      <c r="P66" s="685">
        <f t="shared" si="5"/>
        <v>0</v>
      </c>
    </row>
    <row r="67" spans="1:16" s="682" customFormat="1" ht="15" hidden="1" outlineLevel="2" x14ac:dyDescent="0.25">
      <c r="A67" s="682" t="s">
        <v>1886</v>
      </c>
      <c r="B67" s="682" t="s">
        <v>2208</v>
      </c>
      <c r="C67" s="682" t="s">
        <v>2209</v>
      </c>
      <c r="D67" s="2207">
        <v>2716295</v>
      </c>
      <c r="E67" s="2207">
        <v>0</v>
      </c>
      <c r="F67" s="2155">
        <v>0</v>
      </c>
      <c r="H67" s="2155">
        <v>0</v>
      </c>
      <c r="I67" s="2155">
        <v>0</v>
      </c>
      <c r="J67" s="685">
        <f>SUM($F67:G67)</f>
        <v>0</v>
      </c>
      <c r="K67" s="682">
        <v>0</v>
      </c>
      <c r="M67" s="2155">
        <v>0</v>
      </c>
      <c r="N67" s="2155">
        <v>0</v>
      </c>
      <c r="O67" s="685">
        <f t="shared" si="4"/>
        <v>0</v>
      </c>
      <c r="P67" s="685">
        <f t="shared" si="5"/>
        <v>0</v>
      </c>
    </row>
    <row r="68" spans="1:16" s="682" customFormat="1" ht="15" hidden="1" outlineLevel="2" x14ac:dyDescent="0.25">
      <c r="A68" s="682" t="s">
        <v>1886</v>
      </c>
      <c r="B68" s="682" t="s">
        <v>2210</v>
      </c>
      <c r="C68" s="682" t="s">
        <v>2211</v>
      </c>
      <c r="D68" s="2207">
        <v>1772345</v>
      </c>
      <c r="E68" s="2207">
        <v>0</v>
      </c>
      <c r="F68" s="2155">
        <v>0</v>
      </c>
      <c r="H68" s="2155">
        <v>0</v>
      </c>
      <c r="I68" s="2155">
        <v>0</v>
      </c>
      <c r="J68" s="685">
        <f>SUM($F68:G68)</f>
        <v>0</v>
      </c>
      <c r="K68" s="682">
        <v>0</v>
      </c>
      <c r="M68" s="2155">
        <v>0</v>
      </c>
      <c r="N68" s="2155">
        <v>0</v>
      </c>
      <c r="O68" s="685">
        <f t="shared" si="4"/>
        <v>0</v>
      </c>
      <c r="P68" s="685">
        <f t="shared" si="5"/>
        <v>0</v>
      </c>
    </row>
    <row r="69" spans="1:16" s="682" customFormat="1" ht="15" hidden="1" outlineLevel="2" x14ac:dyDescent="0.25">
      <c r="A69" s="682" t="s">
        <v>1886</v>
      </c>
      <c r="B69" s="682" t="s">
        <v>1949</v>
      </c>
      <c r="C69" s="682" t="s">
        <v>1950</v>
      </c>
      <c r="D69" s="2207">
        <v>47817413</v>
      </c>
      <c r="E69" s="2207">
        <v>0</v>
      </c>
      <c r="F69" s="2155">
        <v>0</v>
      </c>
      <c r="H69" s="2155">
        <v>0</v>
      </c>
      <c r="I69" s="2155">
        <v>0</v>
      </c>
      <c r="J69" s="685">
        <f>SUM($F69:G69)</f>
        <v>0</v>
      </c>
      <c r="K69" s="682">
        <v>0</v>
      </c>
      <c r="M69" s="2155">
        <v>0</v>
      </c>
      <c r="N69" s="2155">
        <v>0</v>
      </c>
      <c r="O69" s="685">
        <f t="shared" si="4"/>
        <v>0</v>
      </c>
      <c r="P69" s="685">
        <f t="shared" si="5"/>
        <v>0</v>
      </c>
    </row>
    <row r="70" spans="1:16" s="682" customFormat="1" ht="15" hidden="1" outlineLevel="2" x14ac:dyDescent="0.25">
      <c r="A70" s="682" t="s">
        <v>1886</v>
      </c>
      <c r="B70" s="682" t="s">
        <v>1951</v>
      </c>
      <c r="C70" s="682" t="s">
        <v>1952</v>
      </c>
      <c r="D70" s="2207">
        <v>5858832</v>
      </c>
      <c r="E70" s="2207">
        <v>0</v>
      </c>
      <c r="F70" s="2155">
        <v>0</v>
      </c>
      <c r="H70" s="2155">
        <v>0</v>
      </c>
      <c r="I70" s="2155">
        <v>0</v>
      </c>
      <c r="J70" s="685">
        <f>SUM($F70:G70)</f>
        <v>0</v>
      </c>
      <c r="K70" s="682">
        <v>0</v>
      </c>
      <c r="M70" s="2155">
        <v>0</v>
      </c>
      <c r="N70" s="2155">
        <v>0</v>
      </c>
      <c r="O70" s="685">
        <f t="shared" si="4"/>
        <v>0</v>
      </c>
      <c r="P70" s="685">
        <f t="shared" si="5"/>
        <v>0</v>
      </c>
    </row>
    <row r="71" spans="1:16" s="682" customFormat="1" ht="15" hidden="1" outlineLevel="2" x14ac:dyDescent="0.25">
      <c r="A71" s="682" t="s">
        <v>1886</v>
      </c>
      <c r="B71" s="682" t="s">
        <v>1953</v>
      </c>
      <c r="C71" s="682" t="s">
        <v>1954</v>
      </c>
      <c r="D71" s="2207">
        <v>1415321</v>
      </c>
      <c r="E71" s="2207">
        <v>0</v>
      </c>
      <c r="F71" s="2155">
        <v>0</v>
      </c>
      <c r="H71" s="2155">
        <v>0</v>
      </c>
      <c r="I71" s="2155">
        <v>0</v>
      </c>
      <c r="J71" s="685">
        <f>SUM($F71:G71)</f>
        <v>0</v>
      </c>
      <c r="K71" s="682">
        <v>0</v>
      </c>
      <c r="M71" s="2155">
        <v>0</v>
      </c>
      <c r="N71" s="2155">
        <v>0</v>
      </c>
      <c r="O71" s="685">
        <f t="shared" si="4"/>
        <v>0</v>
      </c>
      <c r="P71" s="685">
        <f t="shared" si="5"/>
        <v>0</v>
      </c>
    </row>
    <row r="72" spans="1:16" s="682" customFormat="1" ht="15" hidden="1" outlineLevel="2" x14ac:dyDescent="0.25">
      <c r="A72" s="682" t="s">
        <v>1886</v>
      </c>
      <c r="B72" s="682" t="s">
        <v>2212</v>
      </c>
      <c r="C72" s="682" t="s">
        <v>2213</v>
      </c>
      <c r="D72" s="2207">
        <v>1272134</v>
      </c>
      <c r="E72" s="2207">
        <v>0</v>
      </c>
      <c r="F72" s="2155">
        <v>0</v>
      </c>
      <c r="H72" s="2155">
        <v>0</v>
      </c>
      <c r="I72" s="2155">
        <v>0</v>
      </c>
      <c r="J72" s="685">
        <f>SUM($F72:G72)</f>
        <v>0</v>
      </c>
      <c r="K72" s="682">
        <v>0</v>
      </c>
      <c r="M72" s="2155">
        <v>0</v>
      </c>
      <c r="N72" s="2155">
        <v>0</v>
      </c>
      <c r="O72" s="685">
        <f t="shared" si="4"/>
        <v>0</v>
      </c>
      <c r="P72" s="685">
        <f t="shared" si="5"/>
        <v>0</v>
      </c>
    </row>
    <row r="73" spans="1:16" s="682" customFormat="1" ht="15" hidden="1" outlineLevel="2" x14ac:dyDescent="0.25">
      <c r="A73" s="682" t="s">
        <v>1886</v>
      </c>
      <c r="B73" s="682" t="s">
        <v>2214</v>
      </c>
      <c r="C73" s="682" t="s">
        <v>2215</v>
      </c>
      <c r="D73" s="2207">
        <v>484985</v>
      </c>
      <c r="E73" s="2207">
        <v>0</v>
      </c>
      <c r="F73" s="2155">
        <v>0</v>
      </c>
      <c r="H73" s="2155">
        <v>0</v>
      </c>
      <c r="I73" s="2155">
        <v>0</v>
      </c>
      <c r="J73" s="685">
        <f>SUM($F73:G73)</f>
        <v>0</v>
      </c>
      <c r="K73" s="682">
        <v>0</v>
      </c>
      <c r="M73" s="2155">
        <v>0</v>
      </c>
      <c r="N73" s="2155">
        <v>0</v>
      </c>
      <c r="O73" s="685">
        <f t="shared" si="4"/>
        <v>0</v>
      </c>
      <c r="P73" s="685">
        <f t="shared" si="5"/>
        <v>0</v>
      </c>
    </row>
    <row r="74" spans="1:16" s="682" customFormat="1" ht="15" hidden="1" outlineLevel="2" x14ac:dyDescent="0.25">
      <c r="A74" s="682" t="s">
        <v>1886</v>
      </c>
      <c r="B74" s="682" t="s">
        <v>1955</v>
      </c>
      <c r="C74" s="682" t="s">
        <v>1956</v>
      </c>
      <c r="D74" s="2207">
        <v>8192103</v>
      </c>
      <c r="E74" s="2207">
        <v>0</v>
      </c>
      <c r="F74" s="2155">
        <v>0</v>
      </c>
      <c r="H74" s="2155">
        <v>0</v>
      </c>
      <c r="I74" s="2155">
        <v>0</v>
      </c>
      <c r="J74" s="685">
        <f>SUM($F74:G74)</f>
        <v>0</v>
      </c>
      <c r="K74" s="682">
        <v>0</v>
      </c>
      <c r="M74" s="2155">
        <v>0</v>
      </c>
      <c r="N74" s="2155">
        <v>0</v>
      </c>
      <c r="O74" s="685">
        <f t="shared" si="4"/>
        <v>0</v>
      </c>
      <c r="P74" s="685">
        <f t="shared" si="5"/>
        <v>0</v>
      </c>
    </row>
    <row r="75" spans="1:16" s="682" customFormat="1" ht="15" hidden="1" outlineLevel="2" x14ac:dyDescent="0.25">
      <c r="A75" s="682" t="s">
        <v>1886</v>
      </c>
      <c r="B75" s="682" t="s">
        <v>1957</v>
      </c>
      <c r="C75" s="682" t="s">
        <v>1958</v>
      </c>
      <c r="D75" s="2207">
        <v>1133879</v>
      </c>
      <c r="E75" s="2207">
        <v>0</v>
      </c>
      <c r="F75" s="2155">
        <v>0</v>
      </c>
      <c r="H75" s="2155">
        <v>0</v>
      </c>
      <c r="I75" s="2155">
        <v>0</v>
      </c>
      <c r="J75" s="685">
        <f>SUM($F75:G75)</f>
        <v>0</v>
      </c>
      <c r="K75" s="682">
        <v>0</v>
      </c>
      <c r="M75" s="2155">
        <v>0</v>
      </c>
      <c r="N75" s="2155">
        <v>0</v>
      </c>
      <c r="O75" s="685">
        <f t="shared" si="4"/>
        <v>0</v>
      </c>
      <c r="P75" s="685">
        <f t="shared" si="5"/>
        <v>0</v>
      </c>
    </row>
    <row r="76" spans="1:16" s="682" customFormat="1" ht="15" hidden="1" outlineLevel="2" x14ac:dyDescent="0.25">
      <c r="A76" s="682" t="s">
        <v>1886</v>
      </c>
      <c r="B76" s="682" t="s">
        <v>1959</v>
      </c>
      <c r="C76" s="682" t="s">
        <v>1960</v>
      </c>
      <c r="D76" s="2207">
        <v>8699137</v>
      </c>
      <c r="E76" s="2207">
        <v>0</v>
      </c>
      <c r="F76" s="2155">
        <v>0</v>
      </c>
      <c r="H76" s="2155">
        <v>0</v>
      </c>
      <c r="I76" s="2155">
        <v>0</v>
      </c>
      <c r="J76" s="685">
        <f>SUM($F76:G76)</f>
        <v>0</v>
      </c>
      <c r="K76" s="682">
        <v>0</v>
      </c>
      <c r="M76" s="2155">
        <v>0</v>
      </c>
      <c r="N76" s="2155">
        <v>0</v>
      </c>
      <c r="O76" s="685">
        <f t="shared" si="4"/>
        <v>0</v>
      </c>
      <c r="P76" s="685">
        <f t="shared" si="5"/>
        <v>0</v>
      </c>
    </row>
    <row r="77" spans="1:16" s="682" customFormat="1" ht="15" hidden="1" outlineLevel="2" x14ac:dyDescent="0.25">
      <c r="A77" s="682" t="s">
        <v>1886</v>
      </c>
      <c r="B77" s="682" t="s">
        <v>1961</v>
      </c>
      <c r="C77" s="682" t="s">
        <v>1962</v>
      </c>
      <c r="D77" s="2207">
        <v>1904426</v>
      </c>
      <c r="E77" s="2207">
        <v>0</v>
      </c>
      <c r="F77" s="2155">
        <v>0</v>
      </c>
      <c r="H77" s="2155">
        <v>0</v>
      </c>
      <c r="I77" s="2155">
        <v>0</v>
      </c>
      <c r="J77" s="685">
        <f>SUM($F77:G77)</f>
        <v>0</v>
      </c>
      <c r="K77" s="682">
        <v>0</v>
      </c>
      <c r="M77" s="2155">
        <v>0</v>
      </c>
      <c r="N77" s="2155">
        <v>0</v>
      </c>
      <c r="O77" s="685">
        <f t="shared" si="4"/>
        <v>0</v>
      </c>
      <c r="P77" s="685">
        <f t="shared" si="5"/>
        <v>0</v>
      </c>
    </row>
    <row r="78" spans="1:16" s="682" customFormat="1" ht="15" hidden="1" outlineLevel="2" x14ac:dyDescent="0.25">
      <c r="A78" s="682" t="s">
        <v>1886</v>
      </c>
      <c r="B78" s="682" t="s">
        <v>1963</v>
      </c>
      <c r="C78" s="682" t="s">
        <v>1964</v>
      </c>
      <c r="D78" s="2207">
        <v>2757615</v>
      </c>
      <c r="E78" s="2207">
        <v>0</v>
      </c>
      <c r="F78" s="2155">
        <v>0</v>
      </c>
      <c r="H78" s="2155">
        <v>0</v>
      </c>
      <c r="I78" s="2155">
        <v>0</v>
      </c>
      <c r="J78" s="685">
        <f>SUM($F78:G78)</f>
        <v>0</v>
      </c>
      <c r="K78" s="682">
        <v>0</v>
      </c>
      <c r="M78" s="2155">
        <v>0</v>
      </c>
      <c r="N78" s="2155">
        <v>0</v>
      </c>
      <c r="O78" s="685">
        <f t="shared" si="4"/>
        <v>0</v>
      </c>
      <c r="P78" s="685">
        <f t="shared" si="5"/>
        <v>0</v>
      </c>
    </row>
    <row r="79" spans="1:16" s="682" customFormat="1" ht="15" hidden="1" outlineLevel="2" x14ac:dyDescent="0.25">
      <c r="A79" s="682" t="s">
        <v>1886</v>
      </c>
      <c r="B79" s="682" t="s">
        <v>1965</v>
      </c>
      <c r="C79" s="682" t="s">
        <v>1966</v>
      </c>
      <c r="D79" s="2207">
        <v>6504472</v>
      </c>
      <c r="E79" s="2207">
        <v>0</v>
      </c>
      <c r="F79" s="2155">
        <v>0</v>
      </c>
      <c r="H79" s="2155">
        <v>0</v>
      </c>
      <c r="I79" s="2155">
        <v>0</v>
      </c>
      <c r="J79" s="685">
        <f>SUM($F79:G79)</f>
        <v>0</v>
      </c>
      <c r="K79" s="682">
        <v>0</v>
      </c>
      <c r="M79" s="2155">
        <v>0</v>
      </c>
      <c r="N79" s="2155">
        <v>0</v>
      </c>
      <c r="O79" s="685">
        <f t="shared" si="4"/>
        <v>0</v>
      </c>
      <c r="P79" s="685">
        <f t="shared" si="5"/>
        <v>0</v>
      </c>
    </row>
    <row r="80" spans="1:16" s="682" customFormat="1" ht="15" hidden="1" outlineLevel="2" x14ac:dyDescent="0.25">
      <c r="A80" s="682" t="s">
        <v>1886</v>
      </c>
      <c r="B80" s="682" t="s">
        <v>1967</v>
      </c>
      <c r="C80" s="682" t="s">
        <v>1968</v>
      </c>
      <c r="D80" s="2207">
        <v>619849</v>
      </c>
      <c r="E80" s="2207">
        <v>0</v>
      </c>
      <c r="F80" s="2155">
        <v>0</v>
      </c>
      <c r="H80" s="2155">
        <v>0</v>
      </c>
      <c r="I80" s="2155">
        <v>0</v>
      </c>
      <c r="J80" s="685">
        <f>SUM($F80:G80)</f>
        <v>0</v>
      </c>
      <c r="K80" s="682">
        <v>0</v>
      </c>
      <c r="M80" s="2155">
        <v>0</v>
      </c>
      <c r="N80" s="2155">
        <v>0</v>
      </c>
      <c r="O80" s="685">
        <f t="shared" si="4"/>
        <v>0</v>
      </c>
      <c r="P80" s="685">
        <f t="shared" si="5"/>
        <v>0</v>
      </c>
    </row>
    <row r="81" spans="1:16" s="682" customFormat="1" ht="15" hidden="1" outlineLevel="2" x14ac:dyDescent="0.25">
      <c r="A81" s="682" t="s">
        <v>1886</v>
      </c>
      <c r="B81" s="682" t="s">
        <v>1969</v>
      </c>
      <c r="C81" s="682" t="s">
        <v>1970</v>
      </c>
      <c r="D81" s="2207">
        <v>6004903</v>
      </c>
      <c r="E81" s="2207">
        <v>0</v>
      </c>
      <c r="F81" s="2155">
        <v>0</v>
      </c>
      <c r="H81" s="2155">
        <v>0</v>
      </c>
      <c r="I81" s="2155">
        <v>0</v>
      </c>
      <c r="J81" s="685">
        <f>SUM($F81:G81)</f>
        <v>0</v>
      </c>
      <c r="K81" s="682">
        <v>0</v>
      </c>
      <c r="M81" s="2155">
        <v>0</v>
      </c>
      <c r="N81" s="2155">
        <v>0</v>
      </c>
      <c r="O81" s="685">
        <f t="shared" si="4"/>
        <v>0</v>
      </c>
      <c r="P81" s="685">
        <f t="shared" si="5"/>
        <v>0</v>
      </c>
    </row>
    <row r="82" spans="1:16" s="682" customFormat="1" ht="15" hidden="1" outlineLevel="2" x14ac:dyDescent="0.25">
      <c r="A82" s="682" t="s">
        <v>1886</v>
      </c>
      <c r="B82" s="682" t="s">
        <v>1971</v>
      </c>
      <c r="C82" s="682" t="s">
        <v>1972</v>
      </c>
      <c r="D82" s="2207">
        <v>8621225</v>
      </c>
      <c r="E82" s="2207">
        <v>0</v>
      </c>
      <c r="F82" s="2155">
        <v>0</v>
      </c>
      <c r="H82" s="2155">
        <v>0</v>
      </c>
      <c r="I82" s="2155">
        <v>0</v>
      </c>
      <c r="J82" s="685">
        <f>SUM($F82:G82)</f>
        <v>0</v>
      </c>
      <c r="K82" s="682">
        <v>0</v>
      </c>
      <c r="M82" s="2155">
        <v>0</v>
      </c>
      <c r="N82" s="2155">
        <v>0</v>
      </c>
      <c r="O82" s="685">
        <f t="shared" si="4"/>
        <v>0</v>
      </c>
      <c r="P82" s="685">
        <f t="shared" si="5"/>
        <v>0</v>
      </c>
    </row>
    <row r="83" spans="1:16" s="682" customFormat="1" ht="15" hidden="1" outlineLevel="2" x14ac:dyDescent="0.25">
      <c r="A83" s="682" t="s">
        <v>1886</v>
      </c>
      <c r="B83" s="682" t="s">
        <v>1973</v>
      </c>
      <c r="C83" s="682" t="s">
        <v>1974</v>
      </c>
      <c r="D83" s="2207">
        <v>2800434</v>
      </c>
      <c r="E83" s="2207">
        <v>0</v>
      </c>
      <c r="F83" s="2155">
        <v>0</v>
      </c>
      <c r="H83" s="2155">
        <v>0</v>
      </c>
      <c r="I83" s="2155">
        <v>0</v>
      </c>
      <c r="J83" s="685">
        <f>SUM($F83:G83)</f>
        <v>0</v>
      </c>
      <c r="K83" s="682">
        <v>0</v>
      </c>
      <c r="M83" s="2155">
        <v>0</v>
      </c>
      <c r="N83" s="2155">
        <v>0</v>
      </c>
      <c r="O83" s="685">
        <f t="shared" si="4"/>
        <v>0</v>
      </c>
      <c r="P83" s="685">
        <f t="shared" si="5"/>
        <v>0</v>
      </c>
    </row>
    <row r="84" spans="1:16" s="682" customFormat="1" ht="15" hidden="1" outlineLevel="2" x14ac:dyDescent="0.25">
      <c r="A84" s="682" t="s">
        <v>1886</v>
      </c>
      <c r="B84" s="682" t="s">
        <v>1975</v>
      </c>
      <c r="C84" s="682" t="s">
        <v>1976</v>
      </c>
      <c r="D84" s="2207">
        <v>12324069</v>
      </c>
      <c r="E84" s="2207">
        <v>0</v>
      </c>
      <c r="F84" s="2155">
        <v>0</v>
      </c>
      <c r="H84" s="2155">
        <v>0</v>
      </c>
      <c r="I84" s="2155">
        <v>0</v>
      </c>
      <c r="J84" s="685">
        <f>SUM($F84:G84)</f>
        <v>0</v>
      </c>
      <c r="K84" s="682">
        <v>0</v>
      </c>
      <c r="M84" s="2155">
        <v>0</v>
      </c>
      <c r="N84" s="2155">
        <v>0</v>
      </c>
      <c r="O84" s="685">
        <f t="shared" si="4"/>
        <v>0</v>
      </c>
      <c r="P84" s="685">
        <f t="shared" si="5"/>
        <v>0</v>
      </c>
    </row>
    <row r="85" spans="1:16" s="682" customFormat="1" ht="15" hidden="1" outlineLevel="2" x14ac:dyDescent="0.25">
      <c r="A85" s="682" t="s">
        <v>1886</v>
      </c>
      <c r="B85" s="682" t="s">
        <v>1977</v>
      </c>
      <c r="C85" s="682" t="s">
        <v>1978</v>
      </c>
      <c r="D85" s="2207">
        <v>7394326</v>
      </c>
      <c r="E85" s="2207">
        <v>0</v>
      </c>
      <c r="F85" s="2155">
        <v>0</v>
      </c>
      <c r="H85" s="2155">
        <v>0</v>
      </c>
      <c r="I85" s="2155">
        <v>0</v>
      </c>
      <c r="J85" s="685">
        <f>SUM($F85:G85)</f>
        <v>0</v>
      </c>
      <c r="K85" s="682">
        <v>0</v>
      </c>
      <c r="M85" s="2155">
        <v>0</v>
      </c>
      <c r="N85" s="2155">
        <v>0</v>
      </c>
      <c r="O85" s="685">
        <f t="shared" si="4"/>
        <v>0</v>
      </c>
      <c r="P85" s="685">
        <f t="shared" si="5"/>
        <v>0</v>
      </c>
    </row>
    <row r="86" spans="1:16" s="682" customFormat="1" ht="15" hidden="1" outlineLevel="2" x14ac:dyDescent="0.25">
      <c r="A86" s="682" t="s">
        <v>1886</v>
      </c>
      <c r="B86" s="682" t="s">
        <v>1979</v>
      </c>
      <c r="C86" s="682" t="s">
        <v>1980</v>
      </c>
      <c r="D86" s="2207">
        <v>3957371</v>
      </c>
      <c r="E86" s="2207">
        <v>0</v>
      </c>
      <c r="F86" s="2155">
        <v>0</v>
      </c>
      <c r="H86" s="2155">
        <v>0</v>
      </c>
      <c r="I86" s="2155">
        <v>0</v>
      </c>
      <c r="J86" s="685">
        <f>SUM($F86:G86)</f>
        <v>0</v>
      </c>
      <c r="K86" s="682">
        <v>0</v>
      </c>
      <c r="M86" s="2155">
        <v>0</v>
      </c>
      <c r="N86" s="2155">
        <v>0</v>
      </c>
      <c r="O86" s="685">
        <f t="shared" si="4"/>
        <v>0</v>
      </c>
      <c r="P86" s="685">
        <f t="shared" si="5"/>
        <v>0</v>
      </c>
    </row>
    <row r="87" spans="1:16" s="682" customFormat="1" ht="15" hidden="1" outlineLevel="2" x14ac:dyDescent="0.25">
      <c r="A87" s="682" t="s">
        <v>1886</v>
      </c>
      <c r="B87" s="682" t="s">
        <v>1981</v>
      </c>
      <c r="C87" s="682" t="s">
        <v>1982</v>
      </c>
      <c r="D87" s="2207">
        <v>2945960</v>
      </c>
      <c r="E87" s="2207">
        <v>0</v>
      </c>
      <c r="F87" s="2155">
        <v>0</v>
      </c>
      <c r="H87" s="2155">
        <v>0</v>
      </c>
      <c r="I87" s="2155">
        <v>0</v>
      </c>
      <c r="J87" s="685">
        <f>SUM($F87:G87)</f>
        <v>0</v>
      </c>
      <c r="K87" s="682">
        <v>0</v>
      </c>
      <c r="M87" s="2155">
        <v>0</v>
      </c>
      <c r="N87" s="2155">
        <v>0</v>
      </c>
      <c r="O87" s="685">
        <f t="shared" si="4"/>
        <v>0</v>
      </c>
      <c r="P87" s="685">
        <f t="shared" si="5"/>
        <v>0</v>
      </c>
    </row>
    <row r="88" spans="1:16" s="682" customFormat="1" ht="15" hidden="1" outlineLevel="2" x14ac:dyDescent="0.25">
      <c r="A88" s="682" t="s">
        <v>1886</v>
      </c>
      <c r="B88" s="682" t="s">
        <v>1983</v>
      </c>
      <c r="C88" s="682" t="s">
        <v>1984</v>
      </c>
      <c r="D88" s="2207">
        <v>2143824</v>
      </c>
      <c r="E88" s="2207">
        <v>0</v>
      </c>
      <c r="F88" s="2155">
        <v>0</v>
      </c>
      <c r="H88" s="2155">
        <v>0</v>
      </c>
      <c r="I88" s="2155">
        <v>0</v>
      </c>
      <c r="J88" s="685">
        <f>SUM($F88:G88)</f>
        <v>0</v>
      </c>
      <c r="K88" s="682">
        <v>0</v>
      </c>
      <c r="M88" s="2155">
        <v>0</v>
      </c>
      <c r="N88" s="2155">
        <v>0</v>
      </c>
      <c r="O88" s="685">
        <f t="shared" si="4"/>
        <v>0</v>
      </c>
      <c r="P88" s="685">
        <f t="shared" si="5"/>
        <v>0</v>
      </c>
    </row>
    <row r="89" spans="1:16" s="682" customFormat="1" ht="15" hidden="1" outlineLevel="2" x14ac:dyDescent="0.25">
      <c r="A89" s="682" t="s">
        <v>1886</v>
      </c>
      <c r="B89" s="682" t="s">
        <v>1985</v>
      </c>
      <c r="C89" s="682" t="s">
        <v>1986</v>
      </c>
      <c r="D89" s="2207">
        <v>1415183</v>
      </c>
      <c r="E89" s="2207">
        <v>0</v>
      </c>
      <c r="F89" s="2155">
        <v>0</v>
      </c>
      <c r="H89" s="2155">
        <v>0</v>
      </c>
      <c r="I89" s="2155">
        <v>0</v>
      </c>
      <c r="J89" s="685">
        <f>SUM($F89:G89)</f>
        <v>0</v>
      </c>
      <c r="K89" s="682">
        <v>0</v>
      </c>
      <c r="M89" s="2155">
        <v>0</v>
      </c>
      <c r="N89" s="2155">
        <v>0</v>
      </c>
      <c r="O89" s="685">
        <f t="shared" si="4"/>
        <v>0</v>
      </c>
      <c r="P89" s="685">
        <f t="shared" si="5"/>
        <v>0</v>
      </c>
    </row>
    <row r="90" spans="1:16" s="682" customFormat="1" ht="15" hidden="1" outlineLevel="2" x14ac:dyDescent="0.25">
      <c r="A90" s="682" t="s">
        <v>1886</v>
      </c>
      <c r="B90" s="682" t="s">
        <v>1987</v>
      </c>
      <c r="C90" s="682" t="s">
        <v>1988</v>
      </c>
      <c r="D90" s="2207">
        <v>82939397</v>
      </c>
      <c r="E90" s="2207">
        <v>0</v>
      </c>
      <c r="F90" s="2155">
        <v>0</v>
      </c>
      <c r="H90" s="2155">
        <v>0</v>
      </c>
      <c r="I90" s="2155">
        <v>0</v>
      </c>
      <c r="J90" s="685">
        <f>SUM($F90:G90)</f>
        <v>0</v>
      </c>
      <c r="K90" s="682">
        <v>0</v>
      </c>
      <c r="M90" s="2155">
        <v>0</v>
      </c>
      <c r="N90" s="2155">
        <v>0</v>
      </c>
      <c r="O90" s="685">
        <f t="shared" si="4"/>
        <v>0</v>
      </c>
      <c r="P90" s="685">
        <f t="shared" si="5"/>
        <v>0</v>
      </c>
    </row>
    <row r="91" spans="1:16" s="682" customFormat="1" ht="15" hidden="1" outlineLevel="2" x14ac:dyDescent="0.25">
      <c r="A91" s="682" t="s">
        <v>1886</v>
      </c>
      <c r="B91" s="682" t="s">
        <v>1989</v>
      </c>
      <c r="C91" s="682" t="s">
        <v>1990</v>
      </c>
      <c r="D91" s="2207">
        <v>2207450</v>
      </c>
      <c r="E91" s="2207">
        <v>0</v>
      </c>
      <c r="F91" s="2155">
        <v>0</v>
      </c>
      <c r="H91" s="2155">
        <v>0</v>
      </c>
      <c r="I91" s="2155">
        <v>0</v>
      </c>
      <c r="J91" s="685">
        <f>SUM($F91:G91)</f>
        <v>0</v>
      </c>
      <c r="K91" s="682">
        <v>0</v>
      </c>
      <c r="M91" s="2155">
        <v>0</v>
      </c>
      <c r="N91" s="2155">
        <v>0</v>
      </c>
      <c r="O91" s="685">
        <f t="shared" si="4"/>
        <v>0</v>
      </c>
      <c r="P91" s="685">
        <f t="shared" si="5"/>
        <v>0</v>
      </c>
    </row>
    <row r="92" spans="1:16" s="682" customFormat="1" ht="15" hidden="1" outlineLevel="2" x14ac:dyDescent="0.25">
      <c r="A92" s="682" t="s">
        <v>1886</v>
      </c>
      <c r="B92" s="682" t="s">
        <v>1991</v>
      </c>
      <c r="C92" s="682" t="s">
        <v>1992</v>
      </c>
      <c r="D92" s="2207">
        <v>55904336</v>
      </c>
      <c r="E92" s="2207">
        <v>0</v>
      </c>
      <c r="F92" s="2155">
        <v>0</v>
      </c>
      <c r="H92" s="2155">
        <v>0</v>
      </c>
      <c r="I92" s="2155">
        <v>0</v>
      </c>
      <c r="J92" s="685">
        <f>SUM($F92:G92)</f>
        <v>0</v>
      </c>
      <c r="K92" s="682">
        <v>0</v>
      </c>
      <c r="M92" s="2155">
        <v>0</v>
      </c>
      <c r="N92" s="2155">
        <v>0</v>
      </c>
      <c r="O92" s="685">
        <f t="shared" si="4"/>
        <v>0</v>
      </c>
      <c r="P92" s="685">
        <f t="shared" si="5"/>
        <v>0</v>
      </c>
    </row>
    <row r="93" spans="1:16" s="682" customFormat="1" ht="15" hidden="1" outlineLevel="2" x14ac:dyDescent="0.25">
      <c r="A93" s="682" t="s">
        <v>1886</v>
      </c>
      <c r="B93" s="682" t="s">
        <v>1993</v>
      </c>
      <c r="C93" s="682" t="s">
        <v>1994</v>
      </c>
      <c r="D93" s="2207">
        <v>9927687</v>
      </c>
      <c r="E93" s="2207">
        <v>0</v>
      </c>
      <c r="F93" s="2155">
        <v>0</v>
      </c>
      <c r="H93" s="2155">
        <v>0</v>
      </c>
      <c r="I93" s="2155">
        <v>0</v>
      </c>
      <c r="J93" s="685">
        <f>SUM($F93:G93)</f>
        <v>0</v>
      </c>
      <c r="K93" s="682">
        <v>0</v>
      </c>
      <c r="M93" s="2155">
        <v>0</v>
      </c>
      <c r="N93" s="2155">
        <v>0</v>
      </c>
      <c r="O93" s="685">
        <f t="shared" si="4"/>
        <v>0</v>
      </c>
      <c r="P93" s="685">
        <f t="shared" si="5"/>
        <v>0</v>
      </c>
    </row>
    <row r="94" spans="1:16" s="682" customFormat="1" ht="15" hidden="1" outlineLevel="2" x14ac:dyDescent="0.25">
      <c r="A94" s="682" t="s">
        <v>1886</v>
      </c>
      <c r="B94" s="682" t="s">
        <v>1995</v>
      </c>
      <c r="C94" s="682" t="s">
        <v>1996</v>
      </c>
      <c r="D94" s="2207">
        <v>2486825</v>
      </c>
      <c r="E94" s="2207">
        <v>0</v>
      </c>
      <c r="F94" s="2155">
        <v>0</v>
      </c>
      <c r="H94" s="2155">
        <v>0</v>
      </c>
      <c r="I94" s="2155">
        <v>0</v>
      </c>
      <c r="J94" s="685">
        <f>SUM($F94:G94)</f>
        <v>0</v>
      </c>
      <c r="K94" s="682">
        <v>0</v>
      </c>
      <c r="M94" s="2155">
        <v>0</v>
      </c>
      <c r="N94" s="2155">
        <v>0</v>
      </c>
      <c r="O94" s="685">
        <f t="shared" si="4"/>
        <v>0</v>
      </c>
      <c r="P94" s="685">
        <f t="shared" si="5"/>
        <v>0</v>
      </c>
    </row>
    <row r="95" spans="1:16" s="682" customFormat="1" ht="15" hidden="1" outlineLevel="2" x14ac:dyDescent="0.25">
      <c r="A95" s="682" t="s">
        <v>1886</v>
      </c>
      <c r="B95" s="682" t="s">
        <v>1997</v>
      </c>
      <c r="C95" s="682" t="s">
        <v>1998</v>
      </c>
      <c r="D95" s="2207">
        <v>38732652</v>
      </c>
      <c r="E95" s="2207">
        <v>0</v>
      </c>
      <c r="F95" s="2155">
        <v>0</v>
      </c>
      <c r="H95" s="2155">
        <v>0</v>
      </c>
      <c r="I95" s="2155">
        <v>0</v>
      </c>
      <c r="J95" s="685">
        <f>SUM($F95:G95)</f>
        <v>0</v>
      </c>
      <c r="K95" s="682">
        <v>0</v>
      </c>
      <c r="M95" s="2155">
        <v>0</v>
      </c>
      <c r="N95" s="2155">
        <v>0</v>
      </c>
      <c r="O95" s="685">
        <f t="shared" si="4"/>
        <v>0</v>
      </c>
      <c r="P95" s="685">
        <f t="shared" si="5"/>
        <v>0</v>
      </c>
    </row>
    <row r="96" spans="1:16" s="682" customFormat="1" ht="15" hidden="1" outlineLevel="2" x14ac:dyDescent="0.25">
      <c r="A96" s="682" t="s">
        <v>1886</v>
      </c>
      <c r="B96" s="682" t="s">
        <v>1999</v>
      </c>
      <c r="C96" s="682" t="s">
        <v>2000</v>
      </c>
      <c r="D96" s="2207">
        <v>20428726</v>
      </c>
      <c r="E96" s="2207">
        <v>0</v>
      </c>
      <c r="F96" s="2155">
        <v>0</v>
      </c>
      <c r="H96" s="2155">
        <v>0</v>
      </c>
      <c r="I96" s="2155">
        <v>0</v>
      </c>
      <c r="J96" s="685">
        <f>SUM($F96:G96)</f>
        <v>0</v>
      </c>
      <c r="K96" s="682">
        <v>0</v>
      </c>
      <c r="M96" s="2155">
        <v>0</v>
      </c>
      <c r="N96" s="2155">
        <v>0</v>
      </c>
      <c r="O96" s="685">
        <f t="shared" si="4"/>
        <v>0</v>
      </c>
      <c r="P96" s="685">
        <f t="shared" si="5"/>
        <v>0</v>
      </c>
    </row>
    <row r="97" spans="1:16" s="682" customFormat="1" ht="15" hidden="1" outlineLevel="2" x14ac:dyDescent="0.25">
      <c r="A97" s="682" t="s">
        <v>1886</v>
      </c>
      <c r="B97" s="682" t="s">
        <v>2001</v>
      </c>
      <c r="C97" s="682" t="s">
        <v>2002</v>
      </c>
      <c r="D97" s="2207">
        <v>7774228</v>
      </c>
      <c r="E97" s="2207">
        <v>0</v>
      </c>
      <c r="F97" s="2155">
        <v>0</v>
      </c>
      <c r="H97" s="2155">
        <v>0</v>
      </c>
      <c r="I97" s="2155">
        <v>0</v>
      </c>
      <c r="J97" s="685">
        <f>SUM($F97:G97)</f>
        <v>0</v>
      </c>
      <c r="K97" s="682">
        <v>0</v>
      </c>
      <c r="M97" s="2155">
        <v>0</v>
      </c>
      <c r="N97" s="2155">
        <v>0</v>
      </c>
      <c r="O97" s="685">
        <f t="shared" ref="O97:O112" si="6">SUM(K97:L97)</f>
        <v>0</v>
      </c>
      <c r="P97" s="685">
        <f t="shared" ref="P97:P112" si="7">+J97+O97</f>
        <v>0</v>
      </c>
    </row>
    <row r="98" spans="1:16" s="682" customFormat="1" ht="15" hidden="1" outlineLevel="2" x14ac:dyDescent="0.25">
      <c r="A98" s="682" t="s">
        <v>1886</v>
      </c>
      <c r="B98" s="682" t="s">
        <v>2003</v>
      </c>
      <c r="C98" s="682" t="s">
        <v>2004</v>
      </c>
      <c r="D98" s="2207">
        <v>16123853</v>
      </c>
      <c r="E98" s="2207">
        <v>0</v>
      </c>
      <c r="F98" s="2155">
        <v>0</v>
      </c>
      <c r="H98" s="2155">
        <v>0</v>
      </c>
      <c r="I98" s="2155">
        <v>0</v>
      </c>
      <c r="J98" s="685">
        <f>SUM($F98:G98)</f>
        <v>0</v>
      </c>
      <c r="K98" s="682">
        <v>0</v>
      </c>
      <c r="M98" s="2155">
        <v>0</v>
      </c>
      <c r="N98" s="2155">
        <v>0</v>
      </c>
      <c r="O98" s="685">
        <f t="shared" si="6"/>
        <v>0</v>
      </c>
      <c r="P98" s="685">
        <f t="shared" si="7"/>
        <v>0</v>
      </c>
    </row>
    <row r="99" spans="1:16" s="682" customFormat="1" ht="15" hidden="1" outlineLevel="2" x14ac:dyDescent="0.25">
      <c r="A99" s="682" t="s">
        <v>1886</v>
      </c>
      <c r="B99" s="682" t="s">
        <v>2005</v>
      </c>
      <c r="C99" s="682" t="s">
        <v>2006</v>
      </c>
      <c r="D99" s="2207">
        <v>9351993</v>
      </c>
      <c r="E99" s="2207">
        <v>0</v>
      </c>
      <c r="F99" s="2155">
        <v>0</v>
      </c>
      <c r="H99" s="2155">
        <v>0</v>
      </c>
      <c r="I99" s="2155">
        <v>0</v>
      </c>
      <c r="J99" s="685">
        <f>SUM($F99:G99)</f>
        <v>0</v>
      </c>
      <c r="K99" s="682">
        <v>0</v>
      </c>
      <c r="M99" s="2155">
        <v>0</v>
      </c>
      <c r="N99" s="2155">
        <v>0</v>
      </c>
      <c r="O99" s="685">
        <f t="shared" si="6"/>
        <v>0</v>
      </c>
      <c r="P99" s="685">
        <f t="shared" si="7"/>
        <v>0</v>
      </c>
    </row>
    <row r="100" spans="1:16" s="682" customFormat="1" ht="15" hidden="1" outlineLevel="2" x14ac:dyDescent="0.25">
      <c r="A100" s="682" t="s">
        <v>1886</v>
      </c>
      <c r="B100" s="682" t="s">
        <v>2007</v>
      </c>
      <c r="C100" s="682" t="s">
        <v>2008</v>
      </c>
      <c r="D100" s="2207">
        <v>4035387</v>
      </c>
      <c r="E100" s="2207">
        <v>0</v>
      </c>
      <c r="F100" s="2155">
        <v>0</v>
      </c>
      <c r="H100" s="2155">
        <v>0</v>
      </c>
      <c r="I100" s="2155">
        <v>0</v>
      </c>
      <c r="J100" s="685">
        <f>SUM($F100:G100)</f>
        <v>0</v>
      </c>
      <c r="K100" s="682">
        <v>0</v>
      </c>
      <c r="M100" s="2155">
        <v>0</v>
      </c>
      <c r="N100" s="2155">
        <v>0</v>
      </c>
      <c r="O100" s="685">
        <f t="shared" si="6"/>
        <v>0</v>
      </c>
      <c r="P100" s="685">
        <f t="shared" si="7"/>
        <v>0</v>
      </c>
    </row>
    <row r="101" spans="1:16" s="682" customFormat="1" ht="15" hidden="1" outlineLevel="2" x14ac:dyDescent="0.25">
      <c r="A101" s="682" t="s">
        <v>1886</v>
      </c>
      <c r="B101" s="682" t="s">
        <v>2009</v>
      </c>
      <c r="C101" s="682" t="s">
        <v>2010</v>
      </c>
      <c r="D101" s="2207">
        <v>11384907</v>
      </c>
      <c r="E101" s="2207">
        <v>0</v>
      </c>
      <c r="F101" s="2155">
        <v>0</v>
      </c>
      <c r="H101" s="2155">
        <v>0</v>
      </c>
      <c r="I101" s="2155">
        <v>0</v>
      </c>
      <c r="J101" s="685">
        <f>SUM($F101:G101)</f>
        <v>0</v>
      </c>
      <c r="K101" s="682">
        <v>0</v>
      </c>
      <c r="M101" s="2155">
        <v>0</v>
      </c>
      <c r="N101" s="2155">
        <v>0</v>
      </c>
      <c r="O101" s="685">
        <f t="shared" si="6"/>
        <v>0</v>
      </c>
      <c r="P101" s="685">
        <f t="shared" si="7"/>
        <v>0</v>
      </c>
    </row>
    <row r="102" spans="1:16" s="682" customFormat="1" ht="15" hidden="1" outlineLevel="2" x14ac:dyDescent="0.25">
      <c r="A102" s="682" t="s">
        <v>1886</v>
      </c>
      <c r="B102" s="682" t="s">
        <v>2011</v>
      </c>
      <c r="C102" s="682" t="s">
        <v>2012</v>
      </c>
      <c r="D102" s="2207">
        <v>8868457</v>
      </c>
      <c r="E102" s="2207">
        <v>0</v>
      </c>
      <c r="F102" s="2155">
        <v>0</v>
      </c>
      <c r="H102" s="2155">
        <v>0</v>
      </c>
      <c r="I102" s="2155">
        <v>0</v>
      </c>
      <c r="J102" s="685">
        <f>SUM($F102:G102)</f>
        <v>0</v>
      </c>
      <c r="K102" s="682">
        <v>0</v>
      </c>
      <c r="M102" s="2155">
        <v>0</v>
      </c>
      <c r="N102" s="2155">
        <v>0</v>
      </c>
      <c r="O102" s="685">
        <f t="shared" si="6"/>
        <v>0</v>
      </c>
      <c r="P102" s="685">
        <f t="shared" si="7"/>
        <v>0</v>
      </c>
    </row>
    <row r="103" spans="1:16" s="682" customFormat="1" ht="15" hidden="1" outlineLevel="2" x14ac:dyDescent="0.25">
      <c r="A103" s="682" t="s">
        <v>1886</v>
      </c>
      <c r="B103" s="682" t="s">
        <v>2013</v>
      </c>
      <c r="C103" s="682" t="s">
        <v>2014</v>
      </c>
      <c r="D103" s="2207">
        <v>4338371</v>
      </c>
      <c r="E103" s="2207">
        <v>0</v>
      </c>
      <c r="F103" s="2155">
        <v>0</v>
      </c>
      <c r="H103" s="2155">
        <v>0</v>
      </c>
      <c r="I103" s="2155">
        <v>0</v>
      </c>
      <c r="J103" s="685">
        <f>SUM($F103:G103)</f>
        <v>0</v>
      </c>
      <c r="K103" s="682">
        <v>0</v>
      </c>
      <c r="M103" s="2155">
        <v>0</v>
      </c>
      <c r="N103" s="2155">
        <v>0</v>
      </c>
      <c r="O103" s="685">
        <f t="shared" si="6"/>
        <v>0</v>
      </c>
      <c r="P103" s="685">
        <f t="shared" si="7"/>
        <v>0</v>
      </c>
    </row>
    <row r="104" spans="1:16" s="682" customFormat="1" ht="15" hidden="1" outlineLevel="2" x14ac:dyDescent="0.25">
      <c r="A104" s="682" t="s">
        <v>1886</v>
      </c>
      <c r="B104" s="682" t="s">
        <v>2015</v>
      </c>
      <c r="C104" s="682" t="s">
        <v>2016</v>
      </c>
      <c r="D104" s="2207">
        <v>35638860</v>
      </c>
      <c r="E104" s="2207">
        <v>0</v>
      </c>
      <c r="F104" s="2155">
        <v>0</v>
      </c>
      <c r="H104" s="2155">
        <v>0</v>
      </c>
      <c r="I104" s="2155">
        <v>0</v>
      </c>
      <c r="J104" s="685">
        <f>SUM($F104:G104)</f>
        <v>0</v>
      </c>
      <c r="K104" s="682">
        <v>0</v>
      </c>
      <c r="M104" s="2155">
        <v>0</v>
      </c>
      <c r="N104" s="2155">
        <v>0</v>
      </c>
      <c r="O104" s="685">
        <f t="shared" si="6"/>
        <v>0</v>
      </c>
      <c r="P104" s="685">
        <f t="shared" si="7"/>
        <v>0</v>
      </c>
    </row>
    <row r="105" spans="1:16" s="682" customFormat="1" ht="15" hidden="1" outlineLevel="2" x14ac:dyDescent="0.25">
      <c r="A105" s="682" t="s">
        <v>1886</v>
      </c>
      <c r="B105" s="682" t="s">
        <v>2017</v>
      </c>
      <c r="C105" s="682" t="s">
        <v>2018</v>
      </c>
      <c r="D105" s="2207">
        <v>4051287</v>
      </c>
      <c r="E105" s="2207">
        <v>0</v>
      </c>
      <c r="F105" s="2155">
        <v>0</v>
      </c>
      <c r="H105" s="2155">
        <v>0</v>
      </c>
      <c r="I105" s="2155">
        <v>0</v>
      </c>
      <c r="J105" s="685">
        <f>SUM($F105:G105)</f>
        <v>0</v>
      </c>
      <c r="K105" s="682">
        <v>0</v>
      </c>
      <c r="M105" s="2155">
        <v>0</v>
      </c>
      <c r="N105" s="2155">
        <v>0</v>
      </c>
      <c r="O105" s="685">
        <f t="shared" si="6"/>
        <v>0</v>
      </c>
      <c r="P105" s="685">
        <f t="shared" si="7"/>
        <v>0</v>
      </c>
    </row>
    <row r="106" spans="1:16" s="682" customFormat="1" ht="15" hidden="1" outlineLevel="2" x14ac:dyDescent="0.25">
      <c r="A106" s="682" t="s">
        <v>1886</v>
      </c>
      <c r="B106" s="682" t="s">
        <v>2019</v>
      </c>
      <c r="C106" s="682" t="s">
        <v>2020</v>
      </c>
      <c r="D106" s="2207">
        <v>299218</v>
      </c>
      <c r="E106" s="2207">
        <v>0</v>
      </c>
      <c r="F106" s="2155">
        <v>0</v>
      </c>
      <c r="H106" s="2155">
        <v>0</v>
      </c>
      <c r="I106" s="2155">
        <v>0</v>
      </c>
      <c r="J106" s="685">
        <f>SUM($F106:G106)</f>
        <v>0</v>
      </c>
      <c r="K106" s="682">
        <v>0</v>
      </c>
      <c r="M106" s="2155">
        <v>0</v>
      </c>
      <c r="N106" s="2155">
        <v>0</v>
      </c>
      <c r="O106" s="685">
        <f t="shared" si="6"/>
        <v>0</v>
      </c>
      <c r="P106" s="685">
        <f t="shared" si="7"/>
        <v>0</v>
      </c>
    </row>
    <row r="107" spans="1:16" s="682" customFormat="1" ht="15" hidden="1" outlineLevel="2" x14ac:dyDescent="0.25">
      <c r="A107" s="682" t="s">
        <v>1886</v>
      </c>
      <c r="B107" s="682" t="s">
        <v>2021</v>
      </c>
      <c r="C107" s="682" t="s">
        <v>2022</v>
      </c>
      <c r="D107" s="2207">
        <v>2645105</v>
      </c>
      <c r="E107" s="2207">
        <v>0</v>
      </c>
      <c r="F107" s="2155">
        <v>0</v>
      </c>
      <c r="H107" s="2155">
        <v>0</v>
      </c>
      <c r="I107" s="2155">
        <v>0</v>
      </c>
      <c r="J107" s="685">
        <f>SUM($F107:G107)</f>
        <v>0</v>
      </c>
      <c r="K107" s="682">
        <v>0</v>
      </c>
      <c r="M107" s="2155">
        <v>0</v>
      </c>
      <c r="N107" s="2155">
        <v>0</v>
      </c>
      <c r="O107" s="685">
        <f t="shared" si="6"/>
        <v>0</v>
      </c>
      <c r="P107" s="685">
        <f t="shared" si="7"/>
        <v>0</v>
      </c>
    </row>
    <row r="108" spans="1:16" s="682" customFormat="1" ht="15" hidden="1" outlineLevel="2" x14ac:dyDescent="0.25">
      <c r="A108" s="682" t="s">
        <v>1886</v>
      </c>
      <c r="B108" s="682" t="s">
        <v>2023</v>
      </c>
      <c r="C108" s="682" t="s">
        <v>2024</v>
      </c>
      <c r="D108" s="2207">
        <v>2465526</v>
      </c>
      <c r="E108" s="2207">
        <v>0</v>
      </c>
      <c r="F108" s="2155">
        <v>0</v>
      </c>
      <c r="H108" s="2155">
        <v>0</v>
      </c>
      <c r="I108" s="2155">
        <v>0</v>
      </c>
      <c r="J108" s="685">
        <f>SUM($F108:G108)</f>
        <v>0</v>
      </c>
      <c r="K108" s="682">
        <v>0</v>
      </c>
      <c r="M108" s="2155">
        <v>0</v>
      </c>
      <c r="N108" s="2155">
        <v>0</v>
      </c>
      <c r="O108" s="685">
        <f t="shared" si="6"/>
        <v>0</v>
      </c>
      <c r="P108" s="685">
        <f t="shared" si="7"/>
        <v>0</v>
      </c>
    </row>
    <row r="109" spans="1:16" s="682" customFormat="1" ht="15" hidden="1" outlineLevel="2" x14ac:dyDescent="0.25">
      <c r="A109" s="682" t="s">
        <v>1886</v>
      </c>
      <c r="B109" s="682" t="s">
        <v>2025</v>
      </c>
      <c r="C109" s="682" t="s">
        <v>2026</v>
      </c>
      <c r="D109" s="2207">
        <v>8820450</v>
      </c>
      <c r="E109" s="2207">
        <v>0</v>
      </c>
      <c r="F109" s="2155">
        <v>0</v>
      </c>
      <c r="H109" s="2155">
        <v>0</v>
      </c>
      <c r="I109" s="2155">
        <v>0</v>
      </c>
      <c r="J109" s="685">
        <f>SUM($F109:G109)</f>
        <v>0</v>
      </c>
      <c r="K109" s="682">
        <v>0</v>
      </c>
      <c r="M109" s="2155">
        <v>0</v>
      </c>
      <c r="N109" s="2155">
        <v>0</v>
      </c>
      <c r="O109" s="685">
        <f t="shared" si="6"/>
        <v>0</v>
      </c>
      <c r="P109" s="685">
        <f t="shared" si="7"/>
        <v>0</v>
      </c>
    </row>
    <row r="110" spans="1:16" s="682" customFormat="1" ht="15" hidden="1" outlineLevel="2" x14ac:dyDescent="0.25">
      <c r="A110" s="682" t="s">
        <v>1886</v>
      </c>
      <c r="B110" s="682" t="s">
        <v>2027</v>
      </c>
      <c r="C110" s="682" t="s">
        <v>2028</v>
      </c>
      <c r="D110" s="2207">
        <v>3048730</v>
      </c>
      <c r="E110" s="2207">
        <v>0</v>
      </c>
      <c r="F110" s="2155">
        <v>0</v>
      </c>
      <c r="H110" s="2155">
        <v>0</v>
      </c>
      <c r="I110" s="2155">
        <v>0</v>
      </c>
      <c r="J110" s="685">
        <f>SUM($F110:G110)</f>
        <v>0</v>
      </c>
      <c r="K110" s="682">
        <v>0</v>
      </c>
      <c r="M110" s="2155">
        <v>0</v>
      </c>
      <c r="N110" s="2155">
        <v>0</v>
      </c>
      <c r="O110" s="685">
        <f t="shared" si="6"/>
        <v>0</v>
      </c>
      <c r="P110" s="685">
        <f t="shared" si="7"/>
        <v>0</v>
      </c>
    </row>
    <row r="111" spans="1:16" s="682" customFormat="1" ht="15" hidden="1" outlineLevel="2" x14ac:dyDescent="0.25">
      <c r="A111" s="682" t="s">
        <v>1886</v>
      </c>
      <c r="B111" s="682" t="s">
        <v>2216</v>
      </c>
      <c r="C111" s="682" t="s">
        <v>2217</v>
      </c>
      <c r="D111" s="2207">
        <v>2960416</v>
      </c>
      <c r="E111" s="2207">
        <v>0</v>
      </c>
      <c r="F111" s="2155">
        <v>0</v>
      </c>
      <c r="H111" s="2155">
        <v>0</v>
      </c>
      <c r="I111" s="2155">
        <v>0</v>
      </c>
      <c r="J111" s="685">
        <f>SUM($F111:G111)</f>
        <v>0</v>
      </c>
      <c r="K111" s="682">
        <v>0</v>
      </c>
      <c r="M111" s="2155">
        <v>0</v>
      </c>
      <c r="N111" s="2155">
        <v>0</v>
      </c>
      <c r="O111" s="685">
        <f t="shared" si="6"/>
        <v>0</v>
      </c>
      <c r="P111" s="685">
        <f t="shared" si="7"/>
        <v>0</v>
      </c>
    </row>
    <row r="112" spans="1:16" s="682" customFormat="1" ht="15" hidden="1" outlineLevel="2" x14ac:dyDescent="0.25">
      <c r="A112" s="682" t="s">
        <v>1886</v>
      </c>
      <c r="B112" s="682" t="s">
        <v>2218</v>
      </c>
      <c r="C112" s="682" t="s">
        <v>2219</v>
      </c>
      <c r="D112" s="2207">
        <v>107104</v>
      </c>
      <c r="E112" s="2207">
        <v>0</v>
      </c>
      <c r="F112" s="2155">
        <v>0</v>
      </c>
      <c r="H112" s="2155">
        <v>0</v>
      </c>
      <c r="I112" s="2155">
        <v>0</v>
      </c>
      <c r="J112" s="685">
        <f>SUM($F112:G112)</f>
        <v>0</v>
      </c>
      <c r="K112" s="682">
        <v>0</v>
      </c>
      <c r="M112" s="2155">
        <v>0</v>
      </c>
      <c r="N112" s="2155">
        <v>0</v>
      </c>
      <c r="O112" s="685">
        <f t="shared" si="6"/>
        <v>0</v>
      </c>
      <c r="P112" s="685">
        <f t="shared" si="7"/>
        <v>0</v>
      </c>
    </row>
    <row r="113" spans="1:16" outlineLevel="1" collapsed="1" x14ac:dyDescent="0.2">
      <c r="A113" s="681" t="s">
        <v>2029</v>
      </c>
      <c r="D113" s="2206">
        <f t="shared" ref="D113:I113" si="8">SUBTOTAL(9,D34:D112)</f>
        <v>4341561156</v>
      </c>
      <c r="E113" s="2206">
        <f t="shared" si="8"/>
        <v>4604992481</v>
      </c>
      <c r="F113" s="2206">
        <f t="shared" si="8"/>
        <v>4601409680</v>
      </c>
      <c r="G113" s="681">
        <f t="shared" si="8"/>
        <v>-77922362</v>
      </c>
      <c r="H113" s="2206">
        <f t="shared" si="8"/>
        <v>0</v>
      </c>
      <c r="I113" s="2206">
        <f t="shared" si="8"/>
        <v>0</v>
      </c>
      <c r="J113" s="681">
        <f>SUBTOTAL(9,J34:J112)</f>
        <v>4523487318</v>
      </c>
      <c r="K113" s="681">
        <v>4601409680</v>
      </c>
      <c r="L113" s="681">
        <f>SUBTOTAL(9,L34:L112)</f>
        <v>-44367249</v>
      </c>
      <c r="M113" s="2206">
        <f>SUBTOTAL(9,M34:M112)</f>
        <v>0</v>
      </c>
      <c r="N113" s="2206">
        <f>SUBTOTAL(9,N34:N112)</f>
        <v>0</v>
      </c>
      <c r="O113" s="681">
        <f>SUBTOTAL(9,O34:O112)</f>
        <v>4557042431</v>
      </c>
      <c r="P113" s="681">
        <f>SUBTOTAL(9,P34:P112)</f>
        <v>9080529749</v>
      </c>
    </row>
    <row r="114" spans="1:16" s="682" customFormat="1" ht="15" hidden="1" outlineLevel="2" x14ac:dyDescent="0.25">
      <c r="A114" s="682" t="s">
        <v>2030</v>
      </c>
      <c r="B114" s="682" t="s">
        <v>1889</v>
      </c>
      <c r="C114" s="682" t="s">
        <v>1890</v>
      </c>
      <c r="D114" s="2207">
        <v>0</v>
      </c>
      <c r="E114" s="2207">
        <v>193187746</v>
      </c>
      <c r="F114" s="2155">
        <v>193187746</v>
      </c>
      <c r="G114" s="682">
        <f>'3.1b Allocation Adj. YR1 '!$N$32-F114</f>
        <v>-1074772</v>
      </c>
      <c r="H114" s="2155">
        <v>0</v>
      </c>
      <c r="I114" s="2155">
        <v>8000000</v>
      </c>
      <c r="J114" s="685">
        <f>SUM($F114:I114)</f>
        <v>200112974</v>
      </c>
      <c r="K114" s="2155">
        <v>193187746</v>
      </c>
      <c r="L114" s="682">
        <f>'7.1b Allocation Adj. YR2'!$N$32-K114</f>
        <v>-1074772</v>
      </c>
      <c r="M114" s="2155">
        <v>0</v>
      </c>
      <c r="N114" s="2155">
        <v>9000000</v>
      </c>
      <c r="O114" s="685">
        <f>SUM(K114:N114)</f>
        <v>201112974</v>
      </c>
      <c r="P114" s="685">
        <f t="shared" ref="P114:P131" si="9">+J114+O114</f>
        <v>401225948</v>
      </c>
    </row>
    <row r="115" spans="1:16" s="682" customFormat="1" ht="15" hidden="1" outlineLevel="2" x14ac:dyDescent="0.25">
      <c r="A115" s="682" t="s">
        <v>2030</v>
      </c>
      <c r="B115" s="682" t="s">
        <v>1891</v>
      </c>
      <c r="C115" s="682" t="s">
        <v>1892</v>
      </c>
      <c r="D115" s="2207">
        <v>2582131</v>
      </c>
      <c r="E115" s="2207">
        <v>0</v>
      </c>
      <c r="F115" s="2155">
        <v>0</v>
      </c>
      <c r="H115" s="2155">
        <v>0</v>
      </c>
      <c r="I115" s="2155">
        <v>0</v>
      </c>
      <c r="J115" s="685">
        <f>SUM($F115:G115)</f>
        <v>0</v>
      </c>
      <c r="K115" s="2155">
        <v>0</v>
      </c>
      <c r="M115" s="2155">
        <v>0</v>
      </c>
      <c r="N115" s="2155">
        <v>0</v>
      </c>
      <c r="O115" s="685">
        <f t="shared" ref="O115:O131" si="10">SUM(K115:L115)</f>
        <v>0</v>
      </c>
      <c r="P115" s="685">
        <f t="shared" si="9"/>
        <v>0</v>
      </c>
    </row>
    <row r="116" spans="1:16" s="682" customFormat="1" ht="15" hidden="1" outlineLevel="2" x14ac:dyDescent="0.25">
      <c r="A116" s="682" t="s">
        <v>2030</v>
      </c>
      <c r="B116" s="682" t="s">
        <v>1893</v>
      </c>
      <c r="C116" s="682" t="s">
        <v>1894</v>
      </c>
      <c r="D116" s="2207">
        <v>1651859</v>
      </c>
      <c r="E116" s="2207">
        <v>0</v>
      </c>
      <c r="F116" s="2155">
        <v>0</v>
      </c>
      <c r="H116" s="2155">
        <v>0</v>
      </c>
      <c r="I116" s="2155">
        <v>0</v>
      </c>
      <c r="J116" s="685">
        <f>SUM($F116:G116)</f>
        <v>0</v>
      </c>
      <c r="K116" s="2155">
        <v>0</v>
      </c>
      <c r="M116" s="2155">
        <v>0</v>
      </c>
      <c r="N116" s="2155">
        <v>0</v>
      </c>
      <c r="O116" s="685">
        <f t="shared" si="10"/>
        <v>0</v>
      </c>
      <c r="P116" s="685">
        <f t="shared" si="9"/>
        <v>0</v>
      </c>
    </row>
    <row r="117" spans="1:16" s="682" customFormat="1" ht="15" hidden="1" outlineLevel="2" x14ac:dyDescent="0.25">
      <c r="A117" s="682" t="s">
        <v>2030</v>
      </c>
      <c r="B117" s="682" t="s">
        <v>1895</v>
      </c>
      <c r="C117" s="682" t="s">
        <v>1896</v>
      </c>
      <c r="D117" s="2207">
        <v>140675061</v>
      </c>
      <c r="E117" s="2207">
        <v>0</v>
      </c>
      <c r="F117" s="2155">
        <v>0</v>
      </c>
      <c r="H117" s="2155">
        <v>0</v>
      </c>
      <c r="I117" s="2155">
        <v>0</v>
      </c>
      <c r="J117" s="685">
        <f>SUM($F117:G117)</f>
        <v>0</v>
      </c>
      <c r="K117" s="682">
        <v>0</v>
      </c>
      <c r="M117" s="2155">
        <v>0</v>
      </c>
      <c r="N117" s="2155">
        <v>0</v>
      </c>
      <c r="O117" s="685">
        <f t="shared" si="10"/>
        <v>0</v>
      </c>
      <c r="P117" s="685">
        <f t="shared" si="9"/>
        <v>0</v>
      </c>
    </row>
    <row r="118" spans="1:16" s="682" customFormat="1" ht="15" hidden="1" outlineLevel="2" x14ac:dyDescent="0.25">
      <c r="A118" s="682" t="s">
        <v>2030</v>
      </c>
      <c r="B118" s="682" t="s">
        <v>1897</v>
      </c>
      <c r="C118" s="682" t="s">
        <v>1898</v>
      </c>
      <c r="D118" s="2207">
        <v>3883247</v>
      </c>
      <c r="E118" s="2207">
        <v>0</v>
      </c>
      <c r="F118" s="2155">
        <v>0</v>
      </c>
      <c r="H118" s="2155">
        <v>0</v>
      </c>
      <c r="I118" s="2155">
        <v>0</v>
      </c>
      <c r="J118" s="685">
        <f>SUM($F118:G118)</f>
        <v>0</v>
      </c>
      <c r="K118" s="682">
        <v>0</v>
      </c>
      <c r="M118" s="2155">
        <v>0</v>
      </c>
      <c r="N118" s="2155">
        <v>0</v>
      </c>
      <c r="O118" s="685">
        <f t="shared" si="10"/>
        <v>0</v>
      </c>
      <c r="P118" s="685">
        <f t="shared" si="9"/>
        <v>0</v>
      </c>
    </row>
    <row r="119" spans="1:16" s="682" customFormat="1" ht="15" hidden="1" outlineLevel="2" x14ac:dyDescent="0.25">
      <c r="A119" s="682" t="s">
        <v>2030</v>
      </c>
      <c r="B119" s="682" t="s">
        <v>1899</v>
      </c>
      <c r="C119" s="682" t="s">
        <v>1900</v>
      </c>
      <c r="D119" s="2207">
        <v>4699832</v>
      </c>
      <c r="E119" s="2207">
        <v>0</v>
      </c>
      <c r="F119" s="2155">
        <v>0</v>
      </c>
      <c r="H119" s="2155">
        <v>0</v>
      </c>
      <c r="I119" s="2155">
        <v>0</v>
      </c>
      <c r="J119" s="685">
        <f>SUM($F119:G119)</f>
        <v>0</v>
      </c>
      <c r="K119" s="682">
        <v>0</v>
      </c>
      <c r="M119" s="2155">
        <v>0</v>
      </c>
      <c r="N119" s="2155">
        <v>0</v>
      </c>
      <c r="O119" s="685">
        <f t="shared" si="10"/>
        <v>0</v>
      </c>
      <c r="P119" s="685">
        <f t="shared" si="9"/>
        <v>0</v>
      </c>
    </row>
    <row r="120" spans="1:16" s="682" customFormat="1" ht="15" hidden="1" outlineLevel="2" x14ac:dyDescent="0.25">
      <c r="A120" s="682" t="s">
        <v>2030</v>
      </c>
      <c r="B120" s="682" t="s">
        <v>1901</v>
      </c>
      <c r="C120" s="682" t="s">
        <v>1902</v>
      </c>
      <c r="D120" s="2207">
        <v>327998</v>
      </c>
      <c r="E120" s="2207">
        <v>0</v>
      </c>
      <c r="F120" s="2155">
        <v>0</v>
      </c>
      <c r="H120" s="2155">
        <v>0</v>
      </c>
      <c r="I120" s="2155">
        <v>0</v>
      </c>
      <c r="J120" s="685">
        <f>SUM($F120:G120)</f>
        <v>0</v>
      </c>
      <c r="K120" s="682">
        <v>0</v>
      </c>
      <c r="M120" s="2155">
        <v>0</v>
      </c>
      <c r="N120" s="2155">
        <v>0</v>
      </c>
      <c r="O120" s="685">
        <f t="shared" si="10"/>
        <v>0</v>
      </c>
      <c r="P120" s="685">
        <f t="shared" si="9"/>
        <v>0</v>
      </c>
    </row>
    <row r="121" spans="1:16" s="682" customFormat="1" ht="15" hidden="1" outlineLevel="2" x14ac:dyDescent="0.25">
      <c r="A121" s="682" t="s">
        <v>2030</v>
      </c>
      <c r="B121" s="682" t="s">
        <v>1903</v>
      </c>
      <c r="C121" s="682" t="s">
        <v>1904</v>
      </c>
      <c r="D121" s="2207">
        <v>433529</v>
      </c>
      <c r="E121" s="2207">
        <v>0</v>
      </c>
      <c r="F121" s="2155">
        <v>0</v>
      </c>
      <c r="H121" s="2155">
        <v>0</v>
      </c>
      <c r="I121" s="2155">
        <v>0</v>
      </c>
      <c r="J121" s="685">
        <f>SUM($F121:G121)</f>
        <v>0</v>
      </c>
      <c r="K121" s="682">
        <v>0</v>
      </c>
      <c r="M121" s="2155">
        <v>0</v>
      </c>
      <c r="N121" s="2155">
        <v>0</v>
      </c>
      <c r="O121" s="685">
        <f t="shared" si="10"/>
        <v>0</v>
      </c>
      <c r="P121" s="685">
        <f t="shared" si="9"/>
        <v>0</v>
      </c>
    </row>
    <row r="122" spans="1:16" s="682" customFormat="1" ht="15" hidden="1" outlineLevel="2" x14ac:dyDescent="0.25">
      <c r="A122" s="682" t="s">
        <v>2030</v>
      </c>
      <c r="B122" s="682" t="s">
        <v>1905</v>
      </c>
      <c r="C122" s="682" t="s">
        <v>1906</v>
      </c>
      <c r="D122" s="2207">
        <v>2014575</v>
      </c>
      <c r="E122" s="2207">
        <v>0</v>
      </c>
      <c r="F122" s="2155">
        <v>0</v>
      </c>
      <c r="H122" s="2155">
        <v>0</v>
      </c>
      <c r="I122" s="2155">
        <v>0</v>
      </c>
      <c r="J122" s="685">
        <f>SUM($F122:G122)</f>
        <v>0</v>
      </c>
      <c r="K122" s="682">
        <v>0</v>
      </c>
      <c r="M122" s="2155">
        <v>0</v>
      </c>
      <c r="N122" s="2155">
        <v>0</v>
      </c>
      <c r="O122" s="685">
        <f t="shared" si="10"/>
        <v>0</v>
      </c>
      <c r="P122" s="685">
        <f t="shared" si="9"/>
        <v>0</v>
      </c>
    </row>
    <row r="123" spans="1:16" s="682" customFormat="1" ht="15" hidden="1" outlineLevel="2" x14ac:dyDescent="0.25">
      <c r="A123" s="682" t="s">
        <v>2030</v>
      </c>
      <c r="B123" s="682" t="s">
        <v>1907</v>
      </c>
      <c r="C123" s="682" t="s">
        <v>1908</v>
      </c>
      <c r="D123" s="2207">
        <v>413257</v>
      </c>
      <c r="E123" s="2207">
        <v>0</v>
      </c>
      <c r="F123" s="2155">
        <v>0</v>
      </c>
      <c r="H123" s="2155">
        <v>0</v>
      </c>
      <c r="I123" s="2155">
        <v>0</v>
      </c>
      <c r="J123" s="685">
        <f>SUM($F123:G123)</f>
        <v>0</v>
      </c>
      <c r="K123" s="682">
        <v>0</v>
      </c>
      <c r="M123" s="2155">
        <v>0</v>
      </c>
      <c r="N123" s="2155">
        <v>0</v>
      </c>
      <c r="O123" s="685">
        <f t="shared" si="10"/>
        <v>0</v>
      </c>
      <c r="P123" s="685">
        <f t="shared" si="9"/>
        <v>0</v>
      </c>
    </row>
    <row r="124" spans="1:16" s="682" customFormat="1" ht="15" hidden="1" outlineLevel="2" x14ac:dyDescent="0.25">
      <c r="A124" s="682" t="s">
        <v>2030</v>
      </c>
      <c r="B124" s="682" t="s">
        <v>1909</v>
      </c>
      <c r="C124" s="682" t="s">
        <v>1910</v>
      </c>
      <c r="D124" s="2207">
        <v>621973</v>
      </c>
      <c r="E124" s="2207">
        <v>0</v>
      </c>
      <c r="F124" s="2155">
        <v>0</v>
      </c>
      <c r="H124" s="2155">
        <v>0</v>
      </c>
      <c r="I124" s="2155">
        <v>0</v>
      </c>
      <c r="J124" s="685">
        <f>SUM($F124:G124)</f>
        <v>0</v>
      </c>
      <c r="K124" s="682">
        <v>0</v>
      </c>
      <c r="M124" s="2155">
        <v>0</v>
      </c>
      <c r="N124" s="2155">
        <v>0</v>
      </c>
      <c r="O124" s="685">
        <f t="shared" si="10"/>
        <v>0</v>
      </c>
      <c r="P124" s="685">
        <f t="shared" si="9"/>
        <v>0</v>
      </c>
    </row>
    <row r="125" spans="1:16" s="682" customFormat="1" ht="15" hidden="1" outlineLevel="2" x14ac:dyDescent="0.25">
      <c r="A125" s="682" t="s">
        <v>2030</v>
      </c>
      <c r="B125" s="682" t="s">
        <v>1911</v>
      </c>
      <c r="C125" s="682" t="s">
        <v>1912</v>
      </c>
      <c r="D125" s="2207">
        <v>5007439</v>
      </c>
      <c r="E125" s="2207">
        <v>0</v>
      </c>
      <c r="F125" s="2155">
        <v>0</v>
      </c>
      <c r="H125" s="2155">
        <v>0</v>
      </c>
      <c r="I125" s="2155">
        <v>0</v>
      </c>
      <c r="J125" s="685">
        <f>SUM($F125:G125)</f>
        <v>0</v>
      </c>
      <c r="K125" s="682">
        <v>0</v>
      </c>
      <c r="M125" s="2155">
        <v>0</v>
      </c>
      <c r="N125" s="2155">
        <v>0</v>
      </c>
      <c r="O125" s="685">
        <f t="shared" si="10"/>
        <v>0</v>
      </c>
      <c r="P125" s="685">
        <f t="shared" si="9"/>
        <v>0</v>
      </c>
    </row>
    <row r="126" spans="1:16" s="682" customFormat="1" ht="15" hidden="1" outlineLevel="2" x14ac:dyDescent="0.25">
      <c r="A126" s="682" t="s">
        <v>2030</v>
      </c>
      <c r="B126" s="682" t="s">
        <v>1913</v>
      </c>
      <c r="C126" s="682" t="s">
        <v>1914</v>
      </c>
      <c r="D126" s="2207">
        <v>315517</v>
      </c>
      <c r="E126" s="2207">
        <v>0</v>
      </c>
      <c r="F126" s="2155">
        <v>0</v>
      </c>
      <c r="H126" s="2155">
        <v>0</v>
      </c>
      <c r="I126" s="2155">
        <v>0</v>
      </c>
      <c r="J126" s="685">
        <f>SUM($F126:G126)</f>
        <v>0</v>
      </c>
      <c r="K126" s="682">
        <v>0</v>
      </c>
      <c r="M126" s="2155">
        <v>0</v>
      </c>
      <c r="N126" s="2155">
        <v>0</v>
      </c>
      <c r="O126" s="685">
        <f t="shared" si="10"/>
        <v>0</v>
      </c>
      <c r="P126" s="685">
        <f t="shared" si="9"/>
        <v>0</v>
      </c>
    </row>
    <row r="127" spans="1:16" s="682" customFormat="1" ht="15" hidden="1" outlineLevel="2" x14ac:dyDescent="0.25">
      <c r="A127" s="682" t="s">
        <v>2030</v>
      </c>
      <c r="B127" s="682" t="s">
        <v>1915</v>
      </c>
      <c r="C127" s="682" t="s">
        <v>1916</v>
      </c>
      <c r="D127" s="2207">
        <v>4261136</v>
      </c>
      <c r="E127" s="2207">
        <v>0</v>
      </c>
      <c r="F127" s="2155">
        <v>0</v>
      </c>
      <c r="H127" s="2155">
        <v>0</v>
      </c>
      <c r="I127" s="2155">
        <v>0</v>
      </c>
      <c r="J127" s="685">
        <f>SUM($F127:G127)</f>
        <v>0</v>
      </c>
      <c r="K127" s="682">
        <v>0</v>
      </c>
      <c r="M127" s="2155">
        <v>0</v>
      </c>
      <c r="N127" s="2155">
        <v>0</v>
      </c>
      <c r="O127" s="685">
        <f t="shared" si="10"/>
        <v>0</v>
      </c>
      <c r="P127" s="685">
        <f t="shared" si="9"/>
        <v>0</v>
      </c>
    </row>
    <row r="128" spans="1:16" s="682" customFormat="1" ht="15" hidden="1" outlineLevel="2" x14ac:dyDescent="0.25">
      <c r="A128" s="682" t="s">
        <v>2030</v>
      </c>
      <c r="B128" s="682" t="s">
        <v>1917</v>
      </c>
      <c r="C128" s="682" t="s">
        <v>1918</v>
      </c>
      <c r="D128" s="2207">
        <v>799076</v>
      </c>
      <c r="E128" s="2207">
        <v>0</v>
      </c>
      <c r="F128" s="2155">
        <v>0</v>
      </c>
      <c r="H128" s="2155">
        <v>0</v>
      </c>
      <c r="I128" s="2155">
        <v>0</v>
      </c>
      <c r="J128" s="685">
        <f>SUM($F128:G128)</f>
        <v>0</v>
      </c>
      <c r="K128" s="682">
        <v>0</v>
      </c>
      <c r="M128" s="2155">
        <v>0</v>
      </c>
      <c r="N128" s="2155">
        <v>0</v>
      </c>
      <c r="O128" s="685">
        <f t="shared" si="10"/>
        <v>0</v>
      </c>
      <c r="P128" s="685">
        <f t="shared" si="9"/>
        <v>0</v>
      </c>
    </row>
    <row r="129" spans="1:16" s="682" customFormat="1" ht="15" hidden="1" outlineLevel="2" x14ac:dyDescent="0.25">
      <c r="A129" s="682" t="s">
        <v>2030</v>
      </c>
      <c r="B129" s="682" t="s">
        <v>1919</v>
      </c>
      <c r="C129" s="682" t="s">
        <v>1920</v>
      </c>
      <c r="D129" s="2207">
        <v>546455</v>
      </c>
      <c r="E129" s="2207">
        <v>0</v>
      </c>
      <c r="F129" s="2155">
        <v>0</v>
      </c>
      <c r="H129" s="2155">
        <v>0</v>
      </c>
      <c r="I129" s="2155">
        <v>0</v>
      </c>
      <c r="J129" s="685">
        <f>SUM($F129:G129)</f>
        <v>0</v>
      </c>
      <c r="K129" s="682">
        <v>0</v>
      </c>
      <c r="M129" s="2155">
        <v>0</v>
      </c>
      <c r="N129" s="2155">
        <v>0</v>
      </c>
      <c r="O129" s="685">
        <f t="shared" si="10"/>
        <v>0</v>
      </c>
      <c r="P129" s="685">
        <f t="shared" si="9"/>
        <v>0</v>
      </c>
    </row>
    <row r="130" spans="1:16" s="682" customFormat="1" ht="15" hidden="1" outlineLevel="2" x14ac:dyDescent="0.25">
      <c r="A130" s="682" t="s">
        <v>2030</v>
      </c>
      <c r="B130" s="682" t="s">
        <v>1921</v>
      </c>
      <c r="C130" s="682" t="s">
        <v>1922</v>
      </c>
      <c r="D130" s="2207">
        <v>23700907</v>
      </c>
      <c r="E130" s="2207">
        <v>0</v>
      </c>
      <c r="F130" s="2155">
        <v>0</v>
      </c>
      <c r="H130" s="2155">
        <v>0</v>
      </c>
      <c r="I130" s="2155">
        <v>0</v>
      </c>
      <c r="J130" s="685">
        <f>SUM($F130:G130)</f>
        <v>0</v>
      </c>
      <c r="K130" s="682">
        <v>0</v>
      </c>
      <c r="M130" s="2155">
        <v>0</v>
      </c>
      <c r="N130" s="2155">
        <v>0</v>
      </c>
      <c r="O130" s="685">
        <f t="shared" si="10"/>
        <v>0</v>
      </c>
      <c r="P130" s="685">
        <f t="shared" si="9"/>
        <v>0</v>
      </c>
    </row>
    <row r="131" spans="1:16" s="682" customFormat="1" ht="15" hidden="1" outlineLevel="2" x14ac:dyDescent="0.25">
      <c r="A131" s="682" t="s">
        <v>2030</v>
      </c>
      <c r="B131" s="682" t="s">
        <v>1923</v>
      </c>
      <c r="C131" s="682" t="s">
        <v>1924</v>
      </c>
      <c r="D131" s="2207">
        <v>1216700</v>
      </c>
      <c r="E131" s="2207">
        <v>0</v>
      </c>
      <c r="F131" s="2155">
        <v>0</v>
      </c>
      <c r="H131" s="2155">
        <v>0</v>
      </c>
      <c r="I131" s="2155">
        <v>0</v>
      </c>
      <c r="J131" s="685">
        <f>SUM($F131:G131)</f>
        <v>0</v>
      </c>
      <c r="K131" s="682">
        <v>0</v>
      </c>
      <c r="M131" s="2155">
        <v>0</v>
      </c>
      <c r="N131" s="2155">
        <v>0</v>
      </c>
      <c r="O131" s="685">
        <f t="shared" si="10"/>
        <v>0</v>
      </c>
      <c r="P131" s="685">
        <f t="shared" si="9"/>
        <v>0</v>
      </c>
    </row>
    <row r="132" spans="1:16" outlineLevel="1" collapsed="1" x14ac:dyDescent="0.2">
      <c r="A132" s="681" t="s">
        <v>2031</v>
      </c>
      <c r="D132" s="2206">
        <f>SUBTOTAL(9,D114:D131)</f>
        <v>193150692</v>
      </c>
      <c r="E132" s="2206">
        <f>SUBTOTAL(9,E114:E131)</f>
        <v>193187746</v>
      </c>
      <c r="F132" s="2206">
        <f>SUBTOTAL(9,F114:F131)</f>
        <v>193187746</v>
      </c>
      <c r="G132" s="681">
        <f t="shared" ref="G132:P132" si="11">SUBTOTAL(9,G114:G131)</f>
        <v>-1074772</v>
      </c>
      <c r="H132" s="2206">
        <f>SUBTOTAL(9,H114:H131)</f>
        <v>0</v>
      </c>
      <c r="I132" s="2206">
        <f>SUBTOTAL(9,I114:I131)</f>
        <v>8000000</v>
      </c>
      <c r="J132" s="681">
        <f t="shared" si="11"/>
        <v>200112974</v>
      </c>
      <c r="K132" s="681">
        <v>193187746</v>
      </c>
      <c r="L132" s="681">
        <f t="shared" si="11"/>
        <v>-1074772</v>
      </c>
      <c r="M132" s="2206">
        <f>SUBTOTAL(9,M114:M131)</f>
        <v>0</v>
      </c>
      <c r="N132" s="2206">
        <f>SUBTOTAL(9,N114:N131)</f>
        <v>9000000</v>
      </c>
      <c r="O132" s="681">
        <f t="shared" si="11"/>
        <v>201112974</v>
      </c>
      <c r="P132" s="681">
        <f t="shared" si="11"/>
        <v>401225948</v>
      </c>
    </row>
    <row r="133" spans="1:16" s="682" customFormat="1" ht="15" hidden="1" outlineLevel="2" x14ac:dyDescent="0.25">
      <c r="A133" s="682" t="s">
        <v>2032</v>
      </c>
      <c r="B133" s="682" t="s">
        <v>1889</v>
      </c>
      <c r="C133" s="682" t="s">
        <v>1890</v>
      </c>
      <c r="D133" s="2207">
        <v>0</v>
      </c>
      <c r="E133" s="2207">
        <v>1620030</v>
      </c>
      <c r="F133" s="2155">
        <v>1620030</v>
      </c>
      <c r="G133" s="682">
        <f>'3.1b Allocation Adj. YR1 '!$P$32-F133</f>
        <v>-120326</v>
      </c>
      <c r="H133" s="2155">
        <v>0</v>
      </c>
      <c r="I133" s="2155">
        <v>0</v>
      </c>
      <c r="J133" s="685">
        <f>SUM($F133:G133)</f>
        <v>1499704</v>
      </c>
      <c r="K133" s="2155">
        <v>1620030</v>
      </c>
      <c r="L133" s="682">
        <f>'7.1b Allocation Adj. YR2'!$P$32-K133</f>
        <v>-120326</v>
      </c>
      <c r="M133" s="2155">
        <v>0</v>
      </c>
      <c r="N133" s="2155">
        <v>0</v>
      </c>
      <c r="O133" s="685">
        <f>SUM(K133:L133)</f>
        <v>1499704</v>
      </c>
      <c r="P133" s="685">
        <f t="shared" ref="P133:P145" si="12">+J133+O133</f>
        <v>2999408</v>
      </c>
    </row>
    <row r="134" spans="1:16" s="682" customFormat="1" ht="15" hidden="1" outlineLevel="2" x14ac:dyDescent="0.25">
      <c r="A134" s="682" t="s">
        <v>2032</v>
      </c>
      <c r="B134" s="682" t="s">
        <v>1891</v>
      </c>
      <c r="C134" s="682" t="s">
        <v>1892</v>
      </c>
      <c r="D134" s="2207">
        <v>416102</v>
      </c>
      <c r="E134" s="2207">
        <v>0</v>
      </c>
      <c r="F134" s="2155">
        <v>0</v>
      </c>
      <c r="H134" s="2155">
        <v>0</v>
      </c>
      <c r="I134" s="2155">
        <v>0</v>
      </c>
      <c r="J134" s="685">
        <f>SUM($F134:G134)</f>
        <v>0</v>
      </c>
      <c r="K134" s="2155">
        <v>0</v>
      </c>
      <c r="M134" s="2155">
        <v>0</v>
      </c>
      <c r="N134" s="2155">
        <v>0</v>
      </c>
      <c r="O134" s="685">
        <f t="shared" ref="O134:O145" si="13">SUM(K134:L134)</f>
        <v>0</v>
      </c>
      <c r="P134" s="685">
        <f t="shared" si="12"/>
        <v>0</v>
      </c>
    </row>
    <row r="135" spans="1:16" s="682" customFormat="1" ht="15" hidden="1" outlineLevel="2" x14ac:dyDescent="0.25">
      <c r="A135" s="682" t="s">
        <v>2032</v>
      </c>
      <c r="B135" s="682" t="s">
        <v>1893</v>
      </c>
      <c r="C135" s="682" t="s">
        <v>1894</v>
      </c>
      <c r="D135" s="2207">
        <v>12479</v>
      </c>
      <c r="E135" s="2207">
        <v>0</v>
      </c>
      <c r="F135" s="2155">
        <v>0</v>
      </c>
      <c r="H135" s="2155">
        <v>0</v>
      </c>
      <c r="I135" s="2155">
        <v>0</v>
      </c>
      <c r="J135" s="685">
        <f>SUM($F135:G135)</f>
        <v>0</v>
      </c>
      <c r="K135" s="2155">
        <v>0</v>
      </c>
      <c r="M135" s="2155">
        <v>0</v>
      </c>
      <c r="N135" s="2155">
        <v>0</v>
      </c>
      <c r="O135" s="685">
        <f t="shared" si="13"/>
        <v>0</v>
      </c>
      <c r="P135" s="685">
        <f t="shared" si="12"/>
        <v>0</v>
      </c>
    </row>
    <row r="136" spans="1:16" s="682" customFormat="1" ht="15" hidden="1" outlineLevel="2" x14ac:dyDescent="0.25">
      <c r="A136" s="682" t="s">
        <v>2032</v>
      </c>
      <c r="B136" s="682" t="s">
        <v>1899</v>
      </c>
      <c r="C136" s="682" t="s">
        <v>1900</v>
      </c>
      <c r="D136" s="2207">
        <v>383534</v>
      </c>
      <c r="E136" s="2207">
        <v>0</v>
      </c>
      <c r="F136" s="2155">
        <v>0</v>
      </c>
      <c r="H136" s="2155">
        <v>0</v>
      </c>
      <c r="I136" s="2155">
        <v>0</v>
      </c>
      <c r="J136" s="685">
        <f>SUM($F136:G136)</f>
        <v>0</v>
      </c>
      <c r="K136" s="682">
        <v>0</v>
      </c>
      <c r="M136" s="2155">
        <v>0</v>
      </c>
      <c r="N136" s="2155">
        <v>0</v>
      </c>
      <c r="O136" s="685">
        <f t="shared" si="13"/>
        <v>0</v>
      </c>
      <c r="P136" s="685">
        <f t="shared" si="12"/>
        <v>0</v>
      </c>
    </row>
    <row r="137" spans="1:16" s="682" customFormat="1" ht="15" hidden="1" outlineLevel="2" x14ac:dyDescent="0.25">
      <c r="A137" s="682" t="s">
        <v>2032</v>
      </c>
      <c r="B137" s="682" t="s">
        <v>1901</v>
      </c>
      <c r="C137" s="682" t="s">
        <v>1902</v>
      </c>
      <c r="D137" s="2207">
        <v>49201</v>
      </c>
      <c r="E137" s="2207">
        <v>0</v>
      </c>
      <c r="F137" s="2155">
        <v>0</v>
      </c>
      <c r="H137" s="2155">
        <v>0</v>
      </c>
      <c r="I137" s="2155">
        <v>0</v>
      </c>
      <c r="J137" s="685">
        <f>SUM($F137:G137)</f>
        <v>0</v>
      </c>
      <c r="K137" s="682">
        <v>0</v>
      </c>
      <c r="M137" s="2155">
        <v>0</v>
      </c>
      <c r="N137" s="2155">
        <v>0</v>
      </c>
      <c r="O137" s="685">
        <f t="shared" si="13"/>
        <v>0</v>
      </c>
      <c r="P137" s="685">
        <f t="shared" si="12"/>
        <v>0</v>
      </c>
    </row>
    <row r="138" spans="1:16" s="682" customFormat="1" ht="15" hidden="1" outlineLevel="2" x14ac:dyDescent="0.25">
      <c r="A138" s="682" t="s">
        <v>2032</v>
      </c>
      <c r="B138" s="682" t="s">
        <v>1903</v>
      </c>
      <c r="C138" s="682" t="s">
        <v>1904</v>
      </c>
      <c r="D138" s="2207">
        <v>398552</v>
      </c>
      <c r="E138" s="2207">
        <v>0</v>
      </c>
      <c r="F138" s="2155">
        <v>0</v>
      </c>
      <c r="H138" s="2155">
        <v>0</v>
      </c>
      <c r="I138" s="2155">
        <v>0</v>
      </c>
      <c r="J138" s="685">
        <f>SUM($F138:G138)</f>
        <v>0</v>
      </c>
      <c r="K138" s="682">
        <v>0</v>
      </c>
      <c r="M138" s="2155">
        <v>0</v>
      </c>
      <c r="N138" s="2155">
        <v>0</v>
      </c>
      <c r="O138" s="685">
        <f t="shared" si="13"/>
        <v>0</v>
      </c>
      <c r="P138" s="685">
        <f t="shared" si="12"/>
        <v>0</v>
      </c>
    </row>
    <row r="139" spans="1:16" s="682" customFormat="1" ht="15" hidden="1" outlineLevel="2" x14ac:dyDescent="0.25">
      <c r="A139" s="682" t="s">
        <v>2032</v>
      </c>
      <c r="B139" s="682" t="s">
        <v>1905</v>
      </c>
      <c r="C139" s="682" t="s">
        <v>1906</v>
      </c>
      <c r="D139" s="2207">
        <v>19058</v>
      </c>
      <c r="E139" s="2207">
        <v>0</v>
      </c>
      <c r="F139" s="2155">
        <v>0</v>
      </c>
      <c r="H139" s="2155">
        <v>0</v>
      </c>
      <c r="I139" s="2155">
        <v>0</v>
      </c>
      <c r="J139" s="685">
        <f>SUM($F139:G139)</f>
        <v>0</v>
      </c>
      <c r="K139" s="682">
        <v>0</v>
      </c>
      <c r="M139" s="2155">
        <v>0</v>
      </c>
      <c r="N139" s="2155">
        <v>0</v>
      </c>
      <c r="O139" s="685">
        <f t="shared" si="13"/>
        <v>0</v>
      </c>
      <c r="P139" s="685">
        <f t="shared" si="12"/>
        <v>0</v>
      </c>
    </row>
    <row r="140" spans="1:16" s="682" customFormat="1" ht="15" hidden="1" outlineLevel="2" x14ac:dyDescent="0.25">
      <c r="A140" s="682" t="s">
        <v>2032</v>
      </c>
      <c r="B140" s="682" t="s">
        <v>1907</v>
      </c>
      <c r="C140" s="682" t="s">
        <v>1908</v>
      </c>
      <c r="D140" s="2207">
        <v>24958</v>
      </c>
      <c r="E140" s="2207">
        <v>0</v>
      </c>
      <c r="F140" s="2155">
        <v>0</v>
      </c>
      <c r="H140" s="2155">
        <v>0</v>
      </c>
      <c r="I140" s="2155">
        <v>0</v>
      </c>
      <c r="J140" s="685">
        <f>SUM($F140:G140)</f>
        <v>0</v>
      </c>
      <c r="K140" s="682">
        <v>0</v>
      </c>
      <c r="M140" s="2155">
        <v>0</v>
      </c>
      <c r="N140" s="2155">
        <v>0</v>
      </c>
      <c r="O140" s="685">
        <f t="shared" si="13"/>
        <v>0</v>
      </c>
      <c r="P140" s="685">
        <f t="shared" si="12"/>
        <v>0</v>
      </c>
    </row>
    <row r="141" spans="1:16" s="682" customFormat="1" ht="15" hidden="1" outlineLevel="2" x14ac:dyDescent="0.25">
      <c r="A141" s="682" t="s">
        <v>2032</v>
      </c>
      <c r="B141" s="682" t="s">
        <v>1909</v>
      </c>
      <c r="C141" s="682" t="s">
        <v>1910</v>
      </c>
      <c r="D141" s="2207">
        <v>60218</v>
      </c>
      <c r="E141" s="2207">
        <v>0</v>
      </c>
      <c r="F141" s="2155">
        <v>0</v>
      </c>
      <c r="H141" s="2155">
        <v>0</v>
      </c>
      <c r="I141" s="2155">
        <v>0</v>
      </c>
      <c r="J141" s="685">
        <f>SUM($F141:G141)</f>
        <v>0</v>
      </c>
      <c r="K141" s="682">
        <v>0</v>
      </c>
      <c r="M141" s="2155">
        <v>0</v>
      </c>
      <c r="N141" s="2155">
        <v>0</v>
      </c>
      <c r="O141" s="685">
        <f t="shared" si="13"/>
        <v>0</v>
      </c>
      <c r="P141" s="685">
        <f t="shared" si="12"/>
        <v>0</v>
      </c>
    </row>
    <row r="142" spans="1:16" s="682" customFormat="1" ht="15" hidden="1" outlineLevel="2" x14ac:dyDescent="0.25">
      <c r="A142" s="682" t="s">
        <v>2032</v>
      </c>
      <c r="B142" s="682" t="s">
        <v>1913</v>
      </c>
      <c r="C142" s="682" t="s">
        <v>1914</v>
      </c>
      <c r="D142" s="2207">
        <v>158758</v>
      </c>
      <c r="E142" s="2207">
        <v>0</v>
      </c>
      <c r="F142" s="2155">
        <v>0</v>
      </c>
      <c r="H142" s="2155">
        <v>0</v>
      </c>
      <c r="I142" s="2155">
        <v>0</v>
      </c>
      <c r="J142" s="685">
        <f>SUM($F142:G142)</f>
        <v>0</v>
      </c>
      <c r="K142" s="682">
        <v>0</v>
      </c>
      <c r="M142" s="2155">
        <v>0</v>
      </c>
      <c r="N142" s="2155">
        <v>0</v>
      </c>
      <c r="O142" s="685">
        <f t="shared" si="13"/>
        <v>0</v>
      </c>
      <c r="P142" s="685">
        <f t="shared" si="12"/>
        <v>0</v>
      </c>
    </row>
    <row r="143" spans="1:16" s="682" customFormat="1" ht="15" hidden="1" outlineLevel="2" x14ac:dyDescent="0.25">
      <c r="A143" s="682" t="s">
        <v>2032</v>
      </c>
      <c r="B143" s="682" t="s">
        <v>1917</v>
      </c>
      <c r="C143" s="682" t="s">
        <v>1918</v>
      </c>
      <c r="D143" s="2207">
        <v>25182</v>
      </c>
      <c r="E143" s="2207">
        <v>0</v>
      </c>
      <c r="F143" s="2155">
        <v>0</v>
      </c>
      <c r="H143" s="2155">
        <v>0</v>
      </c>
      <c r="I143" s="2155">
        <v>0</v>
      </c>
      <c r="J143" s="685">
        <f>SUM($F143:G143)</f>
        <v>0</v>
      </c>
      <c r="K143" s="682">
        <v>0</v>
      </c>
      <c r="M143" s="2155">
        <v>0</v>
      </c>
      <c r="N143" s="2155">
        <v>0</v>
      </c>
      <c r="O143" s="685">
        <f t="shared" si="13"/>
        <v>0</v>
      </c>
      <c r="P143" s="685">
        <f t="shared" si="12"/>
        <v>0</v>
      </c>
    </row>
    <row r="144" spans="1:16" s="682" customFormat="1" ht="15" hidden="1" outlineLevel="2" x14ac:dyDescent="0.25">
      <c r="A144" s="682" t="s">
        <v>2032</v>
      </c>
      <c r="B144" s="682" t="s">
        <v>1919</v>
      </c>
      <c r="C144" s="682" t="s">
        <v>1920</v>
      </c>
      <c r="D144" s="2207">
        <v>22963</v>
      </c>
      <c r="E144" s="2207">
        <v>0</v>
      </c>
      <c r="F144" s="2155">
        <v>0</v>
      </c>
      <c r="H144" s="2155">
        <v>0</v>
      </c>
      <c r="I144" s="2155">
        <v>0</v>
      </c>
      <c r="J144" s="685">
        <f>SUM($F144:G144)</f>
        <v>0</v>
      </c>
      <c r="K144" s="682">
        <v>0</v>
      </c>
      <c r="M144" s="2155">
        <v>0</v>
      </c>
      <c r="N144" s="2155">
        <v>0</v>
      </c>
      <c r="O144" s="685">
        <f t="shared" si="13"/>
        <v>0</v>
      </c>
      <c r="P144" s="685">
        <f t="shared" si="12"/>
        <v>0</v>
      </c>
    </row>
    <row r="145" spans="1:16" s="682" customFormat="1" ht="15" hidden="1" outlineLevel="2" x14ac:dyDescent="0.25">
      <c r="A145" s="682" t="s">
        <v>2032</v>
      </c>
      <c r="B145" s="682" t="s">
        <v>1923</v>
      </c>
      <c r="C145" s="682" t="s">
        <v>1924</v>
      </c>
      <c r="D145" s="2207">
        <v>48713</v>
      </c>
      <c r="E145" s="2207">
        <v>0</v>
      </c>
      <c r="F145" s="2155">
        <v>0</v>
      </c>
      <c r="H145" s="2155">
        <v>0</v>
      </c>
      <c r="I145" s="2155">
        <v>0</v>
      </c>
      <c r="J145" s="685">
        <f>SUM($F145:G145)</f>
        <v>0</v>
      </c>
      <c r="K145" s="682">
        <v>0</v>
      </c>
      <c r="M145" s="2155">
        <v>0</v>
      </c>
      <c r="N145" s="2155">
        <v>0</v>
      </c>
      <c r="O145" s="685">
        <f t="shared" si="13"/>
        <v>0</v>
      </c>
      <c r="P145" s="685">
        <f t="shared" si="12"/>
        <v>0</v>
      </c>
    </row>
    <row r="146" spans="1:16" outlineLevel="1" collapsed="1" x14ac:dyDescent="0.2">
      <c r="A146" s="681" t="s">
        <v>2033</v>
      </c>
      <c r="D146" s="2206">
        <f t="shared" ref="D146:J146" si="14">SUBTOTAL(9,D133:D145)</f>
        <v>1619718</v>
      </c>
      <c r="E146" s="2206">
        <f t="shared" si="14"/>
        <v>1620030</v>
      </c>
      <c r="F146" s="2206">
        <f t="shared" si="14"/>
        <v>1620030</v>
      </c>
      <c r="G146" s="681">
        <f t="shared" si="14"/>
        <v>-120326</v>
      </c>
      <c r="H146" s="2206">
        <f t="shared" si="14"/>
        <v>0</v>
      </c>
      <c r="I146" s="2206">
        <f t="shared" si="14"/>
        <v>0</v>
      </c>
      <c r="J146" s="681">
        <f t="shared" si="14"/>
        <v>1499704</v>
      </c>
      <c r="K146" s="681">
        <v>1620030</v>
      </c>
      <c r="L146" s="681">
        <f>SUBTOTAL(9,L133:L145)</f>
        <v>-120326</v>
      </c>
      <c r="M146" s="2206">
        <f>SUBTOTAL(9,M133:M145)</f>
        <v>0</v>
      </c>
      <c r="N146" s="2206">
        <f>SUBTOTAL(9,N133:N145)</f>
        <v>0</v>
      </c>
      <c r="O146" s="681">
        <f>SUBTOTAL(9,O133:O145)</f>
        <v>1499704</v>
      </c>
      <c r="P146" s="681">
        <f>SUBTOTAL(9,P133:P145)</f>
        <v>2999408</v>
      </c>
    </row>
    <row r="147" spans="1:16" s="682" customFormat="1" ht="15" hidden="1" outlineLevel="2" x14ac:dyDescent="0.25">
      <c r="A147" s="682" t="s">
        <v>2034</v>
      </c>
      <c r="B147" s="682" t="s">
        <v>1889</v>
      </c>
      <c r="C147" s="682" t="s">
        <v>1890</v>
      </c>
      <c r="D147" s="2207">
        <v>0</v>
      </c>
      <c r="E147" s="2207">
        <v>483874302</v>
      </c>
      <c r="F147" s="2155">
        <v>483874302</v>
      </c>
      <c r="G147" s="682">
        <f>'3.1b Allocation Adj. YR1 '!$T$32-F147</f>
        <v>115955140</v>
      </c>
      <c r="H147" s="2155">
        <v>0</v>
      </c>
      <c r="I147" s="2155">
        <v>0</v>
      </c>
      <c r="J147" s="685">
        <f>SUM($F147:G147)</f>
        <v>599829442</v>
      </c>
      <c r="K147" s="2155">
        <v>483874302</v>
      </c>
      <c r="L147" s="682">
        <f>'7.1b Allocation Adj. YR2'!$T$32-K147</f>
        <v>115955140</v>
      </c>
      <c r="M147" s="2155">
        <v>0</v>
      </c>
      <c r="N147" s="2155">
        <v>0</v>
      </c>
      <c r="O147" s="685">
        <f t="shared" ref="O147:O204" si="15">SUM(K147:L147)</f>
        <v>599829442</v>
      </c>
      <c r="P147" s="685">
        <f t="shared" ref="P147:P204" si="16">+J147+O147</f>
        <v>1199658884</v>
      </c>
    </row>
    <row r="148" spans="1:16" s="682" customFormat="1" ht="15" hidden="1" outlineLevel="2" x14ac:dyDescent="0.25">
      <c r="A148" s="682" t="s">
        <v>2034</v>
      </c>
      <c r="B148" s="682" t="s">
        <v>1891</v>
      </c>
      <c r="C148" s="682" t="s">
        <v>1892</v>
      </c>
      <c r="D148" s="2207">
        <v>6412805</v>
      </c>
      <c r="E148" s="2207">
        <v>0</v>
      </c>
      <c r="F148" s="2155">
        <v>0</v>
      </c>
      <c r="H148" s="2155">
        <v>0</v>
      </c>
      <c r="I148" s="2155">
        <v>0</v>
      </c>
      <c r="J148" s="685">
        <f>SUM($F148:G148)</f>
        <v>0</v>
      </c>
      <c r="K148" s="2155">
        <v>0</v>
      </c>
      <c r="M148" s="2155">
        <v>0</v>
      </c>
      <c r="N148" s="2155">
        <v>0</v>
      </c>
      <c r="O148" s="685">
        <f t="shared" si="15"/>
        <v>0</v>
      </c>
      <c r="P148" s="685">
        <f t="shared" si="16"/>
        <v>0</v>
      </c>
    </row>
    <row r="149" spans="1:16" s="682" customFormat="1" ht="15" hidden="1" outlineLevel="2" x14ac:dyDescent="0.25">
      <c r="A149" s="682" t="s">
        <v>2034</v>
      </c>
      <c r="B149" s="682" t="s">
        <v>1893</v>
      </c>
      <c r="C149" s="682" t="s">
        <v>1894</v>
      </c>
      <c r="D149" s="2207">
        <v>1636353</v>
      </c>
      <c r="E149" s="2207">
        <v>0</v>
      </c>
      <c r="F149" s="2155">
        <v>0</v>
      </c>
      <c r="H149" s="2155">
        <v>0</v>
      </c>
      <c r="I149" s="2155">
        <v>0</v>
      </c>
      <c r="J149" s="685">
        <f>SUM($F149:G149)</f>
        <v>0</v>
      </c>
      <c r="K149" s="2155">
        <v>0</v>
      </c>
      <c r="M149" s="2155">
        <v>0</v>
      </c>
      <c r="N149" s="2155">
        <v>0</v>
      </c>
      <c r="O149" s="685">
        <f t="shared" si="15"/>
        <v>0</v>
      </c>
      <c r="P149" s="685">
        <f t="shared" si="16"/>
        <v>0</v>
      </c>
    </row>
    <row r="150" spans="1:16" s="682" customFormat="1" ht="15" hidden="1" outlineLevel="2" x14ac:dyDescent="0.25">
      <c r="A150" s="682" t="s">
        <v>2034</v>
      </c>
      <c r="B150" s="682" t="s">
        <v>1895</v>
      </c>
      <c r="C150" s="682" t="s">
        <v>1896</v>
      </c>
      <c r="D150" s="2207">
        <v>383891969</v>
      </c>
      <c r="E150" s="2207">
        <v>0</v>
      </c>
      <c r="F150" s="2155">
        <v>0</v>
      </c>
      <c r="H150" s="2155">
        <v>0</v>
      </c>
      <c r="I150" s="2155">
        <v>0</v>
      </c>
      <c r="J150" s="685">
        <f>SUM($F150:G150)</f>
        <v>0</v>
      </c>
      <c r="K150" s="2155">
        <v>0</v>
      </c>
      <c r="M150" s="2155">
        <v>0</v>
      </c>
      <c r="N150" s="2155">
        <v>0</v>
      </c>
      <c r="O150" s="685">
        <f t="shared" si="15"/>
        <v>0</v>
      </c>
      <c r="P150" s="685">
        <f t="shared" si="16"/>
        <v>0</v>
      </c>
    </row>
    <row r="151" spans="1:16" s="682" customFormat="1" ht="15" hidden="1" outlineLevel="2" x14ac:dyDescent="0.25">
      <c r="A151" s="682" t="s">
        <v>2034</v>
      </c>
      <c r="B151" s="682" t="s">
        <v>1897</v>
      </c>
      <c r="C151" s="682" t="s">
        <v>1898</v>
      </c>
      <c r="D151" s="2207">
        <v>4007059</v>
      </c>
      <c r="E151" s="2207">
        <v>0</v>
      </c>
      <c r="F151" s="2155">
        <v>0</v>
      </c>
      <c r="H151" s="2155">
        <v>0</v>
      </c>
      <c r="I151" s="2155">
        <v>0</v>
      </c>
      <c r="J151" s="685">
        <f>SUM($F151:G151)</f>
        <v>0</v>
      </c>
      <c r="K151" s="2155">
        <v>0</v>
      </c>
      <c r="M151" s="2155">
        <v>0</v>
      </c>
      <c r="N151" s="2155">
        <v>0</v>
      </c>
      <c r="O151" s="685">
        <f t="shared" si="15"/>
        <v>0</v>
      </c>
      <c r="P151" s="685">
        <f t="shared" si="16"/>
        <v>0</v>
      </c>
    </row>
    <row r="152" spans="1:16" s="682" customFormat="1" ht="15" hidden="1" outlineLevel="2" x14ac:dyDescent="0.25">
      <c r="A152" s="682" t="s">
        <v>2034</v>
      </c>
      <c r="B152" s="682" t="s">
        <v>1899</v>
      </c>
      <c r="C152" s="682" t="s">
        <v>1900</v>
      </c>
      <c r="D152" s="2207">
        <v>5045055</v>
      </c>
      <c r="E152" s="2207">
        <v>0</v>
      </c>
      <c r="F152" s="2155">
        <v>0</v>
      </c>
      <c r="H152" s="2155">
        <v>0</v>
      </c>
      <c r="I152" s="2155">
        <v>0</v>
      </c>
      <c r="J152" s="685">
        <f>SUM($F152:G152)</f>
        <v>0</v>
      </c>
      <c r="K152" s="2155">
        <v>0</v>
      </c>
      <c r="M152" s="2155">
        <v>0</v>
      </c>
      <c r="N152" s="2155">
        <v>0</v>
      </c>
      <c r="O152" s="685">
        <f t="shared" si="15"/>
        <v>0</v>
      </c>
      <c r="P152" s="685">
        <f t="shared" si="16"/>
        <v>0</v>
      </c>
    </row>
    <row r="153" spans="1:16" s="682" customFormat="1" ht="15" hidden="1" outlineLevel="2" x14ac:dyDescent="0.25">
      <c r="A153" s="682" t="s">
        <v>2034</v>
      </c>
      <c r="B153" s="682" t="s">
        <v>1901</v>
      </c>
      <c r="C153" s="682" t="s">
        <v>1902</v>
      </c>
      <c r="D153" s="2207">
        <v>44545</v>
      </c>
      <c r="E153" s="2207">
        <v>0</v>
      </c>
      <c r="F153" s="2155">
        <v>0</v>
      </c>
      <c r="H153" s="2155">
        <v>0</v>
      </c>
      <c r="I153" s="2155">
        <v>0</v>
      </c>
      <c r="J153" s="685">
        <f>SUM($F153:G153)</f>
        <v>0</v>
      </c>
      <c r="K153" s="682">
        <v>0</v>
      </c>
      <c r="M153" s="2155">
        <v>0</v>
      </c>
      <c r="N153" s="2155">
        <v>0</v>
      </c>
      <c r="O153" s="685">
        <f t="shared" si="15"/>
        <v>0</v>
      </c>
      <c r="P153" s="685">
        <f t="shared" si="16"/>
        <v>0</v>
      </c>
    </row>
    <row r="154" spans="1:16" s="682" customFormat="1" ht="15" hidden="1" outlineLevel="2" x14ac:dyDescent="0.25">
      <c r="A154" s="682" t="s">
        <v>2034</v>
      </c>
      <c r="B154" s="682" t="s">
        <v>1903</v>
      </c>
      <c r="C154" s="682" t="s">
        <v>1904</v>
      </c>
      <c r="D154" s="2207">
        <v>199664</v>
      </c>
      <c r="E154" s="2207">
        <v>0</v>
      </c>
      <c r="F154" s="2155">
        <v>0</v>
      </c>
      <c r="H154" s="2155">
        <v>0</v>
      </c>
      <c r="I154" s="2155">
        <v>0</v>
      </c>
      <c r="J154" s="685">
        <f>SUM($F154:G154)</f>
        <v>0</v>
      </c>
      <c r="K154" s="682">
        <v>0</v>
      </c>
      <c r="M154" s="2155">
        <v>0</v>
      </c>
      <c r="N154" s="2155">
        <v>0</v>
      </c>
      <c r="O154" s="685">
        <f t="shared" si="15"/>
        <v>0</v>
      </c>
      <c r="P154" s="685">
        <f t="shared" si="16"/>
        <v>0</v>
      </c>
    </row>
    <row r="155" spans="1:16" s="682" customFormat="1" ht="15" hidden="1" outlineLevel="2" x14ac:dyDescent="0.25">
      <c r="A155" s="682" t="s">
        <v>2034</v>
      </c>
      <c r="B155" s="682" t="s">
        <v>1905</v>
      </c>
      <c r="C155" s="682" t="s">
        <v>1906</v>
      </c>
      <c r="D155" s="2207">
        <v>2354507</v>
      </c>
      <c r="E155" s="2207">
        <v>0</v>
      </c>
      <c r="F155" s="2155">
        <v>0</v>
      </c>
      <c r="H155" s="2155">
        <v>0</v>
      </c>
      <c r="I155" s="2155">
        <v>0</v>
      </c>
      <c r="J155" s="685">
        <f>SUM($F155:G155)</f>
        <v>0</v>
      </c>
      <c r="K155" s="682">
        <v>0</v>
      </c>
      <c r="M155" s="2155">
        <v>0</v>
      </c>
      <c r="N155" s="2155">
        <v>0</v>
      </c>
      <c r="O155" s="685">
        <f t="shared" si="15"/>
        <v>0</v>
      </c>
      <c r="P155" s="685">
        <f t="shared" si="16"/>
        <v>0</v>
      </c>
    </row>
    <row r="156" spans="1:16" s="682" customFormat="1" ht="15" hidden="1" outlineLevel="2" x14ac:dyDescent="0.25">
      <c r="A156" s="682" t="s">
        <v>2034</v>
      </c>
      <c r="B156" s="682" t="s">
        <v>1907</v>
      </c>
      <c r="C156" s="682" t="s">
        <v>1908</v>
      </c>
      <c r="D156" s="2207">
        <v>1051226</v>
      </c>
      <c r="E156" s="2207">
        <v>0</v>
      </c>
      <c r="F156" s="2155">
        <v>0</v>
      </c>
      <c r="H156" s="2155">
        <v>0</v>
      </c>
      <c r="I156" s="2155">
        <v>0</v>
      </c>
      <c r="J156" s="685">
        <f>SUM($F156:G156)</f>
        <v>0</v>
      </c>
      <c r="K156" s="682">
        <v>0</v>
      </c>
      <c r="M156" s="2155">
        <v>0</v>
      </c>
      <c r="N156" s="2155">
        <v>0</v>
      </c>
      <c r="O156" s="685">
        <f t="shared" si="15"/>
        <v>0</v>
      </c>
      <c r="P156" s="685">
        <f t="shared" si="16"/>
        <v>0</v>
      </c>
    </row>
    <row r="157" spans="1:16" s="682" customFormat="1" ht="15" hidden="1" outlineLevel="2" x14ac:dyDescent="0.25">
      <c r="A157" s="682" t="s">
        <v>2034</v>
      </c>
      <c r="B157" s="682" t="s">
        <v>1909</v>
      </c>
      <c r="C157" s="682" t="s">
        <v>1910</v>
      </c>
      <c r="D157" s="2207">
        <v>327164</v>
      </c>
      <c r="E157" s="2207">
        <v>0</v>
      </c>
      <c r="F157" s="2155">
        <v>0</v>
      </c>
      <c r="H157" s="2155">
        <v>0</v>
      </c>
      <c r="I157" s="2155">
        <v>0</v>
      </c>
      <c r="J157" s="685">
        <f>SUM($F157:G157)</f>
        <v>0</v>
      </c>
      <c r="K157" s="682">
        <v>0</v>
      </c>
      <c r="M157" s="2155">
        <v>0</v>
      </c>
      <c r="N157" s="2155">
        <v>0</v>
      </c>
      <c r="O157" s="685">
        <f t="shared" si="15"/>
        <v>0</v>
      </c>
      <c r="P157" s="685">
        <f t="shared" si="16"/>
        <v>0</v>
      </c>
    </row>
    <row r="158" spans="1:16" s="682" customFormat="1" ht="15" hidden="1" outlineLevel="2" x14ac:dyDescent="0.25">
      <c r="A158" s="682" t="s">
        <v>2034</v>
      </c>
      <c r="B158" s="682" t="s">
        <v>1911</v>
      </c>
      <c r="C158" s="682" t="s">
        <v>1912</v>
      </c>
      <c r="D158" s="2207">
        <v>9566849</v>
      </c>
      <c r="E158" s="2207">
        <v>0</v>
      </c>
      <c r="F158" s="2155">
        <v>0</v>
      </c>
      <c r="H158" s="2155">
        <v>0</v>
      </c>
      <c r="I158" s="2155">
        <v>0</v>
      </c>
      <c r="J158" s="685">
        <f>SUM($F158:G158)</f>
        <v>0</v>
      </c>
      <c r="K158" s="682">
        <v>0</v>
      </c>
      <c r="M158" s="2155">
        <v>0</v>
      </c>
      <c r="N158" s="2155">
        <v>0</v>
      </c>
      <c r="O158" s="685">
        <f t="shared" si="15"/>
        <v>0</v>
      </c>
      <c r="P158" s="685">
        <f t="shared" si="16"/>
        <v>0</v>
      </c>
    </row>
    <row r="159" spans="1:16" s="682" customFormat="1" ht="15" hidden="1" outlineLevel="2" x14ac:dyDescent="0.25">
      <c r="A159" s="682" t="s">
        <v>2034</v>
      </c>
      <c r="B159" s="682" t="s">
        <v>1913</v>
      </c>
      <c r="C159" s="682" t="s">
        <v>1914</v>
      </c>
      <c r="D159" s="2207">
        <v>215303</v>
      </c>
      <c r="E159" s="2207">
        <v>0</v>
      </c>
      <c r="F159" s="2155">
        <v>0</v>
      </c>
      <c r="H159" s="2155">
        <v>0</v>
      </c>
      <c r="I159" s="2155">
        <v>0</v>
      </c>
      <c r="J159" s="685">
        <f>SUM($F159:G159)</f>
        <v>0</v>
      </c>
      <c r="K159" s="682">
        <v>0</v>
      </c>
      <c r="M159" s="2155">
        <v>0</v>
      </c>
      <c r="N159" s="2155">
        <v>0</v>
      </c>
      <c r="O159" s="685">
        <f t="shared" si="15"/>
        <v>0</v>
      </c>
      <c r="P159" s="685">
        <f t="shared" si="16"/>
        <v>0</v>
      </c>
    </row>
    <row r="160" spans="1:16" s="682" customFormat="1" ht="15" hidden="1" outlineLevel="2" x14ac:dyDescent="0.25">
      <c r="A160" s="682" t="s">
        <v>2034</v>
      </c>
      <c r="B160" s="682" t="s">
        <v>1915</v>
      </c>
      <c r="C160" s="682" t="s">
        <v>1916</v>
      </c>
      <c r="D160" s="2207">
        <v>8300972</v>
      </c>
      <c r="E160" s="2207">
        <v>0</v>
      </c>
      <c r="F160" s="2155">
        <v>0</v>
      </c>
      <c r="H160" s="2155">
        <v>0</v>
      </c>
      <c r="I160" s="2155">
        <v>0</v>
      </c>
      <c r="J160" s="685">
        <f>SUM($F160:G160)</f>
        <v>0</v>
      </c>
      <c r="K160" s="682">
        <v>0</v>
      </c>
      <c r="M160" s="2155">
        <v>0</v>
      </c>
      <c r="N160" s="2155">
        <v>0</v>
      </c>
      <c r="O160" s="685">
        <f t="shared" si="15"/>
        <v>0</v>
      </c>
      <c r="P160" s="685">
        <f t="shared" si="16"/>
        <v>0</v>
      </c>
    </row>
    <row r="161" spans="1:16" s="682" customFormat="1" ht="15" hidden="1" outlineLevel="2" x14ac:dyDescent="0.25">
      <c r="A161" s="682" t="s">
        <v>2034</v>
      </c>
      <c r="B161" s="682" t="s">
        <v>1917</v>
      </c>
      <c r="C161" s="682" t="s">
        <v>1918</v>
      </c>
      <c r="D161" s="2207">
        <v>456047</v>
      </c>
      <c r="E161" s="2207">
        <v>0</v>
      </c>
      <c r="F161" s="2155">
        <v>0</v>
      </c>
      <c r="H161" s="2155">
        <v>0</v>
      </c>
      <c r="I161" s="2155">
        <v>0</v>
      </c>
      <c r="J161" s="685">
        <f>SUM($F161:G161)</f>
        <v>0</v>
      </c>
      <c r="K161" s="682">
        <v>0</v>
      </c>
      <c r="M161" s="2155">
        <v>0</v>
      </c>
      <c r="N161" s="2155">
        <v>0</v>
      </c>
      <c r="O161" s="685">
        <f t="shared" si="15"/>
        <v>0</v>
      </c>
      <c r="P161" s="685">
        <f t="shared" si="16"/>
        <v>0</v>
      </c>
    </row>
    <row r="162" spans="1:16" s="682" customFormat="1" ht="15" hidden="1" outlineLevel="2" x14ac:dyDescent="0.25">
      <c r="A162" s="682" t="s">
        <v>2034</v>
      </c>
      <c r="B162" s="682" t="s">
        <v>1919</v>
      </c>
      <c r="C162" s="682" t="s">
        <v>1920</v>
      </c>
      <c r="D162" s="2207">
        <v>54956</v>
      </c>
      <c r="E162" s="2207">
        <v>0</v>
      </c>
      <c r="F162" s="2155">
        <v>0</v>
      </c>
      <c r="H162" s="2155">
        <v>0</v>
      </c>
      <c r="I162" s="2155">
        <v>0</v>
      </c>
      <c r="J162" s="685">
        <f>SUM($F162:G162)</f>
        <v>0</v>
      </c>
      <c r="K162" s="682">
        <v>0</v>
      </c>
      <c r="M162" s="2155">
        <v>0</v>
      </c>
      <c r="N162" s="2155">
        <v>0</v>
      </c>
      <c r="O162" s="685">
        <f t="shared" si="15"/>
        <v>0</v>
      </c>
      <c r="P162" s="685">
        <f t="shared" si="16"/>
        <v>0</v>
      </c>
    </row>
    <row r="163" spans="1:16" s="682" customFormat="1" ht="15" hidden="1" outlineLevel="2" x14ac:dyDescent="0.25">
      <c r="A163" s="682" t="s">
        <v>2034</v>
      </c>
      <c r="B163" s="682" t="s">
        <v>1921</v>
      </c>
      <c r="C163" s="682" t="s">
        <v>1922</v>
      </c>
      <c r="D163" s="2207">
        <v>44859802</v>
      </c>
      <c r="E163" s="2207">
        <v>0</v>
      </c>
      <c r="F163" s="2155">
        <v>0</v>
      </c>
      <c r="H163" s="2155">
        <v>0</v>
      </c>
      <c r="I163" s="2155">
        <v>0</v>
      </c>
      <c r="J163" s="685">
        <f>SUM($F163:G163)</f>
        <v>0</v>
      </c>
      <c r="K163" s="682">
        <v>0</v>
      </c>
      <c r="M163" s="2155">
        <v>0</v>
      </c>
      <c r="N163" s="2155">
        <v>0</v>
      </c>
      <c r="O163" s="685">
        <f t="shared" si="15"/>
        <v>0</v>
      </c>
      <c r="P163" s="685">
        <f t="shared" si="16"/>
        <v>0</v>
      </c>
    </row>
    <row r="164" spans="1:16" s="682" customFormat="1" ht="15" hidden="1" outlineLevel="2" x14ac:dyDescent="0.25">
      <c r="A164" s="682" t="s">
        <v>2034</v>
      </c>
      <c r="B164" s="682" t="s">
        <v>1923</v>
      </c>
      <c r="C164" s="682" t="s">
        <v>1924</v>
      </c>
      <c r="D164" s="2207">
        <v>598608</v>
      </c>
      <c r="E164" s="2207">
        <v>0</v>
      </c>
      <c r="F164" s="2155">
        <v>0</v>
      </c>
      <c r="H164" s="2155">
        <v>0</v>
      </c>
      <c r="I164" s="2155">
        <v>0</v>
      </c>
      <c r="J164" s="685">
        <f>SUM($F164:G164)</f>
        <v>0</v>
      </c>
      <c r="K164" s="682">
        <v>0</v>
      </c>
      <c r="M164" s="2155">
        <v>0</v>
      </c>
      <c r="N164" s="2155">
        <v>0</v>
      </c>
      <c r="O164" s="685">
        <f t="shared" si="15"/>
        <v>0</v>
      </c>
      <c r="P164" s="685">
        <f t="shared" si="16"/>
        <v>0</v>
      </c>
    </row>
    <row r="165" spans="1:16" s="682" customFormat="1" ht="15" hidden="1" outlineLevel="2" x14ac:dyDescent="0.25">
      <c r="A165" s="682" t="s">
        <v>2034</v>
      </c>
      <c r="B165" s="682" t="s">
        <v>1925</v>
      </c>
      <c r="C165" s="682" t="s">
        <v>1926</v>
      </c>
      <c r="D165" s="2207">
        <v>163923</v>
      </c>
      <c r="E165" s="2207">
        <v>0</v>
      </c>
      <c r="F165" s="2155">
        <v>0</v>
      </c>
      <c r="H165" s="2155">
        <v>0</v>
      </c>
      <c r="I165" s="2155">
        <v>0</v>
      </c>
      <c r="J165" s="685">
        <f>SUM($F165:G165)</f>
        <v>0</v>
      </c>
      <c r="K165" s="682">
        <v>0</v>
      </c>
      <c r="M165" s="2155">
        <v>0</v>
      </c>
      <c r="N165" s="2155">
        <v>0</v>
      </c>
      <c r="O165" s="685">
        <f t="shared" si="15"/>
        <v>0</v>
      </c>
      <c r="P165" s="685">
        <f t="shared" si="16"/>
        <v>0</v>
      </c>
    </row>
    <row r="166" spans="1:16" s="682" customFormat="1" ht="15" hidden="1" outlineLevel="2" x14ac:dyDescent="0.25">
      <c r="A166" s="682" t="s">
        <v>2034</v>
      </c>
      <c r="B166" s="682" t="s">
        <v>1927</v>
      </c>
      <c r="C166" s="682" t="s">
        <v>1928</v>
      </c>
      <c r="D166" s="2207">
        <v>229677</v>
      </c>
      <c r="E166" s="2207">
        <v>0</v>
      </c>
      <c r="F166" s="2155">
        <v>0</v>
      </c>
      <c r="H166" s="2155">
        <v>0</v>
      </c>
      <c r="I166" s="2155">
        <v>0</v>
      </c>
      <c r="J166" s="685">
        <f>SUM($F166:G166)</f>
        <v>0</v>
      </c>
      <c r="K166" s="682">
        <v>0</v>
      </c>
      <c r="M166" s="2155">
        <v>0</v>
      </c>
      <c r="N166" s="2155">
        <v>0</v>
      </c>
      <c r="O166" s="685">
        <f t="shared" si="15"/>
        <v>0</v>
      </c>
      <c r="P166" s="685">
        <f t="shared" si="16"/>
        <v>0</v>
      </c>
    </row>
    <row r="167" spans="1:16" s="682" customFormat="1" ht="15" hidden="1" outlineLevel="2" x14ac:dyDescent="0.25">
      <c r="A167" s="682" t="s">
        <v>2034</v>
      </c>
      <c r="B167" s="682" t="s">
        <v>1931</v>
      </c>
      <c r="C167" s="682" t="s">
        <v>1932</v>
      </c>
      <c r="D167" s="2207">
        <v>95035</v>
      </c>
      <c r="E167" s="2207">
        <v>0</v>
      </c>
      <c r="F167" s="2155">
        <v>0</v>
      </c>
      <c r="H167" s="2155">
        <v>0</v>
      </c>
      <c r="I167" s="2155">
        <v>0</v>
      </c>
      <c r="J167" s="685">
        <f>SUM($F167:G167)</f>
        <v>0</v>
      </c>
      <c r="K167" s="682">
        <v>0</v>
      </c>
      <c r="M167" s="2155">
        <v>0</v>
      </c>
      <c r="N167" s="2155">
        <v>0</v>
      </c>
      <c r="O167" s="685">
        <f t="shared" si="15"/>
        <v>0</v>
      </c>
      <c r="P167" s="685">
        <f t="shared" si="16"/>
        <v>0</v>
      </c>
    </row>
    <row r="168" spans="1:16" s="682" customFormat="1" ht="15" hidden="1" outlineLevel="2" x14ac:dyDescent="0.25">
      <c r="A168" s="682" t="s">
        <v>2034</v>
      </c>
      <c r="B168" s="682" t="s">
        <v>1933</v>
      </c>
      <c r="C168" s="682" t="s">
        <v>1934</v>
      </c>
      <c r="D168" s="2207">
        <v>1248935</v>
      </c>
      <c r="E168" s="2207">
        <v>0</v>
      </c>
      <c r="F168" s="2155">
        <v>0</v>
      </c>
      <c r="H168" s="2155">
        <v>0</v>
      </c>
      <c r="I168" s="2155">
        <v>0</v>
      </c>
      <c r="J168" s="685">
        <f>SUM($F168:G168)</f>
        <v>0</v>
      </c>
      <c r="K168" s="682">
        <v>0</v>
      </c>
      <c r="M168" s="2155">
        <v>0</v>
      </c>
      <c r="N168" s="2155">
        <v>0</v>
      </c>
      <c r="O168" s="685">
        <f t="shared" si="15"/>
        <v>0</v>
      </c>
      <c r="P168" s="685">
        <f t="shared" si="16"/>
        <v>0</v>
      </c>
    </row>
    <row r="169" spans="1:16" s="682" customFormat="1" ht="15" hidden="1" outlineLevel="2" x14ac:dyDescent="0.25">
      <c r="A169" s="682" t="s">
        <v>2034</v>
      </c>
      <c r="B169" s="682" t="s">
        <v>1935</v>
      </c>
      <c r="C169" s="682" t="s">
        <v>1936</v>
      </c>
      <c r="D169" s="2207">
        <v>18464</v>
      </c>
      <c r="E169" s="2207">
        <v>0</v>
      </c>
      <c r="F169" s="2155">
        <v>0</v>
      </c>
      <c r="H169" s="2155">
        <v>0</v>
      </c>
      <c r="I169" s="2155">
        <v>0</v>
      </c>
      <c r="J169" s="685">
        <f>SUM($F169:G169)</f>
        <v>0</v>
      </c>
      <c r="K169" s="682">
        <v>0</v>
      </c>
      <c r="M169" s="2155">
        <v>0</v>
      </c>
      <c r="N169" s="2155">
        <v>0</v>
      </c>
      <c r="O169" s="685">
        <f t="shared" si="15"/>
        <v>0</v>
      </c>
      <c r="P169" s="685">
        <f t="shared" si="16"/>
        <v>0</v>
      </c>
    </row>
    <row r="170" spans="1:16" s="682" customFormat="1" ht="15" hidden="1" outlineLevel="2" x14ac:dyDescent="0.25">
      <c r="A170" s="682" t="s">
        <v>2034</v>
      </c>
      <c r="B170" s="682" t="s">
        <v>1941</v>
      </c>
      <c r="C170" s="682" t="s">
        <v>1942</v>
      </c>
      <c r="D170" s="2207">
        <v>303368</v>
      </c>
      <c r="E170" s="2207">
        <v>0</v>
      </c>
      <c r="F170" s="2155">
        <v>0</v>
      </c>
      <c r="H170" s="2155">
        <v>0</v>
      </c>
      <c r="I170" s="2155">
        <v>0</v>
      </c>
      <c r="J170" s="685">
        <f>SUM($F170:G170)</f>
        <v>0</v>
      </c>
      <c r="K170" s="682">
        <v>0</v>
      </c>
      <c r="M170" s="2155">
        <v>0</v>
      </c>
      <c r="N170" s="2155">
        <v>0</v>
      </c>
      <c r="O170" s="685">
        <f t="shared" si="15"/>
        <v>0</v>
      </c>
      <c r="P170" s="685">
        <f t="shared" si="16"/>
        <v>0</v>
      </c>
    </row>
    <row r="171" spans="1:16" s="682" customFormat="1" ht="15" hidden="1" outlineLevel="2" x14ac:dyDescent="0.25">
      <c r="A171" s="682" t="s">
        <v>2034</v>
      </c>
      <c r="B171" s="682" t="s">
        <v>1943</v>
      </c>
      <c r="C171" s="682" t="s">
        <v>1944</v>
      </c>
      <c r="D171" s="2207">
        <v>2205903</v>
      </c>
      <c r="E171" s="2207">
        <v>0</v>
      </c>
      <c r="F171" s="2155">
        <v>0</v>
      </c>
      <c r="H171" s="2155">
        <v>0</v>
      </c>
      <c r="I171" s="2155">
        <v>0</v>
      </c>
      <c r="J171" s="685">
        <f>SUM($F171:G171)</f>
        <v>0</v>
      </c>
      <c r="K171" s="682">
        <v>0</v>
      </c>
      <c r="M171" s="2155">
        <v>0</v>
      </c>
      <c r="N171" s="2155">
        <v>0</v>
      </c>
      <c r="O171" s="685">
        <f t="shared" si="15"/>
        <v>0</v>
      </c>
      <c r="P171" s="685">
        <f t="shared" si="16"/>
        <v>0</v>
      </c>
    </row>
    <row r="172" spans="1:16" s="682" customFormat="1" ht="15" hidden="1" outlineLevel="2" x14ac:dyDescent="0.25">
      <c r="A172" s="682" t="s">
        <v>2034</v>
      </c>
      <c r="B172" s="682" t="s">
        <v>1945</v>
      </c>
      <c r="C172" s="682" t="s">
        <v>1946</v>
      </c>
      <c r="D172" s="2207">
        <v>67655</v>
      </c>
      <c r="E172" s="2207">
        <v>0</v>
      </c>
      <c r="F172" s="2155">
        <v>0</v>
      </c>
      <c r="H172" s="2155">
        <v>0</v>
      </c>
      <c r="I172" s="2155">
        <v>0</v>
      </c>
      <c r="J172" s="685">
        <f>SUM($F172:G172)</f>
        <v>0</v>
      </c>
      <c r="K172" s="682">
        <v>0</v>
      </c>
      <c r="M172" s="2155">
        <v>0</v>
      </c>
      <c r="N172" s="2155">
        <v>0</v>
      </c>
      <c r="O172" s="685">
        <f t="shared" si="15"/>
        <v>0</v>
      </c>
      <c r="P172" s="685">
        <f t="shared" si="16"/>
        <v>0</v>
      </c>
    </row>
    <row r="173" spans="1:16" s="682" customFormat="1" ht="15" hidden="1" outlineLevel="2" x14ac:dyDescent="0.25">
      <c r="A173" s="682" t="s">
        <v>2034</v>
      </c>
      <c r="B173" s="682" t="s">
        <v>1947</v>
      </c>
      <c r="C173" s="682" t="s">
        <v>1948</v>
      </c>
      <c r="D173" s="2207">
        <v>119078</v>
      </c>
      <c r="E173" s="2207">
        <v>0</v>
      </c>
      <c r="F173" s="2155">
        <v>0</v>
      </c>
      <c r="H173" s="2155">
        <v>0</v>
      </c>
      <c r="I173" s="2155">
        <v>0</v>
      </c>
      <c r="J173" s="685">
        <f>SUM($F173:G173)</f>
        <v>0</v>
      </c>
      <c r="K173" s="682">
        <v>0</v>
      </c>
      <c r="M173" s="2155">
        <v>0</v>
      </c>
      <c r="N173" s="2155">
        <v>0</v>
      </c>
      <c r="O173" s="685">
        <f t="shared" si="15"/>
        <v>0</v>
      </c>
      <c r="P173" s="685">
        <f t="shared" si="16"/>
        <v>0</v>
      </c>
    </row>
    <row r="174" spans="1:16" s="682" customFormat="1" ht="15" hidden="1" outlineLevel="2" x14ac:dyDescent="0.25">
      <c r="A174" s="682" t="s">
        <v>2034</v>
      </c>
      <c r="B174" s="682" t="s">
        <v>1949</v>
      </c>
      <c r="C174" s="682" t="s">
        <v>1950</v>
      </c>
      <c r="D174" s="2207">
        <v>620880</v>
      </c>
      <c r="E174" s="2207">
        <v>0</v>
      </c>
      <c r="F174" s="2155">
        <v>0</v>
      </c>
      <c r="H174" s="2155">
        <v>0</v>
      </c>
      <c r="I174" s="2155">
        <v>0</v>
      </c>
      <c r="J174" s="685">
        <f>SUM($F174:G174)</f>
        <v>0</v>
      </c>
      <c r="K174" s="682">
        <v>0</v>
      </c>
      <c r="M174" s="2155">
        <v>0</v>
      </c>
      <c r="N174" s="2155">
        <v>0</v>
      </c>
      <c r="O174" s="685">
        <f t="shared" si="15"/>
        <v>0</v>
      </c>
      <c r="P174" s="685">
        <f t="shared" si="16"/>
        <v>0</v>
      </c>
    </row>
    <row r="175" spans="1:16" s="682" customFormat="1" ht="15" hidden="1" outlineLevel="2" x14ac:dyDescent="0.25">
      <c r="A175" s="682" t="s">
        <v>2034</v>
      </c>
      <c r="B175" s="682" t="s">
        <v>1951</v>
      </c>
      <c r="C175" s="682" t="s">
        <v>1952</v>
      </c>
      <c r="D175" s="2207">
        <v>179051</v>
      </c>
      <c r="E175" s="2207">
        <v>0</v>
      </c>
      <c r="F175" s="2155">
        <v>0</v>
      </c>
      <c r="H175" s="2155">
        <v>0</v>
      </c>
      <c r="I175" s="2155">
        <v>0</v>
      </c>
      <c r="J175" s="685">
        <f>SUM($F175:G175)</f>
        <v>0</v>
      </c>
      <c r="K175" s="682">
        <v>0</v>
      </c>
      <c r="M175" s="2155">
        <v>0</v>
      </c>
      <c r="N175" s="2155">
        <v>0</v>
      </c>
      <c r="O175" s="685">
        <f t="shared" si="15"/>
        <v>0</v>
      </c>
      <c r="P175" s="685">
        <f t="shared" si="16"/>
        <v>0</v>
      </c>
    </row>
    <row r="176" spans="1:16" s="682" customFormat="1" ht="15" hidden="1" outlineLevel="2" x14ac:dyDescent="0.25">
      <c r="A176" s="682" t="s">
        <v>2034</v>
      </c>
      <c r="B176" s="682" t="s">
        <v>1953</v>
      </c>
      <c r="C176" s="682" t="s">
        <v>1954</v>
      </c>
      <c r="D176" s="2207">
        <v>128631</v>
      </c>
      <c r="E176" s="2207">
        <v>0</v>
      </c>
      <c r="F176" s="2155">
        <v>0</v>
      </c>
      <c r="H176" s="2155">
        <v>0</v>
      </c>
      <c r="I176" s="2155">
        <v>0</v>
      </c>
      <c r="J176" s="685">
        <f>SUM($F176:G176)</f>
        <v>0</v>
      </c>
      <c r="K176" s="682">
        <v>0</v>
      </c>
      <c r="M176" s="2155">
        <v>0</v>
      </c>
      <c r="N176" s="2155">
        <v>0</v>
      </c>
      <c r="O176" s="685">
        <f t="shared" si="15"/>
        <v>0</v>
      </c>
      <c r="P176" s="685">
        <f t="shared" si="16"/>
        <v>0</v>
      </c>
    </row>
    <row r="177" spans="1:16" s="682" customFormat="1" ht="15" hidden="1" outlineLevel="2" x14ac:dyDescent="0.25">
      <c r="A177" s="682" t="s">
        <v>2034</v>
      </c>
      <c r="B177" s="682" t="s">
        <v>1955</v>
      </c>
      <c r="C177" s="682" t="s">
        <v>1956</v>
      </c>
      <c r="D177" s="2207">
        <v>257639</v>
      </c>
      <c r="E177" s="2207">
        <v>0</v>
      </c>
      <c r="F177" s="2155">
        <v>0</v>
      </c>
      <c r="H177" s="2155">
        <v>0</v>
      </c>
      <c r="I177" s="2155">
        <v>0</v>
      </c>
      <c r="J177" s="685">
        <f>SUM($F177:G177)</f>
        <v>0</v>
      </c>
      <c r="K177" s="682">
        <v>0</v>
      </c>
      <c r="M177" s="2155">
        <v>0</v>
      </c>
      <c r="N177" s="2155">
        <v>0</v>
      </c>
      <c r="O177" s="685">
        <f t="shared" si="15"/>
        <v>0</v>
      </c>
      <c r="P177" s="685">
        <f t="shared" si="16"/>
        <v>0</v>
      </c>
    </row>
    <row r="178" spans="1:16" s="682" customFormat="1" ht="15" hidden="1" outlineLevel="2" x14ac:dyDescent="0.25">
      <c r="A178" s="682" t="s">
        <v>2034</v>
      </c>
      <c r="B178" s="682" t="s">
        <v>1957</v>
      </c>
      <c r="C178" s="682" t="s">
        <v>1958</v>
      </c>
      <c r="D178" s="2207">
        <v>72573</v>
      </c>
      <c r="E178" s="2207">
        <v>0</v>
      </c>
      <c r="F178" s="2155">
        <v>0</v>
      </c>
      <c r="H178" s="2155">
        <v>0</v>
      </c>
      <c r="I178" s="2155">
        <v>0</v>
      </c>
      <c r="J178" s="685">
        <f>SUM($F178:G178)</f>
        <v>0</v>
      </c>
      <c r="K178" s="682">
        <v>0</v>
      </c>
      <c r="M178" s="2155">
        <v>0</v>
      </c>
      <c r="N178" s="2155">
        <v>0</v>
      </c>
      <c r="O178" s="685">
        <f t="shared" si="15"/>
        <v>0</v>
      </c>
      <c r="P178" s="685">
        <f t="shared" si="16"/>
        <v>0</v>
      </c>
    </row>
    <row r="179" spans="1:16" s="682" customFormat="1" ht="15" hidden="1" outlineLevel="2" x14ac:dyDescent="0.25">
      <c r="A179" s="682" t="s">
        <v>2034</v>
      </c>
      <c r="B179" s="682" t="s">
        <v>1961</v>
      </c>
      <c r="C179" s="682" t="s">
        <v>1962</v>
      </c>
      <c r="D179" s="2207">
        <v>27304</v>
      </c>
      <c r="E179" s="2207">
        <v>0</v>
      </c>
      <c r="F179" s="2155">
        <v>0</v>
      </c>
      <c r="H179" s="2155">
        <v>0</v>
      </c>
      <c r="I179" s="2155">
        <v>0</v>
      </c>
      <c r="J179" s="685">
        <f>SUM($F179:G179)</f>
        <v>0</v>
      </c>
      <c r="K179" s="682">
        <v>0</v>
      </c>
      <c r="M179" s="2155">
        <v>0</v>
      </c>
      <c r="N179" s="2155">
        <v>0</v>
      </c>
      <c r="O179" s="685">
        <f t="shared" si="15"/>
        <v>0</v>
      </c>
      <c r="P179" s="685">
        <f t="shared" si="16"/>
        <v>0</v>
      </c>
    </row>
    <row r="180" spans="1:16" s="682" customFormat="1" ht="15" hidden="1" outlineLevel="2" x14ac:dyDescent="0.25">
      <c r="A180" s="682" t="s">
        <v>2034</v>
      </c>
      <c r="B180" s="682" t="s">
        <v>1963</v>
      </c>
      <c r="C180" s="682" t="s">
        <v>1964</v>
      </c>
      <c r="D180" s="2207">
        <v>144354</v>
      </c>
      <c r="E180" s="2207">
        <v>0</v>
      </c>
      <c r="F180" s="2155">
        <v>0</v>
      </c>
      <c r="H180" s="2155">
        <v>0</v>
      </c>
      <c r="I180" s="2155">
        <v>0</v>
      </c>
      <c r="J180" s="685">
        <f>SUM($F180:G180)</f>
        <v>0</v>
      </c>
      <c r="K180" s="682">
        <v>0</v>
      </c>
      <c r="M180" s="2155">
        <v>0</v>
      </c>
      <c r="N180" s="2155">
        <v>0</v>
      </c>
      <c r="O180" s="685">
        <f t="shared" si="15"/>
        <v>0</v>
      </c>
      <c r="P180" s="685">
        <f t="shared" si="16"/>
        <v>0</v>
      </c>
    </row>
    <row r="181" spans="1:16" s="682" customFormat="1" ht="15" hidden="1" outlineLevel="2" x14ac:dyDescent="0.25">
      <c r="A181" s="682" t="s">
        <v>2034</v>
      </c>
      <c r="B181" s="682" t="s">
        <v>1967</v>
      </c>
      <c r="C181" s="682" t="s">
        <v>1968</v>
      </c>
      <c r="D181" s="2207">
        <v>40634</v>
      </c>
      <c r="E181" s="2207">
        <v>0</v>
      </c>
      <c r="F181" s="2155">
        <v>0</v>
      </c>
      <c r="H181" s="2155">
        <v>0</v>
      </c>
      <c r="I181" s="2155">
        <v>0</v>
      </c>
      <c r="J181" s="685">
        <f>SUM($F181:G181)</f>
        <v>0</v>
      </c>
      <c r="K181" s="682">
        <v>0</v>
      </c>
      <c r="M181" s="2155">
        <v>0</v>
      </c>
      <c r="N181" s="2155">
        <v>0</v>
      </c>
      <c r="O181" s="685">
        <f t="shared" si="15"/>
        <v>0</v>
      </c>
      <c r="P181" s="685">
        <f t="shared" si="16"/>
        <v>0</v>
      </c>
    </row>
    <row r="182" spans="1:16" s="682" customFormat="1" ht="15" hidden="1" outlineLevel="2" x14ac:dyDescent="0.25">
      <c r="A182" s="682" t="s">
        <v>2034</v>
      </c>
      <c r="B182" s="682" t="s">
        <v>1969</v>
      </c>
      <c r="C182" s="682" t="s">
        <v>1970</v>
      </c>
      <c r="D182" s="2207">
        <v>170014</v>
      </c>
      <c r="E182" s="2207">
        <v>0</v>
      </c>
      <c r="F182" s="2155">
        <v>0</v>
      </c>
      <c r="H182" s="2155">
        <v>0</v>
      </c>
      <c r="I182" s="2155">
        <v>0</v>
      </c>
      <c r="J182" s="685">
        <f>SUM($F182:G182)</f>
        <v>0</v>
      </c>
      <c r="K182" s="682">
        <v>0</v>
      </c>
      <c r="M182" s="2155">
        <v>0</v>
      </c>
      <c r="N182" s="2155">
        <v>0</v>
      </c>
      <c r="O182" s="685">
        <f t="shared" si="15"/>
        <v>0</v>
      </c>
      <c r="P182" s="685">
        <f t="shared" si="16"/>
        <v>0</v>
      </c>
    </row>
    <row r="183" spans="1:16" s="682" customFormat="1" ht="15" hidden="1" outlineLevel="2" x14ac:dyDescent="0.25">
      <c r="A183" s="682" t="s">
        <v>2034</v>
      </c>
      <c r="B183" s="682" t="s">
        <v>1971</v>
      </c>
      <c r="C183" s="682" t="s">
        <v>1972</v>
      </c>
      <c r="D183" s="2207">
        <v>290648</v>
      </c>
      <c r="E183" s="2207">
        <v>0</v>
      </c>
      <c r="F183" s="2155">
        <v>0</v>
      </c>
      <c r="H183" s="2155">
        <v>0</v>
      </c>
      <c r="I183" s="2155">
        <v>0</v>
      </c>
      <c r="J183" s="685">
        <f>SUM($F183:G183)</f>
        <v>0</v>
      </c>
      <c r="K183" s="682">
        <v>0</v>
      </c>
      <c r="M183" s="2155">
        <v>0</v>
      </c>
      <c r="N183" s="2155">
        <v>0</v>
      </c>
      <c r="O183" s="685">
        <f t="shared" si="15"/>
        <v>0</v>
      </c>
      <c r="P183" s="685">
        <f t="shared" si="16"/>
        <v>0</v>
      </c>
    </row>
    <row r="184" spans="1:16" s="682" customFormat="1" ht="15" hidden="1" outlineLevel="2" x14ac:dyDescent="0.25">
      <c r="A184" s="682" t="s">
        <v>2034</v>
      </c>
      <c r="B184" s="682" t="s">
        <v>1973</v>
      </c>
      <c r="C184" s="682" t="s">
        <v>1974</v>
      </c>
      <c r="D184" s="2207">
        <v>129746</v>
      </c>
      <c r="E184" s="2207">
        <v>0</v>
      </c>
      <c r="F184" s="2155">
        <v>0</v>
      </c>
      <c r="H184" s="2155">
        <v>0</v>
      </c>
      <c r="I184" s="2155">
        <v>0</v>
      </c>
      <c r="J184" s="685">
        <f>SUM($F184:G184)</f>
        <v>0</v>
      </c>
      <c r="K184" s="682">
        <v>0</v>
      </c>
      <c r="M184" s="2155">
        <v>0</v>
      </c>
      <c r="N184" s="2155">
        <v>0</v>
      </c>
      <c r="O184" s="685">
        <f t="shared" si="15"/>
        <v>0</v>
      </c>
      <c r="P184" s="685">
        <f t="shared" si="16"/>
        <v>0</v>
      </c>
    </row>
    <row r="185" spans="1:16" s="682" customFormat="1" ht="15" hidden="1" outlineLevel="2" x14ac:dyDescent="0.25">
      <c r="A185" s="682" t="s">
        <v>2034</v>
      </c>
      <c r="B185" s="682" t="s">
        <v>1975</v>
      </c>
      <c r="C185" s="682" t="s">
        <v>1976</v>
      </c>
      <c r="D185" s="2207">
        <v>314911</v>
      </c>
      <c r="E185" s="2207">
        <v>0</v>
      </c>
      <c r="F185" s="2155">
        <v>0</v>
      </c>
      <c r="H185" s="2155">
        <v>0</v>
      </c>
      <c r="I185" s="2155">
        <v>0</v>
      </c>
      <c r="J185" s="685">
        <f>SUM($F185:G185)</f>
        <v>0</v>
      </c>
      <c r="K185" s="682">
        <v>0</v>
      </c>
      <c r="M185" s="2155">
        <v>0</v>
      </c>
      <c r="N185" s="2155">
        <v>0</v>
      </c>
      <c r="O185" s="685">
        <f t="shared" si="15"/>
        <v>0</v>
      </c>
      <c r="P185" s="685">
        <f t="shared" si="16"/>
        <v>0</v>
      </c>
    </row>
    <row r="186" spans="1:16" s="682" customFormat="1" ht="15" hidden="1" outlineLevel="2" x14ac:dyDescent="0.25">
      <c r="A186" s="682" t="s">
        <v>2034</v>
      </c>
      <c r="B186" s="682" t="s">
        <v>1977</v>
      </c>
      <c r="C186" s="682" t="s">
        <v>1978</v>
      </c>
      <c r="D186" s="2207">
        <v>275393</v>
      </c>
      <c r="E186" s="2207">
        <v>0</v>
      </c>
      <c r="F186" s="2155">
        <v>0</v>
      </c>
      <c r="H186" s="2155">
        <v>0</v>
      </c>
      <c r="I186" s="2155">
        <v>0</v>
      </c>
      <c r="J186" s="685">
        <f>SUM($F186:G186)</f>
        <v>0</v>
      </c>
      <c r="K186" s="682">
        <v>0</v>
      </c>
      <c r="M186" s="2155">
        <v>0</v>
      </c>
      <c r="N186" s="2155">
        <v>0</v>
      </c>
      <c r="O186" s="685">
        <f t="shared" si="15"/>
        <v>0</v>
      </c>
      <c r="P186" s="685">
        <f t="shared" si="16"/>
        <v>0</v>
      </c>
    </row>
    <row r="187" spans="1:16" s="682" customFormat="1" ht="15" hidden="1" outlineLevel="2" x14ac:dyDescent="0.25">
      <c r="A187" s="682" t="s">
        <v>2034</v>
      </c>
      <c r="B187" s="682" t="s">
        <v>1979</v>
      </c>
      <c r="C187" s="682" t="s">
        <v>1980</v>
      </c>
      <c r="D187" s="2207">
        <v>46203</v>
      </c>
      <c r="E187" s="2207">
        <v>0</v>
      </c>
      <c r="F187" s="2155">
        <v>0</v>
      </c>
      <c r="H187" s="2155">
        <v>0</v>
      </c>
      <c r="I187" s="2155">
        <v>0</v>
      </c>
      <c r="J187" s="685">
        <f>SUM($F187:G187)</f>
        <v>0</v>
      </c>
      <c r="K187" s="682">
        <v>0</v>
      </c>
      <c r="M187" s="2155">
        <v>0</v>
      </c>
      <c r="N187" s="2155">
        <v>0</v>
      </c>
      <c r="O187" s="685">
        <f t="shared" si="15"/>
        <v>0</v>
      </c>
      <c r="P187" s="685">
        <f t="shared" si="16"/>
        <v>0</v>
      </c>
    </row>
    <row r="188" spans="1:16" s="682" customFormat="1" ht="15" hidden="1" outlineLevel="2" x14ac:dyDescent="0.25">
      <c r="A188" s="682" t="s">
        <v>2034</v>
      </c>
      <c r="B188" s="682" t="s">
        <v>1981</v>
      </c>
      <c r="C188" s="682" t="s">
        <v>1982</v>
      </c>
      <c r="D188" s="2207">
        <v>38922</v>
      </c>
      <c r="E188" s="2207">
        <v>0</v>
      </c>
      <c r="F188" s="2155">
        <v>0</v>
      </c>
      <c r="H188" s="2155">
        <v>0</v>
      </c>
      <c r="I188" s="2155">
        <v>0</v>
      </c>
      <c r="J188" s="685">
        <f>SUM($F188:G188)</f>
        <v>0</v>
      </c>
      <c r="K188" s="682">
        <v>0</v>
      </c>
      <c r="M188" s="2155">
        <v>0</v>
      </c>
      <c r="N188" s="2155">
        <v>0</v>
      </c>
      <c r="O188" s="685">
        <f t="shared" si="15"/>
        <v>0</v>
      </c>
      <c r="P188" s="685">
        <f t="shared" si="16"/>
        <v>0</v>
      </c>
    </row>
    <row r="189" spans="1:16" s="682" customFormat="1" ht="15" hidden="1" outlineLevel="2" x14ac:dyDescent="0.25">
      <c r="A189" s="682" t="s">
        <v>2034</v>
      </c>
      <c r="B189" s="682" t="s">
        <v>1985</v>
      </c>
      <c r="C189" s="682" t="s">
        <v>1986</v>
      </c>
      <c r="D189" s="2207">
        <v>79341</v>
      </c>
      <c r="E189" s="2207">
        <v>0</v>
      </c>
      <c r="F189" s="2155">
        <v>0</v>
      </c>
      <c r="H189" s="2155">
        <v>0</v>
      </c>
      <c r="I189" s="2155">
        <v>0</v>
      </c>
      <c r="J189" s="685">
        <f>SUM($F189:G189)</f>
        <v>0</v>
      </c>
      <c r="K189" s="682">
        <v>0</v>
      </c>
      <c r="M189" s="2155">
        <v>0</v>
      </c>
      <c r="N189" s="2155">
        <v>0</v>
      </c>
      <c r="O189" s="685">
        <f t="shared" ref="O189:O201" si="17">SUM(K189:L189)</f>
        <v>0</v>
      </c>
      <c r="P189" s="685">
        <f t="shared" si="16"/>
        <v>0</v>
      </c>
    </row>
    <row r="190" spans="1:16" s="682" customFormat="1" ht="15" hidden="1" outlineLevel="2" x14ac:dyDescent="0.25">
      <c r="A190" s="682" t="s">
        <v>2034</v>
      </c>
      <c r="B190" s="682" t="s">
        <v>1987</v>
      </c>
      <c r="C190" s="682" t="s">
        <v>1988</v>
      </c>
      <c r="D190" s="2207">
        <v>2717824</v>
      </c>
      <c r="E190" s="2207">
        <v>0</v>
      </c>
      <c r="F190" s="2155">
        <v>0</v>
      </c>
      <c r="H190" s="2155">
        <v>0</v>
      </c>
      <c r="I190" s="2155">
        <v>0</v>
      </c>
      <c r="J190" s="685">
        <f>SUM($F190:G190)</f>
        <v>0</v>
      </c>
      <c r="K190" s="682">
        <v>0</v>
      </c>
      <c r="M190" s="2155">
        <v>0</v>
      </c>
      <c r="N190" s="2155">
        <v>0</v>
      </c>
      <c r="O190" s="685">
        <f t="shared" si="17"/>
        <v>0</v>
      </c>
      <c r="P190" s="685">
        <f t="shared" si="16"/>
        <v>0</v>
      </c>
    </row>
    <row r="191" spans="1:16" s="682" customFormat="1" ht="15" hidden="1" outlineLevel="2" x14ac:dyDescent="0.25">
      <c r="A191" s="682" t="s">
        <v>2034</v>
      </c>
      <c r="B191" s="682" t="s">
        <v>1991</v>
      </c>
      <c r="C191" s="682" t="s">
        <v>1992</v>
      </c>
      <c r="D191" s="2207">
        <v>1944292</v>
      </c>
      <c r="E191" s="2207">
        <v>0</v>
      </c>
      <c r="F191" s="2155">
        <v>0</v>
      </c>
      <c r="H191" s="2155">
        <v>0</v>
      </c>
      <c r="I191" s="2155">
        <v>0</v>
      </c>
      <c r="J191" s="685">
        <f>SUM($F191:G191)</f>
        <v>0</v>
      </c>
      <c r="K191" s="682">
        <v>0</v>
      </c>
      <c r="M191" s="2155">
        <v>0</v>
      </c>
      <c r="N191" s="2155">
        <v>0</v>
      </c>
      <c r="O191" s="685">
        <f t="shared" si="17"/>
        <v>0</v>
      </c>
      <c r="P191" s="685">
        <f t="shared" si="16"/>
        <v>0</v>
      </c>
    </row>
    <row r="192" spans="1:16" s="682" customFormat="1" ht="15" hidden="1" outlineLevel="2" x14ac:dyDescent="0.25">
      <c r="A192" s="682" t="s">
        <v>2034</v>
      </c>
      <c r="B192" s="682" t="s">
        <v>1993</v>
      </c>
      <c r="C192" s="682" t="s">
        <v>1994</v>
      </c>
      <c r="D192" s="2207">
        <v>111617</v>
      </c>
      <c r="E192" s="2207">
        <v>0</v>
      </c>
      <c r="F192" s="2155">
        <v>0</v>
      </c>
      <c r="H192" s="2155">
        <v>0</v>
      </c>
      <c r="I192" s="2155">
        <v>0</v>
      </c>
      <c r="J192" s="685">
        <f>SUM($F192:G192)</f>
        <v>0</v>
      </c>
      <c r="K192" s="682">
        <v>0</v>
      </c>
      <c r="M192" s="2155">
        <v>0</v>
      </c>
      <c r="N192" s="2155">
        <v>0</v>
      </c>
      <c r="O192" s="685">
        <f t="shared" si="17"/>
        <v>0</v>
      </c>
      <c r="P192" s="685">
        <f t="shared" si="16"/>
        <v>0</v>
      </c>
    </row>
    <row r="193" spans="1:16" s="682" customFormat="1" ht="15" hidden="1" outlineLevel="2" x14ac:dyDescent="0.25">
      <c r="A193" s="682" t="s">
        <v>2034</v>
      </c>
      <c r="B193" s="682" t="s">
        <v>1997</v>
      </c>
      <c r="C193" s="682" t="s">
        <v>1998</v>
      </c>
      <c r="D193" s="2207">
        <v>680325</v>
      </c>
      <c r="E193" s="2207">
        <v>0</v>
      </c>
      <c r="F193" s="2155">
        <v>0</v>
      </c>
      <c r="H193" s="2155">
        <v>0</v>
      </c>
      <c r="I193" s="2155">
        <v>0</v>
      </c>
      <c r="J193" s="685">
        <f>SUM($F193:G193)</f>
        <v>0</v>
      </c>
      <c r="K193" s="682">
        <v>0</v>
      </c>
      <c r="M193" s="2155">
        <v>0</v>
      </c>
      <c r="N193" s="2155">
        <v>0</v>
      </c>
      <c r="O193" s="685">
        <f t="shared" si="17"/>
        <v>0</v>
      </c>
      <c r="P193" s="685">
        <f t="shared" si="16"/>
        <v>0</v>
      </c>
    </row>
    <row r="194" spans="1:16" s="682" customFormat="1" ht="15" hidden="1" outlineLevel="2" x14ac:dyDescent="0.25">
      <c r="A194" s="682" t="s">
        <v>2034</v>
      </c>
      <c r="B194" s="682" t="s">
        <v>1999</v>
      </c>
      <c r="C194" s="682" t="s">
        <v>2000</v>
      </c>
      <c r="D194" s="2207">
        <v>23545</v>
      </c>
      <c r="E194" s="2207">
        <v>0</v>
      </c>
      <c r="F194" s="2155">
        <v>0</v>
      </c>
      <c r="H194" s="2155">
        <v>0</v>
      </c>
      <c r="I194" s="2155">
        <v>0</v>
      </c>
      <c r="J194" s="685">
        <f>SUM($F194:G194)</f>
        <v>0</v>
      </c>
      <c r="K194" s="682">
        <v>0</v>
      </c>
      <c r="M194" s="2155">
        <v>0</v>
      </c>
      <c r="N194" s="2155">
        <v>0</v>
      </c>
      <c r="O194" s="685">
        <f t="shared" si="17"/>
        <v>0</v>
      </c>
      <c r="P194" s="685">
        <f t="shared" si="16"/>
        <v>0</v>
      </c>
    </row>
    <row r="195" spans="1:16" s="682" customFormat="1" ht="15" hidden="1" outlineLevel="2" x14ac:dyDescent="0.25">
      <c r="A195" s="682" t="s">
        <v>2034</v>
      </c>
      <c r="B195" s="682" t="s">
        <v>2001</v>
      </c>
      <c r="C195" s="682" t="s">
        <v>2002</v>
      </c>
      <c r="D195" s="2207">
        <v>97252</v>
      </c>
      <c r="E195" s="2207">
        <v>0</v>
      </c>
      <c r="F195" s="2155">
        <v>0</v>
      </c>
      <c r="H195" s="2155">
        <v>0</v>
      </c>
      <c r="I195" s="2155">
        <v>0</v>
      </c>
      <c r="J195" s="685">
        <f>SUM($F195:G195)</f>
        <v>0</v>
      </c>
      <c r="K195" s="682">
        <v>0</v>
      </c>
      <c r="M195" s="2155">
        <v>0</v>
      </c>
      <c r="N195" s="2155">
        <v>0</v>
      </c>
      <c r="O195" s="685">
        <f t="shared" si="17"/>
        <v>0</v>
      </c>
      <c r="P195" s="685">
        <f t="shared" si="16"/>
        <v>0</v>
      </c>
    </row>
    <row r="196" spans="1:16" s="682" customFormat="1" ht="15" hidden="1" outlineLevel="2" x14ac:dyDescent="0.25">
      <c r="A196" s="682" t="s">
        <v>2034</v>
      </c>
      <c r="B196" s="682" t="s">
        <v>2003</v>
      </c>
      <c r="C196" s="682" t="s">
        <v>2004</v>
      </c>
      <c r="D196" s="2207">
        <v>760450</v>
      </c>
      <c r="E196" s="2207">
        <v>0</v>
      </c>
      <c r="F196" s="2155">
        <v>0</v>
      </c>
      <c r="H196" s="2155">
        <v>0</v>
      </c>
      <c r="I196" s="2155">
        <v>0</v>
      </c>
      <c r="J196" s="685">
        <f>SUM($F196:G196)</f>
        <v>0</v>
      </c>
      <c r="K196" s="682">
        <v>0</v>
      </c>
      <c r="M196" s="2155">
        <v>0</v>
      </c>
      <c r="N196" s="2155">
        <v>0</v>
      </c>
      <c r="O196" s="685">
        <f t="shared" si="17"/>
        <v>0</v>
      </c>
      <c r="P196" s="685">
        <f t="shared" si="16"/>
        <v>0</v>
      </c>
    </row>
    <row r="197" spans="1:16" s="682" customFormat="1" ht="15" hidden="1" outlineLevel="2" x14ac:dyDescent="0.25">
      <c r="A197" s="682" t="s">
        <v>2034</v>
      </c>
      <c r="B197" s="682" t="s">
        <v>2005</v>
      </c>
      <c r="C197" s="682" t="s">
        <v>2006</v>
      </c>
      <c r="D197" s="2207">
        <v>301379</v>
      </c>
      <c r="E197" s="2207">
        <v>0</v>
      </c>
      <c r="F197" s="2155">
        <v>0</v>
      </c>
      <c r="H197" s="2155">
        <v>0</v>
      </c>
      <c r="I197" s="2155">
        <v>0</v>
      </c>
      <c r="J197" s="685">
        <f>SUM($F197:G197)</f>
        <v>0</v>
      </c>
      <c r="K197" s="682">
        <v>0</v>
      </c>
      <c r="M197" s="2155">
        <v>0</v>
      </c>
      <c r="N197" s="2155">
        <v>0</v>
      </c>
      <c r="O197" s="685">
        <f t="shared" si="17"/>
        <v>0</v>
      </c>
      <c r="P197" s="685">
        <f t="shared" si="16"/>
        <v>0</v>
      </c>
    </row>
    <row r="198" spans="1:16" s="682" customFormat="1" ht="15" hidden="1" outlineLevel="2" x14ac:dyDescent="0.25">
      <c r="A198" s="682" t="s">
        <v>2034</v>
      </c>
      <c r="B198" s="682" t="s">
        <v>2007</v>
      </c>
      <c r="C198" s="682" t="s">
        <v>2008</v>
      </c>
      <c r="D198" s="2207">
        <v>252218</v>
      </c>
      <c r="E198" s="2207">
        <v>0</v>
      </c>
      <c r="F198" s="2155">
        <v>0</v>
      </c>
      <c r="H198" s="2155">
        <v>0</v>
      </c>
      <c r="I198" s="2155">
        <v>0</v>
      </c>
      <c r="J198" s="685">
        <f>SUM($F198:G198)</f>
        <v>0</v>
      </c>
      <c r="K198" s="682">
        <v>0</v>
      </c>
      <c r="M198" s="2155">
        <v>0</v>
      </c>
      <c r="N198" s="2155">
        <v>0</v>
      </c>
      <c r="O198" s="685">
        <f t="shared" si="17"/>
        <v>0</v>
      </c>
      <c r="P198" s="685">
        <f t="shared" si="16"/>
        <v>0</v>
      </c>
    </row>
    <row r="199" spans="1:16" s="682" customFormat="1" ht="15" hidden="1" outlineLevel="2" x14ac:dyDescent="0.25">
      <c r="A199" s="682" t="s">
        <v>2034</v>
      </c>
      <c r="B199" s="682" t="s">
        <v>2011</v>
      </c>
      <c r="C199" s="682" t="s">
        <v>2012</v>
      </c>
      <c r="D199" s="2207">
        <v>85050</v>
      </c>
      <c r="E199" s="2207">
        <v>0</v>
      </c>
      <c r="F199" s="2155">
        <v>0</v>
      </c>
      <c r="H199" s="2155">
        <v>0</v>
      </c>
      <c r="I199" s="2155">
        <v>0</v>
      </c>
      <c r="J199" s="685">
        <f>SUM($F199:G199)</f>
        <v>0</v>
      </c>
      <c r="K199" s="682">
        <v>0</v>
      </c>
      <c r="M199" s="2155">
        <v>0</v>
      </c>
      <c r="N199" s="2155">
        <v>0</v>
      </c>
      <c r="O199" s="685">
        <f t="shared" si="17"/>
        <v>0</v>
      </c>
      <c r="P199" s="685">
        <f t="shared" si="16"/>
        <v>0</v>
      </c>
    </row>
    <row r="200" spans="1:16" s="682" customFormat="1" ht="15" hidden="1" outlineLevel="2" x14ac:dyDescent="0.25">
      <c r="A200" s="682" t="s">
        <v>2034</v>
      </c>
      <c r="B200" s="682" t="s">
        <v>2013</v>
      </c>
      <c r="C200" s="682" t="s">
        <v>2014</v>
      </c>
      <c r="D200" s="2207">
        <v>53862</v>
      </c>
      <c r="E200" s="2207">
        <v>0</v>
      </c>
      <c r="F200" s="2155">
        <v>0</v>
      </c>
      <c r="H200" s="2155">
        <v>0</v>
      </c>
      <c r="I200" s="2155">
        <v>0</v>
      </c>
      <c r="J200" s="685">
        <f>SUM($F200:G200)</f>
        <v>0</v>
      </c>
      <c r="K200" s="682">
        <v>0</v>
      </c>
      <c r="M200" s="2155">
        <v>0</v>
      </c>
      <c r="N200" s="2155">
        <v>0</v>
      </c>
      <c r="O200" s="685">
        <f t="shared" si="17"/>
        <v>0</v>
      </c>
      <c r="P200" s="685">
        <f t="shared" si="16"/>
        <v>0</v>
      </c>
    </row>
    <row r="201" spans="1:16" s="682" customFormat="1" ht="15" hidden="1" outlineLevel="2" x14ac:dyDescent="0.25">
      <c r="A201" s="682" t="s">
        <v>2034</v>
      </c>
      <c r="B201" s="682" t="s">
        <v>2017</v>
      </c>
      <c r="C201" s="682" t="s">
        <v>2018</v>
      </c>
      <c r="D201" s="2207">
        <v>164451</v>
      </c>
      <c r="E201" s="2207">
        <v>0</v>
      </c>
      <c r="F201" s="2155">
        <v>0</v>
      </c>
      <c r="H201" s="2155">
        <v>0</v>
      </c>
      <c r="I201" s="2155">
        <v>0</v>
      </c>
      <c r="J201" s="685">
        <f>SUM($F201:G201)</f>
        <v>0</v>
      </c>
      <c r="K201" s="682">
        <v>0</v>
      </c>
      <c r="M201" s="2155">
        <v>0</v>
      </c>
      <c r="N201" s="2155">
        <v>0</v>
      </c>
      <c r="O201" s="685">
        <f t="shared" si="17"/>
        <v>0</v>
      </c>
      <c r="P201" s="685">
        <f t="shared" si="16"/>
        <v>0</v>
      </c>
    </row>
    <row r="202" spans="1:16" s="682" customFormat="1" ht="15" hidden="1" outlineLevel="2" x14ac:dyDescent="0.25">
      <c r="A202" s="682" t="s">
        <v>2034</v>
      </c>
      <c r="B202" s="682" t="s">
        <v>2021</v>
      </c>
      <c r="C202" s="682" t="s">
        <v>2022</v>
      </c>
      <c r="D202" s="2207">
        <v>105998</v>
      </c>
      <c r="E202" s="2207">
        <v>0</v>
      </c>
      <c r="F202" s="2155">
        <v>0</v>
      </c>
      <c r="H202" s="2155">
        <v>0</v>
      </c>
      <c r="I202" s="2155">
        <v>0</v>
      </c>
      <c r="J202" s="685">
        <f>SUM($F202:G202)</f>
        <v>0</v>
      </c>
      <c r="K202" s="682">
        <v>0</v>
      </c>
      <c r="M202" s="2155">
        <v>0</v>
      </c>
      <c r="N202" s="2155">
        <v>0</v>
      </c>
      <c r="O202" s="685">
        <f t="shared" si="15"/>
        <v>0</v>
      </c>
      <c r="P202" s="685">
        <f t="shared" si="16"/>
        <v>0</v>
      </c>
    </row>
    <row r="203" spans="1:16" s="682" customFormat="1" ht="15" hidden="1" outlineLevel="2" x14ac:dyDescent="0.25">
      <c r="A203" s="682" t="s">
        <v>2034</v>
      </c>
      <c r="B203" s="682" t="s">
        <v>2025</v>
      </c>
      <c r="C203" s="682" t="s">
        <v>2026</v>
      </c>
      <c r="D203" s="2207">
        <v>143895</v>
      </c>
      <c r="E203" s="2207">
        <v>0</v>
      </c>
      <c r="F203" s="2155">
        <v>0</v>
      </c>
      <c r="H203" s="2155">
        <v>0</v>
      </c>
      <c r="I203" s="2155">
        <v>0</v>
      </c>
      <c r="J203" s="685">
        <f>SUM($F203:G203)</f>
        <v>0</v>
      </c>
      <c r="K203" s="682">
        <v>0</v>
      </c>
      <c r="M203" s="2155">
        <v>0</v>
      </c>
      <c r="N203" s="2155">
        <v>0</v>
      </c>
      <c r="O203" s="685">
        <f t="shared" si="15"/>
        <v>0</v>
      </c>
      <c r="P203" s="685">
        <f t="shared" si="16"/>
        <v>0</v>
      </c>
    </row>
    <row r="204" spans="1:16" s="682" customFormat="1" ht="15" hidden="1" outlineLevel="2" x14ac:dyDescent="0.25">
      <c r="A204" s="682" t="s">
        <v>2034</v>
      </c>
      <c r="B204" s="682" t="s">
        <v>2027</v>
      </c>
      <c r="C204" s="682" t="s">
        <v>2028</v>
      </c>
      <c r="D204" s="2207">
        <v>48168</v>
      </c>
      <c r="E204" s="2207">
        <v>0</v>
      </c>
      <c r="F204" s="2155">
        <v>0</v>
      </c>
      <c r="H204" s="2155">
        <v>0</v>
      </c>
      <c r="I204" s="2155">
        <v>0</v>
      </c>
      <c r="J204" s="685">
        <f>SUM($F204:G204)</f>
        <v>0</v>
      </c>
      <c r="K204" s="682">
        <v>0</v>
      </c>
      <c r="M204" s="2155">
        <v>0</v>
      </c>
      <c r="N204" s="2155">
        <v>0</v>
      </c>
      <c r="O204" s="685">
        <f t="shared" si="15"/>
        <v>0</v>
      </c>
      <c r="P204" s="685">
        <f t="shared" si="16"/>
        <v>0</v>
      </c>
    </row>
    <row r="205" spans="1:16" outlineLevel="1" collapsed="1" x14ac:dyDescent="0.2">
      <c r="A205" s="681" t="s">
        <v>2035</v>
      </c>
      <c r="D205" s="2206">
        <f t="shared" ref="D205:J205" si="18">SUBTOTAL(9,D147:D204)</f>
        <v>483781492</v>
      </c>
      <c r="E205" s="2206">
        <f t="shared" si="18"/>
        <v>483874302</v>
      </c>
      <c r="F205" s="2206">
        <f t="shared" si="18"/>
        <v>483874302</v>
      </c>
      <c r="G205" s="681">
        <f t="shared" si="18"/>
        <v>115955140</v>
      </c>
      <c r="H205" s="2206">
        <f t="shared" si="18"/>
        <v>0</v>
      </c>
      <c r="I205" s="2206">
        <f t="shared" si="18"/>
        <v>0</v>
      </c>
      <c r="J205" s="681">
        <f t="shared" si="18"/>
        <v>599829442</v>
      </c>
      <c r="K205" s="681">
        <v>483874302</v>
      </c>
      <c r="L205" s="681">
        <f>SUBTOTAL(9,L147:L204)</f>
        <v>115955140</v>
      </c>
      <c r="M205" s="2206">
        <f>SUBTOTAL(9,M147:M204)</f>
        <v>0</v>
      </c>
      <c r="N205" s="2206">
        <f>SUBTOTAL(9,N147:N204)</f>
        <v>0</v>
      </c>
      <c r="O205" s="681">
        <f>SUBTOTAL(9,O147:O204)</f>
        <v>599829442</v>
      </c>
      <c r="P205" s="681">
        <f>SUBTOTAL(9,P147:P204)</f>
        <v>1199658884</v>
      </c>
    </row>
    <row r="206" spans="1:16" s="682" customFormat="1" ht="15" hidden="1" outlineLevel="2" x14ac:dyDescent="0.25">
      <c r="A206" s="682" t="s">
        <v>2036</v>
      </c>
      <c r="B206" s="682" t="s">
        <v>1889</v>
      </c>
      <c r="C206" s="682" t="s">
        <v>1890</v>
      </c>
      <c r="D206" s="2207">
        <v>0</v>
      </c>
      <c r="E206" s="2207">
        <v>223153735</v>
      </c>
      <c r="F206" s="2155">
        <v>223153735</v>
      </c>
      <c r="G206" s="682">
        <f>'3.1b Allocation Adj. YR1 '!$I$32-F206</f>
        <v>9540884</v>
      </c>
      <c r="H206" s="2155">
        <v>0</v>
      </c>
      <c r="I206" s="2155">
        <v>0</v>
      </c>
      <c r="J206" s="685">
        <f>SUM($F206:G206)</f>
        <v>232694619</v>
      </c>
      <c r="K206" s="2155">
        <v>223153735</v>
      </c>
      <c r="L206" s="682">
        <f>'7.1b Allocation Adj. YR2'!$I$32-K206</f>
        <v>11275395</v>
      </c>
      <c r="M206" s="2155">
        <v>0</v>
      </c>
      <c r="N206" s="2155">
        <v>0</v>
      </c>
      <c r="O206" s="685">
        <f t="shared" ref="O206:O276" si="19">SUM(K206:L206)</f>
        <v>234429130</v>
      </c>
      <c r="P206" s="685">
        <f t="shared" ref="P206:P276" si="20">+J206+O206</f>
        <v>467123749</v>
      </c>
    </row>
    <row r="207" spans="1:16" s="682" customFormat="1" ht="15" hidden="1" outlineLevel="2" x14ac:dyDescent="0.25">
      <c r="A207" s="682" t="s">
        <v>2036</v>
      </c>
      <c r="B207" s="682" t="s">
        <v>1891</v>
      </c>
      <c r="C207" s="682" t="s">
        <v>1892</v>
      </c>
      <c r="D207" s="2207">
        <v>2900920</v>
      </c>
      <c r="E207" s="2207">
        <v>0</v>
      </c>
      <c r="F207" s="2155">
        <v>0</v>
      </c>
      <c r="H207" s="2155">
        <v>0</v>
      </c>
      <c r="I207" s="2155">
        <v>0</v>
      </c>
      <c r="J207" s="685">
        <f>SUM($F207:G207)</f>
        <v>0</v>
      </c>
      <c r="K207" s="2155">
        <v>0</v>
      </c>
      <c r="M207" s="2155">
        <v>0</v>
      </c>
      <c r="N207" s="2155">
        <v>0</v>
      </c>
      <c r="O207" s="685">
        <f t="shared" si="19"/>
        <v>0</v>
      </c>
      <c r="P207" s="685">
        <f t="shared" si="20"/>
        <v>0</v>
      </c>
    </row>
    <row r="208" spans="1:16" s="682" customFormat="1" ht="15" hidden="1" outlineLevel="2" x14ac:dyDescent="0.25">
      <c r="A208" s="682" t="s">
        <v>2036</v>
      </c>
      <c r="B208" s="682" t="s">
        <v>1893</v>
      </c>
      <c r="C208" s="682" t="s">
        <v>1894</v>
      </c>
      <c r="D208" s="2207">
        <v>447847</v>
      </c>
      <c r="E208" s="2207">
        <v>0</v>
      </c>
      <c r="F208" s="2155">
        <v>0</v>
      </c>
      <c r="H208" s="2155">
        <v>0</v>
      </c>
      <c r="I208" s="2155">
        <v>0</v>
      </c>
      <c r="J208" s="685">
        <f>SUM($F208:G208)</f>
        <v>0</v>
      </c>
      <c r="K208" s="2155">
        <v>0</v>
      </c>
      <c r="M208" s="2155">
        <v>0</v>
      </c>
      <c r="N208" s="2155">
        <v>0</v>
      </c>
      <c r="O208" s="685">
        <f t="shared" si="19"/>
        <v>0</v>
      </c>
      <c r="P208" s="685">
        <f t="shared" si="20"/>
        <v>0</v>
      </c>
    </row>
    <row r="209" spans="1:16" s="682" customFormat="1" ht="15" hidden="1" outlineLevel="2" x14ac:dyDescent="0.25">
      <c r="A209" s="682" t="s">
        <v>2036</v>
      </c>
      <c r="B209" s="682" t="s">
        <v>1895</v>
      </c>
      <c r="C209" s="682" t="s">
        <v>1896</v>
      </c>
      <c r="D209" s="2207">
        <v>151832282</v>
      </c>
      <c r="E209" s="2207">
        <v>0</v>
      </c>
      <c r="F209" s="2155">
        <v>0</v>
      </c>
      <c r="H209" s="2155">
        <v>0</v>
      </c>
      <c r="I209" s="2155">
        <v>0</v>
      </c>
      <c r="J209" s="685">
        <f>SUM($F209:G209)</f>
        <v>0</v>
      </c>
      <c r="K209" s="2155">
        <v>0</v>
      </c>
      <c r="M209" s="2155">
        <v>0</v>
      </c>
      <c r="N209" s="2155">
        <v>0</v>
      </c>
      <c r="O209" s="685">
        <f t="shared" si="19"/>
        <v>0</v>
      </c>
      <c r="P209" s="685">
        <f t="shared" si="20"/>
        <v>0</v>
      </c>
    </row>
    <row r="210" spans="1:16" s="682" customFormat="1" ht="15" hidden="1" outlineLevel="2" x14ac:dyDescent="0.25">
      <c r="A210" s="682" t="s">
        <v>2036</v>
      </c>
      <c r="B210" s="682" t="s">
        <v>1897</v>
      </c>
      <c r="C210" s="682" t="s">
        <v>1898</v>
      </c>
      <c r="D210" s="2207">
        <v>681857</v>
      </c>
      <c r="E210" s="2207">
        <v>0</v>
      </c>
      <c r="F210" s="2155">
        <v>0</v>
      </c>
      <c r="H210" s="2155">
        <v>0</v>
      </c>
      <c r="I210" s="2155">
        <v>0</v>
      </c>
      <c r="J210" s="685">
        <f>SUM($F210:G210)</f>
        <v>0</v>
      </c>
      <c r="K210" s="2155">
        <v>0</v>
      </c>
      <c r="M210" s="2155">
        <v>0</v>
      </c>
      <c r="N210" s="2155">
        <v>0</v>
      </c>
      <c r="O210" s="685">
        <f t="shared" si="19"/>
        <v>0</v>
      </c>
      <c r="P210" s="685">
        <f t="shared" si="20"/>
        <v>0</v>
      </c>
    </row>
    <row r="211" spans="1:16" s="682" customFormat="1" ht="15" hidden="1" outlineLevel="2" x14ac:dyDescent="0.25">
      <c r="A211" s="682" t="s">
        <v>2036</v>
      </c>
      <c r="B211" s="682" t="s">
        <v>1899</v>
      </c>
      <c r="C211" s="682" t="s">
        <v>1900</v>
      </c>
      <c r="D211" s="2207">
        <v>2731464</v>
      </c>
      <c r="E211" s="2207">
        <v>0</v>
      </c>
      <c r="F211" s="2155">
        <v>0</v>
      </c>
      <c r="H211" s="2155">
        <v>0</v>
      </c>
      <c r="I211" s="2155">
        <v>0</v>
      </c>
      <c r="J211" s="685">
        <f>SUM($F211:G211)</f>
        <v>0</v>
      </c>
      <c r="K211" s="682">
        <v>0</v>
      </c>
      <c r="M211" s="2155">
        <v>0</v>
      </c>
      <c r="N211" s="2155">
        <v>0</v>
      </c>
      <c r="O211" s="685">
        <f t="shared" si="19"/>
        <v>0</v>
      </c>
      <c r="P211" s="685">
        <f t="shared" si="20"/>
        <v>0</v>
      </c>
    </row>
    <row r="212" spans="1:16" s="682" customFormat="1" ht="15" hidden="1" outlineLevel="2" x14ac:dyDescent="0.25">
      <c r="A212" s="682" t="s">
        <v>2036</v>
      </c>
      <c r="B212" s="682" t="s">
        <v>1901</v>
      </c>
      <c r="C212" s="682" t="s">
        <v>1902</v>
      </c>
      <c r="D212" s="2207">
        <v>17401</v>
      </c>
      <c r="E212" s="2207">
        <v>0</v>
      </c>
      <c r="F212" s="2155">
        <v>0</v>
      </c>
      <c r="H212" s="2155">
        <v>0</v>
      </c>
      <c r="I212" s="2155">
        <v>0</v>
      </c>
      <c r="J212" s="685">
        <f>SUM($F212:G212)</f>
        <v>0</v>
      </c>
      <c r="K212" s="682">
        <v>0</v>
      </c>
      <c r="M212" s="2155">
        <v>0</v>
      </c>
      <c r="N212" s="2155">
        <v>0</v>
      </c>
      <c r="O212" s="685">
        <f t="shared" si="19"/>
        <v>0</v>
      </c>
      <c r="P212" s="685">
        <f t="shared" si="20"/>
        <v>0</v>
      </c>
    </row>
    <row r="213" spans="1:16" s="682" customFormat="1" ht="15" hidden="1" outlineLevel="2" x14ac:dyDescent="0.25">
      <c r="A213" s="682" t="s">
        <v>2036</v>
      </c>
      <c r="B213" s="682" t="s">
        <v>1903</v>
      </c>
      <c r="C213" s="682" t="s">
        <v>1904</v>
      </c>
      <c r="D213" s="2207">
        <v>10213</v>
      </c>
      <c r="E213" s="2207">
        <v>0</v>
      </c>
      <c r="F213" s="2155">
        <v>0</v>
      </c>
      <c r="H213" s="2155">
        <v>0</v>
      </c>
      <c r="I213" s="2155">
        <v>0</v>
      </c>
      <c r="J213" s="685">
        <f>SUM($F213:G213)</f>
        <v>0</v>
      </c>
      <c r="K213" s="682">
        <v>0</v>
      </c>
      <c r="M213" s="2155">
        <v>0</v>
      </c>
      <c r="N213" s="2155">
        <v>0</v>
      </c>
      <c r="O213" s="685">
        <f t="shared" si="19"/>
        <v>0</v>
      </c>
      <c r="P213" s="685">
        <f t="shared" si="20"/>
        <v>0</v>
      </c>
    </row>
    <row r="214" spans="1:16" s="682" customFormat="1" ht="15" hidden="1" outlineLevel="2" x14ac:dyDescent="0.25">
      <c r="A214" s="682" t="s">
        <v>2036</v>
      </c>
      <c r="B214" s="682" t="s">
        <v>1905</v>
      </c>
      <c r="C214" s="682" t="s">
        <v>1906</v>
      </c>
      <c r="D214" s="2207">
        <v>819036</v>
      </c>
      <c r="E214" s="2207">
        <v>0</v>
      </c>
      <c r="F214" s="2155">
        <v>0</v>
      </c>
      <c r="H214" s="2155">
        <v>0</v>
      </c>
      <c r="I214" s="2155">
        <v>0</v>
      </c>
      <c r="J214" s="685">
        <f>SUM($F214:G214)</f>
        <v>0</v>
      </c>
      <c r="K214" s="682">
        <v>0</v>
      </c>
      <c r="M214" s="2155">
        <v>0</v>
      </c>
      <c r="N214" s="2155">
        <v>0</v>
      </c>
      <c r="O214" s="685">
        <f t="shared" si="19"/>
        <v>0</v>
      </c>
      <c r="P214" s="685">
        <f t="shared" si="20"/>
        <v>0</v>
      </c>
    </row>
    <row r="215" spans="1:16" s="682" customFormat="1" ht="15" hidden="1" outlineLevel="2" x14ac:dyDescent="0.25">
      <c r="A215" s="682" t="s">
        <v>2036</v>
      </c>
      <c r="B215" s="682" t="s">
        <v>1907</v>
      </c>
      <c r="C215" s="682" t="s">
        <v>1908</v>
      </c>
      <c r="D215" s="2207">
        <v>133144</v>
      </c>
      <c r="E215" s="2207">
        <v>0</v>
      </c>
      <c r="F215" s="2155">
        <v>0</v>
      </c>
      <c r="H215" s="2155">
        <v>0</v>
      </c>
      <c r="I215" s="2155">
        <v>0</v>
      </c>
      <c r="J215" s="685">
        <f>SUM($F215:G215)</f>
        <v>0</v>
      </c>
      <c r="K215" s="682">
        <v>0</v>
      </c>
      <c r="M215" s="2155">
        <v>0</v>
      </c>
      <c r="N215" s="2155">
        <v>0</v>
      </c>
      <c r="O215" s="685">
        <f t="shared" si="19"/>
        <v>0</v>
      </c>
      <c r="P215" s="685">
        <f t="shared" si="20"/>
        <v>0</v>
      </c>
    </row>
    <row r="216" spans="1:16" s="682" customFormat="1" ht="15" hidden="1" outlineLevel="2" x14ac:dyDescent="0.25">
      <c r="A216" s="682" t="s">
        <v>2036</v>
      </c>
      <c r="B216" s="682" t="s">
        <v>1909</v>
      </c>
      <c r="C216" s="682" t="s">
        <v>1910</v>
      </c>
      <c r="D216" s="2207">
        <v>24208</v>
      </c>
      <c r="E216" s="2207">
        <v>0</v>
      </c>
      <c r="F216" s="2155">
        <v>0</v>
      </c>
      <c r="H216" s="2155">
        <v>0</v>
      </c>
      <c r="I216" s="2155">
        <v>0</v>
      </c>
      <c r="J216" s="685">
        <f>SUM($F216:G216)</f>
        <v>0</v>
      </c>
      <c r="K216" s="682">
        <v>0</v>
      </c>
      <c r="M216" s="2155">
        <v>0</v>
      </c>
      <c r="N216" s="2155">
        <v>0</v>
      </c>
      <c r="O216" s="685">
        <f t="shared" si="19"/>
        <v>0</v>
      </c>
      <c r="P216" s="685">
        <f t="shared" si="20"/>
        <v>0</v>
      </c>
    </row>
    <row r="217" spans="1:16" s="682" customFormat="1" ht="15" hidden="1" outlineLevel="2" x14ac:dyDescent="0.25">
      <c r="A217" s="682" t="s">
        <v>2036</v>
      </c>
      <c r="B217" s="682" t="s">
        <v>1911</v>
      </c>
      <c r="C217" s="682" t="s">
        <v>1912</v>
      </c>
      <c r="D217" s="2207">
        <v>1956810</v>
      </c>
      <c r="E217" s="2207">
        <v>0</v>
      </c>
      <c r="F217" s="2155">
        <v>0</v>
      </c>
      <c r="H217" s="2155">
        <v>0</v>
      </c>
      <c r="I217" s="2155">
        <v>0</v>
      </c>
      <c r="J217" s="685">
        <f>SUM($F217:G217)</f>
        <v>0</v>
      </c>
      <c r="K217" s="682">
        <v>0</v>
      </c>
      <c r="M217" s="2155">
        <v>0</v>
      </c>
      <c r="N217" s="2155">
        <v>0</v>
      </c>
      <c r="O217" s="685">
        <f t="shared" si="19"/>
        <v>0</v>
      </c>
      <c r="P217" s="685">
        <f t="shared" si="20"/>
        <v>0</v>
      </c>
    </row>
    <row r="218" spans="1:16" s="682" customFormat="1" ht="15" hidden="1" outlineLevel="2" x14ac:dyDescent="0.25">
      <c r="A218" s="682" t="s">
        <v>2036</v>
      </c>
      <c r="B218" s="682" t="s">
        <v>1913</v>
      </c>
      <c r="C218" s="682" t="s">
        <v>1914</v>
      </c>
      <c r="D218" s="2207">
        <v>137178</v>
      </c>
      <c r="E218" s="2207">
        <v>0</v>
      </c>
      <c r="F218" s="2155">
        <v>0</v>
      </c>
      <c r="H218" s="2155">
        <v>0</v>
      </c>
      <c r="I218" s="2155">
        <v>0</v>
      </c>
      <c r="J218" s="685">
        <f>SUM($F218:G218)</f>
        <v>0</v>
      </c>
      <c r="K218" s="682">
        <v>0</v>
      </c>
      <c r="M218" s="2155">
        <v>0</v>
      </c>
      <c r="N218" s="2155">
        <v>0</v>
      </c>
      <c r="O218" s="685">
        <f t="shared" si="19"/>
        <v>0</v>
      </c>
      <c r="P218" s="685">
        <f t="shared" si="20"/>
        <v>0</v>
      </c>
    </row>
    <row r="219" spans="1:16" s="682" customFormat="1" ht="15" hidden="1" outlineLevel="2" x14ac:dyDescent="0.25">
      <c r="A219" s="682" t="s">
        <v>2036</v>
      </c>
      <c r="B219" s="682" t="s">
        <v>1915</v>
      </c>
      <c r="C219" s="682" t="s">
        <v>1916</v>
      </c>
      <c r="D219" s="2207">
        <v>1307229</v>
      </c>
      <c r="E219" s="2207">
        <v>0</v>
      </c>
      <c r="F219" s="2155">
        <v>0</v>
      </c>
      <c r="H219" s="2155">
        <v>0</v>
      </c>
      <c r="I219" s="2155">
        <v>0</v>
      </c>
      <c r="J219" s="685">
        <f>SUM($F219:G219)</f>
        <v>0</v>
      </c>
      <c r="K219" s="682">
        <v>0</v>
      </c>
      <c r="M219" s="2155">
        <v>0</v>
      </c>
      <c r="N219" s="2155">
        <v>0</v>
      </c>
      <c r="O219" s="685">
        <f t="shared" si="19"/>
        <v>0</v>
      </c>
      <c r="P219" s="685">
        <f t="shared" si="20"/>
        <v>0</v>
      </c>
    </row>
    <row r="220" spans="1:16" s="682" customFormat="1" ht="15" hidden="1" outlineLevel="2" x14ac:dyDescent="0.25">
      <c r="A220" s="682" t="s">
        <v>2036</v>
      </c>
      <c r="B220" s="682" t="s">
        <v>1917</v>
      </c>
      <c r="C220" s="682" t="s">
        <v>1918</v>
      </c>
      <c r="D220" s="2207">
        <v>92797</v>
      </c>
      <c r="E220" s="2207">
        <v>0</v>
      </c>
      <c r="F220" s="2155">
        <v>0</v>
      </c>
      <c r="H220" s="2155">
        <v>0</v>
      </c>
      <c r="I220" s="2155">
        <v>0</v>
      </c>
      <c r="J220" s="685">
        <f>SUM($F220:G220)</f>
        <v>0</v>
      </c>
      <c r="K220" s="682">
        <v>0</v>
      </c>
      <c r="M220" s="2155">
        <v>0</v>
      </c>
      <c r="N220" s="2155">
        <v>0</v>
      </c>
      <c r="O220" s="685">
        <f t="shared" si="19"/>
        <v>0</v>
      </c>
      <c r="P220" s="685">
        <f t="shared" si="20"/>
        <v>0</v>
      </c>
    </row>
    <row r="221" spans="1:16" s="682" customFormat="1" ht="15" hidden="1" outlineLevel="2" x14ac:dyDescent="0.25">
      <c r="A221" s="682" t="s">
        <v>2036</v>
      </c>
      <c r="B221" s="682" t="s">
        <v>1919</v>
      </c>
      <c r="C221" s="682" t="s">
        <v>1920</v>
      </c>
      <c r="D221" s="2207">
        <v>13777</v>
      </c>
      <c r="E221" s="2207">
        <v>0</v>
      </c>
      <c r="F221" s="2155">
        <v>0</v>
      </c>
      <c r="H221" s="2155">
        <v>0</v>
      </c>
      <c r="I221" s="2155">
        <v>0</v>
      </c>
      <c r="J221" s="685">
        <f>SUM($F221:G221)</f>
        <v>0</v>
      </c>
      <c r="K221" s="682">
        <v>0</v>
      </c>
      <c r="M221" s="2155">
        <v>0</v>
      </c>
      <c r="N221" s="2155">
        <v>0</v>
      </c>
      <c r="O221" s="685">
        <f t="shared" si="19"/>
        <v>0</v>
      </c>
      <c r="P221" s="685">
        <f t="shared" si="20"/>
        <v>0</v>
      </c>
    </row>
    <row r="222" spans="1:16" s="682" customFormat="1" ht="15" hidden="1" outlineLevel="2" x14ac:dyDescent="0.25">
      <c r="A222" s="682" t="s">
        <v>2036</v>
      </c>
      <c r="B222" s="682" t="s">
        <v>1921</v>
      </c>
      <c r="C222" s="682" t="s">
        <v>1922</v>
      </c>
      <c r="D222" s="2207">
        <v>27137115</v>
      </c>
      <c r="E222" s="2207">
        <v>0</v>
      </c>
      <c r="F222" s="2155">
        <v>0</v>
      </c>
      <c r="H222" s="2155">
        <v>0</v>
      </c>
      <c r="I222" s="2155">
        <v>0</v>
      </c>
      <c r="J222" s="685">
        <f>SUM($F222:G222)</f>
        <v>0</v>
      </c>
      <c r="K222" s="682">
        <v>0</v>
      </c>
      <c r="M222" s="2155">
        <v>0</v>
      </c>
      <c r="N222" s="2155">
        <v>0</v>
      </c>
      <c r="O222" s="685">
        <f t="shared" si="19"/>
        <v>0</v>
      </c>
      <c r="P222" s="685">
        <f t="shared" si="20"/>
        <v>0</v>
      </c>
    </row>
    <row r="223" spans="1:16" s="682" customFormat="1" ht="15" hidden="1" outlineLevel="2" x14ac:dyDescent="0.25">
      <c r="A223" s="682" t="s">
        <v>2036</v>
      </c>
      <c r="B223" s="682" t="s">
        <v>1923</v>
      </c>
      <c r="C223" s="682" t="s">
        <v>1924</v>
      </c>
      <c r="D223" s="2207">
        <v>60520</v>
      </c>
      <c r="E223" s="2207">
        <v>0</v>
      </c>
      <c r="F223" s="2155">
        <v>0</v>
      </c>
      <c r="H223" s="2155">
        <v>0</v>
      </c>
      <c r="I223" s="2155">
        <v>0</v>
      </c>
      <c r="J223" s="685">
        <f>SUM($F223:G223)</f>
        <v>0</v>
      </c>
      <c r="K223" s="682">
        <v>0</v>
      </c>
      <c r="M223" s="2155">
        <v>0</v>
      </c>
      <c r="N223" s="2155">
        <v>0</v>
      </c>
      <c r="O223" s="685">
        <f t="shared" si="19"/>
        <v>0</v>
      </c>
      <c r="P223" s="685">
        <f t="shared" si="20"/>
        <v>0</v>
      </c>
    </row>
    <row r="224" spans="1:16" s="682" customFormat="1" ht="15" hidden="1" outlineLevel="2" x14ac:dyDescent="0.25">
      <c r="A224" s="682" t="s">
        <v>2036</v>
      </c>
      <c r="B224" s="682" t="s">
        <v>1925</v>
      </c>
      <c r="C224" s="682" t="s">
        <v>1926</v>
      </c>
      <c r="D224" s="2207">
        <v>96832</v>
      </c>
      <c r="E224" s="2207">
        <v>0</v>
      </c>
      <c r="F224" s="2155">
        <v>0</v>
      </c>
      <c r="H224" s="2155">
        <v>0</v>
      </c>
      <c r="I224" s="2155">
        <v>0</v>
      </c>
      <c r="J224" s="685">
        <f>SUM($F224:G224)</f>
        <v>0</v>
      </c>
      <c r="K224" s="682">
        <v>0</v>
      </c>
      <c r="M224" s="2155">
        <v>0</v>
      </c>
      <c r="N224" s="2155">
        <v>0</v>
      </c>
      <c r="O224" s="685">
        <f t="shared" si="19"/>
        <v>0</v>
      </c>
      <c r="P224" s="685">
        <f t="shared" si="20"/>
        <v>0</v>
      </c>
    </row>
    <row r="225" spans="1:16" s="682" customFormat="1" ht="15" hidden="1" outlineLevel="2" x14ac:dyDescent="0.25">
      <c r="A225" s="682" t="s">
        <v>2036</v>
      </c>
      <c r="B225" s="682" t="s">
        <v>1927</v>
      </c>
      <c r="C225" s="682" t="s">
        <v>1928</v>
      </c>
      <c r="D225" s="2207">
        <v>516436</v>
      </c>
      <c r="E225" s="2207">
        <v>0</v>
      </c>
      <c r="F225" s="2155">
        <v>0</v>
      </c>
      <c r="H225" s="2155">
        <v>0</v>
      </c>
      <c r="I225" s="2155">
        <v>0</v>
      </c>
      <c r="J225" s="685">
        <f>SUM($F225:G225)</f>
        <v>0</v>
      </c>
      <c r="K225" s="682">
        <v>0</v>
      </c>
      <c r="M225" s="2155">
        <v>0</v>
      </c>
      <c r="N225" s="2155">
        <v>0</v>
      </c>
      <c r="O225" s="685">
        <f t="shared" si="19"/>
        <v>0</v>
      </c>
      <c r="P225" s="685">
        <f t="shared" si="20"/>
        <v>0</v>
      </c>
    </row>
    <row r="226" spans="1:16" s="682" customFormat="1" ht="15" hidden="1" outlineLevel="2" x14ac:dyDescent="0.25">
      <c r="A226" s="682" t="s">
        <v>2036</v>
      </c>
      <c r="B226" s="682" t="s">
        <v>1929</v>
      </c>
      <c r="C226" s="682" t="s">
        <v>1930</v>
      </c>
      <c r="D226" s="2207">
        <v>96832</v>
      </c>
      <c r="E226" s="2207">
        <v>0</v>
      </c>
      <c r="F226" s="2155">
        <v>0</v>
      </c>
      <c r="H226" s="2155">
        <v>0</v>
      </c>
      <c r="I226" s="2155">
        <v>0</v>
      </c>
      <c r="J226" s="685">
        <f>SUM($F226:G226)</f>
        <v>0</v>
      </c>
      <c r="K226" s="682">
        <v>0</v>
      </c>
      <c r="M226" s="2155">
        <v>0</v>
      </c>
      <c r="N226" s="2155">
        <v>0</v>
      </c>
      <c r="O226" s="685">
        <f t="shared" si="19"/>
        <v>0</v>
      </c>
      <c r="P226" s="685">
        <f t="shared" si="20"/>
        <v>0</v>
      </c>
    </row>
    <row r="227" spans="1:16" s="682" customFormat="1" ht="15" hidden="1" outlineLevel="2" x14ac:dyDescent="0.25">
      <c r="A227" s="682" t="s">
        <v>2036</v>
      </c>
      <c r="B227" s="682" t="s">
        <v>1931</v>
      </c>
      <c r="C227" s="682" t="s">
        <v>1932</v>
      </c>
      <c r="D227" s="2207">
        <v>88762</v>
      </c>
      <c r="E227" s="2207">
        <v>0</v>
      </c>
      <c r="F227" s="2155">
        <v>0</v>
      </c>
      <c r="H227" s="2155">
        <v>0</v>
      </c>
      <c r="I227" s="2155">
        <v>0</v>
      </c>
      <c r="J227" s="685">
        <f>SUM($F227:G227)</f>
        <v>0</v>
      </c>
      <c r="K227" s="682">
        <v>0</v>
      </c>
      <c r="M227" s="2155">
        <v>0</v>
      </c>
      <c r="N227" s="2155">
        <v>0</v>
      </c>
      <c r="O227" s="685">
        <f t="shared" si="19"/>
        <v>0</v>
      </c>
      <c r="P227" s="685">
        <f t="shared" si="20"/>
        <v>0</v>
      </c>
    </row>
    <row r="228" spans="1:16" s="682" customFormat="1" ht="15" hidden="1" outlineLevel="2" x14ac:dyDescent="0.25">
      <c r="A228" s="682" t="s">
        <v>2036</v>
      </c>
      <c r="B228" s="682" t="s">
        <v>1933</v>
      </c>
      <c r="C228" s="682" t="s">
        <v>1934</v>
      </c>
      <c r="D228" s="2207">
        <v>645545</v>
      </c>
      <c r="E228" s="2207">
        <v>0</v>
      </c>
      <c r="F228" s="2155">
        <v>0</v>
      </c>
      <c r="H228" s="2155">
        <v>0</v>
      </c>
      <c r="I228" s="2155">
        <v>0</v>
      </c>
      <c r="J228" s="685">
        <f>SUM($F228:G228)</f>
        <v>0</v>
      </c>
      <c r="K228" s="682">
        <v>0</v>
      </c>
      <c r="M228" s="2155">
        <v>0</v>
      </c>
      <c r="N228" s="2155">
        <v>0</v>
      </c>
      <c r="O228" s="685">
        <f t="shared" si="19"/>
        <v>0</v>
      </c>
      <c r="P228" s="685">
        <f t="shared" si="20"/>
        <v>0</v>
      </c>
    </row>
    <row r="229" spans="1:16" s="682" customFormat="1" ht="15" hidden="1" outlineLevel="2" x14ac:dyDescent="0.25">
      <c r="A229" s="682" t="s">
        <v>2036</v>
      </c>
      <c r="B229" s="682" t="s">
        <v>2204</v>
      </c>
      <c r="C229" s="682" t="s">
        <v>2205</v>
      </c>
      <c r="D229" s="2207">
        <v>20173</v>
      </c>
      <c r="E229" s="2207">
        <v>0</v>
      </c>
      <c r="F229" s="2155">
        <v>0</v>
      </c>
      <c r="H229" s="2155">
        <v>0</v>
      </c>
      <c r="I229" s="2155">
        <v>0</v>
      </c>
      <c r="J229" s="685">
        <f>SUM($F229:G229)</f>
        <v>0</v>
      </c>
      <c r="K229" s="682">
        <v>0</v>
      </c>
      <c r="M229" s="2155">
        <v>0</v>
      </c>
      <c r="N229" s="2155">
        <v>0</v>
      </c>
      <c r="O229" s="685">
        <f t="shared" si="19"/>
        <v>0</v>
      </c>
      <c r="P229" s="685">
        <f t="shared" si="20"/>
        <v>0</v>
      </c>
    </row>
    <row r="230" spans="1:16" s="682" customFormat="1" ht="15" hidden="1" outlineLevel="2" x14ac:dyDescent="0.25">
      <c r="A230" s="682" t="s">
        <v>2036</v>
      </c>
      <c r="B230" s="682" t="s">
        <v>1935</v>
      </c>
      <c r="C230" s="682" t="s">
        <v>1936</v>
      </c>
      <c r="D230" s="2207">
        <v>92797</v>
      </c>
      <c r="E230" s="2207">
        <v>0</v>
      </c>
      <c r="F230" s="2155">
        <v>0</v>
      </c>
      <c r="H230" s="2155">
        <v>0</v>
      </c>
      <c r="I230" s="2155">
        <v>0</v>
      </c>
      <c r="J230" s="685">
        <f>SUM($F230:G230)</f>
        <v>0</v>
      </c>
      <c r="K230" s="682">
        <v>0</v>
      </c>
      <c r="M230" s="2155">
        <v>0</v>
      </c>
      <c r="N230" s="2155">
        <v>0</v>
      </c>
      <c r="O230" s="685">
        <f t="shared" si="19"/>
        <v>0</v>
      </c>
      <c r="P230" s="685">
        <f t="shared" si="20"/>
        <v>0</v>
      </c>
    </row>
    <row r="231" spans="1:16" s="682" customFormat="1" ht="15" hidden="1" outlineLevel="2" x14ac:dyDescent="0.25">
      <c r="A231" s="682" t="s">
        <v>2036</v>
      </c>
      <c r="B231" s="682" t="s">
        <v>1937</v>
      </c>
      <c r="C231" s="682" t="s">
        <v>1938</v>
      </c>
      <c r="D231" s="2207">
        <v>338911</v>
      </c>
      <c r="E231" s="2207">
        <v>0</v>
      </c>
      <c r="F231" s="2155">
        <v>0</v>
      </c>
      <c r="H231" s="2155">
        <v>0</v>
      </c>
      <c r="I231" s="2155">
        <v>0</v>
      </c>
      <c r="J231" s="685">
        <f>SUM($F231:G231)</f>
        <v>0</v>
      </c>
      <c r="K231" s="682">
        <v>0</v>
      </c>
      <c r="M231" s="2155">
        <v>0</v>
      </c>
      <c r="N231" s="2155">
        <v>0</v>
      </c>
      <c r="O231" s="685">
        <f t="shared" si="19"/>
        <v>0</v>
      </c>
      <c r="P231" s="685">
        <f t="shared" si="20"/>
        <v>0</v>
      </c>
    </row>
    <row r="232" spans="1:16" s="682" customFormat="1" ht="15" hidden="1" outlineLevel="2" x14ac:dyDescent="0.25">
      <c r="A232" s="682" t="s">
        <v>2036</v>
      </c>
      <c r="B232" s="682" t="s">
        <v>1941</v>
      </c>
      <c r="C232" s="682" t="s">
        <v>1942</v>
      </c>
      <c r="D232" s="2207">
        <v>112970</v>
      </c>
      <c r="E232" s="2207">
        <v>0</v>
      </c>
      <c r="F232" s="2155">
        <v>0</v>
      </c>
      <c r="H232" s="2155">
        <v>0</v>
      </c>
      <c r="I232" s="2155">
        <v>0</v>
      </c>
      <c r="J232" s="685">
        <f>SUM($F232:G232)</f>
        <v>0</v>
      </c>
      <c r="K232" s="682">
        <v>0</v>
      </c>
      <c r="M232" s="2155">
        <v>0</v>
      </c>
      <c r="N232" s="2155">
        <v>0</v>
      </c>
      <c r="O232" s="685">
        <f t="shared" si="19"/>
        <v>0</v>
      </c>
      <c r="P232" s="685">
        <f t="shared" si="20"/>
        <v>0</v>
      </c>
    </row>
    <row r="233" spans="1:16" s="682" customFormat="1" ht="15" hidden="1" outlineLevel="2" x14ac:dyDescent="0.25">
      <c r="A233" s="682" t="s">
        <v>2036</v>
      </c>
      <c r="B233" s="682" t="s">
        <v>1943</v>
      </c>
      <c r="C233" s="682" t="s">
        <v>1944</v>
      </c>
      <c r="D233" s="2207">
        <v>403466</v>
      </c>
      <c r="E233" s="2207">
        <v>0</v>
      </c>
      <c r="F233" s="2155">
        <v>0</v>
      </c>
      <c r="H233" s="2155">
        <v>0</v>
      </c>
      <c r="I233" s="2155">
        <v>0</v>
      </c>
      <c r="J233" s="685">
        <f>SUM($F233:G233)</f>
        <v>0</v>
      </c>
      <c r="K233" s="682">
        <v>0</v>
      </c>
      <c r="M233" s="2155">
        <v>0</v>
      </c>
      <c r="N233" s="2155">
        <v>0</v>
      </c>
      <c r="O233" s="685">
        <f t="shared" si="19"/>
        <v>0</v>
      </c>
      <c r="P233" s="685">
        <f t="shared" si="20"/>
        <v>0</v>
      </c>
    </row>
    <row r="234" spans="1:16" s="682" customFormat="1" ht="15" hidden="1" outlineLevel="2" x14ac:dyDescent="0.25">
      <c r="A234" s="682" t="s">
        <v>2036</v>
      </c>
      <c r="B234" s="682" t="s">
        <v>1945</v>
      </c>
      <c r="C234" s="682" t="s">
        <v>1946</v>
      </c>
      <c r="D234" s="2207">
        <v>302599</v>
      </c>
      <c r="E234" s="2207">
        <v>0</v>
      </c>
      <c r="F234" s="2155">
        <v>0</v>
      </c>
      <c r="H234" s="2155">
        <v>0</v>
      </c>
      <c r="I234" s="2155">
        <v>0</v>
      </c>
      <c r="J234" s="685">
        <f>SUM($F234:G234)</f>
        <v>0</v>
      </c>
      <c r="K234" s="682">
        <v>0</v>
      </c>
      <c r="M234" s="2155">
        <v>0</v>
      </c>
      <c r="N234" s="2155">
        <v>0</v>
      </c>
      <c r="O234" s="685">
        <f t="shared" si="19"/>
        <v>0</v>
      </c>
      <c r="P234" s="685">
        <f t="shared" si="20"/>
        <v>0</v>
      </c>
    </row>
    <row r="235" spans="1:16" s="682" customFormat="1" ht="15" hidden="1" outlineLevel="2" x14ac:dyDescent="0.25">
      <c r="A235" s="682" t="s">
        <v>2036</v>
      </c>
      <c r="B235" s="682" t="s">
        <v>1947</v>
      </c>
      <c r="C235" s="682" t="s">
        <v>1948</v>
      </c>
      <c r="D235" s="2207">
        <v>80693</v>
      </c>
      <c r="E235" s="2207">
        <v>0</v>
      </c>
      <c r="F235" s="2155">
        <v>0</v>
      </c>
      <c r="H235" s="2155">
        <v>0</v>
      </c>
      <c r="I235" s="2155">
        <v>0</v>
      </c>
      <c r="J235" s="685">
        <f>SUM($F235:G235)</f>
        <v>0</v>
      </c>
      <c r="K235" s="682">
        <v>0</v>
      </c>
      <c r="M235" s="2155">
        <v>0</v>
      </c>
      <c r="N235" s="2155">
        <v>0</v>
      </c>
      <c r="O235" s="685">
        <f t="shared" si="19"/>
        <v>0</v>
      </c>
      <c r="P235" s="685">
        <f t="shared" si="20"/>
        <v>0</v>
      </c>
    </row>
    <row r="236" spans="1:16" s="682" customFormat="1" ht="15" hidden="1" outlineLevel="2" x14ac:dyDescent="0.25">
      <c r="A236" s="682" t="s">
        <v>2036</v>
      </c>
      <c r="B236" s="682" t="s">
        <v>2206</v>
      </c>
      <c r="C236" s="682" t="s">
        <v>2207</v>
      </c>
      <c r="D236" s="2207">
        <v>225941</v>
      </c>
      <c r="E236" s="2207">
        <v>0</v>
      </c>
      <c r="F236" s="2155">
        <v>0</v>
      </c>
      <c r="H236" s="2155">
        <v>0</v>
      </c>
      <c r="I236" s="2155">
        <v>0</v>
      </c>
      <c r="J236" s="685">
        <f>SUM($F236:G236)</f>
        <v>0</v>
      </c>
      <c r="K236" s="682">
        <v>0</v>
      </c>
      <c r="M236" s="2155">
        <v>0</v>
      </c>
      <c r="N236" s="2155">
        <v>0</v>
      </c>
      <c r="O236" s="685">
        <f t="shared" si="19"/>
        <v>0</v>
      </c>
      <c r="P236" s="685">
        <f t="shared" si="20"/>
        <v>0</v>
      </c>
    </row>
    <row r="237" spans="1:16" s="682" customFormat="1" ht="15" hidden="1" outlineLevel="2" x14ac:dyDescent="0.25">
      <c r="A237" s="682" t="s">
        <v>2036</v>
      </c>
      <c r="B237" s="682" t="s">
        <v>2208</v>
      </c>
      <c r="C237" s="682" t="s">
        <v>2209</v>
      </c>
      <c r="D237" s="2207">
        <v>88762</v>
      </c>
      <c r="E237" s="2207">
        <v>0</v>
      </c>
      <c r="F237" s="2155">
        <v>0</v>
      </c>
      <c r="H237" s="2155">
        <v>0</v>
      </c>
      <c r="I237" s="2155">
        <v>0</v>
      </c>
      <c r="J237" s="685">
        <f>SUM($F237:G237)</f>
        <v>0</v>
      </c>
      <c r="K237" s="682">
        <v>0</v>
      </c>
      <c r="M237" s="2155">
        <v>0</v>
      </c>
      <c r="N237" s="2155">
        <v>0</v>
      </c>
      <c r="O237" s="685">
        <f t="shared" si="19"/>
        <v>0</v>
      </c>
      <c r="P237" s="685">
        <f t="shared" si="20"/>
        <v>0</v>
      </c>
    </row>
    <row r="238" spans="1:16" s="682" customFormat="1" ht="15" hidden="1" outlineLevel="2" x14ac:dyDescent="0.25">
      <c r="A238" s="682" t="s">
        <v>2036</v>
      </c>
      <c r="B238" s="682" t="s">
        <v>2210</v>
      </c>
      <c r="C238" s="682" t="s">
        <v>2211</v>
      </c>
      <c r="D238" s="2207">
        <v>72624</v>
      </c>
      <c r="E238" s="2207">
        <v>0</v>
      </c>
      <c r="F238" s="2155">
        <v>0</v>
      </c>
      <c r="H238" s="2155">
        <v>0</v>
      </c>
      <c r="I238" s="2155">
        <v>0</v>
      </c>
      <c r="J238" s="685">
        <f>SUM($F238:G238)</f>
        <v>0</v>
      </c>
      <c r="K238" s="682">
        <v>0</v>
      </c>
      <c r="M238" s="2155">
        <v>0</v>
      </c>
      <c r="N238" s="2155">
        <v>0</v>
      </c>
      <c r="O238" s="685">
        <f t="shared" si="19"/>
        <v>0</v>
      </c>
      <c r="P238" s="685">
        <f t="shared" si="20"/>
        <v>0</v>
      </c>
    </row>
    <row r="239" spans="1:16" s="682" customFormat="1" ht="15" hidden="1" outlineLevel="2" x14ac:dyDescent="0.25">
      <c r="A239" s="682" t="s">
        <v>2036</v>
      </c>
      <c r="B239" s="682" t="s">
        <v>1949</v>
      </c>
      <c r="C239" s="682" t="s">
        <v>1950</v>
      </c>
      <c r="D239" s="2207">
        <v>875521</v>
      </c>
      <c r="E239" s="2207">
        <v>0</v>
      </c>
      <c r="F239" s="2155">
        <v>0</v>
      </c>
      <c r="H239" s="2155">
        <v>0</v>
      </c>
      <c r="I239" s="2155">
        <v>0</v>
      </c>
      <c r="J239" s="685">
        <f>SUM($F239:G239)</f>
        <v>0</v>
      </c>
      <c r="K239" s="682">
        <v>0</v>
      </c>
      <c r="M239" s="2155">
        <v>0</v>
      </c>
      <c r="N239" s="2155">
        <v>0</v>
      </c>
      <c r="O239" s="685">
        <f t="shared" si="19"/>
        <v>0</v>
      </c>
      <c r="P239" s="685">
        <f t="shared" si="20"/>
        <v>0</v>
      </c>
    </row>
    <row r="240" spans="1:16" s="682" customFormat="1" ht="15" hidden="1" outlineLevel="2" x14ac:dyDescent="0.25">
      <c r="A240" s="682" t="s">
        <v>2036</v>
      </c>
      <c r="B240" s="682" t="s">
        <v>1951</v>
      </c>
      <c r="C240" s="682" t="s">
        <v>1952</v>
      </c>
      <c r="D240" s="2207">
        <v>238045</v>
      </c>
      <c r="E240" s="2207">
        <v>0</v>
      </c>
      <c r="F240" s="2155">
        <v>0</v>
      </c>
      <c r="H240" s="2155">
        <v>0</v>
      </c>
      <c r="I240" s="2155">
        <v>0</v>
      </c>
      <c r="J240" s="685">
        <f>SUM($F240:G240)</f>
        <v>0</v>
      </c>
      <c r="K240" s="682">
        <v>0</v>
      </c>
      <c r="M240" s="2155">
        <v>0</v>
      </c>
      <c r="N240" s="2155">
        <v>0</v>
      </c>
      <c r="O240" s="685">
        <f t="shared" si="19"/>
        <v>0</v>
      </c>
      <c r="P240" s="685">
        <f t="shared" si="20"/>
        <v>0</v>
      </c>
    </row>
    <row r="241" spans="1:16" s="682" customFormat="1" ht="15" hidden="1" outlineLevel="2" x14ac:dyDescent="0.25">
      <c r="A241" s="682" t="s">
        <v>2036</v>
      </c>
      <c r="B241" s="682" t="s">
        <v>1953</v>
      </c>
      <c r="C241" s="682" t="s">
        <v>1954</v>
      </c>
      <c r="D241" s="2207">
        <v>141213</v>
      </c>
      <c r="E241" s="2207">
        <v>0</v>
      </c>
      <c r="F241" s="2155">
        <v>0</v>
      </c>
      <c r="H241" s="2155">
        <v>0</v>
      </c>
      <c r="I241" s="2155">
        <v>0</v>
      </c>
      <c r="J241" s="685">
        <f>SUM($F241:G241)</f>
        <v>0</v>
      </c>
      <c r="K241" s="682">
        <v>0</v>
      </c>
      <c r="M241" s="2155">
        <v>0</v>
      </c>
      <c r="N241" s="2155">
        <v>0</v>
      </c>
      <c r="O241" s="685">
        <f t="shared" si="19"/>
        <v>0</v>
      </c>
      <c r="P241" s="685">
        <f t="shared" si="20"/>
        <v>0</v>
      </c>
    </row>
    <row r="242" spans="1:16" s="682" customFormat="1" ht="15" hidden="1" outlineLevel="2" x14ac:dyDescent="0.25">
      <c r="A242" s="682" t="s">
        <v>2036</v>
      </c>
      <c r="B242" s="682" t="s">
        <v>2212</v>
      </c>
      <c r="C242" s="682" t="s">
        <v>2213</v>
      </c>
      <c r="D242" s="2207">
        <v>64555</v>
      </c>
      <c r="E242" s="2207">
        <v>0</v>
      </c>
      <c r="F242" s="2155">
        <v>0</v>
      </c>
      <c r="H242" s="2155">
        <v>0</v>
      </c>
      <c r="I242" s="2155">
        <v>0</v>
      </c>
      <c r="J242" s="685">
        <f>SUM($F242:G242)</f>
        <v>0</v>
      </c>
      <c r="K242" s="682">
        <v>0</v>
      </c>
      <c r="M242" s="2155">
        <v>0</v>
      </c>
      <c r="N242" s="2155">
        <v>0</v>
      </c>
      <c r="O242" s="685">
        <f t="shared" si="19"/>
        <v>0</v>
      </c>
      <c r="P242" s="685">
        <f t="shared" si="20"/>
        <v>0</v>
      </c>
    </row>
    <row r="243" spans="1:16" s="682" customFormat="1" ht="15" hidden="1" outlineLevel="2" x14ac:dyDescent="0.25">
      <c r="A243" s="682" t="s">
        <v>2036</v>
      </c>
      <c r="B243" s="682" t="s">
        <v>1955</v>
      </c>
      <c r="C243" s="682" t="s">
        <v>1956</v>
      </c>
      <c r="D243" s="2207">
        <v>972353</v>
      </c>
      <c r="E243" s="2207">
        <v>0</v>
      </c>
      <c r="F243" s="2155">
        <v>0</v>
      </c>
      <c r="H243" s="2155">
        <v>0</v>
      </c>
      <c r="I243" s="2155">
        <v>0</v>
      </c>
      <c r="J243" s="685">
        <f>SUM($F243:G243)</f>
        <v>0</v>
      </c>
      <c r="K243" s="682">
        <v>0</v>
      </c>
      <c r="M243" s="2155">
        <v>0</v>
      </c>
      <c r="N243" s="2155">
        <v>0</v>
      </c>
      <c r="O243" s="685">
        <f t="shared" si="19"/>
        <v>0</v>
      </c>
      <c r="P243" s="685">
        <f t="shared" si="20"/>
        <v>0</v>
      </c>
    </row>
    <row r="244" spans="1:16" s="682" customFormat="1" ht="15" hidden="1" outlineLevel="2" x14ac:dyDescent="0.25">
      <c r="A244" s="682" t="s">
        <v>2036</v>
      </c>
      <c r="B244" s="682" t="s">
        <v>1957</v>
      </c>
      <c r="C244" s="682" t="s">
        <v>1958</v>
      </c>
      <c r="D244" s="2207">
        <v>24208</v>
      </c>
      <c r="E244" s="2207">
        <v>0</v>
      </c>
      <c r="F244" s="2155">
        <v>0</v>
      </c>
      <c r="H244" s="2155">
        <v>0</v>
      </c>
      <c r="I244" s="2155">
        <v>0</v>
      </c>
      <c r="J244" s="685">
        <f>SUM($F244:G244)</f>
        <v>0</v>
      </c>
      <c r="K244" s="682">
        <v>0</v>
      </c>
      <c r="M244" s="2155">
        <v>0</v>
      </c>
      <c r="N244" s="2155">
        <v>0</v>
      </c>
      <c r="O244" s="685">
        <f t="shared" si="19"/>
        <v>0</v>
      </c>
      <c r="P244" s="685">
        <f t="shared" si="20"/>
        <v>0</v>
      </c>
    </row>
    <row r="245" spans="1:16" s="682" customFormat="1" ht="15" hidden="1" outlineLevel="2" x14ac:dyDescent="0.25">
      <c r="A245" s="682" t="s">
        <v>2036</v>
      </c>
      <c r="B245" s="682" t="s">
        <v>1959</v>
      </c>
      <c r="C245" s="682" t="s">
        <v>1960</v>
      </c>
      <c r="D245" s="2207">
        <v>177525</v>
      </c>
      <c r="E245" s="2207">
        <v>0</v>
      </c>
      <c r="F245" s="2155">
        <v>0</v>
      </c>
      <c r="H245" s="2155">
        <v>0</v>
      </c>
      <c r="I245" s="2155">
        <v>0</v>
      </c>
      <c r="J245" s="685">
        <f>SUM($F245:G245)</f>
        <v>0</v>
      </c>
      <c r="K245" s="682">
        <v>0</v>
      </c>
      <c r="M245" s="2155">
        <v>0</v>
      </c>
      <c r="N245" s="2155">
        <v>0</v>
      </c>
      <c r="O245" s="685">
        <f t="shared" si="19"/>
        <v>0</v>
      </c>
      <c r="P245" s="685">
        <f t="shared" si="20"/>
        <v>0</v>
      </c>
    </row>
    <row r="246" spans="1:16" s="682" customFormat="1" ht="15" hidden="1" outlineLevel="2" x14ac:dyDescent="0.25">
      <c r="A246" s="682" t="s">
        <v>2036</v>
      </c>
      <c r="B246" s="682" t="s">
        <v>1961</v>
      </c>
      <c r="C246" s="682" t="s">
        <v>1962</v>
      </c>
      <c r="D246" s="2207">
        <v>16139</v>
      </c>
      <c r="E246" s="2207">
        <v>0</v>
      </c>
      <c r="F246" s="2155">
        <v>0</v>
      </c>
      <c r="H246" s="2155">
        <v>0</v>
      </c>
      <c r="I246" s="2155">
        <v>0</v>
      </c>
      <c r="J246" s="685">
        <f>SUM($F246:G246)</f>
        <v>0</v>
      </c>
      <c r="K246" s="682">
        <v>0</v>
      </c>
      <c r="M246" s="2155">
        <v>0</v>
      </c>
      <c r="N246" s="2155">
        <v>0</v>
      </c>
      <c r="O246" s="685">
        <f t="shared" si="19"/>
        <v>0</v>
      </c>
      <c r="P246" s="685">
        <f t="shared" si="20"/>
        <v>0</v>
      </c>
    </row>
    <row r="247" spans="1:16" s="682" customFormat="1" ht="15" hidden="1" outlineLevel="2" x14ac:dyDescent="0.25">
      <c r="A247" s="682" t="s">
        <v>2036</v>
      </c>
      <c r="B247" s="682" t="s">
        <v>1963</v>
      </c>
      <c r="C247" s="682" t="s">
        <v>1964</v>
      </c>
      <c r="D247" s="2207">
        <v>36312</v>
      </c>
      <c r="E247" s="2207">
        <v>0</v>
      </c>
      <c r="F247" s="2155">
        <v>0</v>
      </c>
      <c r="H247" s="2155">
        <v>0</v>
      </c>
      <c r="I247" s="2155">
        <v>0</v>
      </c>
      <c r="J247" s="685">
        <f>SUM($F247:G247)</f>
        <v>0</v>
      </c>
      <c r="K247" s="682">
        <v>0</v>
      </c>
      <c r="M247" s="2155">
        <v>0</v>
      </c>
      <c r="N247" s="2155">
        <v>0</v>
      </c>
      <c r="O247" s="685">
        <f t="shared" si="19"/>
        <v>0</v>
      </c>
      <c r="P247" s="685">
        <f t="shared" si="20"/>
        <v>0</v>
      </c>
    </row>
    <row r="248" spans="1:16" s="682" customFormat="1" ht="15" hidden="1" outlineLevel="2" x14ac:dyDescent="0.25">
      <c r="A248" s="682" t="s">
        <v>2036</v>
      </c>
      <c r="B248" s="682" t="s">
        <v>1965</v>
      </c>
      <c r="C248" s="682" t="s">
        <v>1966</v>
      </c>
      <c r="D248" s="2207">
        <v>762551</v>
      </c>
      <c r="E248" s="2207">
        <v>0</v>
      </c>
      <c r="F248" s="2155">
        <v>0</v>
      </c>
      <c r="H248" s="2155">
        <v>0</v>
      </c>
      <c r="I248" s="2155">
        <v>0</v>
      </c>
      <c r="J248" s="685">
        <f>SUM($F248:G248)</f>
        <v>0</v>
      </c>
      <c r="K248" s="682">
        <v>0</v>
      </c>
      <c r="M248" s="2155">
        <v>0</v>
      </c>
      <c r="N248" s="2155">
        <v>0</v>
      </c>
      <c r="O248" s="685">
        <f t="shared" si="19"/>
        <v>0</v>
      </c>
      <c r="P248" s="685">
        <f t="shared" si="20"/>
        <v>0</v>
      </c>
    </row>
    <row r="249" spans="1:16" s="682" customFormat="1" ht="15" hidden="1" outlineLevel="2" x14ac:dyDescent="0.25">
      <c r="A249" s="682" t="s">
        <v>2036</v>
      </c>
      <c r="B249" s="682" t="s">
        <v>1967</v>
      </c>
      <c r="C249" s="682" t="s">
        <v>1968</v>
      </c>
      <c r="D249" s="2207">
        <v>32277</v>
      </c>
      <c r="E249" s="2207">
        <v>0</v>
      </c>
      <c r="F249" s="2155">
        <v>0</v>
      </c>
      <c r="H249" s="2155">
        <v>0</v>
      </c>
      <c r="I249" s="2155">
        <v>0</v>
      </c>
      <c r="J249" s="685">
        <f>SUM($F249:G249)</f>
        <v>0</v>
      </c>
      <c r="K249" s="682">
        <v>0</v>
      </c>
      <c r="M249" s="2155">
        <v>0</v>
      </c>
      <c r="N249" s="2155">
        <v>0</v>
      </c>
      <c r="O249" s="685">
        <f t="shared" si="19"/>
        <v>0</v>
      </c>
      <c r="P249" s="685">
        <f t="shared" si="20"/>
        <v>0</v>
      </c>
    </row>
    <row r="250" spans="1:16" s="682" customFormat="1" ht="15" hidden="1" outlineLevel="2" x14ac:dyDescent="0.25">
      <c r="A250" s="682" t="s">
        <v>2036</v>
      </c>
      <c r="B250" s="682" t="s">
        <v>1969</v>
      </c>
      <c r="C250" s="682" t="s">
        <v>1970</v>
      </c>
      <c r="D250" s="2207">
        <v>282426</v>
      </c>
      <c r="E250" s="2207">
        <v>0</v>
      </c>
      <c r="F250" s="2155">
        <v>0</v>
      </c>
      <c r="H250" s="2155">
        <v>0</v>
      </c>
      <c r="I250" s="2155">
        <v>0</v>
      </c>
      <c r="J250" s="685">
        <f>SUM($F250:G250)</f>
        <v>0</v>
      </c>
      <c r="K250" s="682">
        <v>0</v>
      </c>
      <c r="M250" s="2155">
        <v>0</v>
      </c>
      <c r="N250" s="2155">
        <v>0</v>
      </c>
      <c r="O250" s="685">
        <f t="shared" si="19"/>
        <v>0</v>
      </c>
      <c r="P250" s="685">
        <f t="shared" si="20"/>
        <v>0</v>
      </c>
    </row>
    <row r="251" spans="1:16" s="682" customFormat="1" ht="15" hidden="1" outlineLevel="2" x14ac:dyDescent="0.25">
      <c r="A251" s="682" t="s">
        <v>2036</v>
      </c>
      <c r="B251" s="682" t="s">
        <v>1971</v>
      </c>
      <c r="C251" s="682" t="s">
        <v>1972</v>
      </c>
      <c r="D251" s="2207">
        <v>302599</v>
      </c>
      <c r="E251" s="2207">
        <v>0</v>
      </c>
      <c r="F251" s="2155">
        <v>0</v>
      </c>
      <c r="H251" s="2155">
        <v>0</v>
      </c>
      <c r="I251" s="2155">
        <v>0</v>
      </c>
      <c r="J251" s="685">
        <f>SUM($F251:G251)</f>
        <v>0</v>
      </c>
      <c r="K251" s="682">
        <v>0</v>
      </c>
      <c r="M251" s="2155">
        <v>0</v>
      </c>
      <c r="N251" s="2155">
        <v>0</v>
      </c>
      <c r="O251" s="685">
        <f t="shared" si="19"/>
        <v>0</v>
      </c>
      <c r="P251" s="685">
        <f t="shared" si="20"/>
        <v>0</v>
      </c>
    </row>
    <row r="252" spans="1:16" s="682" customFormat="1" ht="15" hidden="1" outlineLevel="2" x14ac:dyDescent="0.25">
      <c r="A252" s="682" t="s">
        <v>2036</v>
      </c>
      <c r="B252" s="682" t="s">
        <v>1973</v>
      </c>
      <c r="C252" s="682" t="s">
        <v>1974</v>
      </c>
      <c r="D252" s="2207">
        <v>121040</v>
      </c>
      <c r="E252" s="2207">
        <v>0</v>
      </c>
      <c r="F252" s="2155">
        <v>0</v>
      </c>
      <c r="H252" s="2155">
        <v>0</v>
      </c>
      <c r="I252" s="2155">
        <v>0</v>
      </c>
      <c r="J252" s="685">
        <f>SUM($F252:G252)</f>
        <v>0</v>
      </c>
      <c r="K252" s="682">
        <v>0</v>
      </c>
      <c r="M252" s="2155">
        <v>0</v>
      </c>
      <c r="N252" s="2155">
        <v>0</v>
      </c>
      <c r="O252" s="685">
        <f t="shared" si="19"/>
        <v>0</v>
      </c>
      <c r="P252" s="685">
        <f t="shared" si="20"/>
        <v>0</v>
      </c>
    </row>
    <row r="253" spans="1:16" s="682" customFormat="1" ht="15" hidden="1" outlineLevel="2" x14ac:dyDescent="0.25">
      <c r="A253" s="682" t="s">
        <v>2036</v>
      </c>
      <c r="B253" s="682" t="s">
        <v>1975</v>
      </c>
      <c r="C253" s="682" t="s">
        <v>1976</v>
      </c>
      <c r="D253" s="2207">
        <v>407501</v>
      </c>
      <c r="E253" s="2207">
        <v>0</v>
      </c>
      <c r="F253" s="2155">
        <v>0</v>
      </c>
      <c r="H253" s="2155">
        <v>0</v>
      </c>
      <c r="I253" s="2155">
        <v>0</v>
      </c>
      <c r="J253" s="685">
        <f>SUM($F253:G253)</f>
        <v>0</v>
      </c>
      <c r="K253" s="682">
        <v>0</v>
      </c>
      <c r="M253" s="2155">
        <v>0</v>
      </c>
      <c r="N253" s="2155">
        <v>0</v>
      </c>
      <c r="O253" s="685">
        <f t="shared" si="19"/>
        <v>0</v>
      </c>
      <c r="P253" s="685">
        <f t="shared" si="20"/>
        <v>0</v>
      </c>
    </row>
    <row r="254" spans="1:16" s="682" customFormat="1" ht="15" hidden="1" outlineLevel="2" x14ac:dyDescent="0.25">
      <c r="A254" s="682" t="s">
        <v>2036</v>
      </c>
      <c r="B254" s="682" t="s">
        <v>1977</v>
      </c>
      <c r="C254" s="682" t="s">
        <v>1978</v>
      </c>
      <c r="D254" s="2207">
        <v>225941</v>
      </c>
      <c r="E254" s="2207">
        <v>0</v>
      </c>
      <c r="F254" s="2155">
        <v>0</v>
      </c>
      <c r="H254" s="2155">
        <v>0</v>
      </c>
      <c r="I254" s="2155">
        <v>0</v>
      </c>
      <c r="J254" s="685">
        <f>SUM($F254:G254)</f>
        <v>0</v>
      </c>
      <c r="K254" s="682">
        <v>0</v>
      </c>
      <c r="M254" s="2155">
        <v>0</v>
      </c>
      <c r="N254" s="2155">
        <v>0</v>
      </c>
      <c r="O254" s="685">
        <f t="shared" si="19"/>
        <v>0</v>
      </c>
      <c r="P254" s="685">
        <f t="shared" si="20"/>
        <v>0</v>
      </c>
    </row>
    <row r="255" spans="1:16" s="682" customFormat="1" ht="15" hidden="1" outlineLevel="2" x14ac:dyDescent="0.25">
      <c r="A255" s="682" t="s">
        <v>2036</v>
      </c>
      <c r="B255" s="682" t="s">
        <v>1979</v>
      </c>
      <c r="C255" s="682" t="s">
        <v>1980</v>
      </c>
      <c r="D255" s="2207">
        <v>137178</v>
      </c>
      <c r="E255" s="2207">
        <v>0</v>
      </c>
      <c r="F255" s="2155">
        <v>0</v>
      </c>
      <c r="H255" s="2155">
        <v>0</v>
      </c>
      <c r="I255" s="2155">
        <v>0</v>
      </c>
      <c r="J255" s="685">
        <f>SUM($F255:G255)</f>
        <v>0</v>
      </c>
      <c r="K255" s="682">
        <v>0</v>
      </c>
      <c r="M255" s="2155">
        <v>0</v>
      </c>
      <c r="N255" s="2155">
        <v>0</v>
      </c>
      <c r="O255" s="685">
        <f t="shared" si="19"/>
        <v>0</v>
      </c>
      <c r="P255" s="685">
        <f t="shared" si="20"/>
        <v>0</v>
      </c>
    </row>
    <row r="256" spans="1:16" s="682" customFormat="1" ht="15" hidden="1" outlineLevel="2" x14ac:dyDescent="0.25">
      <c r="A256" s="682" t="s">
        <v>2036</v>
      </c>
      <c r="B256" s="682" t="s">
        <v>1981</v>
      </c>
      <c r="C256" s="682" t="s">
        <v>1982</v>
      </c>
      <c r="D256" s="2207">
        <v>8069</v>
      </c>
      <c r="E256" s="2207">
        <v>0</v>
      </c>
      <c r="F256" s="2155">
        <v>0</v>
      </c>
      <c r="H256" s="2155">
        <v>0</v>
      </c>
      <c r="I256" s="2155">
        <v>0</v>
      </c>
      <c r="J256" s="685">
        <f>SUM($F256:G256)</f>
        <v>0</v>
      </c>
      <c r="K256" s="682">
        <v>0</v>
      </c>
      <c r="M256" s="2155">
        <v>0</v>
      </c>
      <c r="N256" s="2155">
        <v>0</v>
      </c>
      <c r="O256" s="685">
        <f t="shared" si="19"/>
        <v>0</v>
      </c>
      <c r="P256" s="685">
        <f t="shared" si="20"/>
        <v>0</v>
      </c>
    </row>
    <row r="257" spans="1:16" s="682" customFormat="1" ht="15" hidden="1" outlineLevel="2" x14ac:dyDescent="0.25">
      <c r="A257" s="682" t="s">
        <v>2036</v>
      </c>
      <c r="B257" s="682" t="s">
        <v>1983</v>
      </c>
      <c r="C257" s="682" t="s">
        <v>1984</v>
      </c>
      <c r="D257" s="2207">
        <v>44381</v>
      </c>
      <c r="E257" s="2207">
        <v>0</v>
      </c>
      <c r="F257" s="2155">
        <v>0</v>
      </c>
      <c r="H257" s="2155">
        <v>0</v>
      </c>
      <c r="I257" s="2155">
        <v>0</v>
      </c>
      <c r="J257" s="685">
        <f>SUM($F257:G257)</f>
        <v>0</v>
      </c>
      <c r="K257" s="682">
        <v>0</v>
      </c>
      <c r="M257" s="2155">
        <v>0</v>
      </c>
      <c r="N257" s="2155">
        <v>0</v>
      </c>
      <c r="O257" s="685">
        <f t="shared" si="19"/>
        <v>0</v>
      </c>
      <c r="P257" s="685">
        <f t="shared" si="20"/>
        <v>0</v>
      </c>
    </row>
    <row r="258" spans="1:16" s="682" customFormat="1" ht="15" hidden="1" outlineLevel="2" x14ac:dyDescent="0.25">
      <c r="A258" s="682" t="s">
        <v>2036</v>
      </c>
      <c r="B258" s="682" t="s">
        <v>1987</v>
      </c>
      <c r="C258" s="682" t="s">
        <v>1988</v>
      </c>
      <c r="D258" s="2207">
        <v>1379853</v>
      </c>
      <c r="E258" s="2207">
        <v>0</v>
      </c>
      <c r="F258" s="2155">
        <v>0</v>
      </c>
      <c r="H258" s="2155">
        <v>0</v>
      </c>
      <c r="I258" s="2155">
        <v>0</v>
      </c>
      <c r="J258" s="685">
        <f>SUM($F258:G258)</f>
        <v>0</v>
      </c>
      <c r="K258" s="682">
        <v>0</v>
      </c>
      <c r="M258" s="2155">
        <v>0</v>
      </c>
      <c r="N258" s="2155">
        <v>0</v>
      </c>
      <c r="O258" s="685">
        <f t="shared" si="19"/>
        <v>0</v>
      </c>
      <c r="P258" s="685">
        <f t="shared" si="20"/>
        <v>0</v>
      </c>
    </row>
    <row r="259" spans="1:16" s="682" customFormat="1" ht="15" hidden="1" outlineLevel="2" x14ac:dyDescent="0.25">
      <c r="A259" s="682" t="s">
        <v>2036</v>
      </c>
      <c r="B259" s="682" t="s">
        <v>1989</v>
      </c>
      <c r="C259" s="682" t="s">
        <v>1990</v>
      </c>
      <c r="D259" s="2207">
        <v>8069</v>
      </c>
      <c r="E259" s="2207">
        <v>0</v>
      </c>
      <c r="F259" s="2155">
        <v>0</v>
      </c>
      <c r="H259" s="2155">
        <v>0</v>
      </c>
      <c r="I259" s="2155">
        <v>0</v>
      </c>
      <c r="J259" s="685">
        <f>SUM($F259:G259)</f>
        <v>0</v>
      </c>
      <c r="K259" s="682">
        <v>0</v>
      </c>
      <c r="M259" s="2155">
        <v>0</v>
      </c>
      <c r="N259" s="2155">
        <v>0</v>
      </c>
      <c r="O259" s="685">
        <f t="shared" si="19"/>
        <v>0</v>
      </c>
      <c r="P259" s="685">
        <f t="shared" si="20"/>
        <v>0</v>
      </c>
    </row>
    <row r="260" spans="1:16" s="682" customFormat="1" ht="15" hidden="1" outlineLevel="2" x14ac:dyDescent="0.25">
      <c r="A260" s="682" t="s">
        <v>2036</v>
      </c>
      <c r="B260" s="682" t="s">
        <v>1991</v>
      </c>
      <c r="C260" s="682" t="s">
        <v>1992</v>
      </c>
      <c r="D260" s="2207">
        <v>899729</v>
      </c>
      <c r="E260" s="2207">
        <v>0</v>
      </c>
      <c r="F260" s="2155">
        <v>0</v>
      </c>
      <c r="H260" s="2155">
        <v>0</v>
      </c>
      <c r="I260" s="2155">
        <v>0</v>
      </c>
      <c r="J260" s="685">
        <f>SUM($F260:G260)</f>
        <v>0</v>
      </c>
      <c r="K260" s="682">
        <v>0</v>
      </c>
      <c r="M260" s="2155">
        <v>0</v>
      </c>
      <c r="N260" s="2155">
        <v>0</v>
      </c>
      <c r="O260" s="685">
        <f t="shared" si="19"/>
        <v>0</v>
      </c>
      <c r="P260" s="685">
        <f t="shared" si="20"/>
        <v>0</v>
      </c>
    </row>
    <row r="261" spans="1:16" s="682" customFormat="1" ht="15" hidden="1" outlineLevel="2" x14ac:dyDescent="0.25">
      <c r="A261" s="682" t="s">
        <v>2036</v>
      </c>
      <c r="B261" s="682" t="s">
        <v>1993</v>
      </c>
      <c r="C261" s="682" t="s">
        <v>1994</v>
      </c>
      <c r="D261" s="2207">
        <v>229976</v>
      </c>
      <c r="E261" s="2207">
        <v>0</v>
      </c>
      <c r="F261" s="2155">
        <v>0</v>
      </c>
      <c r="H261" s="2155">
        <v>0</v>
      </c>
      <c r="I261" s="2155">
        <v>0</v>
      </c>
      <c r="J261" s="685">
        <f>SUM($F261:G261)</f>
        <v>0</v>
      </c>
      <c r="K261" s="682">
        <v>0</v>
      </c>
      <c r="M261" s="2155">
        <v>0</v>
      </c>
      <c r="N261" s="2155">
        <v>0</v>
      </c>
      <c r="O261" s="685">
        <f t="shared" ref="O261:O272" si="21">SUM(K261:L261)</f>
        <v>0</v>
      </c>
      <c r="P261" s="685">
        <f t="shared" si="20"/>
        <v>0</v>
      </c>
    </row>
    <row r="262" spans="1:16" s="682" customFormat="1" ht="15" hidden="1" outlineLevel="2" x14ac:dyDescent="0.25">
      <c r="A262" s="682" t="s">
        <v>2036</v>
      </c>
      <c r="B262" s="682" t="s">
        <v>1995</v>
      </c>
      <c r="C262" s="682" t="s">
        <v>1996</v>
      </c>
      <c r="D262" s="2207">
        <v>4036</v>
      </c>
      <c r="E262" s="2207">
        <v>0</v>
      </c>
      <c r="F262" s="2155">
        <v>0</v>
      </c>
      <c r="H262" s="2155">
        <v>0</v>
      </c>
      <c r="I262" s="2155">
        <v>0</v>
      </c>
      <c r="J262" s="685">
        <f>SUM($F262:G262)</f>
        <v>0</v>
      </c>
      <c r="K262" s="682">
        <v>0</v>
      </c>
      <c r="M262" s="2155">
        <v>0</v>
      </c>
      <c r="N262" s="2155">
        <v>0</v>
      </c>
      <c r="O262" s="685">
        <f t="shared" si="21"/>
        <v>0</v>
      </c>
      <c r="P262" s="685">
        <f t="shared" si="20"/>
        <v>0</v>
      </c>
    </row>
    <row r="263" spans="1:16" s="682" customFormat="1" ht="15" hidden="1" outlineLevel="2" x14ac:dyDescent="0.25">
      <c r="A263" s="682" t="s">
        <v>2036</v>
      </c>
      <c r="B263" s="682" t="s">
        <v>1997</v>
      </c>
      <c r="C263" s="682" t="s">
        <v>1998</v>
      </c>
      <c r="D263" s="2207">
        <v>5539587</v>
      </c>
      <c r="E263" s="2207">
        <v>0</v>
      </c>
      <c r="F263" s="2155">
        <v>0</v>
      </c>
      <c r="H263" s="2155">
        <v>0</v>
      </c>
      <c r="I263" s="2155">
        <v>0</v>
      </c>
      <c r="J263" s="685">
        <f>SUM($F263:G263)</f>
        <v>0</v>
      </c>
      <c r="K263" s="682">
        <v>0</v>
      </c>
      <c r="M263" s="2155">
        <v>0</v>
      </c>
      <c r="N263" s="2155">
        <v>0</v>
      </c>
      <c r="O263" s="685">
        <f t="shared" si="21"/>
        <v>0</v>
      </c>
      <c r="P263" s="685">
        <f t="shared" si="20"/>
        <v>0</v>
      </c>
    </row>
    <row r="264" spans="1:16" s="682" customFormat="1" ht="15" hidden="1" outlineLevel="2" x14ac:dyDescent="0.25">
      <c r="A264" s="682" t="s">
        <v>2036</v>
      </c>
      <c r="B264" s="682" t="s">
        <v>1999</v>
      </c>
      <c r="C264" s="682" t="s">
        <v>2000</v>
      </c>
      <c r="D264" s="2207">
        <v>702031</v>
      </c>
      <c r="E264" s="2207">
        <v>0</v>
      </c>
      <c r="F264" s="2155">
        <v>0</v>
      </c>
      <c r="H264" s="2155">
        <v>0</v>
      </c>
      <c r="I264" s="2155">
        <v>0</v>
      </c>
      <c r="J264" s="685">
        <f>SUM($F264:G264)</f>
        <v>0</v>
      </c>
      <c r="K264" s="682">
        <v>0</v>
      </c>
      <c r="M264" s="2155">
        <v>0</v>
      </c>
      <c r="N264" s="2155">
        <v>0</v>
      </c>
      <c r="O264" s="685">
        <f t="shared" si="21"/>
        <v>0</v>
      </c>
      <c r="P264" s="685">
        <f t="shared" si="20"/>
        <v>0</v>
      </c>
    </row>
    <row r="265" spans="1:16" s="682" customFormat="1" ht="15" hidden="1" outlineLevel="2" x14ac:dyDescent="0.25">
      <c r="A265" s="682" t="s">
        <v>2036</v>
      </c>
      <c r="B265" s="682" t="s">
        <v>2001</v>
      </c>
      <c r="C265" s="682" t="s">
        <v>2002</v>
      </c>
      <c r="D265" s="2207">
        <v>677823</v>
      </c>
      <c r="E265" s="2207">
        <v>0</v>
      </c>
      <c r="F265" s="2155">
        <v>0</v>
      </c>
      <c r="H265" s="2155">
        <v>0</v>
      </c>
      <c r="I265" s="2155">
        <v>0</v>
      </c>
      <c r="J265" s="685">
        <f>SUM($F265:G265)</f>
        <v>0</v>
      </c>
      <c r="K265" s="682">
        <v>0</v>
      </c>
      <c r="M265" s="2155">
        <v>0</v>
      </c>
      <c r="N265" s="2155">
        <v>0</v>
      </c>
      <c r="O265" s="685">
        <f t="shared" si="21"/>
        <v>0</v>
      </c>
      <c r="P265" s="685">
        <f t="shared" si="20"/>
        <v>0</v>
      </c>
    </row>
    <row r="266" spans="1:16" s="682" customFormat="1" ht="15" hidden="1" outlineLevel="2" x14ac:dyDescent="0.25">
      <c r="A266" s="682" t="s">
        <v>2036</v>
      </c>
      <c r="B266" s="682" t="s">
        <v>2003</v>
      </c>
      <c r="C266" s="682" t="s">
        <v>2004</v>
      </c>
      <c r="D266" s="2207">
        <v>653615</v>
      </c>
      <c r="E266" s="2207">
        <v>0</v>
      </c>
      <c r="F266" s="2155">
        <v>0</v>
      </c>
      <c r="H266" s="2155">
        <v>0</v>
      </c>
      <c r="I266" s="2155">
        <v>0</v>
      </c>
      <c r="J266" s="685">
        <f>SUM($F266:G266)</f>
        <v>0</v>
      </c>
      <c r="K266" s="682">
        <v>0</v>
      </c>
      <c r="M266" s="2155">
        <v>0</v>
      </c>
      <c r="N266" s="2155">
        <v>0</v>
      </c>
      <c r="O266" s="685">
        <f t="shared" si="21"/>
        <v>0</v>
      </c>
      <c r="P266" s="685">
        <f t="shared" si="20"/>
        <v>0</v>
      </c>
    </row>
    <row r="267" spans="1:16" s="682" customFormat="1" ht="15" hidden="1" outlineLevel="2" x14ac:dyDescent="0.25">
      <c r="A267" s="682" t="s">
        <v>2036</v>
      </c>
      <c r="B267" s="682" t="s">
        <v>2005</v>
      </c>
      <c r="C267" s="682" t="s">
        <v>2006</v>
      </c>
      <c r="D267" s="2207">
        <v>334877</v>
      </c>
      <c r="E267" s="2207">
        <v>0</v>
      </c>
      <c r="F267" s="2155">
        <v>0</v>
      </c>
      <c r="H267" s="2155">
        <v>0</v>
      </c>
      <c r="I267" s="2155">
        <v>0</v>
      </c>
      <c r="J267" s="685">
        <f>SUM($F267:G267)</f>
        <v>0</v>
      </c>
      <c r="K267" s="682">
        <v>0</v>
      </c>
      <c r="M267" s="2155">
        <v>0</v>
      </c>
      <c r="N267" s="2155">
        <v>0</v>
      </c>
      <c r="O267" s="685">
        <f t="shared" si="21"/>
        <v>0</v>
      </c>
      <c r="P267" s="685">
        <f t="shared" si="20"/>
        <v>0</v>
      </c>
    </row>
    <row r="268" spans="1:16" s="682" customFormat="1" ht="15" hidden="1" outlineLevel="2" x14ac:dyDescent="0.25">
      <c r="A268" s="682" t="s">
        <v>2036</v>
      </c>
      <c r="B268" s="682" t="s">
        <v>2007</v>
      </c>
      <c r="C268" s="682" t="s">
        <v>2008</v>
      </c>
      <c r="D268" s="2207">
        <v>758516</v>
      </c>
      <c r="E268" s="2207">
        <v>0</v>
      </c>
      <c r="F268" s="2155">
        <v>0</v>
      </c>
      <c r="H268" s="2155">
        <v>0</v>
      </c>
      <c r="I268" s="2155">
        <v>0</v>
      </c>
      <c r="J268" s="685">
        <f>SUM($F268:G268)</f>
        <v>0</v>
      </c>
      <c r="K268" s="682">
        <v>0</v>
      </c>
      <c r="M268" s="2155">
        <v>0</v>
      </c>
      <c r="N268" s="2155">
        <v>0</v>
      </c>
      <c r="O268" s="685">
        <f t="shared" si="21"/>
        <v>0</v>
      </c>
      <c r="P268" s="685">
        <f t="shared" si="20"/>
        <v>0</v>
      </c>
    </row>
    <row r="269" spans="1:16" s="682" customFormat="1" ht="15" hidden="1" outlineLevel="2" x14ac:dyDescent="0.25">
      <c r="A269" s="682" t="s">
        <v>2036</v>
      </c>
      <c r="B269" s="682" t="s">
        <v>2009</v>
      </c>
      <c r="C269" s="682" t="s">
        <v>2010</v>
      </c>
      <c r="D269" s="2207">
        <v>435743</v>
      </c>
      <c r="E269" s="2207">
        <v>0</v>
      </c>
      <c r="F269" s="2155">
        <v>0</v>
      </c>
      <c r="H269" s="2155">
        <v>0</v>
      </c>
      <c r="I269" s="2155">
        <v>0</v>
      </c>
      <c r="J269" s="685">
        <f>SUM($F269:G269)</f>
        <v>0</v>
      </c>
      <c r="K269" s="682">
        <v>0</v>
      </c>
      <c r="M269" s="2155">
        <v>0</v>
      </c>
      <c r="N269" s="2155">
        <v>0</v>
      </c>
      <c r="O269" s="685">
        <f t="shared" si="21"/>
        <v>0</v>
      </c>
      <c r="P269" s="685">
        <f t="shared" si="20"/>
        <v>0</v>
      </c>
    </row>
    <row r="270" spans="1:16" s="682" customFormat="1" ht="15" hidden="1" outlineLevel="2" x14ac:dyDescent="0.25">
      <c r="A270" s="682" t="s">
        <v>2036</v>
      </c>
      <c r="B270" s="682" t="s">
        <v>2011</v>
      </c>
      <c r="C270" s="682" t="s">
        <v>2012</v>
      </c>
      <c r="D270" s="2207">
        <v>8069</v>
      </c>
      <c r="E270" s="2207">
        <v>0</v>
      </c>
      <c r="F270" s="2155">
        <v>0</v>
      </c>
      <c r="H270" s="2155">
        <v>0</v>
      </c>
      <c r="I270" s="2155">
        <v>0</v>
      </c>
      <c r="J270" s="685">
        <f>SUM($F270:G270)</f>
        <v>0</v>
      </c>
      <c r="K270" s="682">
        <v>0</v>
      </c>
      <c r="M270" s="2155">
        <v>0</v>
      </c>
      <c r="N270" s="2155">
        <v>0</v>
      </c>
      <c r="O270" s="685">
        <f t="shared" si="21"/>
        <v>0</v>
      </c>
      <c r="P270" s="685">
        <f t="shared" si="20"/>
        <v>0</v>
      </c>
    </row>
    <row r="271" spans="1:16" s="682" customFormat="1" ht="15" hidden="1" outlineLevel="2" x14ac:dyDescent="0.25">
      <c r="A271" s="682" t="s">
        <v>2036</v>
      </c>
      <c r="B271" s="682" t="s">
        <v>2013</v>
      </c>
      <c r="C271" s="682" t="s">
        <v>2014</v>
      </c>
      <c r="D271" s="2207">
        <v>613268</v>
      </c>
      <c r="E271" s="2207">
        <v>0</v>
      </c>
      <c r="F271" s="2155">
        <v>0</v>
      </c>
      <c r="H271" s="2155">
        <v>0</v>
      </c>
      <c r="I271" s="2155">
        <v>0</v>
      </c>
      <c r="J271" s="685">
        <f>SUM($F271:G271)</f>
        <v>0</v>
      </c>
      <c r="K271" s="682">
        <v>0</v>
      </c>
      <c r="M271" s="2155">
        <v>0</v>
      </c>
      <c r="N271" s="2155">
        <v>0</v>
      </c>
      <c r="O271" s="685">
        <f t="shared" si="21"/>
        <v>0</v>
      </c>
      <c r="P271" s="685">
        <f t="shared" si="20"/>
        <v>0</v>
      </c>
    </row>
    <row r="272" spans="1:16" s="682" customFormat="1" ht="15" hidden="1" outlineLevel="2" x14ac:dyDescent="0.25">
      <c r="A272" s="682" t="s">
        <v>2036</v>
      </c>
      <c r="B272" s="682" t="s">
        <v>2015</v>
      </c>
      <c r="C272" s="682" t="s">
        <v>2016</v>
      </c>
      <c r="D272" s="2207">
        <v>1065150</v>
      </c>
      <c r="E272" s="2207">
        <v>0</v>
      </c>
      <c r="F272" s="2155">
        <v>0</v>
      </c>
      <c r="H272" s="2155">
        <v>0</v>
      </c>
      <c r="I272" s="2155">
        <v>0</v>
      </c>
      <c r="J272" s="685">
        <f>SUM($F272:G272)</f>
        <v>0</v>
      </c>
      <c r="K272" s="682">
        <v>0</v>
      </c>
      <c r="M272" s="2155">
        <v>0</v>
      </c>
      <c r="N272" s="2155">
        <v>0</v>
      </c>
      <c r="O272" s="685">
        <f t="shared" si="21"/>
        <v>0</v>
      </c>
      <c r="P272" s="685">
        <f t="shared" si="20"/>
        <v>0</v>
      </c>
    </row>
    <row r="273" spans="1:16" s="682" customFormat="1" ht="15" hidden="1" outlineLevel="2" x14ac:dyDescent="0.25">
      <c r="A273" s="682" t="s">
        <v>2036</v>
      </c>
      <c r="B273" s="682" t="s">
        <v>2017</v>
      </c>
      <c r="C273" s="682" t="s">
        <v>2018</v>
      </c>
      <c r="D273" s="2207">
        <v>294530</v>
      </c>
      <c r="E273" s="2207">
        <v>0</v>
      </c>
      <c r="F273" s="2155">
        <v>0</v>
      </c>
      <c r="H273" s="2155">
        <v>0</v>
      </c>
      <c r="I273" s="2155">
        <v>0</v>
      </c>
      <c r="J273" s="685">
        <f>SUM($F273:G273)</f>
        <v>0</v>
      </c>
      <c r="K273" s="682">
        <v>0</v>
      </c>
      <c r="M273" s="2155">
        <v>0</v>
      </c>
      <c r="N273" s="2155">
        <v>0</v>
      </c>
      <c r="O273" s="685">
        <f t="shared" si="19"/>
        <v>0</v>
      </c>
      <c r="P273" s="685">
        <f t="shared" si="20"/>
        <v>0</v>
      </c>
    </row>
    <row r="274" spans="1:16" s="682" customFormat="1" ht="15" hidden="1" outlineLevel="2" x14ac:dyDescent="0.25">
      <c r="A274" s="682" t="s">
        <v>2036</v>
      </c>
      <c r="B274" s="682" t="s">
        <v>2021</v>
      </c>
      <c r="C274" s="682" t="s">
        <v>2022</v>
      </c>
      <c r="D274" s="2207">
        <v>274357</v>
      </c>
      <c r="E274" s="2207">
        <v>0</v>
      </c>
      <c r="F274" s="2155">
        <v>0</v>
      </c>
      <c r="H274" s="2155">
        <v>0</v>
      </c>
      <c r="I274" s="2155">
        <v>0</v>
      </c>
      <c r="J274" s="685">
        <f>SUM($F274:G274)</f>
        <v>0</v>
      </c>
      <c r="K274" s="682">
        <v>0</v>
      </c>
      <c r="M274" s="2155">
        <v>0</v>
      </c>
      <c r="N274" s="2155">
        <v>0</v>
      </c>
      <c r="O274" s="685">
        <f t="shared" si="19"/>
        <v>0</v>
      </c>
      <c r="P274" s="685">
        <f t="shared" si="20"/>
        <v>0</v>
      </c>
    </row>
    <row r="275" spans="1:16" s="682" customFormat="1" ht="15" hidden="1" outlineLevel="2" x14ac:dyDescent="0.25">
      <c r="A275" s="682" t="s">
        <v>2036</v>
      </c>
      <c r="B275" s="682" t="s">
        <v>2023</v>
      </c>
      <c r="C275" s="682" t="s">
        <v>2024</v>
      </c>
      <c r="D275" s="2207">
        <v>44381</v>
      </c>
      <c r="E275" s="2207">
        <v>0</v>
      </c>
      <c r="F275" s="2155">
        <v>0</v>
      </c>
      <c r="H275" s="2155">
        <v>0</v>
      </c>
      <c r="I275" s="2155">
        <v>0</v>
      </c>
      <c r="J275" s="685">
        <f>SUM($F275:G275)</f>
        <v>0</v>
      </c>
      <c r="K275" s="682">
        <v>0</v>
      </c>
      <c r="M275" s="2155">
        <v>0</v>
      </c>
      <c r="N275" s="2155">
        <v>0</v>
      </c>
      <c r="O275" s="685">
        <f t="shared" si="19"/>
        <v>0</v>
      </c>
      <c r="P275" s="685">
        <f t="shared" si="20"/>
        <v>0</v>
      </c>
    </row>
    <row r="276" spans="1:16" s="682" customFormat="1" ht="15" hidden="1" outlineLevel="2" x14ac:dyDescent="0.25">
      <c r="A276" s="682" t="s">
        <v>2036</v>
      </c>
      <c r="B276" s="682" t="s">
        <v>2025</v>
      </c>
      <c r="C276" s="682" t="s">
        <v>2026</v>
      </c>
      <c r="D276" s="2207">
        <v>72624</v>
      </c>
      <c r="E276" s="2207">
        <v>0</v>
      </c>
      <c r="F276" s="2155">
        <v>0</v>
      </c>
      <c r="H276" s="2155">
        <v>0</v>
      </c>
      <c r="I276" s="2155">
        <v>0</v>
      </c>
      <c r="J276" s="685">
        <f>SUM($F276:G276)</f>
        <v>0</v>
      </c>
      <c r="K276" s="682">
        <v>0</v>
      </c>
      <c r="M276" s="2155">
        <v>0</v>
      </c>
      <c r="N276" s="2155">
        <v>0</v>
      </c>
      <c r="O276" s="685">
        <f t="shared" si="19"/>
        <v>0</v>
      </c>
      <c r="P276" s="685">
        <f t="shared" si="20"/>
        <v>0</v>
      </c>
    </row>
    <row r="277" spans="1:16" s="682" customFormat="1" ht="15" hidden="1" outlineLevel="2" x14ac:dyDescent="0.25">
      <c r="A277" s="682" t="s">
        <v>2036</v>
      </c>
      <c r="B277" s="682" t="s">
        <v>2027</v>
      </c>
      <c r="C277" s="682" t="s">
        <v>2028</v>
      </c>
      <c r="D277" s="2207">
        <v>181560</v>
      </c>
      <c r="E277" s="2207">
        <v>0</v>
      </c>
      <c r="F277" s="2155">
        <v>0</v>
      </c>
      <c r="H277" s="2155">
        <v>0</v>
      </c>
      <c r="I277" s="2155">
        <v>0</v>
      </c>
      <c r="J277" s="685">
        <f>SUM($F277:G277)</f>
        <v>0</v>
      </c>
      <c r="K277" s="682">
        <v>0</v>
      </c>
      <c r="M277" s="2155">
        <v>0</v>
      </c>
      <c r="N277" s="2155">
        <v>0</v>
      </c>
      <c r="O277" s="685">
        <f>SUM(K277:L277)</f>
        <v>0</v>
      </c>
      <c r="P277" s="685">
        <f>+J277+O277</f>
        <v>0</v>
      </c>
    </row>
    <row r="278" spans="1:16" outlineLevel="1" collapsed="1" x14ac:dyDescent="0.2">
      <c r="A278" s="681" t="s">
        <v>2037</v>
      </c>
      <c r="D278" s="2206">
        <f t="shared" ref="D278:J278" si="22">SUBTOTAL(9,D206:D277)</f>
        <v>212534769</v>
      </c>
      <c r="E278" s="2206">
        <f t="shared" si="22"/>
        <v>223153735</v>
      </c>
      <c r="F278" s="2206">
        <f t="shared" si="22"/>
        <v>223153735</v>
      </c>
      <c r="G278" s="681">
        <f t="shared" si="22"/>
        <v>9540884</v>
      </c>
      <c r="H278" s="2206">
        <f t="shared" si="22"/>
        <v>0</v>
      </c>
      <c r="I278" s="2206">
        <f t="shared" si="22"/>
        <v>0</v>
      </c>
      <c r="J278" s="681">
        <f t="shared" si="22"/>
        <v>232694619</v>
      </c>
      <c r="K278" s="681">
        <v>223153735</v>
      </c>
      <c r="L278" s="681">
        <f>SUBTOTAL(9,L206:L277)</f>
        <v>11275395</v>
      </c>
      <c r="M278" s="2206">
        <f>SUBTOTAL(9,M206:M277)</f>
        <v>0</v>
      </c>
      <c r="N278" s="2206">
        <f>SUBTOTAL(9,N206:N277)</f>
        <v>0</v>
      </c>
      <c r="O278" s="681">
        <f>SUBTOTAL(9,O206:O277)</f>
        <v>234429130</v>
      </c>
      <c r="P278" s="681">
        <f>SUBTOTAL(9,P206:P277)</f>
        <v>467123749</v>
      </c>
    </row>
    <row r="279" spans="1:16" s="682" customFormat="1" ht="15" hidden="1" outlineLevel="2" x14ac:dyDescent="0.25">
      <c r="A279" s="682" t="s">
        <v>2038</v>
      </c>
      <c r="B279" s="682" t="s">
        <v>1889</v>
      </c>
      <c r="C279" s="682" t="s">
        <v>1890</v>
      </c>
      <c r="D279" s="2207">
        <v>0</v>
      </c>
      <c r="E279" s="2207">
        <v>208593011</v>
      </c>
      <c r="F279" s="2155">
        <v>208593011</v>
      </c>
      <c r="G279" s="682">
        <f>'3.1b Allocation Adj. YR1 '!$J$32-F279</f>
        <v>-43581124</v>
      </c>
      <c r="H279" s="2155">
        <v>0</v>
      </c>
      <c r="I279" s="2155">
        <v>0</v>
      </c>
      <c r="J279" s="685">
        <f>SUM($F279:G279)</f>
        <v>165011887</v>
      </c>
      <c r="K279" s="2155">
        <v>208593011</v>
      </c>
      <c r="L279" s="682">
        <f>'7.1b Allocation Adj. YR2'!$J$32-K279</f>
        <v>-42351068</v>
      </c>
      <c r="M279" s="2155">
        <v>0</v>
      </c>
      <c r="N279" s="2155">
        <v>0</v>
      </c>
      <c r="O279" s="685">
        <f t="shared" ref="O279:O341" si="23">SUM(K279:L279)</f>
        <v>166241943</v>
      </c>
      <c r="P279" s="685">
        <f t="shared" ref="P279:P341" si="24">+J279+O279</f>
        <v>331253830</v>
      </c>
    </row>
    <row r="280" spans="1:16" s="682" customFormat="1" ht="15" hidden="1" outlineLevel="2" x14ac:dyDescent="0.25">
      <c r="A280" s="682" t="s">
        <v>2038</v>
      </c>
      <c r="B280" s="682" t="s">
        <v>1891</v>
      </c>
      <c r="C280" s="682" t="s">
        <v>1892</v>
      </c>
      <c r="D280" s="2207">
        <v>906902</v>
      </c>
      <c r="E280" s="2207">
        <v>0</v>
      </c>
      <c r="F280" s="2155">
        <v>0</v>
      </c>
      <c r="H280" s="2155">
        <v>0</v>
      </c>
      <c r="I280" s="2155">
        <v>0</v>
      </c>
      <c r="J280" s="685">
        <f>SUM($F280:G280)</f>
        <v>0</v>
      </c>
      <c r="K280" s="2155">
        <v>0</v>
      </c>
      <c r="M280" s="2155">
        <v>0</v>
      </c>
      <c r="N280" s="2155">
        <v>0</v>
      </c>
      <c r="O280" s="685">
        <f t="shared" si="23"/>
        <v>0</v>
      </c>
      <c r="P280" s="685">
        <f t="shared" si="24"/>
        <v>0</v>
      </c>
    </row>
    <row r="281" spans="1:16" s="682" customFormat="1" ht="15" hidden="1" outlineLevel="2" x14ac:dyDescent="0.25">
      <c r="A281" s="682" t="s">
        <v>2038</v>
      </c>
      <c r="B281" s="682" t="s">
        <v>1893</v>
      </c>
      <c r="C281" s="682" t="s">
        <v>1894</v>
      </c>
      <c r="D281" s="2207">
        <v>555438</v>
      </c>
      <c r="E281" s="2207">
        <v>0</v>
      </c>
      <c r="F281" s="2155">
        <v>0</v>
      </c>
      <c r="H281" s="2155">
        <v>0</v>
      </c>
      <c r="I281" s="2155">
        <v>0</v>
      </c>
      <c r="J281" s="685">
        <f>SUM($F281:G281)</f>
        <v>0</v>
      </c>
      <c r="K281" s="2155">
        <v>0</v>
      </c>
      <c r="M281" s="2155">
        <v>0</v>
      </c>
      <c r="N281" s="2155">
        <v>0</v>
      </c>
      <c r="O281" s="685">
        <f t="shared" si="23"/>
        <v>0</v>
      </c>
      <c r="P281" s="685">
        <f t="shared" si="24"/>
        <v>0</v>
      </c>
    </row>
    <row r="282" spans="1:16" s="682" customFormat="1" ht="15" hidden="1" outlineLevel="2" x14ac:dyDescent="0.25">
      <c r="A282" s="682" t="s">
        <v>2038</v>
      </c>
      <c r="B282" s="682" t="s">
        <v>1895</v>
      </c>
      <c r="C282" s="682" t="s">
        <v>1896</v>
      </c>
      <c r="D282" s="2207">
        <v>165294594</v>
      </c>
      <c r="E282" s="2207">
        <v>0</v>
      </c>
      <c r="F282" s="2155">
        <v>0</v>
      </c>
      <c r="H282" s="2155">
        <v>0</v>
      </c>
      <c r="I282" s="2155">
        <v>0</v>
      </c>
      <c r="J282" s="685">
        <f>SUM($F282:G282)</f>
        <v>0</v>
      </c>
      <c r="K282" s="682">
        <v>0</v>
      </c>
      <c r="M282" s="2155">
        <v>0</v>
      </c>
      <c r="N282" s="2155">
        <v>0</v>
      </c>
      <c r="O282" s="685">
        <f t="shared" si="23"/>
        <v>0</v>
      </c>
      <c r="P282" s="685">
        <f t="shared" si="24"/>
        <v>0</v>
      </c>
    </row>
    <row r="283" spans="1:16" s="682" customFormat="1" ht="15" hidden="1" outlineLevel="2" x14ac:dyDescent="0.25">
      <c r="A283" s="682" t="s">
        <v>2038</v>
      </c>
      <c r="B283" s="682" t="s">
        <v>1897</v>
      </c>
      <c r="C283" s="682" t="s">
        <v>1898</v>
      </c>
      <c r="D283" s="2207">
        <v>536610</v>
      </c>
      <c r="E283" s="2207">
        <v>0</v>
      </c>
      <c r="F283" s="2155">
        <v>0</v>
      </c>
      <c r="H283" s="2155">
        <v>0</v>
      </c>
      <c r="I283" s="2155">
        <v>0</v>
      </c>
      <c r="J283" s="685">
        <f>SUM($F283:G283)</f>
        <v>0</v>
      </c>
      <c r="K283" s="682">
        <v>0</v>
      </c>
      <c r="M283" s="2155">
        <v>0</v>
      </c>
      <c r="N283" s="2155">
        <v>0</v>
      </c>
      <c r="O283" s="685">
        <f t="shared" si="23"/>
        <v>0</v>
      </c>
      <c r="P283" s="685">
        <f t="shared" si="24"/>
        <v>0</v>
      </c>
    </row>
    <row r="284" spans="1:16" s="682" customFormat="1" ht="15" hidden="1" outlineLevel="2" x14ac:dyDescent="0.25">
      <c r="A284" s="682" t="s">
        <v>2038</v>
      </c>
      <c r="B284" s="682" t="s">
        <v>1899</v>
      </c>
      <c r="C284" s="682" t="s">
        <v>1900</v>
      </c>
      <c r="D284" s="2207">
        <v>1155071</v>
      </c>
      <c r="E284" s="2207">
        <v>0</v>
      </c>
      <c r="F284" s="2155">
        <v>0</v>
      </c>
      <c r="H284" s="2155">
        <v>0</v>
      </c>
      <c r="I284" s="2155">
        <v>0</v>
      </c>
      <c r="J284" s="685">
        <f>SUM($F284:G284)</f>
        <v>0</v>
      </c>
      <c r="K284" s="682">
        <v>0</v>
      </c>
      <c r="M284" s="2155">
        <v>0</v>
      </c>
      <c r="N284" s="2155">
        <v>0</v>
      </c>
      <c r="O284" s="685">
        <f t="shared" si="23"/>
        <v>0</v>
      </c>
      <c r="P284" s="685">
        <f t="shared" si="24"/>
        <v>0</v>
      </c>
    </row>
    <row r="285" spans="1:16" s="682" customFormat="1" ht="15" hidden="1" outlineLevel="2" x14ac:dyDescent="0.25">
      <c r="A285" s="682" t="s">
        <v>2038</v>
      </c>
      <c r="B285" s="682" t="s">
        <v>1901</v>
      </c>
      <c r="C285" s="682" t="s">
        <v>1902</v>
      </c>
      <c r="D285" s="2207">
        <v>8386</v>
      </c>
      <c r="E285" s="2207">
        <v>0</v>
      </c>
      <c r="F285" s="2155">
        <v>0</v>
      </c>
      <c r="H285" s="2155">
        <v>0</v>
      </c>
      <c r="I285" s="2155">
        <v>0</v>
      </c>
      <c r="J285" s="685">
        <f>SUM($F285:G285)</f>
        <v>0</v>
      </c>
      <c r="K285" s="682">
        <v>0</v>
      </c>
      <c r="M285" s="2155">
        <v>0</v>
      </c>
      <c r="N285" s="2155">
        <v>0</v>
      </c>
      <c r="O285" s="685">
        <f t="shared" si="23"/>
        <v>0</v>
      </c>
      <c r="P285" s="685">
        <f t="shared" si="24"/>
        <v>0</v>
      </c>
    </row>
    <row r="286" spans="1:16" s="682" customFormat="1" ht="15" hidden="1" outlineLevel="2" x14ac:dyDescent="0.25">
      <c r="A286" s="682" t="s">
        <v>2038</v>
      </c>
      <c r="B286" s="682" t="s">
        <v>1903</v>
      </c>
      <c r="C286" s="682" t="s">
        <v>1904</v>
      </c>
      <c r="D286" s="2207">
        <v>1198</v>
      </c>
      <c r="E286" s="2207">
        <v>0</v>
      </c>
      <c r="F286" s="2155">
        <v>0</v>
      </c>
      <c r="H286" s="2155">
        <v>0</v>
      </c>
      <c r="I286" s="2155">
        <v>0</v>
      </c>
      <c r="J286" s="685">
        <f>SUM($F286:G286)</f>
        <v>0</v>
      </c>
      <c r="K286" s="682">
        <v>0</v>
      </c>
      <c r="M286" s="2155">
        <v>0</v>
      </c>
      <c r="N286" s="2155">
        <v>0</v>
      </c>
      <c r="O286" s="685">
        <f t="shared" si="23"/>
        <v>0</v>
      </c>
      <c r="P286" s="685">
        <f t="shared" si="24"/>
        <v>0</v>
      </c>
    </row>
    <row r="287" spans="1:16" s="682" customFormat="1" ht="15" hidden="1" outlineLevel="2" x14ac:dyDescent="0.25">
      <c r="A287" s="682" t="s">
        <v>2038</v>
      </c>
      <c r="B287" s="682" t="s">
        <v>1905</v>
      </c>
      <c r="C287" s="682" t="s">
        <v>1906</v>
      </c>
      <c r="D287" s="2207">
        <v>254184</v>
      </c>
      <c r="E287" s="2207">
        <v>0</v>
      </c>
      <c r="F287" s="2155">
        <v>0</v>
      </c>
      <c r="H287" s="2155">
        <v>0</v>
      </c>
      <c r="I287" s="2155">
        <v>0</v>
      </c>
      <c r="J287" s="685">
        <f>SUM($F287:G287)</f>
        <v>0</v>
      </c>
      <c r="K287" s="682">
        <v>0</v>
      </c>
      <c r="M287" s="2155">
        <v>0</v>
      </c>
      <c r="N287" s="2155">
        <v>0</v>
      </c>
      <c r="O287" s="685">
        <f t="shared" si="23"/>
        <v>0</v>
      </c>
      <c r="P287" s="685">
        <f t="shared" si="24"/>
        <v>0</v>
      </c>
    </row>
    <row r="288" spans="1:16" s="682" customFormat="1" ht="15" hidden="1" outlineLevel="2" x14ac:dyDescent="0.25">
      <c r="A288" s="682" t="s">
        <v>2038</v>
      </c>
      <c r="B288" s="682" t="s">
        <v>1907</v>
      </c>
      <c r="C288" s="682" t="s">
        <v>1908</v>
      </c>
      <c r="D288" s="2207">
        <v>307531</v>
      </c>
      <c r="E288" s="2207">
        <v>0</v>
      </c>
      <c r="F288" s="2155">
        <v>0</v>
      </c>
      <c r="H288" s="2155">
        <v>0</v>
      </c>
      <c r="I288" s="2155">
        <v>0</v>
      </c>
      <c r="J288" s="685">
        <f>SUM($F288:G288)</f>
        <v>0</v>
      </c>
      <c r="K288" s="682">
        <v>0</v>
      </c>
      <c r="M288" s="2155">
        <v>0</v>
      </c>
      <c r="N288" s="2155">
        <v>0</v>
      </c>
      <c r="O288" s="685">
        <f t="shared" si="23"/>
        <v>0</v>
      </c>
      <c r="P288" s="685">
        <f t="shared" si="24"/>
        <v>0</v>
      </c>
    </row>
    <row r="289" spans="1:16" s="682" customFormat="1" ht="15" hidden="1" outlineLevel="2" x14ac:dyDescent="0.25">
      <c r="A289" s="682" t="s">
        <v>2038</v>
      </c>
      <c r="B289" s="682" t="s">
        <v>1909</v>
      </c>
      <c r="C289" s="682" t="s">
        <v>1910</v>
      </c>
      <c r="D289" s="2207">
        <v>134937</v>
      </c>
      <c r="E289" s="2207">
        <v>0</v>
      </c>
      <c r="F289" s="2155">
        <v>0</v>
      </c>
      <c r="H289" s="2155">
        <v>0</v>
      </c>
      <c r="I289" s="2155">
        <v>0</v>
      </c>
      <c r="J289" s="685">
        <f>SUM($F289:G289)</f>
        <v>0</v>
      </c>
      <c r="K289" s="682">
        <v>0</v>
      </c>
      <c r="M289" s="2155">
        <v>0</v>
      </c>
      <c r="N289" s="2155">
        <v>0</v>
      </c>
      <c r="O289" s="685">
        <f t="shared" si="23"/>
        <v>0</v>
      </c>
      <c r="P289" s="685">
        <f t="shared" si="24"/>
        <v>0</v>
      </c>
    </row>
    <row r="290" spans="1:16" s="682" customFormat="1" ht="15" hidden="1" outlineLevel="2" x14ac:dyDescent="0.25">
      <c r="A290" s="682" t="s">
        <v>2038</v>
      </c>
      <c r="B290" s="682" t="s">
        <v>1911</v>
      </c>
      <c r="C290" s="682" t="s">
        <v>1912</v>
      </c>
      <c r="D290" s="2207">
        <v>1650624</v>
      </c>
      <c r="E290" s="2207">
        <v>0</v>
      </c>
      <c r="F290" s="2155">
        <v>0</v>
      </c>
      <c r="H290" s="2155">
        <v>0</v>
      </c>
      <c r="I290" s="2155">
        <v>0</v>
      </c>
      <c r="J290" s="685">
        <f>SUM($F290:G290)</f>
        <v>0</v>
      </c>
      <c r="K290" s="682">
        <v>0</v>
      </c>
      <c r="M290" s="2155">
        <v>0</v>
      </c>
      <c r="N290" s="2155">
        <v>0</v>
      </c>
      <c r="O290" s="685">
        <f t="shared" si="23"/>
        <v>0</v>
      </c>
      <c r="P290" s="685">
        <f t="shared" si="24"/>
        <v>0</v>
      </c>
    </row>
    <row r="291" spans="1:16" s="682" customFormat="1" ht="15" hidden="1" outlineLevel="2" x14ac:dyDescent="0.25">
      <c r="A291" s="682" t="s">
        <v>2038</v>
      </c>
      <c r="B291" s="682" t="s">
        <v>1913</v>
      </c>
      <c r="C291" s="682" t="s">
        <v>1914</v>
      </c>
      <c r="D291" s="2207">
        <v>163180</v>
      </c>
      <c r="E291" s="2207">
        <v>0</v>
      </c>
      <c r="F291" s="2155">
        <v>0</v>
      </c>
      <c r="H291" s="2155">
        <v>0</v>
      </c>
      <c r="I291" s="2155">
        <v>0</v>
      </c>
      <c r="J291" s="685">
        <f>SUM($F291:G291)</f>
        <v>0</v>
      </c>
      <c r="K291" s="682">
        <v>0</v>
      </c>
      <c r="M291" s="2155">
        <v>0</v>
      </c>
      <c r="N291" s="2155">
        <v>0</v>
      </c>
      <c r="O291" s="685">
        <f t="shared" si="23"/>
        <v>0</v>
      </c>
      <c r="P291" s="685">
        <f t="shared" si="24"/>
        <v>0</v>
      </c>
    </row>
    <row r="292" spans="1:16" s="682" customFormat="1" ht="15" hidden="1" outlineLevel="2" x14ac:dyDescent="0.25">
      <c r="A292" s="682" t="s">
        <v>2038</v>
      </c>
      <c r="B292" s="682" t="s">
        <v>1915</v>
      </c>
      <c r="C292" s="682" t="s">
        <v>1916</v>
      </c>
      <c r="D292" s="2207">
        <v>1408993</v>
      </c>
      <c r="E292" s="2207">
        <v>0</v>
      </c>
      <c r="F292" s="2155">
        <v>0</v>
      </c>
      <c r="H292" s="2155">
        <v>0</v>
      </c>
      <c r="I292" s="2155">
        <v>0</v>
      </c>
      <c r="J292" s="685">
        <f>SUM($F292:G292)</f>
        <v>0</v>
      </c>
      <c r="K292" s="682">
        <v>0</v>
      </c>
      <c r="M292" s="2155">
        <v>0</v>
      </c>
      <c r="N292" s="2155">
        <v>0</v>
      </c>
      <c r="O292" s="685">
        <f t="shared" si="23"/>
        <v>0</v>
      </c>
      <c r="P292" s="685">
        <f t="shared" si="24"/>
        <v>0</v>
      </c>
    </row>
    <row r="293" spans="1:16" s="682" customFormat="1" ht="15" hidden="1" outlineLevel="2" x14ac:dyDescent="0.25">
      <c r="A293" s="682" t="s">
        <v>2038</v>
      </c>
      <c r="B293" s="682" t="s">
        <v>1917</v>
      </c>
      <c r="C293" s="682" t="s">
        <v>1918</v>
      </c>
      <c r="D293" s="2207">
        <v>122385</v>
      </c>
      <c r="E293" s="2207">
        <v>0</v>
      </c>
      <c r="F293" s="2155">
        <v>0</v>
      </c>
      <c r="H293" s="2155">
        <v>0</v>
      </c>
      <c r="I293" s="2155">
        <v>0</v>
      </c>
      <c r="J293" s="685">
        <f>SUM($F293:G293)</f>
        <v>0</v>
      </c>
      <c r="K293" s="682">
        <v>0</v>
      </c>
      <c r="M293" s="2155">
        <v>0</v>
      </c>
      <c r="N293" s="2155">
        <v>0</v>
      </c>
      <c r="O293" s="685">
        <f t="shared" si="23"/>
        <v>0</v>
      </c>
      <c r="P293" s="685">
        <f t="shared" si="24"/>
        <v>0</v>
      </c>
    </row>
    <row r="294" spans="1:16" s="682" customFormat="1" ht="15" hidden="1" outlineLevel="2" x14ac:dyDescent="0.25">
      <c r="A294" s="682" t="s">
        <v>2038</v>
      </c>
      <c r="B294" s="682" t="s">
        <v>1919</v>
      </c>
      <c r="C294" s="682" t="s">
        <v>1920</v>
      </c>
      <c r="D294" s="2207">
        <v>13777</v>
      </c>
      <c r="E294" s="2207">
        <v>0</v>
      </c>
      <c r="F294" s="2155">
        <v>0</v>
      </c>
      <c r="H294" s="2155">
        <v>0</v>
      </c>
      <c r="I294" s="2155">
        <v>0</v>
      </c>
      <c r="J294" s="685">
        <f>SUM($F294:G294)</f>
        <v>0</v>
      </c>
      <c r="K294" s="682">
        <v>0</v>
      </c>
      <c r="M294" s="2155">
        <v>0</v>
      </c>
      <c r="N294" s="2155">
        <v>0</v>
      </c>
      <c r="O294" s="685">
        <f t="shared" si="23"/>
        <v>0</v>
      </c>
      <c r="P294" s="685">
        <f t="shared" si="24"/>
        <v>0</v>
      </c>
    </row>
    <row r="295" spans="1:16" s="682" customFormat="1" ht="15" hidden="1" outlineLevel="2" x14ac:dyDescent="0.25">
      <c r="A295" s="682" t="s">
        <v>2038</v>
      </c>
      <c r="B295" s="682" t="s">
        <v>1921</v>
      </c>
      <c r="C295" s="682" t="s">
        <v>1922</v>
      </c>
      <c r="D295" s="2207">
        <v>15414190</v>
      </c>
      <c r="E295" s="2207">
        <v>0</v>
      </c>
      <c r="F295" s="2155">
        <v>0</v>
      </c>
      <c r="H295" s="2155">
        <v>0</v>
      </c>
      <c r="I295" s="2155">
        <v>0</v>
      </c>
      <c r="J295" s="685">
        <f>SUM($F295:G295)</f>
        <v>0</v>
      </c>
      <c r="K295" s="682">
        <v>0</v>
      </c>
      <c r="M295" s="2155">
        <v>0</v>
      </c>
      <c r="N295" s="2155">
        <v>0</v>
      </c>
      <c r="O295" s="685">
        <f t="shared" si="23"/>
        <v>0</v>
      </c>
      <c r="P295" s="685">
        <f t="shared" si="24"/>
        <v>0</v>
      </c>
    </row>
    <row r="296" spans="1:16" s="682" customFormat="1" ht="15" hidden="1" outlineLevel="2" x14ac:dyDescent="0.25">
      <c r="A296" s="682" t="s">
        <v>2038</v>
      </c>
      <c r="B296" s="682" t="s">
        <v>1923</v>
      </c>
      <c r="C296" s="682" t="s">
        <v>1924</v>
      </c>
      <c r="D296" s="2207">
        <v>342049</v>
      </c>
      <c r="E296" s="2207">
        <v>0</v>
      </c>
      <c r="F296" s="2155">
        <v>0</v>
      </c>
      <c r="H296" s="2155">
        <v>0</v>
      </c>
      <c r="I296" s="2155">
        <v>0</v>
      </c>
      <c r="J296" s="685">
        <f>SUM($F296:G296)</f>
        <v>0</v>
      </c>
      <c r="K296" s="682">
        <v>0</v>
      </c>
      <c r="M296" s="2155">
        <v>0</v>
      </c>
      <c r="N296" s="2155">
        <v>0</v>
      </c>
      <c r="O296" s="685">
        <f t="shared" si="23"/>
        <v>0</v>
      </c>
      <c r="P296" s="685">
        <f t="shared" si="24"/>
        <v>0</v>
      </c>
    </row>
    <row r="297" spans="1:16" s="682" customFormat="1" ht="15" hidden="1" outlineLevel="2" x14ac:dyDescent="0.25">
      <c r="A297" s="682" t="s">
        <v>2038</v>
      </c>
      <c r="B297" s="682" t="s">
        <v>1925</v>
      </c>
      <c r="C297" s="682" t="s">
        <v>1926</v>
      </c>
      <c r="D297" s="2207">
        <v>34519</v>
      </c>
      <c r="E297" s="2207">
        <v>0</v>
      </c>
      <c r="F297" s="2155">
        <v>0</v>
      </c>
      <c r="H297" s="2155">
        <v>0</v>
      </c>
      <c r="I297" s="2155">
        <v>0</v>
      </c>
      <c r="J297" s="685">
        <f>SUM($F297:G297)</f>
        <v>0</v>
      </c>
      <c r="K297" s="682">
        <v>0</v>
      </c>
      <c r="M297" s="2155">
        <v>0</v>
      </c>
      <c r="N297" s="2155">
        <v>0</v>
      </c>
      <c r="O297" s="685">
        <f t="shared" si="23"/>
        <v>0</v>
      </c>
      <c r="P297" s="685">
        <f t="shared" si="24"/>
        <v>0</v>
      </c>
    </row>
    <row r="298" spans="1:16" s="682" customFormat="1" ht="15" hidden="1" outlineLevel="2" x14ac:dyDescent="0.25">
      <c r="A298" s="682" t="s">
        <v>2038</v>
      </c>
      <c r="B298" s="682" t="s">
        <v>1927</v>
      </c>
      <c r="C298" s="682" t="s">
        <v>1928</v>
      </c>
      <c r="D298" s="2207">
        <v>131799</v>
      </c>
      <c r="E298" s="2207">
        <v>0</v>
      </c>
      <c r="F298" s="2155">
        <v>0</v>
      </c>
      <c r="H298" s="2155">
        <v>0</v>
      </c>
      <c r="I298" s="2155">
        <v>0</v>
      </c>
      <c r="J298" s="685">
        <f>SUM($F298:G298)</f>
        <v>0</v>
      </c>
      <c r="K298" s="682">
        <v>0</v>
      </c>
      <c r="M298" s="2155">
        <v>0</v>
      </c>
      <c r="N298" s="2155">
        <v>0</v>
      </c>
      <c r="O298" s="685">
        <f t="shared" si="23"/>
        <v>0</v>
      </c>
      <c r="P298" s="685">
        <f t="shared" si="24"/>
        <v>0</v>
      </c>
    </row>
    <row r="299" spans="1:16" s="682" customFormat="1" ht="15" hidden="1" outlineLevel="2" x14ac:dyDescent="0.25">
      <c r="A299" s="682" t="s">
        <v>2038</v>
      </c>
      <c r="B299" s="682" t="s">
        <v>1929</v>
      </c>
      <c r="C299" s="682" t="s">
        <v>1930</v>
      </c>
      <c r="D299" s="2207">
        <v>87866</v>
      </c>
      <c r="E299" s="2207">
        <v>0</v>
      </c>
      <c r="F299" s="2155">
        <v>0</v>
      </c>
      <c r="H299" s="2155">
        <v>0</v>
      </c>
      <c r="I299" s="2155">
        <v>0</v>
      </c>
      <c r="J299" s="685">
        <f>SUM($F299:G299)</f>
        <v>0</v>
      </c>
      <c r="K299" s="682">
        <v>0</v>
      </c>
      <c r="M299" s="2155">
        <v>0</v>
      </c>
      <c r="N299" s="2155">
        <v>0</v>
      </c>
      <c r="O299" s="685">
        <f t="shared" si="23"/>
        <v>0</v>
      </c>
      <c r="P299" s="685">
        <f t="shared" si="24"/>
        <v>0</v>
      </c>
    </row>
    <row r="300" spans="1:16" s="682" customFormat="1" ht="15" hidden="1" outlineLevel="2" x14ac:dyDescent="0.25">
      <c r="A300" s="682" t="s">
        <v>2038</v>
      </c>
      <c r="B300" s="682" t="s">
        <v>1931</v>
      </c>
      <c r="C300" s="682" t="s">
        <v>1932</v>
      </c>
      <c r="D300" s="2207">
        <v>6276</v>
      </c>
      <c r="E300" s="2207">
        <v>0</v>
      </c>
      <c r="F300" s="2155">
        <v>0</v>
      </c>
      <c r="H300" s="2155">
        <v>0</v>
      </c>
      <c r="I300" s="2155">
        <v>0</v>
      </c>
      <c r="J300" s="685">
        <f>SUM($F300:G300)</f>
        <v>0</v>
      </c>
      <c r="K300" s="682">
        <v>0</v>
      </c>
      <c r="M300" s="2155">
        <v>0</v>
      </c>
      <c r="N300" s="2155">
        <v>0</v>
      </c>
      <c r="O300" s="685">
        <f t="shared" si="23"/>
        <v>0</v>
      </c>
      <c r="P300" s="685">
        <f t="shared" si="24"/>
        <v>0</v>
      </c>
    </row>
    <row r="301" spans="1:16" s="682" customFormat="1" ht="15" hidden="1" outlineLevel="2" x14ac:dyDescent="0.25">
      <c r="A301" s="682" t="s">
        <v>2038</v>
      </c>
      <c r="B301" s="682" t="s">
        <v>1933</v>
      </c>
      <c r="C301" s="682" t="s">
        <v>1934</v>
      </c>
      <c r="D301" s="2207">
        <v>637028</v>
      </c>
      <c r="E301" s="2207">
        <v>0</v>
      </c>
      <c r="F301" s="2155">
        <v>0</v>
      </c>
      <c r="H301" s="2155">
        <v>0</v>
      </c>
      <c r="I301" s="2155">
        <v>0</v>
      </c>
      <c r="J301" s="685">
        <f>SUM($F301:G301)</f>
        <v>0</v>
      </c>
      <c r="K301" s="682">
        <v>0</v>
      </c>
      <c r="M301" s="2155">
        <v>0</v>
      </c>
      <c r="N301" s="2155">
        <v>0</v>
      </c>
      <c r="O301" s="685">
        <f t="shared" si="23"/>
        <v>0</v>
      </c>
      <c r="P301" s="685">
        <f t="shared" si="24"/>
        <v>0</v>
      </c>
    </row>
    <row r="302" spans="1:16" s="682" customFormat="1" ht="15" hidden="1" outlineLevel="2" x14ac:dyDescent="0.25">
      <c r="A302" s="682" t="s">
        <v>2038</v>
      </c>
      <c r="B302" s="682" t="s">
        <v>1935</v>
      </c>
      <c r="C302" s="682" t="s">
        <v>1936</v>
      </c>
      <c r="D302" s="2207">
        <v>28243</v>
      </c>
      <c r="E302" s="2207">
        <v>0</v>
      </c>
      <c r="F302" s="2155">
        <v>0</v>
      </c>
      <c r="H302" s="2155">
        <v>0</v>
      </c>
      <c r="I302" s="2155">
        <v>0</v>
      </c>
      <c r="J302" s="685">
        <f>SUM($F302:G302)</f>
        <v>0</v>
      </c>
      <c r="K302" s="682">
        <v>0</v>
      </c>
      <c r="M302" s="2155">
        <v>0</v>
      </c>
      <c r="N302" s="2155">
        <v>0</v>
      </c>
      <c r="O302" s="685">
        <f t="shared" si="23"/>
        <v>0</v>
      </c>
      <c r="P302" s="685">
        <f t="shared" si="24"/>
        <v>0</v>
      </c>
    </row>
    <row r="303" spans="1:16" s="682" customFormat="1" ht="15" hidden="1" outlineLevel="2" x14ac:dyDescent="0.25">
      <c r="A303" s="682" t="s">
        <v>2038</v>
      </c>
      <c r="B303" s="682" t="s">
        <v>1937</v>
      </c>
      <c r="C303" s="682" t="s">
        <v>1938</v>
      </c>
      <c r="D303" s="2207">
        <v>502091</v>
      </c>
      <c r="E303" s="2207">
        <v>0</v>
      </c>
      <c r="F303" s="2155">
        <v>0</v>
      </c>
      <c r="H303" s="2155">
        <v>0</v>
      </c>
      <c r="I303" s="2155">
        <v>0</v>
      </c>
      <c r="J303" s="685">
        <f>SUM($F303:G303)</f>
        <v>0</v>
      </c>
      <c r="K303" s="682">
        <v>0</v>
      </c>
      <c r="M303" s="2155">
        <v>0</v>
      </c>
      <c r="N303" s="2155">
        <v>0</v>
      </c>
      <c r="O303" s="685">
        <f t="shared" si="23"/>
        <v>0</v>
      </c>
      <c r="P303" s="685">
        <f t="shared" si="24"/>
        <v>0</v>
      </c>
    </row>
    <row r="304" spans="1:16" s="682" customFormat="1" ht="15" hidden="1" outlineLevel="2" x14ac:dyDescent="0.25">
      <c r="A304" s="682" t="s">
        <v>2038</v>
      </c>
      <c r="B304" s="682" t="s">
        <v>1941</v>
      </c>
      <c r="C304" s="682" t="s">
        <v>1942</v>
      </c>
      <c r="D304" s="684">
        <v>9414</v>
      </c>
      <c r="E304" s="684">
        <v>0</v>
      </c>
      <c r="F304" s="682">
        <v>0</v>
      </c>
      <c r="H304" s="2155">
        <v>0</v>
      </c>
      <c r="I304" s="2155">
        <v>0</v>
      </c>
      <c r="J304" s="685">
        <f>SUM($F304:G304)</f>
        <v>0</v>
      </c>
      <c r="K304" s="682">
        <v>0</v>
      </c>
      <c r="M304" s="2155">
        <v>0</v>
      </c>
      <c r="N304" s="2155">
        <v>0</v>
      </c>
      <c r="O304" s="685">
        <f t="shared" si="23"/>
        <v>0</v>
      </c>
      <c r="P304" s="685">
        <f t="shared" si="24"/>
        <v>0</v>
      </c>
    </row>
    <row r="305" spans="1:16" s="682" customFormat="1" ht="15" hidden="1" outlineLevel="2" x14ac:dyDescent="0.25">
      <c r="A305" s="682" t="s">
        <v>2038</v>
      </c>
      <c r="B305" s="682" t="s">
        <v>1943</v>
      </c>
      <c r="C305" s="682" t="s">
        <v>1944</v>
      </c>
      <c r="D305" s="684">
        <v>862968</v>
      </c>
      <c r="E305" s="684">
        <v>0</v>
      </c>
      <c r="F305" s="682">
        <v>0</v>
      </c>
      <c r="H305" s="2155">
        <v>0</v>
      </c>
      <c r="I305" s="2155">
        <v>0</v>
      </c>
      <c r="J305" s="685">
        <f>SUM($F305:G305)</f>
        <v>0</v>
      </c>
      <c r="K305" s="682">
        <v>0</v>
      </c>
      <c r="M305" s="2155">
        <v>0</v>
      </c>
      <c r="N305" s="2155">
        <v>0</v>
      </c>
      <c r="O305" s="685">
        <f t="shared" si="23"/>
        <v>0</v>
      </c>
      <c r="P305" s="685">
        <f t="shared" si="24"/>
        <v>0</v>
      </c>
    </row>
    <row r="306" spans="1:16" s="682" customFormat="1" ht="15" hidden="1" outlineLevel="2" x14ac:dyDescent="0.25">
      <c r="A306" s="682" t="s">
        <v>2038</v>
      </c>
      <c r="B306" s="682" t="s">
        <v>1945</v>
      </c>
      <c r="C306" s="682" t="s">
        <v>1946</v>
      </c>
      <c r="D306" s="684">
        <v>116109</v>
      </c>
      <c r="E306" s="684">
        <v>0</v>
      </c>
      <c r="F306" s="682">
        <v>0</v>
      </c>
      <c r="H306" s="2155">
        <v>0</v>
      </c>
      <c r="I306" s="2155">
        <v>0</v>
      </c>
      <c r="J306" s="685">
        <f>SUM($F306:G306)</f>
        <v>0</v>
      </c>
      <c r="K306" s="682">
        <v>0</v>
      </c>
      <c r="M306" s="2155">
        <v>0</v>
      </c>
      <c r="N306" s="2155">
        <v>0</v>
      </c>
      <c r="O306" s="685">
        <f t="shared" si="23"/>
        <v>0</v>
      </c>
      <c r="P306" s="685">
        <f t="shared" si="24"/>
        <v>0</v>
      </c>
    </row>
    <row r="307" spans="1:16" s="682" customFormat="1" ht="15" hidden="1" outlineLevel="2" x14ac:dyDescent="0.25">
      <c r="A307" s="682" t="s">
        <v>2038</v>
      </c>
      <c r="B307" s="682" t="s">
        <v>1947</v>
      </c>
      <c r="C307" s="682" t="s">
        <v>1948</v>
      </c>
      <c r="D307" s="684">
        <v>100418</v>
      </c>
      <c r="E307" s="684">
        <v>0</v>
      </c>
      <c r="F307" s="682">
        <v>0</v>
      </c>
      <c r="H307" s="2155">
        <v>0</v>
      </c>
      <c r="I307" s="2155">
        <v>0</v>
      </c>
      <c r="J307" s="685">
        <f>SUM($F307:G307)</f>
        <v>0</v>
      </c>
      <c r="K307" s="682">
        <v>0</v>
      </c>
      <c r="M307" s="2155">
        <v>0</v>
      </c>
      <c r="N307" s="2155">
        <v>0</v>
      </c>
      <c r="O307" s="685">
        <f t="shared" si="23"/>
        <v>0</v>
      </c>
      <c r="P307" s="685">
        <f t="shared" si="24"/>
        <v>0</v>
      </c>
    </row>
    <row r="308" spans="1:16" s="682" customFormat="1" ht="15" hidden="1" outlineLevel="2" x14ac:dyDescent="0.25">
      <c r="A308" s="682" t="s">
        <v>2038</v>
      </c>
      <c r="B308" s="682" t="s">
        <v>1949</v>
      </c>
      <c r="C308" s="682" t="s">
        <v>1950</v>
      </c>
      <c r="D308" s="684">
        <v>91004</v>
      </c>
      <c r="E308" s="684">
        <v>0</v>
      </c>
      <c r="F308" s="682">
        <v>0</v>
      </c>
      <c r="H308" s="2155">
        <v>0</v>
      </c>
      <c r="I308" s="2155">
        <v>0</v>
      </c>
      <c r="J308" s="685">
        <f>SUM($F308:G308)</f>
        <v>0</v>
      </c>
      <c r="K308" s="682">
        <v>0</v>
      </c>
      <c r="M308" s="2155">
        <v>0</v>
      </c>
      <c r="N308" s="2155">
        <v>0</v>
      </c>
      <c r="O308" s="685">
        <f t="shared" si="23"/>
        <v>0</v>
      </c>
      <c r="P308" s="685">
        <f t="shared" si="24"/>
        <v>0</v>
      </c>
    </row>
    <row r="309" spans="1:16" s="682" customFormat="1" ht="15" hidden="1" outlineLevel="2" x14ac:dyDescent="0.25">
      <c r="A309" s="682" t="s">
        <v>2038</v>
      </c>
      <c r="B309" s="682" t="s">
        <v>1951</v>
      </c>
      <c r="C309" s="682" t="s">
        <v>1952</v>
      </c>
      <c r="D309" s="684">
        <v>138075</v>
      </c>
      <c r="E309" s="684">
        <v>0</v>
      </c>
      <c r="F309" s="682">
        <v>0</v>
      </c>
      <c r="H309" s="2155">
        <v>0</v>
      </c>
      <c r="I309" s="2155">
        <v>0</v>
      </c>
      <c r="J309" s="685">
        <f>SUM($F309:G309)</f>
        <v>0</v>
      </c>
      <c r="K309" s="682">
        <v>0</v>
      </c>
      <c r="M309" s="2155">
        <v>0</v>
      </c>
      <c r="N309" s="2155">
        <v>0</v>
      </c>
      <c r="O309" s="685">
        <f t="shared" si="23"/>
        <v>0</v>
      </c>
      <c r="P309" s="685">
        <f t="shared" si="24"/>
        <v>0</v>
      </c>
    </row>
    <row r="310" spans="1:16" s="682" customFormat="1" ht="15" hidden="1" outlineLevel="2" x14ac:dyDescent="0.25">
      <c r="A310" s="682" t="s">
        <v>2038</v>
      </c>
      <c r="B310" s="682" t="s">
        <v>1953</v>
      </c>
      <c r="C310" s="682" t="s">
        <v>1954</v>
      </c>
      <c r="D310" s="684">
        <v>3138</v>
      </c>
      <c r="E310" s="684">
        <v>0</v>
      </c>
      <c r="F310" s="682">
        <v>0</v>
      </c>
      <c r="H310" s="2155">
        <v>0</v>
      </c>
      <c r="I310" s="2155">
        <v>0</v>
      </c>
      <c r="J310" s="685">
        <f>SUM($F310:G310)</f>
        <v>0</v>
      </c>
      <c r="K310" s="682">
        <v>0</v>
      </c>
      <c r="M310" s="2155">
        <v>0</v>
      </c>
      <c r="N310" s="2155">
        <v>0</v>
      </c>
      <c r="O310" s="685">
        <f t="shared" si="23"/>
        <v>0</v>
      </c>
      <c r="P310" s="685">
        <f t="shared" si="24"/>
        <v>0</v>
      </c>
    </row>
    <row r="311" spans="1:16" s="682" customFormat="1" ht="15" hidden="1" outlineLevel="2" x14ac:dyDescent="0.25">
      <c r="A311" s="682" t="s">
        <v>2038</v>
      </c>
      <c r="B311" s="682" t="s">
        <v>1955</v>
      </c>
      <c r="C311" s="682" t="s">
        <v>1956</v>
      </c>
      <c r="D311" s="684">
        <v>153765</v>
      </c>
      <c r="E311" s="684">
        <v>0</v>
      </c>
      <c r="F311" s="682">
        <v>0</v>
      </c>
      <c r="H311" s="2155">
        <v>0</v>
      </c>
      <c r="I311" s="2155">
        <v>0</v>
      </c>
      <c r="J311" s="685">
        <f>SUM($F311:G311)</f>
        <v>0</v>
      </c>
      <c r="K311" s="682">
        <v>0</v>
      </c>
      <c r="M311" s="2155">
        <v>0</v>
      </c>
      <c r="N311" s="2155">
        <v>0</v>
      </c>
      <c r="O311" s="685">
        <f t="shared" si="23"/>
        <v>0</v>
      </c>
      <c r="P311" s="685">
        <f t="shared" si="24"/>
        <v>0</v>
      </c>
    </row>
    <row r="312" spans="1:16" s="682" customFormat="1" ht="15" hidden="1" outlineLevel="2" x14ac:dyDescent="0.25">
      <c r="A312" s="682" t="s">
        <v>2038</v>
      </c>
      <c r="B312" s="682" t="s">
        <v>1957</v>
      </c>
      <c r="C312" s="682" t="s">
        <v>1958</v>
      </c>
      <c r="D312" s="684">
        <v>62761</v>
      </c>
      <c r="E312" s="684">
        <v>0</v>
      </c>
      <c r="F312" s="682">
        <v>0</v>
      </c>
      <c r="H312" s="2155">
        <v>0</v>
      </c>
      <c r="I312" s="2155">
        <v>0</v>
      </c>
      <c r="J312" s="685">
        <f>SUM($F312:G312)</f>
        <v>0</v>
      </c>
      <c r="K312" s="682">
        <v>0</v>
      </c>
      <c r="M312" s="2155">
        <v>0</v>
      </c>
      <c r="N312" s="2155">
        <v>0</v>
      </c>
      <c r="O312" s="685">
        <f t="shared" si="23"/>
        <v>0</v>
      </c>
      <c r="P312" s="685">
        <f t="shared" si="24"/>
        <v>0</v>
      </c>
    </row>
    <row r="313" spans="1:16" s="682" customFormat="1" ht="15" hidden="1" outlineLevel="2" x14ac:dyDescent="0.25">
      <c r="A313" s="682" t="s">
        <v>2038</v>
      </c>
      <c r="B313" s="682" t="s">
        <v>1959</v>
      </c>
      <c r="C313" s="682" t="s">
        <v>1960</v>
      </c>
      <c r="D313" s="684">
        <v>3138</v>
      </c>
      <c r="E313" s="684">
        <v>0</v>
      </c>
      <c r="F313" s="682">
        <v>0</v>
      </c>
      <c r="H313" s="2155">
        <v>0</v>
      </c>
      <c r="I313" s="2155">
        <v>0</v>
      </c>
      <c r="J313" s="685">
        <f>SUM($F313:G313)</f>
        <v>0</v>
      </c>
      <c r="K313" s="682">
        <v>0</v>
      </c>
      <c r="M313" s="2155">
        <v>0</v>
      </c>
      <c r="N313" s="2155">
        <v>0</v>
      </c>
      <c r="O313" s="685">
        <f t="shared" si="23"/>
        <v>0</v>
      </c>
      <c r="P313" s="685">
        <f t="shared" si="24"/>
        <v>0</v>
      </c>
    </row>
    <row r="314" spans="1:16" s="682" customFormat="1" ht="15" hidden="1" outlineLevel="2" x14ac:dyDescent="0.25">
      <c r="A314" s="682" t="s">
        <v>2038</v>
      </c>
      <c r="B314" s="682" t="s">
        <v>1961</v>
      </c>
      <c r="C314" s="682" t="s">
        <v>1962</v>
      </c>
      <c r="D314" s="684">
        <v>9414</v>
      </c>
      <c r="E314" s="684">
        <v>0</v>
      </c>
      <c r="F314" s="682">
        <v>0</v>
      </c>
      <c r="H314" s="2155">
        <v>0</v>
      </c>
      <c r="I314" s="2155">
        <v>0</v>
      </c>
      <c r="J314" s="685">
        <f>SUM($F314:G314)</f>
        <v>0</v>
      </c>
      <c r="K314" s="682">
        <v>0</v>
      </c>
      <c r="M314" s="2155">
        <v>0</v>
      </c>
      <c r="N314" s="2155">
        <v>0</v>
      </c>
      <c r="O314" s="685">
        <f t="shared" si="23"/>
        <v>0</v>
      </c>
      <c r="P314" s="685">
        <f t="shared" si="24"/>
        <v>0</v>
      </c>
    </row>
    <row r="315" spans="1:16" s="682" customFormat="1" ht="15" hidden="1" outlineLevel="2" x14ac:dyDescent="0.25">
      <c r="A315" s="682" t="s">
        <v>2038</v>
      </c>
      <c r="B315" s="682" t="s">
        <v>1963</v>
      </c>
      <c r="C315" s="682" t="s">
        <v>1964</v>
      </c>
      <c r="D315" s="684">
        <v>9414</v>
      </c>
      <c r="E315" s="684">
        <v>0</v>
      </c>
      <c r="F315" s="682">
        <v>0</v>
      </c>
      <c r="H315" s="2155">
        <v>0</v>
      </c>
      <c r="I315" s="2155">
        <v>0</v>
      </c>
      <c r="J315" s="685">
        <f>SUM($F315:G315)</f>
        <v>0</v>
      </c>
      <c r="K315" s="682">
        <v>0</v>
      </c>
      <c r="M315" s="2155">
        <v>0</v>
      </c>
      <c r="N315" s="2155">
        <v>0</v>
      </c>
      <c r="O315" s="685">
        <f t="shared" si="23"/>
        <v>0</v>
      </c>
      <c r="P315" s="685">
        <f t="shared" si="24"/>
        <v>0</v>
      </c>
    </row>
    <row r="316" spans="1:16" s="682" customFormat="1" ht="15" hidden="1" outlineLevel="2" x14ac:dyDescent="0.25">
      <c r="A316" s="682" t="s">
        <v>2038</v>
      </c>
      <c r="B316" s="682" t="s">
        <v>1965</v>
      </c>
      <c r="C316" s="682" t="s">
        <v>1966</v>
      </c>
      <c r="D316" s="684">
        <v>549162</v>
      </c>
      <c r="E316" s="684">
        <v>0</v>
      </c>
      <c r="F316" s="682">
        <v>0</v>
      </c>
      <c r="H316" s="2155">
        <v>0</v>
      </c>
      <c r="I316" s="2155">
        <v>0</v>
      </c>
      <c r="J316" s="685">
        <f>SUM($F316:G316)</f>
        <v>0</v>
      </c>
      <c r="K316" s="682">
        <v>0</v>
      </c>
      <c r="M316" s="2155">
        <v>0</v>
      </c>
      <c r="N316" s="2155">
        <v>0</v>
      </c>
      <c r="O316" s="685">
        <f t="shared" si="23"/>
        <v>0</v>
      </c>
      <c r="P316" s="685">
        <f t="shared" si="24"/>
        <v>0</v>
      </c>
    </row>
    <row r="317" spans="1:16" s="682" customFormat="1" ht="15" hidden="1" outlineLevel="2" x14ac:dyDescent="0.25">
      <c r="A317" s="682" t="s">
        <v>2038</v>
      </c>
      <c r="B317" s="682" t="s">
        <v>1967</v>
      </c>
      <c r="C317" s="682" t="s">
        <v>1968</v>
      </c>
      <c r="D317" s="684">
        <v>106694</v>
      </c>
      <c r="E317" s="684">
        <v>0</v>
      </c>
      <c r="F317" s="682">
        <v>0</v>
      </c>
      <c r="H317" s="2155">
        <v>0</v>
      </c>
      <c r="I317" s="2155">
        <v>0</v>
      </c>
      <c r="J317" s="685">
        <f>SUM($F317:G317)</f>
        <v>0</v>
      </c>
      <c r="K317" s="682">
        <v>0</v>
      </c>
      <c r="M317" s="2155">
        <v>0</v>
      </c>
      <c r="N317" s="2155">
        <v>0</v>
      </c>
      <c r="O317" s="685">
        <f t="shared" si="23"/>
        <v>0</v>
      </c>
      <c r="P317" s="685">
        <f t="shared" si="24"/>
        <v>0</v>
      </c>
    </row>
    <row r="318" spans="1:16" s="682" customFormat="1" ht="15" hidden="1" outlineLevel="2" x14ac:dyDescent="0.25">
      <c r="A318" s="682" t="s">
        <v>2038</v>
      </c>
      <c r="B318" s="682" t="s">
        <v>1969</v>
      </c>
      <c r="C318" s="682" t="s">
        <v>1970</v>
      </c>
      <c r="D318" s="684">
        <v>6276</v>
      </c>
      <c r="E318" s="684">
        <v>0</v>
      </c>
      <c r="F318" s="682">
        <v>0</v>
      </c>
      <c r="H318" s="2155">
        <v>0</v>
      </c>
      <c r="I318" s="2155">
        <v>0</v>
      </c>
      <c r="J318" s="685">
        <f>SUM($F318:G318)</f>
        <v>0</v>
      </c>
      <c r="K318" s="682">
        <v>0</v>
      </c>
      <c r="M318" s="2155">
        <v>0</v>
      </c>
      <c r="N318" s="2155">
        <v>0</v>
      </c>
      <c r="O318" s="685">
        <f t="shared" si="23"/>
        <v>0</v>
      </c>
      <c r="P318" s="685">
        <f t="shared" si="24"/>
        <v>0</v>
      </c>
    </row>
    <row r="319" spans="1:16" s="682" customFormat="1" ht="15" hidden="1" outlineLevel="2" x14ac:dyDescent="0.25">
      <c r="A319" s="682" t="s">
        <v>2038</v>
      </c>
      <c r="B319" s="682" t="s">
        <v>1971</v>
      </c>
      <c r="C319" s="682" t="s">
        <v>1972</v>
      </c>
      <c r="D319" s="684">
        <v>15690</v>
      </c>
      <c r="E319" s="684">
        <v>0</v>
      </c>
      <c r="F319" s="682">
        <v>0</v>
      </c>
      <c r="H319" s="2155">
        <v>0</v>
      </c>
      <c r="I319" s="2155">
        <v>0</v>
      </c>
      <c r="J319" s="685">
        <f>SUM($F319:G319)</f>
        <v>0</v>
      </c>
      <c r="K319" s="682">
        <v>0</v>
      </c>
      <c r="M319" s="2155">
        <v>0</v>
      </c>
      <c r="N319" s="2155">
        <v>0</v>
      </c>
      <c r="O319" s="685">
        <f t="shared" si="23"/>
        <v>0</v>
      </c>
      <c r="P319" s="685">
        <f t="shared" si="24"/>
        <v>0</v>
      </c>
    </row>
    <row r="320" spans="1:16" s="682" customFormat="1" ht="15" hidden="1" outlineLevel="2" x14ac:dyDescent="0.25">
      <c r="A320" s="682" t="s">
        <v>2038</v>
      </c>
      <c r="B320" s="682" t="s">
        <v>1973</v>
      </c>
      <c r="C320" s="682" t="s">
        <v>1974</v>
      </c>
      <c r="D320" s="684">
        <v>505229</v>
      </c>
      <c r="E320" s="684">
        <v>0</v>
      </c>
      <c r="F320" s="682">
        <v>0</v>
      </c>
      <c r="H320" s="2155">
        <v>0</v>
      </c>
      <c r="I320" s="2155">
        <v>0</v>
      </c>
      <c r="J320" s="685">
        <f>SUM($F320:G320)</f>
        <v>0</v>
      </c>
      <c r="K320" s="682">
        <v>0</v>
      </c>
      <c r="M320" s="2155">
        <v>0</v>
      </c>
      <c r="N320" s="2155">
        <v>0</v>
      </c>
      <c r="O320" s="685">
        <f t="shared" si="23"/>
        <v>0</v>
      </c>
      <c r="P320" s="685">
        <f t="shared" si="24"/>
        <v>0</v>
      </c>
    </row>
    <row r="321" spans="1:16" s="682" customFormat="1" ht="15" hidden="1" outlineLevel="2" x14ac:dyDescent="0.25">
      <c r="A321" s="682" t="s">
        <v>2038</v>
      </c>
      <c r="B321" s="682" t="s">
        <v>1975</v>
      </c>
      <c r="C321" s="682" t="s">
        <v>1976</v>
      </c>
      <c r="D321" s="684">
        <v>1041837</v>
      </c>
      <c r="E321" s="684">
        <v>0</v>
      </c>
      <c r="F321" s="682">
        <v>0</v>
      </c>
      <c r="H321" s="2155">
        <v>0</v>
      </c>
      <c r="I321" s="2155">
        <v>0</v>
      </c>
      <c r="J321" s="685">
        <f>SUM($F321:G321)</f>
        <v>0</v>
      </c>
      <c r="K321" s="682">
        <v>0</v>
      </c>
      <c r="M321" s="2155">
        <v>0</v>
      </c>
      <c r="N321" s="2155">
        <v>0</v>
      </c>
      <c r="O321" s="685">
        <f t="shared" si="23"/>
        <v>0</v>
      </c>
      <c r="P321" s="685">
        <f t="shared" si="24"/>
        <v>0</v>
      </c>
    </row>
    <row r="322" spans="1:16" s="682" customFormat="1" ht="15" hidden="1" outlineLevel="2" x14ac:dyDescent="0.25">
      <c r="A322" s="682" t="s">
        <v>2038</v>
      </c>
      <c r="B322" s="682" t="s">
        <v>1977</v>
      </c>
      <c r="C322" s="682" t="s">
        <v>1978</v>
      </c>
      <c r="D322" s="684">
        <v>527195</v>
      </c>
      <c r="E322" s="684">
        <v>0</v>
      </c>
      <c r="F322" s="682">
        <v>0</v>
      </c>
      <c r="H322" s="2155">
        <v>0</v>
      </c>
      <c r="I322" s="2155">
        <v>0</v>
      </c>
      <c r="J322" s="685">
        <f>SUM($F322:G322)</f>
        <v>0</v>
      </c>
      <c r="K322" s="682">
        <v>0</v>
      </c>
      <c r="M322" s="2155">
        <v>0</v>
      </c>
      <c r="N322" s="2155">
        <v>0</v>
      </c>
      <c r="O322" s="685">
        <f t="shared" si="23"/>
        <v>0</v>
      </c>
      <c r="P322" s="685">
        <f t="shared" si="24"/>
        <v>0</v>
      </c>
    </row>
    <row r="323" spans="1:16" s="682" customFormat="1" ht="15" hidden="1" outlineLevel="2" x14ac:dyDescent="0.25">
      <c r="A323" s="682" t="s">
        <v>2038</v>
      </c>
      <c r="B323" s="682" t="s">
        <v>1979</v>
      </c>
      <c r="C323" s="682" t="s">
        <v>1980</v>
      </c>
      <c r="D323" s="684">
        <v>131799</v>
      </c>
      <c r="E323" s="684">
        <v>0</v>
      </c>
      <c r="F323" s="682">
        <v>0</v>
      </c>
      <c r="H323" s="2155">
        <v>0</v>
      </c>
      <c r="I323" s="2155">
        <v>0</v>
      </c>
      <c r="J323" s="685">
        <f>SUM($F323:G323)</f>
        <v>0</v>
      </c>
      <c r="K323" s="682">
        <v>0</v>
      </c>
      <c r="M323" s="2155">
        <v>0</v>
      </c>
      <c r="N323" s="2155">
        <v>0</v>
      </c>
      <c r="O323" s="685">
        <f t="shared" si="23"/>
        <v>0</v>
      </c>
      <c r="P323" s="685">
        <f t="shared" si="24"/>
        <v>0</v>
      </c>
    </row>
    <row r="324" spans="1:16" s="682" customFormat="1" ht="15" hidden="1" outlineLevel="2" x14ac:dyDescent="0.25">
      <c r="A324" s="682" t="s">
        <v>2038</v>
      </c>
      <c r="B324" s="682" t="s">
        <v>1981</v>
      </c>
      <c r="C324" s="682" t="s">
        <v>1982</v>
      </c>
      <c r="D324" s="684">
        <v>15690</v>
      </c>
      <c r="E324" s="684">
        <v>0</v>
      </c>
      <c r="F324" s="682">
        <v>0</v>
      </c>
      <c r="H324" s="2155">
        <v>0</v>
      </c>
      <c r="I324" s="2155">
        <v>0</v>
      </c>
      <c r="J324" s="685">
        <f>SUM($F324:G324)</f>
        <v>0</v>
      </c>
      <c r="K324" s="682">
        <v>0</v>
      </c>
      <c r="M324" s="2155">
        <v>0</v>
      </c>
      <c r="N324" s="2155">
        <v>0</v>
      </c>
      <c r="O324" s="685">
        <f t="shared" si="23"/>
        <v>0</v>
      </c>
      <c r="P324" s="685">
        <f t="shared" si="24"/>
        <v>0</v>
      </c>
    </row>
    <row r="325" spans="1:16" s="682" customFormat="1" ht="15" hidden="1" outlineLevel="2" x14ac:dyDescent="0.25">
      <c r="A325" s="682" t="s">
        <v>2038</v>
      </c>
      <c r="B325" s="682" t="s">
        <v>1983</v>
      </c>
      <c r="C325" s="682" t="s">
        <v>1984</v>
      </c>
      <c r="D325" s="684">
        <v>37657</v>
      </c>
      <c r="E325" s="684">
        <v>0</v>
      </c>
      <c r="F325" s="682">
        <v>0</v>
      </c>
      <c r="H325" s="2155">
        <v>0</v>
      </c>
      <c r="I325" s="2155">
        <v>0</v>
      </c>
      <c r="J325" s="685">
        <f>SUM($F325:G325)</f>
        <v>0</v>
      </c>
      <c r="K325" s="682">
        <v>0</v>
      </c>
      <c r="M325" s="2155">
        <v>0</v>
      </c>
      <c r="N325" s="2155">
        <v>0</v>
      </c>
      <c r="O325" s="685">
        <f t="shared" si="23"/>
        <v>0</v>
      </c>
      <c r="P325" s="685">
        <f t="shared" si="24"/>
        <v>0</v>
      </c>
    </row>
    <row r="326" spans="1:16" s="682" customFormat="1" ht="15" hidden="1" outlineLevel="2" x14ac:dyDescent="0.25">
      <c r="A326" s="682" t="s">
        <v>2038</v>
      </c>
      <c r="B326" s="682" t="s">
        <v>1985</v>
      </c>
      <c r="C326" s="682" t="s">
        <v>1986</v>
      </c>
      <c r="D326" s="684">
        <v>15690</v>
      </c>
      <c r="E326" s="684">
        <v>0</v>
      </c>
      <c r="F326" s="682">
        <v>0</v>
      </c>
      <c r="H326" s="2155">
        <v>0</v>
      </c>
      <c r="I326" s="2155">
        <v>0</v>
      </c>
      <c r="J326" s="685">
        <f>SUM($F326:G326)</f>
        <v>0</v>
      </c>
      <c r="K326" s="682">
        <v>0</v>
      </c>
      <c r="M326" s="2155">
        <v>0</v>
      </c>
      <c r="N326" s="2155">
        <v>0</v>
      </c>
      <c r="O326" s="685">
        <f t="shared" si="23"/>
        <v>0</v>
      </c>
      <c r="P326" s="685">
        <f t="shared" si="24"/>
        <v>0</v>
      </c>
    </row>
    <row r="327" spans="1:16" s="682" customFormat="1" ht="15" hidden="1" outlineLevel="2" x14ac:dyDescent="0.25">
      <c r="A327" s="682" t="s">
        <v>2038</v>
      </c>
      <c r="B327" s="682" t="s">
        <v>1987</v>
      </c>
      <c r="C327" s="682" t="s">
        <v>1988</v>
      </c>
      <c r="D327" s="684">
        <v>947696</v>
      </c>
      <c r="E327" s="684">
        <v>0</v>
      </c>
      <c r="F327" s="682">
        <v>0</v>
      </c>
      <c r="H327" s="2155">
        <v>0</v>
      </c>
      <c r="I327" s="2155">
        <v>0</v>
      </c>
      <c r="J327" s="685">
        <f>SUM($F327:G327)</f>
        <v>0</v>
      </c>
      <c r="K327" s="682">
        <v>0</v>
      </c>
      <c r="M327" s="2155">
        <v>0</v>
      </c>
      <c r="N327" s="2155">
        <v>0</v>
      </c>
      <c r="O327" s="685">
        <f t="shared" si="23"/>
        <v>0</v>
      </c>
      <c r="P327" s="685">
        <f t="shared" si="24"/>
        <v>0</v>
      </c>
    </row>
    <row r="328" spans="1:16" s="682" customFormat="1" ht="15" hidden="1" outlineLevel="2" x14ac:dyDescent="0.25">
      <c r="A328" s="682" t="s">
        <v>2038</v>
      </c>
      <c r="B328" s="682" t="s">
        <v>1991</v>
      </c>
      <c r="C328" s="682" t="s">
        <v>1992</v>
      </c>
      <c r="D328" s="684">
        <v>116109</v>
      </c>
      <c r="E328" s="684">
        <v>0</v>
      </c>
      <c r="F328" s="682">
        <v>0</v>
      </c>
      <c r="H328" s="2155">
        <v>0</v>
      </c>
      <c r="I328" s="2155">
        <v>0</v>
      </c>
      <c r="J328" s="685">
        <f>SUM($F328:G328)</f>
        <v>0</v>
      </c>
      <c r="K328" s="682">
        <v>0</v>
      </c>
      <c r="M328" s="2155">
        <v>0</v>
      </c>
      <c r="N328" s="2155">
        <v>0</v>
      </c>
      <c r="O328" s="685">
        <f t="shared" si="23"/>
        <v>0</v>
      </c>
      <c r="P328" s="685">
        <f t="shared" si="24"/>
        <v>0</v>
      </c>
    </row>
    <row r="329" spans="1:16" s="682" customFormat="1" ht="15" hidden="1" outlineLevel="2" x14ac:dyDescent="0.25">
      <c r="A329" s="682" t="s">
        <v>2038</v>
      </c>
      <c r="B329" s="682" t="s">
        <v>1993</v>
      </c>
      <c r="C329" s="682" t="s">
        <v>1994</v>
      </c>
      <c r="D329" s="684">
        <v>72176</v>
      </c>
      <c r="E329" s="684">
        <v>0</v>
      </c>
      <c r="F329" s="682">
        <v>0</v>
      </c>
      <c r="H329" s="2155">
        <v>0</v>
      </c>
      <c r="I329" s="2155">
        <v>0</v>
      </c>
      <c r="J329" s="685">
        <f>SUM($F329:G329)</f>
        <v>0</v>
      </c>
      <c r="K329" s="682">
        <v>0</v>
      </c>
      <c r="M329" s="2155">
        <v>0</v>
      </c>
      <c r="N329" s="2155">
        <v>0</v>
      </c>
      <c r="O329" s="685">
        <f t="shared" ref="O329:O334" si="25">SUM(K329:L329)</f>
        <v>0</v>
      </c>
      <c r="P329" s="685">
        <f t="shared" si="24"/>
        <v>0</v>
      </c>
    </row>
    <row r="330" spans="1:16" s="682" customFormat="1" ht="15" hidden="1" outlineLevel="2" x14ac:dyDescent="0.25">
      <c r="A330" s="682" t="s">
        <v>2038</v>
      </c>
      <c r="B330" s="682" t="s">
        <v>1995</v>
      </c>
      <c r="C330" s="682" t="s">
        <v>1996</v>
      </c>
      <c r="D330" s="684">
        <v>47071</v>
      </c>
      <c r="E330" s="684">
        <v>0</v>
      </c>
      <c r="F330" s="682">
        <v>0</v>
      </c>
      <c r="H330" s="2155">
        <v>0</v>
      </c>
      <c r="I330" s="2155">
        <v>0</v>
      </c>
      <c r="J330" s="685">
        <f>SUM($F330:G330)</f>
        <v>0</v>
      </c>
      <c r="K330" s="682">
        <v>0</v>
      </c>
      <c r="M330" s="2155">
        <v>0</v>
      </c>
      <c r="N330" s="2155">
        <v>0</v>
      </c>
      <c r="O330" s="685">
        <f t="shared" si="25"/>
        <v>0</v>
      </c>
      <c r="P330" s="685">
        <f t="shared" si="24"/>
        <v>0</v>
      </c>
    </row>
    <row r="331" spans="1:16" s="682" customFormat="1" ht="15" hidden="1" outlineLevel="2" x14ac:dyDescent="0.25">
      <c r="A331" s="682" t="s">
        <v>2038</v>
      </c>
      <c r="B331" s="682" t="s">
        <v>1997</v>
      </c>
      <c r="C331" s="682" t="s">
        <v>1998</v>
      </c>
      <c r="D331" s="684">
        <v>141213</v>
      </c>
      <c r="E331" s="684">
        <v>0</v>
      </c>
      <c r="F331" s="682">
        <v>0</v>
      </c>
      <c r="H331" s="2155">
        <v>0</v>
      </c>
      <c r="I331" s="2155">
        <v>0</v>
      </c>
      <c r="J331" s="685">
        <f>SUM($F331:G331)</f>
        <v>0</v>
      </c>
      <c r="K331" s="682">
        <v>0</v>
      </c>
      <c r="M331" s="2155">
        <v>0</v>
      </c>
      <c r="N331" s="2155">
        <v>0</v>
      </c>
      <c r="O331" s="685">
        <f t="shared" si="25"/>
        <v>0</v>
      </c>
      <c r="P331" s="685">
        <f t="shared" si="24"/>
        <v>0</v>
      </c>
    </row>
    <row r="332" spans="1:16" s="682" customFormat="1" ht="15" hidden="1" outlineLevel="2" x14ac:dyDescent="0.25">
      <c r="A332" s="682" t="s">
        <v>2038</v>
      </c>
      <c r="B332" s="682" t="s">
        <v>1999</v>
      </c>
      <c r="C332" s="682" t="s">
        <v>2000</v>
      </c>
      <c r="D332" s="684">
        <v>122385</v>
      </c>
      <c r="E332" s="684">
        <v>0</v>
      </c>
      <c r="F332" s="682">
        <v>0</v>
      </c>
      <c r="H332" s="2155">
        <v>0</v>
      </c>
      <c r="I332" s="2155">
        <v>0</v>
      </c>
      <c r="J332" s="685">
        <f>SUM($F332:G332)</f>
        <v>0</v>
      </c>
      <c r="K332" s="682">
        <v>0</v>
      </c>
      <c r="M332" s="2155">
        <v>0</v>
      </c>
      <c r="N332" s="2155">
        <v>0</v>
      </c>
      <c r="O332" s="685">
        <f t="shared" si="25"/>
        <v>0</v>
      </c>
      <c r="P332" s="685">
        <f t="shared" si="24"/>
        <v>0</v>
      </c>
    </row>
    <row r="333" spans="1:16" s="682" customFormat="1" ht="15" hidden="1" outlineLevel="2" x14ac:dyDescent="0.25">
      <c r="A333" s="682" t="s">
        <v>2038</v>
      </c>
      <c r="B333" s="682" t="s">
        <v>2001</v>
      </c>
      <c r="C333" s="682" t="s">
        <v>2002</v>
      </c>
      <c r="D333" s="684">
        <v>91004</v>
      </c>
      <c r="E333" s="684">
        <v>0</v>
      </c>
      <c r="F333" s="682">
        <v>0</v>
      </c>
      <c r="H333" s="2155">
        <v>0</v>
      </c>
      <c r="I333" s="2155">
        <v>0</v>
      </c>
      <c r="J333" s="685">
        <f>SUM($F333:G333)</f>
        <v>0</v>
      </c>
      <c r="K333" s="682">
        <v>0</v>
      </c>
      <c r="M333" s="2155">
        <v>0</v>
      </c>
      <c r="N333" s="2155">
        <v>0</v>
      </c>
      <c r="O333" s="685">
        <f t="shared" si="25"/>
        <v>0</v>
      </c>
      <c r="P333" s="685">
        <f t="shared" si="24"/>
        <v>0</v>
      </c>
    </row>
    <row r="334" spans="1:16" s="682" customFormat="1" ht="15" hidden="1" outlineLevel="2" x14ac:dyDescent="0.25">
      <c r="A334" s="682" t="s">
        <v>2038</v>
      </c>
      <c r="B334" s="682" t="s">
        <v>2003</v>
      </c>
      <c r="C334" s="682" t="s">
        <v>2004</v>
      </c>
      <c r="D334" s="684">
        <v>389120</v>
      </c>
      <c r="E334" s="684">
        <v>0</v>
      </c>
      <c r="F334" s="682">
        <v>0</v>
      </c>
      <c r="H334" s="2155">
        <v>0</v>
      </c>
      <c r="I334" s="2155">
        <v>0</v>
      </c>
      <c r="J334" s="685">
        <f>SUM($F334:G334)</f>
        <v>0</v>
      </c>
      <c r="K334" s="682">
        <v>0</v>
      </c>
      <c r="M334" s="2155">
        <v>0</v>
      </c>
      <c r="N334" s="2155">
        <v>0</v>
      </c>
      <c r="O334" s="685">
        <f t="shared" si="25"/>
        <v>0</v>
      </c>
      <c r="P334" s="685">
        <f t="shared" si="24"/>
        <v>0</v>
      </c>
    </row>
    <row r="335" spans="1:16" s="682" customFormat="1" ht="15" hidden="1" outlineLevel="2" x14ac:dyDescent="0.25">
      <c r="A335" s="682" t="s">
        <v>2038</v>
      </c>
      <c r="B335" s="682" t="s">
        <v>2005</v>
      </c>
      <c r="C335" s="682" t="s">
        <v>2006</v>
      </c>
      <c r="D335" s="684">
        <v>150627</v>
      </c>
      <c r="E335" s="684">
        <v>0</v>
      </c>
      <c r="F335" s="682">
        <v>0</v>
      </c>
      <c r="H335" s="2155">
        <v>0</v>
      </c>
      <c r="I335" s="2155">
        <v>0</v>
      </c>
      <c r="J335" s="685">
        <f>SUM($F335:G335)</f>
        <v>0</v>
      </c>
      <c r="K335" s="682">
        <v>0</v>
      </c>
      <c r="M335" s="2155">
        <v>0</v>
      </c>
      <c r="N335" s="2155">
        <v>0</v>
      </c>
      <c r="O335" s="685">
        <f t="shared" si="23"/>
        <v>0</v>
      </c>
      <c r="P335" s="685">
        <f t="shared" si="24"/>
        <v>0</v>
      </c>
    </row>
    <row r="336" spans="1:16" s="682" customFormat="1" ht="15" hidden="1" outlineLevel="2" x14ac:dyDescent="0.25">
      <c r="A336" s="682" t="s">
        <v>2038</v>
      </c>
      <c r="B336" s="682" t="s">
        <v>2007</v>
      </c>
      <c r="C336" s="682" t="s">
        <v>2008</v>
      </c>
      <c r="D336" s="684">
        <v>125523</v>
      </c>
      <c r="E336" s="684">
        <v>0</v>
      </c>
      <c r="F336" s="682">
        <v>0</v>
      </c>
      <c r="H336" s="2155">
        <v>0</v>
      </c>
      <c r="I336" s="2155">
        <v>0</v>
      </c>
      <c r="J336" s="685">
        <f>SUM($F336:G336)</f>
        <v>0</v>
      </c>
      <c r="K336" s="682">
        <v>0</v>
      </c>
      <c r="M336" s="2155">
        <v>0</v>
      </c>
      <c r="N336" s="2155">
        <v>0</v>
      </c>
      <c r="O336" s="685">
        <f t="shared" si="23"/>
        <v>0</v>
      </c>
      <c r="P336" s="685">
        <f t="shared" si="24"/>
        <v>0</v>
      </c>
    </row>
    <row r="337" spans="1:16" s="682" customFormat="1" ht="15" hidden="1" outlineLevel="2" x14ac:dyDescent="0.25">
      <c r="A337" s="682" t="s">
        <v>2038</v>
      </c>
      <c r="B337" s="682" t="s">
        <v>2009</v>
      </c>
      <c r="C337" s="682" t="s">
        <v>2010</v>
      </c>
      <c r="D337" s="684">
        <v>608785</v>
      </c>
      <c r="E337" s="684">
        <v>0</v>
      </c>
      <c r="F337" s="682">
        <v>0</v>
      </c>
      <c r="H337" s="2155">
        <v>0</v>
      </c>
      <c r="I337" s="2155">
        <v>0</v>
      </c>
      <c r="J337" s="685">
        <f>SUM($F337:G337)</f>
        <v>0</v>
      </c>
      <c r="K337" s="682">
        <v>0</v>
      </c>
      <c r="M337" s="2155">
        <v>0</v>
      </c>
      <c r="N337" s="2155">
        <v>0</v>
      </c>
      <c r="O337" s="685">
        <f t="shared" si="23"/>
        <v>0</v>
      </c>
      <c r="P337" s="685">
        <f t="shared" si="24"/>
        <v>0</v>
      </c>
    </row>
    <row r="338" spans="1:16" s="682" customFormat="1" ht="15" hidden="1" outlineLevel="2" x14ac:dyDescent="0.25">
      <c r="A338" s="682" t="s">
        <v>2038</v>
      </c>
      <c r="B338" s="682" t="s">
        <v>2013</v>
      </c>
      <c r="C338" s="682" t="s">
        <v>2014</v>
      </c>
      <c r="D338" s="684">
        <v>12552</v>
      </c>
      <c r="E338" s="684">
        <v>0</v>
      </c>
      <c r="F338" s="682">
        <v>0</v>
      </c>
      <c r="H338" s="2155">
        <v>0</v>
      </c>
      <c r="I338" s="2155">
        <v>0</v>
      </c>
      <c r="J338" s="685">
        <f>SUM($F338:G338)</f>
        <v>0</v>
      </c>
      <c r="K338" s="682">
        <v>0</v>
      </c>
      <c r="M338" s="2155">
        <v>0</v>
      </c>
      <c r="N338" s="2155">
        <v>0</v>
      </c>
      <c r="O338" s="685">
        <f t="shared" si="23"/>
        <v>0</v>
      </c>
      <c r="P338" s="685">
        <f t="shared" si="24"/>
        <v>0</v>
      </c>
    </row>
    <row r="339" spans="1:16" s="682" customFormat="1" ht="15" hidden="1" outlineLevel="2" x14ac:dyDescent="0.25">
      <c r="A339" s="682" t="s">
        <v>2038</v>
      </c>
      <c r="B339" s="682" t="s">
        <v>2015</v>
      </c>
      <c r="C339" s="682" t="s">
        <v>2016</v>
      </c>
      <c r="D339" s="684">
        <v>495815</v>
      </c>
      <c r="E339" s="684">
        <v>0</v>
      </c>
      <c r="F339" s="682">
        <v>0</v>
      </c>
      <c r="H339" s="2155">
        <v>0</v>
      </c>
      <c r="I339" s="2155">
        <v>0</v>
      </c>
      <c r="J339" s="685">
        <f>SUM($F339:G339)</f>
        <v>0</v>
      </c>
      <c r="K339" s="682">
        <v>0</v>
      </c>
      <c r="M339" s="2155">
        <v>0</v>
      </c>
      <c r="N339" s="2155">
        <v>0</v>
      </c>
      <c r="O339" s="685">
        <f t="shared" si="23"/>
        <v>0</v>
      </c>
      <c r="P339" s="685">
        <f t="shared" si="24"/>
        <v>0</v>
      </c>
    </row>
    <row r="340" spans="1:16" s="682" customFormat="1" ht="15" hidden="1" outlineLevel="2" x14ac:dyDescent="0.25">
      <c r="A340" s="682" t="s">
        <v>2038</v>
      </c>
      <c r="B340" s="682" t="s">
        <v>2017</v>
      </c>
      <c r="C340" s="682" t="s">
        <v>2018</v>
      </c>
      <c r="D340" s="684">
        <v>210251</v>
      </c>
      <c r="E340" s="684">
        <v>0</v>
      </c>
      <c r="F340" s="682">
        <v>0</v>
      </c>
      <c r="H340" s="2155">
        <v>0</v>
      </c>
      <c r="I340" s="2155">
        <v>0</v>
      </c>
      <c r="J340" s="685">
        <f>SUM($F340:G340)</f>
        <v>0</v>
      </c>
      <c r="K340" s="682">
        <v>0</v>
      </c>
      <c r="M340" s="2155">
        <v>0</v>
      </c>
      <c r="N340" s="2155">
        <v>0</v>
      </c>
      <c r="O340" s="685">
        <f t="shared" si="23"/>
        <v>0</v>
      </c>
      <c r="P340" s="685">
        <f t="shared" si="24"/>
        <v>0</v>
      </c>
    </row>
    <row r="341" spans="1:16" s="682" customFormat="1" ht="15" hidden="1" outlineLevel="2" x14ac:dyDescent="0.25">
      <c r="A341" s="682" t="s">
        <v>2038</v>
      </c>
      <c r="B341" s="682" t="s">
        <v>2021</v>
      </c>
      <c r="C341" s="682" t="s">
        <v>2022</v>
      </c>
      <c r="D341" s="684">
        <v>37657</v>
      </c>
      <c r="E341" s="684">
        <v>0</v>
      </c>
      <c r="F341" s="682">
        <v>0</v>
      </c>
      <c r="H341" s="2155">
        <v>0</v>
      </c>
      <c r="I341" s="2155">
        <v>0</v>
      </c>
      <c r="J341" s="685">
        <f>SUM($F341:G341)</f>
        <v>0</v>
      </c>
      <c r="K341" s="682">
        <v>0</v>
      </c>
      <c r="M341" s="2155">
        <v>0</v>
      </c>
      <c r="N341" s="2155">
        <v>0</v>
      </c>
      <c r="O341" s="685">
        <f t="shared" si="23"/>
        <v>0</v>
      </c>
      <c r="P341" s="685">
        <f t="shared" si="24"/>
        <v>0</v>
      </c>
    </row>
    <row r="342" spans="1:16" s="682" customFormat="1" ht="15" hidden="1" outlineLevel="2" x14ac:dyDescent="0.25">
      <c r="A342" s="682" t="s">
        <v>2038</v>
      </c>
      <c r="B342" s="682" t="s">
        <v>2027</v>
      </c>
      <c r="C342" s="682" t="s">
        <v>2028</v>
      </c>
      <c r="D342" s="684">
        <v>56485</v>
      </c>
      <c r="E342" s="684">
        <v>0</v>
      </c>
      <c r="F342" s="682">
        <v>0</v>
      </c>
      <c r="H342" s="2155">
        <v>0</v>
      </c>
      <c r="I342" s="2155">
        <v>0</v>
      </c>
      <c r="J342" s="685">
        <f>SUM($F342:G342)</f>
        <v>0</v>
      </c>
      <c r="K342" s="682">
        <v>0</v>
      </c>
      <c r="M342" s="2155">
        <v>0</v>
      </c>
      <c r="N342" s="2155">
        <v>0</v>
      </c>
      <c r="O342" s="685">
        <f>SUM(K342:L342)</f>
        <v>0</v>
      </c>
      <c r="P342" s="685">
        <f>+J342+O342</f>
        <v>0</v>
      </c>
    </row>
    <row r="343" spans="1:16" outlineLevel="1" collapsed="1" x14ac:dyDescent="0.2">
      <c r="A343" s="681" t="s">
        <v>2039</v>
      </c>
      <c r="D343" s="681">
        <v>197841153</v>
      </c>
      <c r="E343" s="681">
        <v>208593011</v>
      </c>
      <c r="F343" s="681">
        <v>208593011</v>
      </c>
      <c r="G343" s="681">
        <f>SUBTOTAL(9,G279:G342)</f>
        <v>-43581124</v>
      </c>
      <c r="H343" s="2206">
        <f>SUBTOTAL(9,H279:H342)</f>
        <v>0</v>
      </c>
      <c r="I343" s="2206">
        <f>SUBTOTAL(9,I279:I342)</f>
        <v>0</v>
      </c>
      <c r="J343" s="681">
        <f>SUBTOTAL(9,J279:J342)</f>
        <v>165011887</v>
      </c>
      <c r="K343" s="681">
        <v>208593011</v>
      </c>
      <c r="L343" s="681">
        <f>SUBTOTAL(9,L279:L342)</f>
        <v>-42351068</v>
      </c>
      <c r="M343" s="2206">
        <f>SUBTOTAL(9,M279:M342)</f>
        <v>0</v>
      </c>
      <c r="N343" s="2206">
        <f>SUBTOTAL(9,N279:N342)</f>
        <v>0</v>
      </c>
      <c r="O343" s="681">
        <f>SUBTOTAL(9,O279:O342)</f>
        <v>166241943</v>
      </c>
      <c r="P343" s="681">
        <f>SUBTOTAL(9,P279:P342)</f>
        <v>331253830</v>
      </c>
    </row>
    <row r="344" spans="1:16" s="682" customFormat="1" ht="15" hidden="1" outlineLevel="2" x14ac:dyDescent="0.25">
      <c r="A344" s="682" t="s">
        <v>2040</v>
      </c>
      <c r="B344" s="682" t="s">
        <v>1889</v>
      </c>
      <c r="C344" s="682" t="s">
        <v>1890</v>
      </c>
      <c r="D344" s="2207">
        <v>0</v>
      </c>
      <c r="E344" s="2207">
        <v>8392360</v>
      </c>
      <c r="F344" s="2155">
        <v>8392360</v>
      </c>
      <c r="G344" s="682">
        <f>'3.1b Allocation Adj. YR1 '!$K$32-F344</f>
        <v>1462855</v>
      </c>
      <c r="H344" s="2155">
        <v>0</v>
      </c>
      <c r="I344" s="2155">
        <v>0</v>
      </c>
      <c r="J344" s="685">
        <f>SUM($F344:G344)</f>
        <v>9855215</v>
      </c>
      <c r="K344" s="2155">
        <v>8392360</v>
      </c>
      <c r="L344" s="682">
        <f>'7.1b Allocation Adj. YR2'!$K$32-K344</f>
        <v>1536330</v>
      </c>
      <c r="M344" s="2155">
        <v>0</v>
      </c>
      <c r="N344" s="2155">
        <v>0</v>
      </c>
      <c r="O344" s="685">
        <f t="shared" ref="O344:O349" si="26">SUM(K344:L344)</f>
        <v>9928690</v>
      </c>
      <c r="P344" s="685">
        <f t="shared" ref="P344:P360" si="27">+J344+O344</f>
        <v>19783905</v>
      </c>
    </row>
    <row r="345" spans="1:16" s="682" customFormat="1" ht="15" hidden="1" outlineLevel="2" x14ac:dyDescent="0.25">
      <c r="A345" s="682" t="s">
        <v>2040</v>
      </c>
      <c r="B345" s="682" t="s">
        <v>1891</v>
      </c>
      <c r="C345" s="682" t="s">
        <v>1892</v>
      </c>
      <c r="D345" s="684">
        <v>414225</v>
      </c>
      <c r="E345" s="684">
        <v>0</v>
      </c>
      <c r="F345" s="682">
        <v>0</v>
      </c>
      <c r="H345" s="2155">
        <v>0</v>
      </c>
      <c r="I345" s="2155">
        <v>0</v>
      </c>
      <c r="J345" s="685">
        <f>SUM($F345:G345)</f>
        <v>0</v>
      </c>
      <c r="K345" s="2155">
        <v>0</v>
      </c>
      <c r="M345" s="2155">
        <v>0</v>
      </c>
      <c r="N345" s="2155">
        <v>0</v>
      </c>
      <c r="O345" s="685">
        <f t="shared" si="26"/>
        <v>0</v>
      </c>
      <c r="P345" s="685">
        <f t="shared" si="27"/>
        <v>0</v>
      </c>
    </row>
    <row r="346" spans="1:16" s="682" customFormat="1" ht="15" hidden="1" outlineLevel="2" x14ac:dyDescent="0.25">
      <c r="A346" s="682" t="s">
        <v>2040</v>
      </c>
      <c r="B346" s="682" t="s">
        <v>1895</v>
      </c>
      <c r="C346" s="682" t="s">
        <v>1896</v>
      </c>
      <c r="D346" s="684">
        <v>4890007</v>
      </c>
      <c r="E346" s="684">
        <v>0</v>
      </c>
      <c r="F346" s="682">
        <v>0</v>
      </c>
      <c r="H346" s="2155">
        <v>0</v>
      </c>
      <c r="I346" s="2155">
        <v>0</v>
      </c>
      <c r="J346" s="685">
        <f>SUM($F346:G346)</f>
        <v>0</v>
      </c>
      <c r="K346" s="682">
        <v>0</v>
      </c>
      <c r="M346" s="2155">
        <v>0</v>
      </c>
      <c r="N346" s="2155">
        <v>0</v>
      </c>
      <c r="O346" s="685">
        <f t="shared" si="26"/>
        <v>0</v>
      </c>
      <c r="P346" s="685">
        <f t="shared" si="27"/>
        <v>0</v>
      </c>
    </row>
    <row r="347" spans="1:16" s="682" customFormat="1" ht="15" hidden="1" outlineLevel="2" x14ac:dyDescent="0.25">
      <c r="A347" s="682" t="s">
        <v>2040</v>
      </c>
      <c r="B347" s="682" t="s">
        <v>1897</v>
      </c>
      <c r="C347" s="682" t="s">
        <v>1898</v>
      </c>
      <c r="D347" s="684">
        <v>49492</v>
      </c>
      <c r="E347" s="684">
        <v>0</v>
      </c>
      <c r="F347" s="682">
        <v>0</v>
      </c>
      <c r="H347" s="2155">
        <v>0</v>
      </c>
      <c r="I347" s="2155">
        <v>0</v>
      </c>
      <c r="J347" s="685">
        <f>SUM($F347:G347)</f>
        <v>0</v>
      </c>
      <c r="K347" s="682">
        <v>0</v>
      </c>
      <c r="M347" s="2155">
        <v>0</v>
      </c>
      <c r="N347" s="2155">
        <v>0</v>
      </c>
      <c r="O347" s="685">
        <f t="shared" si="26"/>
        <v>0</v>
      </c>
      <c r="P347" s="685">
        <f t="shared" si="27"/>
        <v>0</v>
      </c>
    </row>
    <row r="348" spans="1:16" s="682" customFormat="1" ht="15" hidden="1" outlineLevel="2" x14ac:dyDescent="0.25">
      <c r="A348" s="682" t="s">
        <v>2040</v>
      </c>
      <c r="B348" s="682" t="s">
        <v>1899</v>
      </c>
      <c r="C348" s="682" t="s">
        <v>1900</v>
      </c>
      <c r="D348" s="684">
        <v>104363</v>
      </c>
      <c r="E348" s="684">
        <v>0</v>
      </c>
      <c r="F348" s="682">
        <v>0</v>
      </c>
      <c r="H348" s="2155">
        <v>0</v>
      </c>
      <c r="I348" s="2155">
        <v>0</v>
      </c>
      <c r="J348" s="685">
        <f>SUM($F348:G348)</f>
        <v>0</v>
      </c>
      <c r="K348" s="682">
        <v>0</v>
      </c>
      <c r="M348" s="2155">
        <v>0</v>
      </c>
      <c r="N348" s="2155">
        <v>0</v>
      </c>
      <c r="O348" s="685">
        <f t="shared" si="26"/>
        <v>0</v>
      </c>
      <c r="P348" s="685">
        <f t="shared" si="27"/>
        <v>0</v>
      </c>
    </row>
    <row r="349" spans="1:16" s="682" customFormat="1" ht="15" hidden="1" outlineLevel="2" x14ac:dyDescent="0.25">
      <c r="A349" s="682" t="s">
        <v>2040</v>
      </c>
      <c r="B349" s="682" t="s">
        <v>1911</v>
      </c>
      <c r="C349" s="682" t="s">
        <v>1912</v>
      </c>
      <c r="D349" s="684">
        <v>27974</v>
      </c>
      <c r="E349" s="684">
        <v>0</v>
      </c>
      <c r="F349" s="682">
        <v>0</v>
      </c>
      <c r="H349" s="2155">
        <v>0</v>
      </c>
      <c r="I349" s="2155">
        <v>0</v>
      </c>
      <c r="J349" s="685">
        <f>SUM($F349:G349)</f>
        <v>0</v>
      </c>
      <c r="K349" s="682">
        <v>0</v>
      </c>
      <c r="M349" s="2155">
        <v>0</v>
      </c>
      <c r="N349" s="2155">
        <v>0</v>
      </c>
      <c r="O349" s="685">
        <f t="shared" si="26"/>
        <v>0</v>
      </c>
      <c r="P349" s="685">
        <f t="shared" si="27"/>
        <v>0</v>
      </c>
    </row>
    <row r="350" spans="1:16" s="682" customFormat="1" ht="15" hidden="1" outlineLevel="2" x14ac:dyDescent="0.25">
      <c r="A350" s="682" t="s">
        <v>2040</v>
      </c>
      <c r="B350" s="682" t="s">
        <v>1921</v>
      </c>
      <c r="C350" s="682" t="s">
        <v>1922</v>
      </c>
      <c r="D350" s="684">
        <v>1354569</v>
      </c>
      <c r="E350" s="684">
        <v>0</v>
      </c>
      <c r="F350" s="682">
        <v>0</v>
      </c>
      <c r="H350" s="2155">
        <v>0</v>
      </c>
      <c r="I350" s="2155">
        <v>0</v>
      </c>
      <c r="J350" s="685">
        <f>SUM($F350:G350)</f>
        <v>0</v>
      </c>
      <c r="K350" s="682">
        <v>0</v>
      </c>
      <c r="M350" s="2155">
        <v>0</v>
      </c>
      <c r="N350" s="2155">
        <v>0</v>
      </c>
      <c r="O350" s="685">
        <f t="shared" ref="O350:O360" si="28">SUM(K350:L350)</f>
        <v>0</v>
      </c>
      <c r="P350" s="685">
        <f t="shared" si="27"/>
        <v>0</v>
      </c>
    </row>
    <row r="351" spans="1:16" s="682" customFormat="1" ht="15" hidden="1" outlineLevel="2" x14ac:dyDescent="0.25">
      <c r="A351" s="682" t="s">
        <v>2040</v>
      </c>
      <c r="B351" s="682" t="s">
        <v>1927</v>
      </c>
      <c r="C351" s="682" t="s">
        <v>1928</v>
      </c>
      <c r="D351" s="684">
        <v>4304</v>
      </c>
      <c r="E351" s="684">
        <v>0</v>
      </c>
      <c r="F351" s="682">
        <v>0</v>
      </c>
      <c r="H351" s="2155">
        <v>0</v>
      </c>
      <c r="I351" s="2155">
        <v>0</v>
      </c>
      <c r="J351" s="685">
        <f>SUM($F351:G351)</f>
        <v>0</v>
      </c>
      <c r="K351" s="682">
        <v>0</v>
      </c>
      <c r="M351" s="2155">
        <v>0</v>
      </c>
      <c r="N351" s="2155">
        <v>0</v>
      </c>
      <c r="O351" s="685">
        <f t="shared" si="28"/>
        <v>0</v>
      </c>
      <c r="P351" s="685">
        <f t="shared" si="27"/>
        <v>0</v>
      </c>
    </row>
    <row r="352" spans="1:16" s="682" customFormat="1" ht="15" hidden="1" outlineLevel="2" x14ac:dyDescent="0.25">
      <c r="A352" s="682" t="s">
        <v>2040</v>
      </c>
      <c r="B352" s="682" t="s">
        <v>1933</v>
      </c>
      <c r="C352" s="682" t="s">
        <v>1934</v>
      </c>
      <c r="D352" s="684">
        <v>278660</v>
      </c>
      <c r="E352" s="684">
        <v>0</v>
      </c>
      <c r="F352" s="682">
        <v>0</v>
      </c>
      <c r="H352" s="2155">
        <v>0</v>
      </c>
      <c r="I352" s="2155">
        <v>0</v>
      </c>
      <c r="J352" s="685">
        <f>SUM($F352:G352)</f>
        <v>0</v>
      </c>
      <c r="K352" s="682">
        <v>0</v>
      </c>
      <c r="M352" s="2155">
        <v>0</v>
      </c>
      <c r="N352" s="2155">
        <v>0</v>
      </c>
      <c r="O352" s="685">
        <f t="shared" si="28"/>
        <v>0</v>
      </c>
      <c r="P352" s="685">
        <f t="shared" si="27"/>
        <v>0</v>
      </c>
    </row>
    <row r="353" spans="1:16" s="682" customFormat="1" ht="15" hidden="1" outlineLevel="2" x14ac:dyDescent="0.25">
      <c r="A353" s="682" t="s">
        <v>2040</v>
      </c>
      <c r="B353" s="682" t="s">
        <v>1935</v>
      </c>
      <c r="C353" s="682" t="s">
        <v>1936</v>
      </c>
      <c r="D353" s="684">
        <v>46264</v>
      </c>
      <c r="E353" s="684">
        <v>0</v>
      </c>
      <c r="F353" s="682">
        <v>0</v>
      </c>
      <c r="H353" s="2155">
        <v>0</v>
      </c>
      <c r="I353" s="2155">
        <v>0</v>
      </c>
      <c r="J353" s="685">
        <f>SUM($F353:G353)</f>
        <v>0</v>
      </c>
      <c r="K353" s="682">
        <v>0</v>
      </c>
      <c r="M353" s="2155">
        <v>0</v>
      </c>
      <c r="N353" s="2155">
        <v>0</v>
      </c>
      <c r="O353" s="685">
        <f t="shared" si="28"/>
        <v>0</v>
      </c>
      <c r="P353" s="685">
        <f t="shared" si="27"/>
        <v>0</v>
      </c>
    </row>
    <row r="354" spans="1:16" s="682" customFormat="1" ht="15" hidden="1" outlineLevel="2" x14ac:dyDescent="0.25">
      <c r="A354" s="682" t="s">
        <v>2040</v>
      </c>
      <c r="B354" s="682" t="s">
        <v>1949</v>
      </c>
      <c r="C354" s="682" t="s">
        <v>1950</v>
      </c>
      <c r="D354" s="684">
        <v>24746</v>
      </c>
      <c r="E354" s="684">
        <v>0</v>
      </c>
      <c r="F354" s="682">
        <v>0</v>
      </c>
      <c r="H354" s="2155">
        <v>0</v>
      </c>
      <c r="I354" s="2155">
        <v>0</v>
      </c>
      <c r="J354" s="685">
        <f>SUM($F354:G354)</f>
        <v>0</v>
      </c>
      <c r="K354" s="682">
        <v>0</v>
      </c>
      <c r="M354" s="2155">
        <v>0</v>
      </c>
      <c r="N354" s="2155">
        <v>0</v>
      </c>
      <c r="O354" s="685">
        <f t="shared" si="28"/>
        <v>0</v>
      </c>
      <c r="P354" s="685">
        <f t="shared" si="27"/>
        <v>0</v>
      </c>
    </row>
    <row r="355" spans="1:16" s="682" customFormat="1" ht="15" hidden="1" outlineLevel="2" x14ac:dyDescent="0.25">
      <c r="A355" s="682" t="s">
        <v>2040</v>
      </c>
      <c r="B355" s="682" t="s">
        <v>1987</v>
      </c>
      <c r="C355" s="682" t="s">
        <v>1988</v>
      </c>
      <c r="D355" s="684">
        <v>121578</v>
      </c>
      <c r="E355" s="684">
        <v>0</v>
      </c>
      <c r="F355" s="682">
        <v>0</v>
      </c>
      <c r="H355" s="2155">
        <v>0</v>
      </c>
      <c r="I355" s="2155">
        <v>0</v>
      </c>
      <c r="J355" s="685">
        <f>SUM($F355:G355)</f>
        <v>0</v>
      </c>
      <c r="K355" s="682">
        <v>0</v>
      </c>
      <c r="M355" s="2155">
        <v>0</v>
      </c>
      <c r="N355" s="2155">
        <v>0</v>
      </c>
      <c r="O355" s="685">
        <f t="shared" si="28"/>
        <v>0</v>
      </c>
      <c r="P355" s="685">
        <f t="shared" si="27"/>
        <v>0</v>
      </c>
    </row>
    <row r="356" spans="1:16" s="682" customFormat="1" ht="15" hidden="1" outlineLevel="2" x14ac:dyDescent="0.25">
      <c r="A356" s="682" t="s">
        <v>2040</v>
      </c>
      <c r="B356" s="682" t="s">
        <v>1991</v>
      </c>
      <c r="C356" s="682" t="s">
        <v>1992</v>
      </c>
      <c r="D356" s="684">
        <v>362581</v>
      </c>
      <c r="E356" s="684">
        <v>0</v>
      </c>
      <c r="F356" s="682">
        <v>0</v>
      </c>
      <c r="H356" s="2155">
        <v>0</v>
      </c>
      <c r="I356" s="2155">
        <v>0</v>
      </c>
      <c r="J356" s="685">
        <f>SUM($F356:G356)</f>
        <v>0</v>
      </c>
      <c r="K356" s="682">
        <v>0</v>
      </c>
      <c r="M356" s="2155">
        <v>0</v>
      </c>
      <c r="N356" s="2155">
        <v>0</v>
      </c>
      <c r="O356" s="685">
        <f t="shared" si="28"/>
        <v>0</v>
      </c>
      <c r="P356" s="685">
        <f t="shared" si="27"/>
        <v>0</v>
      </c>
    </row>
    <row r="357" spans="1:16" s="682" customFormat="1" ht="15" hidden="1" outlineLevel="2" x14ac:dyDescent="0.25">
      <c r="A357" s="682" t="s">
        <v>2040</v>
      </c>
      <c r="B357" s="682" t="s">
        <v>1999</v>
      </c>
      <c r="C357" s="682" t="s">
        <v>2000</v>
      </c>
      <c r="D357" s="684">
        <v>43036</v>
      </c>
      <c r="E357" s="684">
        <v>0</v>
      </c>
      <c r="F357" s="682">
        <v>0</v>
      </c>
      <c r="H357" s="2155">
        <v>0</v>
      </c>
      <c r="I357" s="2155">
        <v>0</v>
      </c>
      <c r="J357" s="685">
        <f>SUM($F357:G357)</f>
        <v>0</v>
      </c>
      <c r="K357" s="682">
        <v>0</v>
      </c>
      <c r="M357" s="682">
        <v>0</v>
      </c>
      <c r="O357" s="685">
        <f t="shared" si="28"/>
        <v>0</v>
      </c>
      <c r="P357" s="685">
        <f t="shared" si="27"/>
        <v>0</v>
      </c>
    </row>
    <row r="358" spans="1:16" s="682" customFormat="1" ht="15" hidden="1" outlineLevel="2" x14ac:dyDescent="0.25">
      <c r="A358" s="682" t="s">
        <v>2040</v>
      </c>
      <c r="B358" s="682" t="s">
        <v>2011</v>
      </c>
      <c r="C358" s="682" t="s">
        <v>2012</v>
      </c>
      <c r="D358" s="684">
        <v>69934</v>
      </c>
      <c r="E358" s="684">
        <v>0</v>
      </c>
      <c r="F358" s="682">
        <v>0</v>
      </c>
      <c r="H358" s="2155">
        <v>0</v>
      </c>
      <c r="I358" s="2155">
        <v>0</v>
      </c>
      <c r="J358" s="685">
        <f>SUM($F358:G358)</f>
        <v>0</v>
      </c>
      <c r="K358" s="682">
        <v>0</v>
      </c>
      <c r="M358" s="682">
        <v>0</v>
      </c>
      <c r="O358" s="685">
        <f t="shared" si="28"/>
        <v>0</v>
      </c>
      <c r="P358" s="685">
        <f t="shared" si="27"/>
        <v>0</v>
      </c>
    </row>
    <row r="359" spans="1:16" s="682" customFormat="1" ht="15" hidden="1" outlineLevel="2" x14ac:dyDescent="0.25">
      <c r="A359" s="682" t="s">
        <v>2040</v>
      </c>
      <c r="B359" s="682" t="s">
        <v>2015</v>
      </c>
      <c r="C359" s="682" t="s">
        <v>2016</v>
      </c>
      <c r="D359" s="684">
        <v>192588</v>
      </c>
      <c r="E359" s="684">
        <v>0</v>
      </c>
      <c r="F359" s="682">
        <v>0</v>
      </c>
      <c r="H359" s="2155">
        <v>0</v>
      </c>
      <c r="I359" s="2155">
        <v>0</v>
      </c>
      <c r="J359" s="685">
        <f>SUM($F359:G359)</f>
        <v>0</v>
      </c>
      <c r="K359" s="682">
        <v>0</v>
      </c>
      <c r="M359" s="682">
        <v>0</v>
      </c>
      <c r="O359" s="685">
        <f t="shared" si="28"/>
        <v>0</v>
      </c>
      <c r="P359" s="685">
        <f t="shared" si="27"/>
        <v>0</v>
      </c>
    </row>
    <row r="360" spans="1:16" s="682" customFormat="1" ht="15" hidden="1" outlineLevel="2" x14ac:dyDescent="0.25">
      <c r="A360" s="682" t="s">
        <v>2040</v>
      </c>
      <c r="B360" s="682" t="s">
        <v>2025</v>
      </c>
      <c r="C360" s="682" t="s">
        <v>2026</v>
      </c>
      <c r="D360" s="684">
        <v>36581</v>
      </c>
      <c r="E360" s="684">
        <v>0</v>
      </c>
      <c r="F360" s="682">
        <v>0</v>
      </c>
      <c r="H360" s="2155">
        <v>0</v>
      </c>
      <c r="I360" s="2155">
        <v>0</v>
      </c>
      <c r="J360" s="685">
        <f>SUM($F360:G360)</f>
        <v>0</v>
      </c>
      <c r="K360" s="682">
        <v>0</v>
      </c>
      <c r="M360" s="682">
        <v>0</v>
      </c>
      <c r="O360" s="685">
        <f t="shared" si="28"/>
        <v>0</v>
      </c>
      <c r="P360" s="685">
        <f t="shared" si="27"/>
        <v>0</v>
      </c>
    </row>
    <row r="361" spans="1:16" outlineLevel="1" collapsed="1" x14ac:dyDescent="0.2">
      <c r="A361" s="681" t="s">
        <v>2041</v>
      </c>
      <c r="D361" s="681">
        <v>8020902</v>
      </c>
      <c r="E361" s="681">
        <v>8392360</v>
      </c>
      <c r="F361" s="681">
        <v>8392360</v>
      </c>
      <c r="G361" s="681">
        <f>SUBTOTAL(9,G344:G360)</f>
        <v>1462855</v>
      </c>
      <c r="H361" s="2206">
        <f>SUBTOTAL(9,H344:H360)</f>
        <v>0</v>
      </c>
      <c r="I361" s="2206">
        <f>SUBTOTAL(9,I344:I360)</f>
        <v>0</v>
      </c>
      <c r="J361" s="681">
        <f>SUBTOTAL(9,J344:J360)</f>
        <v>9855215</v>
      </c>
      <c r="K361" s="681">
        <v>8392360</v>
      </c>
      <c r="L361" s="681">
        <f>SUBTOTAL(9,L344:L360)</f>
        <v>1536330</v>
      </c>
      <c r="M361" s="681">
        <v>8392360</v>
      </c>
      <c r="N361" s="681">
        <f>SUBTOTAL(9,N344:N360)</f>
        <v>0</v>
      </c>
      <c r="O361" s="681">
        <f>SUBTOTAL(9,O344:O360)</f>
        <v>9928690</v>
      </c>
      <c r="P361" s="681">
        <f>SUBTOTAL(9,P344:P360)</f>
        <v>19783905</v>
      </c>
    </row>
    <row r="362" spans="1:16" s="682" customFormat="1" ht="15" hidden="1" outlineLevel="2" x14ac:dyDescent="0.25">
      <c r="A362" s="682" t="s">
        <v>2042</v>
      </c>
      <c r="B362" s="682" t="s">
        <v>1889</v>
      </c>
      <c r="C362" s="682" t="s">
        <v>1890</v>
      </c>
      <c r="D362" s="684">
        <v>0</v>
      </c>
      <c r="E362" s="684">
        <v>0</v>
      </c>
      <c r="F362" s="682">
        <v>0</v>
      </c>
      <c r="G362" s="682">
        <v>0</v>
      </c>
      <c r="H362" s="2155">
        <v>0</v>
      </c>
      <c r="I362" s="2155">
        <v>0</v>
      </c>
      <c r="J362" s="685">
        <f>SUM($F362:G362)</f>
        <v>0</v>
      </c>
      <c r="K362" s="682">
        <v>0</v>
      </c>
      <c r="L362" s="682">
        <v>0</v>
      </c>
      <c r="M362" s="682">
        <v>0</v>
      </c>
      <c r="N362" s="682">
        <v>0</v>
      </c>
      <c r="O362" s="685">
        <f>SUM(K362:L362)</f>
        <v>0</v>
      </c>
      <c r="P362" s="685">
        <f>+J362+O362</f>
        <v>0</v>
      </c>
    </row>
    <row r="363" spans="1:16" outlineLevel="1" collapsed="1" x14ac:dyDescent="0.2">
      <c r="A363" s="681" t="s">
        <v>2043</v>
      </c>
      <c r="D363" s="681">
        <v>0</v>
      </c>
      <c r="E363" s="681">
        <v>0</v>
      </c>
      <c r="F363" s="681">
        <v>0</v>
      </c>
      <c r="G363" s="681">
        <f t="shared" ref="G363:P363" si="29">SUBTOTAL(9,G362:G362)</f>
        <v>0</v>
      </c>
      <c r="H363" s="681">
        <v>0</v>
      </c>
      <c r="I363" s="681">
        <f t="shared" ref="I363" si="30">SUBTOTAL(9,I362:I362)</f>
        <v>0</v>
      </c>
      <c r="J363" s="681">
        <f t="shared" si="29"/>
        <v>0</v>
      </c>
      <c r="K363" s="681">
        <v>0</v>
      </c>
      <c r="L363" s="681">
        <f t="shared" si="29"/>
        <v>0</v>
      </c>
      <c r="M363" s="681">
        <v>0</v>
      </c>
      <c r="N363" s="681">
        <f t="shared" ref="N363" si="31">SUBTOTAL(9,N362:N362)</f>
        <v>0</v>
      </c>
      <c r="O363" s="681">
        <f t="shared" si="29"/>
        <v>0</v>
      </c>
      <c r="P363" s="681">
        <f t="shared" si="29"/>
        <v>0</v>
      </c>
    </row>
    <row r="364" spans="1:16" s="682" customFormat="1" ht="15" hidden="1" outlineLevel="2" x14ac:dyDescent="0.25">
      <c r="A364" s="682" t="s">
        <v>2044</v>
      </c>
      <c r="B364" s="682" t="s">
        <v>2045</v>
      </c>
      <c r="C364" s="682" t="s">
        <v>2046</v>
      </c>
      <c r="D364" s="684">
        <v>0</v>
      </c>
      <c r="E364" s="684">
        <v>0</v>
      </c>
      <c r="F364" s="682">
        <v>0</v>
      </c>
      <c r="G364" s="682">
        <v>0</v>
      </c>
      <c r="H364" s="682">
        <v>0</v>
      </c>
      <c r="I364" s="682">
        <v>0</v>
      </c>
      <c r="J364" s="685">
        <f>SUM($F364:G364)</f>
        <v>0</v>
      </c>
      <c r="K364" s="682">
        <v>0</v>
      </c>
      <c r="L364" s="682">
        <v>0</v>
      </c>
      <c r="M364" s="682">
        <v>0</v>
      </c>
      <c r="N364" s="682">
        <v>0</v>
      </c>
      <c r="O364" s="685">
        <f>SUM(K364:L364)</f>
        <v>0</v>
      </c>
      <c r="P364" s="685">
        <f>+J364+O364</f>
        <v>0</v>
      </c>
    </row>
    <row r="365" spans="1:16" outlineLevel="1" collapsed="1" x14ac:dyDescent="0.2">
      <c r="A365" s="681" t="s">
        <v>2047</v>
      </c>
      <c r="D365" s="681">
        <v>0</v>
      </c>
      <c r="E365" s="681">
        <v>0</v>
      </c>
      <c r="F365" s="681">
        <v>0</v>
      </c>
      <c r="G365" s="681">
        <f t="shared" ref="G365:P365" si="32">SUBTOTAL(9,G364:G364)</f>
        <v>0</v>
      </c>
      <c r="H365" s="681">
        <v>0</v>
      </c>
      <c r="I365" s="681">
        <f t="shared" ref="I365" si="33">SUBTOTAL(9,I364:I364)</f>
        <v>0</v>
      </c>
      <c r="J365" s="681">
        <f t="shared" si="32"/>
        <v>0</v>
      </c>
      <c r="K365" s="681">
        <v>0</v>
      </c>
      <c r="L365" s="681">
        <f t="shared" si="32"/>
        <v>0</v>
      </c>
      <c r="M365" s="681">
        <v>0</v>
      </c>
      <c r="N365" s="681">
        <f t="shared" ref="N365" si="34">SUBTOTAL(9,N364:N364)</f>
        <v>0</v>
      </c>
      <c r="O365" s="681">
        <f t="shared" si="32"/>
        <v>0</v>
      </c>
      <c r="P365" s="681">
        <f t="shared" si="32"/>
        <v>0</v>
      </c>
    </row>
    <row r="366" spans="1:16" s="682" customFormat="1" ht="15" hidden="1" outlineLevel="2" x14ac:dyDescent="0.25">
      <c r="A366" s="682" t="s">
        <v>2159</v>
      </c>
      <c r="B366" s="682" t="s">
        <v>1889</v>
      </c>
      <c r="C366" s="682" t="s">
        <v>1890</v>
      </c>
      <c r="D366" s="684">
        <v>0</v>
      </c>
      <c r="E366" s="684">
        <v>0</v>
      </c>
      <c r="F366" s="682">
        <v>0</v>
      </c>
      <c r="H366" s="682">
        <v>0</v>
      </c>
      <c r="J366" s="685">
        <f>SUM($F366:G366)</f>
        <v>0</v>
      </c>
      <c r="K366" s="2155">
        <v>0</v>
      </c>
      <c r="M366" s="2155">
        <v>0</v>
      </c>
      <c r="N366" s="682">
        <v>0</v>
      </c>
      <c r="O366" s="685">
        <f>SUM(K366:L366)</f>
        <v>0</v>
      </c>
      <c r="P366" s="685">
        <f>+J366+O366</f>
        <v>0</v>
      </c>
    </row>
    <row r="367" spans="1:16" outlineLevel="1" collapsed="1" x14ac:dyDescent="0.2">
      <c r="A367" s="681" t="s">
        <v>2220</v>
      </c>
      <c r="D367" s="681">
        <v>0</v>
      </c>
      <c r="E367" s="681">
        <v>0</v>
      </c>
      <c r="F367" s="681">
        <v>0</v>
      </c>
      <c r="G367" s="681">
        <f t="shared" ref="G367:P367" si="35">SUBTOTAL(9,G366:G366)</f>
        <v>0</v>
      </c>
      <c r="H367" s="681">
        <v>0</v>
      </c>
      <c r="I367" s="681">
        <f t="shared" ref="I367" si="36">SUBTOTAL(9,I366:I366)</f>
        <v>0</v>
      </c>
      <c r="J367" s="681">
        <f t="shared" si="35"/>
        <v>0</v>
      </c>
      <c r="K367" s="681">
        <v>0</v>
      </c>
      <c r="L367" s="681">
        <f>SUBTOTAL(9,L366)</f>
        <v>0</v>
      </c>
      <c r="M367" s="681">
        <v>0</v>
      </c>
      <c r="N367" s="681">
        <f>SUBTOTAL(9,N366)</f>
        <v>0</v>
      </c>
      <c r="O367" s="681">
        <f t="shared" si="35"/>
        <v>0</v>
      </c>
      <c r="P367" s="681">
        <f t="shared" si="35"/>
        <v>0</v>
      </c>
    </row>
    <row r="368" spans="1:16" s="682" customFormat="1" ht="15" outlineLevel="2" x14ac:dyDescent="0.25">
      <c r="A368" s="682" t="s">
        <v>2048</v>
      </c>
      <c r="B368" s="682" t="s">
        <v>2049</v>
      </c>
      <c r="C368" s="682" t="s">
        <v>2050</v>
      </c>
      <c r="D368" s="684">
        <v>0</v>
      </c>
      <c r="E368" s="2207">
        <v>25648000</v>
      </c>
      <c r="F368" s="2155">
        <v>25648000</v>
      </c>
      <c r="G368" s="682">
        <f>L10</f>
        <v>6282000</v>
      </c>
      <c r="H368" s="682">
        <v>0</v>
      </c>
      <c r="I368" s="682">
        <f>N10</f>
        <v>0</v>
      </c>
      <c r="J368" s="685">
        <f>SUM($F368:G368)</f>
        <v>31930000</v>
      </c>
      <c r="K368" s="2155">
        <v>24890000</v>
      </c>
      <c r="L368" s="682">
        <f>-'5.3 Budgeted Revenues YR2'!C35-'BA by DU'!K368</f>
        <v>7737000</v>
      </c>
      <c r="M368" s="682">
        <v>0</v>
      </c>
      <c r="N368" s="682">
        <v>0</v>
      </c>
      <c r="O368" s="685">
        <f>SUM(K368:L368)</f>
        <v>32627000</v>
      </c>
      <c r="P368" s="685">
        <f>+J368+O368</f>
        <v>64557000</v>
      </c>
    </row>
    <row r="369" spans="1:16" outlineLevel="1" x14ac:dyDescent="0.2">
      <c r="A369" s="681" t="s">
        <v>2051</v>
      </c>
      <c r="D369" s="681">
        <v>0</v>
      </c>
      <c r="E369" s="681">
        <f>SUM(E368)</f>
        <v>25648000</v>
      </c>
      <c r="F369" s="681">
        <f>SUM(F368)</f>
        <v>25648000</v>
      </c>
      <c r="G369" s="681">
        <f>SUBTOTAL(9,G368:G368)</f>
        <v>6282000</v>
      </c>
      <c r="H369" s="681">
        <f t="shared" ref="H369:I369" si="37">SUBTOTAL(9,H368:H368)</f>
        <v>0</v>
      </c>
      <c r="I369" s="681">
        <f t="shared" si="37"/>
        <v>0</v>
      </c>
      <c r="J369" s="681">
        <f>SUBTOTAL(9,J368:J368)</f>
        <v>31930000</v>
      </c>
      <c r="K369" s="681">
        <v>18465000</v>
      </c>
      <c r="L369" s="681">
        <f>SUM(L368)</f>
        <v>7737000</v>
      </c>
      <c r="M369" s="681">
        <f>SUM(M368)</f>
        <v>0</v>
      </c>
      <c r="N369" s="681">
        <f>SUM(N368)</f>
        <v>0</v>
      </c>
      <c r="O369" s="681">
        <f>SUBTOTAL(9,O368:O368)</f>
        <v>32627000</v>
      </c>
      <c r="P369" s="681">
        <f>SUBTOTAL(9,P368:P368)</f>
        <v>64557000</v>
      </c>
    </row>
    <row r="370" spans="1:16" x14ac:dyDescent="0.2">
      <c r="A370" s="681" t="s">
        <v>1864</v>
      </c>
      <c r="D370" s="681">
        <v>10877019764</v>
      </c>
      <c r="E370" s="681">
        <v>11486073330</v>
      </c>
      <c r="F370" s="681">
        <v>11478907728</v>
      </c>
      <c r="G370" s="681">
        <f>SUBTOTAL(9,G9:G368)</f>
        <v>-246558198</v>
      </c>
      <c r="H370" s="681">
        <f>SUBTOTAL(9,H9:H368)</f>
        <v>143941393</v>
      </c>
      <c r="I370" s="681">
        <f>SUBTOTAL(9,I9:I368)</f>
        <v>16000000</v>
      </c>
      <c r="J370" s="681">
        <f>SUBTOTAL(9,J9:J368)</f>
        <v>11405140923</v>
      </c>
      <c r="K370" s="681">
        <v>11477391728</v>
      </c>
      <c r="L370" s="681">
        <f>SUBTOTAL(9,L9:L368)</f>
        <v>-55760491</v>
      </c>
      <c r="M370" s="681">
        <f t="shared" ref="M370:N370" si="38">SUBTOTAL(9,M9:M368)</f>
        <v>152333753</v>
      </c>
      <c r="N370" s="681">
        <f t="shared" si="38"/>
        <v>18000000</v>
      </c>
      <c r="O370" s="681">
        <f>SUBTOTAL(9,O9:O368)</f>
        <v>11596422630</v>
      </c>
      <c r="P370" s="681">
        <f>SUBTOTAL(9,P9:P368)</f>
        <v>23001563553</v>
      </c>
    </row>
  </sheetData>
  <autoFilter ref="A8:O337" xr:uid="{F28499B0-CBA7-456C-81E0-0ADEDDD50AEA}"/>
  <conditionalFormatting sqref="E1:P1">
    <cfRule type="cellIs" dxfId="0" priority="1" operator="notEqual">
      <formula>0</formula>
    </cfRule>
  </conditionalFormatting>
  <pageMargins left="0.25" right="0.25" top="0.4" bottom="0.5" header="0.17" footer="0.17"/>
  <pageSetup paperSize="9" firstPageNumber="0" fitToWidth="2" fitToHeight="0" pageOrder="overThenDown" orientation="landscape" r:id="rId1"/>
  <headerFooter>
    <oddFooter>&amp;L&amp;Z
&amp;F&amp;CPage &amp;P of &amp;N&amp;R&amp;D, &amp;T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56859-7D47-481F-BC74-387F6CFBF5B9}">
  <sheetPr>
    <tabColor theme="7" tint="0.39997558519241921"/>
  </sheetPr>
  <dimension ref="A1:P42"/>
  <sheetViews>
    <sheetView workbookViewId="0"/>
  </sheetViews>
  <sheetFormatPr defaultColWidth="11.42578125" defaultRowHeight="11.25" x14ac:dyDescent="0.2"/>
  <cols>
    <col min="1" max="1" width="17" style="702" customWidth="1"/>
    <col min="2" max="2" width="11.7109375" style="702" customWidth="1"/>
    <col min="3" max="3" width="4.7109375" style="702" customWidth="1"/>
    <col min="4" max="4" width="78.140625" style="701" customWidth="1"/>
    <col min="5" max="10" width="11.7109375" style="702" bestFit="1" customWidth="1"/>
    <col min="11" max="11" width="14.5703125" style="702" bestFit="1" customWidth="1"/>
    <col min="12" max="16384" width="11.42578125" style="702"/>
  </cols>
  <sheetData>
    <row r="1" spans="1:16" ht="12" x14ac:dyDescent="0.2">
      <c r="A1" s="700" t="s">
        <v>2052</v>
      </c>
      <c r="B1" s="700"/>
      <c r="C1" s="700"/>
    </row>
    <row r="2" spans="1:16" ht="12" x14ac:dyDescent="0.2">
      <c r="A2" s="700" t="s">
        <v>2053</v>
      </c>
      <c r="B2" s="700"/>
      <c r="C2" s="700"/>
    </row>
    <row r="3" spans="1:16" ht="4.1500000000000004" customHeight="1" thickBot="1" x14ac:dyDescent="0.25">
      <c r="A3" s="703"/>
      <c r="B3" s="703"/>
      <c r="C3" s="703"/>
      <c r="D3" s="703"/>
    </row>
    <row r="4" spans="1:16" x14ac:dyDescent="0.2">
      <c r="A4" s="704"/>
      <c r="B4" s="705"/>
      <c r="C4" s="705"/>
      <c r="D4" s="706"/>
      <c r="E4" s="2407" t="s">
        <v>2054</v>
      </c>
      <c r="F4" s="2408"/>
      <c r="G4" s="2409"/>
      <c r="H4" s="2410" t="s">
        <v>2055</v>
      </c>
      <c r="I4" s="2408"/>
      <c r="J4" s="2409"/>
      <c r="K4" s="2411" t="s">
        <v>2056</v>
      </c>
    </row>
    <row r="5" spans="1:16" s="714" customFormat="1" ht="46.5" customHeight="1" thickBot="1" x14ac:dyDescent="0.3">
      <c r="A5" s="707" t="s">
        <v>2057</v>
      </c>
      <c r="B5" s="708" t="s">
        <v>2058</v>
      </c>
      <c r="C5" s="708" t="s">
        <v>2059</v>
      </c>
      <c r="D5" s="709" t="s">
        <v>1857</v>
      </c>
      <c r="E5" s="710" t="s">
        <v>2060</v>
      </c>
      <c r="F5" s="711" t="s">
        <v>2061</v>
      </c>
      <c r="G5" s="712" t="s">
        <v>2062</v>
      </c>
      <c r="H5" s="713" t="s">
        <v>2063</v>
      </c>
      <c r="I5" s="711" t="s">
        <v>2064</v>
      </c>
      <c r="J5" s="712" t="s">
        <v>2065</v>
      </c>
      <c r="K5" s="2412"/>
    </row>
    <row r="6" spans="1:16" ht="13.15" customHeight="1" x14ac:dyDescent="0.2">
      <c r="A6" s="715"/>
      <c r="B6" s="2071"/>
      <c r="C6" s="2072">
        <v>45</v>
      </c>
      <c r="D6" s="716" t="s">
        <v>2066</v>
      </c>
      <c r="E6" s="717">
        <v>-549478081</v>
      </c>
      <c r="F6" s="718"/>
      <c r="G6" s="719">
        <f t="shared" ref="G6:G15" si="0">E6+F6</f>
        <v>-549478081</v>
      </c>
      <c r="H6" s="720"/>
      <c r="I6" s="718"/>
      <c r="J6" s="719">
        <f t="shared" ref="J6:J15" si="1">H6+I6</f>
        <v>0</v>
      </c>
      <c r="K6" s="719">
        <f t="shared" ref="K6:K39" si="2">J6-G6</f>
        <v>549478081</v>
      </c>
    </row>
    <row r="7" spans="1:16" ht="13.15" customHeight="1" x14ac:dyDescent="0.2">
      <c r="A7" s="721"/>
      <c r="B7" s="722"/>
      <c r="C7" s="723">
        <v>47</v>
      </c>
      <c r="D7" s="724" t="s">
        <v>2067</v>
      </c>
      <c r="E7" s="725">
        <v>9000009</v>
      </c>
      <c r="F7" s="726">
        <v>549478081</v>
      </c>
      <c r="G7" s="727">
        <f t="shared" si="0"/>
        <v>558478090</v>
      </c>
      <c r="H7" s="728"/>
      <c r="I7" s="726"/>
      <c r="J7" s="727">
        <f t="shared" si="1"/>
        <v>0</v>
      </c>
      <c r="K7" s="727">
        <f t="shared" si="2"/>
        <v>-558478090</v>
      </c>
      <c r="L7" s="803"/>
      <c r="M7" s="803"/>
      <c r="N7" s="803"/>
      <c r="O7" s="803"/>
      <c r="P7" s="803"/>
    </row>
    <row r="8" spans="1:16" ht="13.15" customHeight="1" x14ac:dyDescent="0.2">
      <c r="A8" s="729"/>
      <c r="B8" s="730"/>
      <c r="C8" s="731">
        <v>4203</v>
      </c>
      <c r="D8" s="732" t="s">
        <v>2068</v>
      </c>
      <c r="E8" s="2098"/>
      <c r="F8" s="2100">
        <v>2089037.62</v>
      </c>
      <c r="G8" s="727">
        <f t="shared" si="0"/>
        <v>2089037.62</v>
      </c>
      <c r="H8" s="728"/>
      <c r="I8" s="726"/>
      <c r="J8" s="727">
        <f t="shared" si="1"/>
        <v>0</v>
      </c>
      <c r="K8" s="727">
        <f t="shared" si="2"/>
        <v>-2089037.62</v>
      </c>
    </row>
    <row r="9" spans="1:16" ht="13.15" customHeight="1" x14ac:dyDescent="0.2">
      <c r="A9" s="729" t="s">
        <v>2069</v>
      </c>
      <c r="B9" s="733">
        <v>387.03</v>
      </c>
      <c r="C9" s="731">
        <v>4869</v>
      </c>
      <c r="D9" s="732" t="s">
        <v>2070</v>
      </c>
      <c r="E9" s="2098">
        <v>10674992.609999999</v>
      </c>
      <c r="F9" s="734">
        <v>9104000</v>
      </c>
      <c r="G9" s="2102">
        <f t="shared" si="0"/>
        <v>19778992.609999999</v>
      </c>
      <c r="H9" s="735">
        <v>13447000</v>
      </c>
      <c r="I9" s="734">
        <v>11501000</v>
      </c>
      <c r="J9" s="2102">
        <f t="shared" si="1"/>
        <v>24948000</v>
      </c>
      <c r="K9" s="2102">
        <f t="shared" si="2"/>
        <v>5169007.3900000006</v>
      </c>
    </row>
    <row r="10" spans="1:16" ht="13.15" customHeight="1" x14ac:dyDescent="0.2">
      <c r="A10" s="715" t="s">
        <v>2071</v>
      </c>
      <c r="B10" s="2071">
        <v>244.33561</v>
      </c>
      <c r="C10" s="2072">
        <v>3335</v>
      </c>
      <c r="D10" s="716" t="s">
        <v>2072</v>
      </c>
      <c r="E10" s="717">
        <v>192343898.16</v>
      </c>
      <c r="F10" s="804">
        <v>227893000</v>
      </c>
      <c r="G10" s="805">
        <f t="shared" si="0"/>
        <v>420236898.15999997</v>
      </c>
      <c r="H10" s="806">
        <v>249739000</v>
      </c>
      <c r="I10" s="804">
        <v>241840000</v>
      </c>
      <c r="J10" s="719">
        <f t="shared" si="1"/>
        <v>491579000</v>
      </c>
      <c r="K10" s="719">
        <f t="shared" si="2"/>
        <v>71342101.840000033</v>
      </c>
    </row>
    <row r="11" spans="1:16" ht="13.15" customHeight="1" x14ac:dyDescent="0.2">
      <c r="A11" s="721" t="s">
        <v>2073</v>
      </c>
      <c r="B11" s="722">
        <v>387.19499999999999</v>
      </c>
      <c r="C11" s="723">
        <v>3340</v>
      </c>
      <c r="D11" s="724" t="s">
        <v>2074</v>
      </c>
      <c r="E11" s="725">
        <v>866967710.97000003</v>
      </c>
      <c r="F11" s="807">
        <f>ROUND(949857122,-3)</f>
        <v>949857000</v>
      </c>
      <c r="G11" s="808">
        <f t="shared" si="0"/>
        <v>1816824710.97</v>
      </c>
      <c r="H11" s="809">
        <f>ROUND(1012449949,-3)</f>
        <v>1012450000</v>
      </c>
      <c r="I11" s="807">
        <f>ROUND(1080278532,-3)</f>
        <v>1080279000</v>
      </c>
      <c r="J11" s="727">
        <f t="shared" si="1"/>
        <v>2092729000</v>
      </c>
      <c r="K11" s="727">
        <f t="shared" si="2"/>
        <v>275904289.02999997</v>
      </c>
    </row>
    <row r="12" spans="1:16" ht="13.15" customHeight="1" x14ac:dyDescent="0.2">
      <c r="A12" s="721" t="s">
        <v>2075</v>
      </c>
      <c r="B12" s="722" t="s">
        <v>2076</v>
      </c>
      <c r="C12" s="736">
        <v>4621</v>
      </c>
      <c r="D12" s="724" t="s">
        <v>2077</v>
      </c>
      <c r="E12" s="725">
        <v>0</v>
      </c>
      <c r="F12" s="726">
        <v>68000</v>
      </c>
      <c r="G12" s="727">
        <f t="shared" si="0"/>
        <v>68000</v>
      </c>
      <c r="H12" s="728">
        <v>34000</v>
      </c>
      <c r="I12" s="726">
        <v>34000</v>
      </c>
      <c r="J12" s="727">
        <f t="shared" si="1"/>
        <v>68000</v>
      </c>
      <c r="K12" s="727">
        <f t="shared" si="2"/>
        <v>0</v>
      </c>
    </row>
    <row r="13" spans="1:16" ht="13.15" customHeight="1" x14ac:dyDescent="0.2">
      <c r="A13" s="721" t="s">
        <v>2078</v>
      </c>
      <c r="B13" s="722">
        <v>179.11869999999999</v>
      </c>
      <c r="C13" s="736">
        <v>4152</v>
      </c>
      <c r="D13" s="724" t="s">
        <v>2079</v>
      </c>
      <c r="E13" s="725">
        <v>740368.57</v>
      </c>
      <c r="F13" s="726">
        <v>740000</v>
      </c>
      <c r="G13" s="727">
        <f t="shared" si="0"/>
        <v>1480368.5699999998</v>
      </c>
      <c r="H13" s="728">
        <v>740000</v>
      </c>
      <c r="I13" s="726">
        <v>740000</v>
      </c>
      <c r="J13" s="727">
        <f t="shared" si="1"/>
        <v>1480000</v>
      </c>
      <c r="K13" s="727">
        <f t="shared" si="2"/>
        <v>-368.56999999983236</v>
      </c>
    </row>
    <row r="14" spans="1:16" ht="13.15" customHeight="1" x14ac:dyDescent="0.2">
      <c r="A14" s="721" t="s">
        <v>2080</v>
      </c>
      <c r="B14" s="722" t="s">
        <v>2081</v>
      </c>
      <c r="C14" s="736"/>
      <c r="D14" s="724" t="s">
        <v>2082</v>
      </c>
      <c r="E14" s="725">
        <v>0</v>
      </c>
      <c r="F14" s="726">
        <v>0</v>
      </c>
      <c r="G14" s="727">
        <f t="shared" si="0"/>
        <v>0</v>
      </c>
      <c r="H14" s="728">
        <v>0</v>
      </c>
      <c r="I14" s="726">
        <v>0</v>
      </c>
      <c r="J14" s="727">
        <f t="shared" si="1"/>
        <v>0</v>
      </c>
      <c r="K14" s="727">
        <f t="shared" si="2"/>
        <v>0</v>
      </c>
    </row>
    <row r="15" spans="1:16" ht="13.15" customHeight="1" x14ac:dyDescent="0.2">
      <c r="A15" s="721" t="s">
        <v>2083</v>
      </c>
      <c r="B15" s="737">
        <v>328.45</v>
      </c>
      <c r="C15" s="2413">
        <v>3536</v>
      </c>
      <c r="D15" s="724" t="s">
        <v>2084</v>
      </c>
      <c r="E15" s="2415">
        <v>6260380.5899999999</v>
      </c>
      <c r="F15" s="2417">
        <v>7500000</v>
      </c>
      <c r="G15" s="2419">
        <f t="shared" si="0"/>
        <v>13760380.59</v>
      </c>
      <c r="H15" s="2415">
        <v>7500000</v>
      </c>
      <c r="I15" s="2417">
        <v>7500000</v>
      </c>
      <c r="J15" s="2419">
        <f t="shared" si="1"/>
        <v>15000000</v>
      </c>
      <c r="K15" s="2419">
        <f t="shared" si="2"/>
        <v>1239619.4100000001</v>
      </c>
    </row>
    <row r="16" spans="1:16" ht="13.15" customHeight="1" x14ac:dyDescent="0.2">
      <c r="A16" s="721" t="s">
        <v>2085</v>
      </c>
      <c r="B16" s="737">
        <v>328.46</v>
      </c>
      <c r="C16" s="2414"/>
      <c r="D16" s="724" t="s">
        <v>2084</v>
      </c>
      <c r="E16" s="2416"/>
      <c r="F16" s="2418"/>
      <c r="G16" s="2420"/>
      <c r="H16" s="2416"/>
      <c r="I16" s="2418"/>
      <c r="J16" s="2420"/>
      <c r="K16" s="2420">
        <f t="shared" si="2"/>
        <v>0</v>
      </c>
    </row>
    <row r="17" spans="1:11" ht="33.75" x14ac:dyDescent="0.2">
      <c r="A17" s="721" t="s">
        <v>2086</v>
      </c>
      <c r="B17" s="737">
        <v>360.85</v>
      </c>
      <c r="C17" s="736"/>
      <c r="D17" s="724" t="s">
        <v>2087</v>
      </c>
      <c r="E17" s="725">
        <v>0</v>
      </c>
      <c r="F17" s="726">
        <v>0</v>
      </c>
      <c r="G17" s="727">
        <f>E17+F17</f>
        <v>0</v>
      </c>
      <c r="H17" s="728">
        <v>0</v>
      </c>
      <c r="I17" s="726">
        <v>0</v>
      </c>
      <c r="J17" s="727">
        <f>H17+I17</f>
        <v>0</v>
      </c>
      <c r="K17" s="727">
        <f t="shared" si="2"/>
        <v>0</v>
      </c>
    </row>
    <row r="18" spans="1:11" ht="45" x14ac:dyDescent="0.2">
      <c r="A18" s="721" t="s">
        <v>2088</v>
      </c>
      <c r="B18" s="722">
        <v>360.85500000000002</v>
      </c>
      <c r="C18" s="736"/>
      <c r="D18" s="724" t="s">
        <v>2089</v>
      </c>
      <c r="E18" s="725">
        <v>0</v>
      </c>
      <c r="F18" s="726">
        <v>0</v>
      </c>
      <c r="G18" s="727">
        <f>E18+F18</f>
        <v>0</v>
      </c>
      <c r="H18" s="728">
        <v>0</v>
      </c>
      <c r="I18" s="726">
        <v>0</v>
      </c>
      <c r="J18" s="727">
        <f>H18+I18</f>
        <v>0</v>
      </c>
      <c r="K18" s="727">
        <f t="shared" si="2"/>
        <v>0</v>
      </c>
    </row>
    <row r="19" spans="1:11" ht="13.15" customHeight="1" x14ac:dyDescent="0.2">
      <c r="A19" s="721" t="s">
        <v>2090</v>
      </c>
      <c r="B19" s="737">
        <v>362.1</v>
      </c>
      <c r="C19" s="723">
        <v>3064</v>
      </c>
      <c r="D19" s="724" t="s">
        <v>2091</v>
      </c>
      <c r="E19" s="738"/>
      <c r="F19" s="739"/>
      <c r="G19" s="727">
        <f>E19+F19</f>
        <v>0</v>
      </c>
      <c r="H19" s="809">
        <v>37525000</v>
      </c>
      <c r="I19" s="807">
        <v>58305000</v>
      </c>
      <c r="J19" s="727">
        <f>H19+I19</f>
        <v>95830000</v>
      </c>
      <c r="K19" s="727">
        <f t="shared" si="2"/>
        <v>95830000</v>
      </c>
    </row>
    <row r="20" spans="1:11" ht="13.15" customHeight="1" x14ac:dyDescent="0.2">
      <c r="A20" s="721" t="s">
        <v>2092</v>
      </c>
      <c r="B20" s="737">
        <v>362.17</v>
      </c>
      <c r="C20" s="723">
        <v>3868</v>
      </c>
      <c r="D20" s="724" t="s">
        <v>2093</v>
      </c>
      <c r="E20" s="725">
        <v>22214870.98</v>
      </c>
      <c r="F20" s="807">
        <v>17440000</v>
      </c>
      <c r="G20" s="727">
        <f>E20+F20</f>
        <v>39654870.980000004</v>
      </c>
      <c r="H20" s="809">
        <v>19602000</v>
      </c>
      <c r="I20" s="807">
        <v>19223000</v>
      </c>
      <c r="J20" s="727">
        <f>H20+I20</f>
        <v>38825000</v>
      </c>
      <c r="K20" s="727">
        <f t="shared" si="2"/>
        <v>-829870.98000000417</v>
      </c>
    </row>
    <row r="21" spans="1:11" ht="13.15" customHeight="1" x14ac:dyDescent="0.2">
      <c r="A21" s="721" t="s">
        <v>2094</v>
      </c>
      <c r="B21" s="722" t="s">
        <v>2095</v>
      </c>
      <c r="C21" s="2428">
        <v>4771</v>
      </c>
      <c r="D21" s="724" t="s">
        <v>2096</v>
      </c>
      <c r="E21" s="2415">
        <v>58886476.310000002</v>
      </c>
      <c r="F21" s="2417">
        <v>48996000</v>
      </c>
      <c r="G21" s="2419">
        <f>E21+F21</f>
        <v>107882476.31</v>
      </c>
      <c r="H21" s="2415">
        <v>40504000</v>
      </c>
      <c r="I21" s="2417">
        <v>40907000</v>
      </c>
      <c r="J21" s="2419">
        <f>H21+I21</f>
        <v>81411000</v>
      </c>
      <c r="K21" s="2419">
        <f t="shared" si="2"/>
        <v>-26471476.310000002</v>
      </c>
    </row>
    <row r="22" spans="1:11" ht="22.5" x14ac:dyDescent="0.2">
      <c r="A22" s="721" t="s">
        <v>2097</v>
      </c>
      <c r="B22" s="722" t="s">
        <v>2098</v>
      </c>
      <c r="C22" s="2429"/>
      <c r="D22" s="724" t="s">
        <v>2099</v>
      </c>
      <c r="E22" s="2430"/>
      <c r="F22" s="2431"/>
      <c r="G22" s="2421"/>
      <c r="H22" s="2430"/>
      <c r="I22" s="2431"/>
      <c r="J22" s="2421"/>
      <c r="K22" s="2421">
        <f t="shared" si="2"/>
        <v>0</v>
      </c>
    </row>
    <row r="23" spans="1:11" ht="13.15" customHeight="1" x14ac:dyDescent="0.2">
      <c r="A23" s="721" t="s">
        <v>2100</v>
      </c>
      <c r="B23" s="737">
        <v>372.29</v>
      </c>
      <c r="C23" s="723">
        <v>3325</v>
      </c>
      <c r="D23" s="724" t="s">
        <v>2101</v>
      </c>
      <c r="E23" s="725">
        <v>89314456.219999999</v>
      </c>
      <c r="F23" s="807">
        <v>79363000</v>
      </c>
      <c r="G23" s="727">
        <f>E23+F23</f>
        <v>168677456.22</v>
      </c>
      <c r="H23" s="809">
        <v>76037000</v>
      </c>
      <c r="I23" s="807">
        <v>75404000</v>
      </c>
      <c r="J23" s="727">
        <f>H23+I23</f>
        <v>151441000</v>
      </c>
      <c r="K23" s="727">
        <f t="shared" si="2"/>
        <v>-17236456.219999999</v>
      </c>
    </row>
    <row r="24" spans="1:11" ht="13.15" customHeight="1" x14ac:dyDescent="0.2">
      <c r="A24" s="721" t="s">
        <v>2102</v>
      </c>
      <c r="B24" s="722">
        <v>374.78500000000003</v>
      </c>
      <c r="C24" s="723">
        <v>3328</v>
      </c>
      <c r="D24" s="724" t="s">
        <v>2103</v>
      </c>
      <c r="E24" s="725">
        <v>2066588989.8299999</v>
      </c>
      <c r="F24" s="807">
        <v>2223386000</v>
      </c>
      <c r="G24" s="727">
        <f>E24+F24</f>
        <v>4289974989.8299999</v>
      </c>
      <c r="H24" s="809">
        <v>2347428000</v>
      </c>
      <c r="I24" s="807">
        <v>2454407000</v>
      </c>
      <c r="J24" s="727">
        <f t="shared" ref="J24:J25" si="3">H24+I24</f>
        <v>4801835000</v>
      </c>
      <c r="K24" s="727">
        <f t="shared" si="2"/>
        <v>511860010.17000008</v>
      </c>
    </row>
    <row r="25" spans="1:11" ht="13.15" customHeight="1" x14ac:dyDescent="0.2">
      <c r="A25" s="721" t="s">
        <v>2104</v>
      </c>
      <c r="B25" s="722" t="s">
        <v>2105</v>
      </c>
      <c r="C25" s="723">
        <v>4157</v>
      </c>
      <c r="D25" s="724" t="s">
        <v>2106</v>
      </c>
      <c r="E25" s="725">
        <v>7000</v>
      </c>
      <c r="F25" s="726">
        <v>50000</v>
      </c>
      <c r="G25" s="727">
        <f>E25+F25</f>
        <v>57000</v>
      </c>
      <c r="H25" s="728">
        <v>50000</v>
      </c>
      <c r="I25" s="726">
        <v>50000</v>
      </c>
      <c r="J25" s="727">
        <f t="shared" si="3"/>
        <v>100000</v>
      </c>
      <c r="K25" s="727">
        <f t="shared" si="2"/>
        <v>43000</v>
      </c>
    </row>
    <row r="26" spans="1:11" ht="13.15" customHeight="1" x14ac:dyDescent="0.2">
      <c r="A26" s="721" t="s">
        <v>2107</v>
      </c>
      <c r="B26" s="722">
        <v>463.38499999999999</v>
      </c>
      <c r="C26" s="723">
        <v>3329</v>
      </c>
      <c r="D26" s="724" t="s">
        <v>2108</v>
      </c>
      <c r="E26" s="725">
        <v>23296449.850000001</v>
      </c>
      <c r="F26" s="807">
        <v>24480000</v>
      </c>
      <c r="G26" s="808">
        <f>E26+F26</f>
        <v>47776449.850000001</v>
      </c>
      <c r="H26" s="809">
        <v>25788000</v>
      </c>
      <c r="I26" s="807">
        <v>25152000</v>
      </c>
      <c r="J26" s="727">
        <f>H26+I26</f>
        <v>50940000</v>
      </c>
      <c r="K26" s="727">
        <f t="shared" si="2"/>
        <v>3163550.1499999985</v>
      </c>
    </row>
    <row r="27" spans="1:11" ht="13.15" customHeight="1" x14ac:dyDescent="0.2">
      <c r="A27" s="721" t="s">
        <v>2109</v>
      </c>
      <c r="B27" s="722">
        <v>482.18099999999998</v>
      </c>
      <c r="C27" s="723">
        <v>3324</v>
      </c>
      <c r="D27" s="724" t="s">
        <v>2110</v>
      </c>
      <c r="E27" s="725">
        <v>124174029.20999999</v>
      </c>
      <c r="F27" s="807">
        <v>127039000</v>
      </c>
      <c r="G27" s="808">
        <f t="shared" ref="G27:G39" si="4">E27+F27</f>
        <v>251213029.20999998</v>
      </c>
      <c r="H27" s="809">
        <v>130140000</v>
      </c>
      <c r="I27" s="807">
        <v>134499000</v>
      </c>
      <c r="J27" s="727">
        <f t="shared" ref="J27:J39" si="5">H27+I27</f>
        <v>264639000</v>
      </c>
      <c r="K27" s="727">
        <f t="shared" si="2"/>
        <v>13425970.790000021</v>
      </c>
    </row>
    <row r="28" spans="1:11" ht="13.15" customHeight="1" x14ac:dyDescent="0.2">
      <c r="A28" s="721" t="s">
        <v>2111</v>
      </c>
      <c r="B28" s="2071">
        <v>488.07499999999999</v>
      </c>
      <c r="C28" s="2072">
        <v>4770</v>
      </c>
      <c r="D28" s="742" t="s">
        <v>2112</v>
      </c>
      <c r="E28" s="2097">
        <v>897310</v>
      </c>
      <c r="F28" s="2073">
        <v>900000</v>
      </c>
      <c r="G28" s="2101">
        <f t="shared" si="4"/>
        <v>1797310</v>
      </c>
      <c r="H28" s="810">
        <v>900000</v>
      </c>
      <c r="I28" s="2073">
        <v>900000</v>
      </c>
      <c r="J28" s="727">
        <f>H28+I28</f>
        <v>1800000</v>
      </c>
      <c r="K28" s="727">
        <f>J28-G28</f>
        <v>2690</v>
      </c>
    </row>
    <row r="29" spans="1:11" ht="22.5" x14ac:dyDescent="0.2">
      <c r="A29" s="721" t="s">
        <v>2113</v>
      </c>
      <c r="B29" s="737">
        <v>709.11</v>
      </c>
      <c r="C29" s="2428">
        <v>3867</v>
      </c>
      <c r="D29" s="724" t="s">
        <v>2114</v>
      </c>
      <c r="E29" s="2436">
        <v>1770286.19</v>
      </c>
      <c r="F29" s="2439">
        <v>3500000</v>
      </c>
      <c r="G29" s="2422">
        <f t="shared" si="4"/>
        <v>5270286.1899999995</v>
      </c>
      <c r="H29" s="2436">
        <v>3500000</v>
      </c>
      <c r="I29" s="2439">
        <v>3500000</v>
      </c>
      <c r="J29" s="2422">
        <f t="shared" si="5"/>
        <v>7000000</v>
      </c>
      <c r="K29" s="2425">
        <f t="shared" si="2"/>
        <v>1729713.8100000005</v>
      </c>
    </row>
    <row r="30" spans="1:11" ht="22.5" x14ac:dyDescent="0.2">
      <c r="A30" s="721" t="s">
        <v>2115</v>
      </c>
      <c r="B30" s="737">
        <v>709.23</v>
      </c>
      <c r="C30" s="2435"/>
      <c r="D30" s="724" t="s">
        <v>2114</v>
      </c>
      <c r="E30" s="2437"/>
      <c r="F30" s="2440"/>
      <c r="G30" s="2423"/>
      <c r="H30" s="2437"/>
      <c r="I30" s="2440"/>
      <c r="J30" s="2423"/>
      <c r="K30" s="2426"/>
    </row>
    <row r="31" spans="1:11" ht="22.5" x14ac:dyDescent="0.2">
      <c r="A31" s="721" t="s">
        <v>2116</v>
      </c>
      <c r="B31" s="737">
        <v>709.27</v>
      </c>
      <c r="C31" s="2429"/>
      <c r="D31" s="724" t="s">
        <v>2117</v>
      </c>
      <c r="E31" s="2438"/>
      <c r="F31" s="2441"/>
      <c r="G31" s="2424"/>
      <c r="H31" s="2438"/>
      <c r="I31" s="2441"/>
      <c r="J31" s="2424"/>
      <c r="K31" s="2427"/>
    </row>
    <row r="32" spans="1:11" ht="13.15" customHeight="1" x14ac:dyDescent="0.2">
      <c r="A32" s="721" t="s">
        <v>2118</v>
      </c>
      <c r="B32" s="722" t="s">
        <v>2119</v>
      </c>
      <c r="C32" s="736">
        <v>3074</v>
      </c>
      <c r="D32" s="724" t="s">
        <v>2120</v>
      </c>
      <c r="E32" s="738"/>
      <c r="F32" s="739"/>
      <c r="G32" s="727">
        <f t="shared" si="4"/>
        <v>0</v>
      </c>
      <c r="H32" s="809">
        <v>65747000</v>
      </c>
      <c r="I32" s="807">
        <v>63063000</v>
      </c>
      <c r="J32" s="727">
        <f t="shared" si="5"/>
        <v>128810000</v>
      </c>
      <c r="K32" s="727">
        <f t="shared" si="2"/>
        <v>128810000</v>
      </c>
    </row>
    <row r="33" spans="1:11" ht="13.15" customHeight="1" x14ac:dyDescent="0.2">
      <c r="A33" s="715" t="s">
        <v>2121</v>
      </c>
      <c r="B33" s="2071"/>
      <c r="C33" s="2072">
        <v>4326</v>
      </c>
      <c r="D33" s="742" t="s">
        <v>2122</v>
      </c>
      <c r="E33" s="2097">
        <v>2150274.4</v>
      </c>
      <c r="F33" s="2099">
        <v>10819000</v>
      </c>
      <c r="G33" s="727">
        <f t="shared" si="4"/>
        <v>12969274.4</v>
      </c>
      <c r="H33" s="743">
        <v>18569000</v>
      </c>
      <c r="I33" s="2099">
        <v>14540000</v>
      </c>
      <c r="J33" s="727">
        <f t="shared" si="5"/>
        <v>33109000</v>
      </c>
      <c r="K33" s="2101">
        <f t="shared" si="2"/>
        <v>20139725.600000001</v>
      </c>
    </row>
    <row r="34" spans="1:11" ht="13.15" customHeight="1" x14ac:dyDescent="0.2">
      <c r="A34" s="715" t="s">
        <v>2123</v>
      </c>
      <c r="B34" s="2071"/>
      <c r="C34" s="2072">
        <v>4781</v>
      </c>
      <c r="D34" s="742" t="s">
        <v>2124</v>
      </c>
      <c r="E34" s="2097"/>
      <c r="F34" s="2099">
        <v>1267527.57</v>
      </c>
      <c r="G34" s="727"/>
      <c r="H34" s="743"/>
      <c r="I34" s="2099"/>
      <c r="J34" s="727"/>
      <c r="K34" s="2101"/>
    </row>
    <row r="35" spans="1:11" ht="13.15" customHeight="1" x14ac:dyDescent="0.2">
      <c r="A35" s="715" t="s">
        <v>2123</v>
      </c>
      <c r="B35" s="2071" t="s">
        <v>2125</v>
      </c>
      <c r="C35" s="2072">
        <v>4251</v>
      </c>
      <c r="D35" s="742" t="s">
        <v>2126</v>
      </c>
      <c r="E35" s="2097">
        <v>876</v>
      </c>
      <c r="F35" s="2099">
        <v>900</v>
      </c>
      <c r="G35" s="727">
        <f t="shared" ref="G35" si="6">E35+F35</f>
        <v>1776</v>
      </c>
      <c r="H35" s="743">
        <v>900</v>
      </c>
      <c r="I35" s="2099">
        <v>900</v>
      </c>
      <c r="J35" s="727">
        <f t="shared" ref="J35" si="7">H35+I35</f>
        <v>1800</v>
      </c>
      <c r="K35" s="2101">
        <f t="shared" ref="K35" si="8">J35-G35</f>
        <v>24</v>
      </c>
    </row>
    <row r="36" spans="1:11" ht="13.15" customHeight="1" thickBot="1" x14ac:dyDescent="0.25">
      <c r="A36" s="744" t="s">
        <v>2127</v>
      </c>
      <c r="B36" s="745"/>
      <c r="C36" s="746">
        <v>42</v>
      </c>
      <c r="D36" s="747" t="s">
        <v>2128</v>
      </c>
      <c r="E36" s="748">
        <v>1396939483</v>
      </c>
      <c r="F36" s="749">
        <v>1223780931</v>
      </c>
      <c r="G36" s="750">
        <f t="shared" si="4"/>
        <v>2620720414</v>
      </c>
      <c r="H36" s="760"/>
      <c r="I36" s="749"/>
      <c r="J36" s="750">
        <f t="shared" si="5"/>
        <v>0</v>
      </c>
      <c r="K36" s="750">
        <f t="shared" si="2"/>
        <v>-2620720414</v>
      </c>
    </row>
    <row r="37" spans="1:11" s="755" customFormat="1" ht="15.75" thickBot="1" x14ac:dyDescent="0.3">
      <c r="A37" s="2432" t="s">
        <v>2129</v>
      </c>
      <c r="B37" s="2433"/>
      <c r="C37" s="2433"/>
      <c r="D37" s="2434"/>
      <c r="E37" s="751">
        <f>SUM(E6:E36)</f>
        <v>4322749780.8899994</v>
      </c>
      <c r="F37" s="752">
        <f>SUM(F6:F36)</f>
        <v>5507751477.1900005</v>
      </c>
      <c r="G37" s="753">
        <f t="shared" si="4"/>
        <v>9830501258.0799999</v>
      </c>
      <c r="H37" s="754">
        <f>SUM(H6:H36)</f>
        <v>4049700900</v>
      </c>
      <c r="I37" s="752">
        <f>SUM(I6:I36)</f>
        <v>4231844900</v>
      </c>
      <c r="J37" s="753">
        <f t="shared" si="5"/>
        <v>8281545800</v>
      </c>
      <c r="K37" s="753">
        <f t="shared" si="2"/>
        <v>-1548955458.0799999</v>
      </c>
    </row>
    <row r="38" spans="1:11" s="755" customFormat="1" ht="15.75" thickBot="1" x14ac:dyDescent="0.3">
      <c r="A38" s="2432" t="s">
        <v>2130</v>
      </c>
      <c r="B38" s="2433"/>
      <c r="C38" s="2433"/>
      <c r="D38" s="2434"/>
      <c r="E38" s="751">
        <f>SUM(E9:E35)</f>
        <v>3466288369.8899999</v>
      </c>
      <c r="F38" s="752">
        <f>SUM(F9:F35)</f>
        <v>3732403427.5700002</v>
      </c>
      <c r="G38" s="753">
        <f t="shared" si="4"/>
        <v>7198691797.46</v>
      </c>
      <c r="H38" s="754">
        <f>SUM(H9:H35)</f>
        <v>4049700900</v>
      </c>
      <c r="I38" s="752">
        <f>SUM(I9:I35)</f>
        <v>4231844900</v>
      </c>
      <c r="J38" s="753">
        <f t="shared" si="5"/>
        <v>8281545800</v>
      </c>
      <c r="K38" s="753">
        <f t="shared" si="2"/>
        <v>1082854002.54</v>
      </c>
    </row>
    <row r="39" spans="1:11" s="755" customFormat="1" ht="12.75" customHeight="1" thickBot="1" x14ac:dyDescent="0.3">
      <c r="A39" s="2432" t="s">
        <v>2131</v>
      </c>
      <c r="B39" s="2433"/>
      <c r="C39" s="2433"/>
      <c r="D39" s="2434"/>
      <c r="E39" s="751">
        <f>SUM(E9:E36)</f>
        <v>4863227852.8899994</v>
      </c>
      <c r="F39" s="752">
        <f>SUM(F9:F36)</f>
        <v>4956184358.5699997</v>
      </c>
      <c r="G39" s="753">
        <f t="shared" si="4"/>
        <v>9819412211.4599991</v>
      </c>
      <c r="H39" s="754">
        <f>SUM(H9:H36)</f>
        <v>4049700900</v>
      </c>
      <c r="I39" s="752">
        <f>SUM(I9:I36)</f>
        <v>4231844900</v>
      </c>
      <c r="J39" s="753">
        <f t="shared" si="5"/>
        <v>8281545800</v>
      </c>
      <c r="K39" s="753">
        <f t="shared" si="2"/>
        <v>-1537866411.4599991</v>
      </c>
    </row>
    <row r="40" spans="1:11" ht="4.1500000000000004" customHeight="1" x14ac:dyDescent="0.2"/>
    <row r="42" spans="1:11" x14ac:dyDescent="0.2">
      <c r="F42" s="761"/>
      <c r="H42" s="761"/>
      <c r="I42" s="761"/>
    </row>
  </sheetData>
  <mergeCells count="30">
    <mergeCell ref="A38:D38"/>
    <mergeCell ref="A39:D39"/>
    <mergeCell ref="C29:C31"/>
    <mergeCell ref="E29:E31"/>
    <mergeCell ref="I21:I22"/>
    <mergeCell ref="F29:F31"/>
    <mergeCell ref="G29:G31"/>
    <mergeCell ref="H29:H31"/>
    <mergeCell ref="I29:I31"/>
    <mergeCell ref="A37:D37"/>
    <mergeCell ref="J21:J22"/>
    <mergeCell ref="K21:K22"/>
    <mergeCell ref="J29:J31"/>
    <mergeCell ref="K29:K31"/>
    <mergeCell ref="C21:C22"/>
    <mergeCell ref="E21:E22"/>
    <mergeCell ref="F21:F22"/>
    <mergeCell ref="G21:G22"/>
    <mergeCell ref="H21:H22"/>
    <mergeCell ref="E4:G4"/>
    <mergeCell ref="H4:J4"/>
    <mergeCell ref="K4:K5"/>
    <mergeCell ref="C15:C16"/>
    <mergeCell ref="E15:E16"/>
    <mergeCell ref="F15:F16"/>
    <mergeCell ref="G15:G16"/>
    <mergeCell ref="H15:H16"/>
    <mergeCell ref="I15:I16"/>
    <mergeCell ref="J15:J16"/>
    <mergeCell ref="K15:K16"/>
  </mergeCells>
  <pageMargins left="0.17" right="0.17" top="0.31" bottom="0.36" header="0.3" footer="0.17"/>
  <pageSetup paperSize="17" pageOrder="overThenDown" orientation="landscape" r:id="rId1"/>
  <headerFooter>
    <oddFooter>&amp;L&amp;8Prepared by the Fiscal Analysis Division&amp;C&amp;8Budget/Fiscal December 2022 Consensus Forecast: Page &amp;P of &amp;N&amp;R&amp;8December 17, 2022 - 7:30 AM</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FD97-7D49-4362-A0A0-D293D6C0B99C}">
  <sheetPr>
    <tabColor theme="7" tint="0.39997558519241921"/>
    <pageSetUpPr fitToPage="1"/>
  </sheetPr>
  <dimension ref="A1:K47"/>
  <sheetViews>
    <sheetView workbookViewId="0"/>
  </sheetViews>
  <sheetFormatPr defaultColWidth="11.42578125" defaultRowHeight="11.25" x14ac:dyDescent="0.2"/>
  <cols>
    <col min="1" max="1" width="17" style="702" customWidth="1"/>
    <col min="2" max="2" width="11.7109375" style="702" customWidth="1"/>
    <col min="3" max="3" width="4.7109375" style="702" customWidth="1"/>
    <col min="4" max="4" width="78.140625" style="701" customWidth="1"/>
    <col min="5" max="9" width="12.140625" style="702" bestFit="1" customWidth="1"/>
    <col min="10" max="10" width="13" style="702" bestFit="1" customWidth="1"/>
    <col min="11" max="11" width="14.5703125" style="702" bestFit="1" customWidth="1"/>
    <col min="12" max="16384" width="11.42578125" style="702"/>
  </cols>
  <sheetData>
    <row r="1" spans="1:11" ht="12" x14ac:dyDescent="0.2">
      <c r="A1" s="700" t="s">
        <v>2132</v>
      </c>
      <c r="B1" s="700"/>
      <c r="C1" s="700"/>
    </row>
    <row r="2" spans="1:11" ht="12" x14ac:dyDescent="0.2">
      <c r="A2" s="700" t="s">
        <v>2133</v>
      </c>
      <c r="B2" s="700"/>
      <c r="C2" s="700"/>
    </row>
    <row r="3" spans="1:11" ht="4.1500000000000004" customHeight="1" thickBot="1" x14ac:dyDescent="0.25">
      <c r="A3" s="703"/>
      <c r="B3" s="703"/>
      <c r="C3" s="703"/>
      <c r="D3" s="703"/>
    </row>
    <row r="4" spans="1:11" x14ac:dyDescent="0.2">
      <c r="A4" s="704"/>
      <c r="B4" s="705"/>
      <c r="C4" s="705"/>
      <c r="D4" s="706"/>
      <c r="E4" s="2407" t="s">
        <v>2054</v>
      </c>
      <c r="F4" s="2408"/>
      <c r="G4" s="2409"/>
      <c r="H4" s="2410" t="s">
        <v>2055</v>
      </c>
      <c r="I4" s="2408"/>
      <c r="J4" s="2409"/>
      <c r="K4" s="2411" t="s">
        <v>2056</v>
      </c>
    </row>
    <row r="5" spans="1:11" s="714" customFormat="1" ht="46.5" customHeight="1" thickBot="1" x14ac:dyDescent="0.3">
      <c r="A5" s="707" t="s">
        <v>2057</v>
      </c>
      <c r="B5" s="708" t="s">
        <v>2058</v>
      </c>
      <c r="C5" s="708" t="s">
        <v>2059</v>
      </c>
      <c r="D5" s="709" t="s">
        <v>1857</v>
      </c>
      <c r="E5" s="710" t="s">
        <v>2060</v>
      </c>
      <c r="F5" s="711" t="s">
        <v>2061</v>
      </c>
      <c r="G5" s="712" t="s">
        <v>2062</v>
      </c>
      <c r="H5" s="713" t="s">
        <v>2063</v>
      </c>
      <c r="I5" s="711" t="s">
        <v>2064</v>
      </c>
      <c r="J5" s="712" t="s">
        <v>2065</v>
      </c>
      <c r="K5" s="2412"/>
    </row>
    <row r="6" spans="1:11" ht="13.15" customHeight="1" x14ac:dyDescent="0.2">
      <c r="A6" s="715"/>
      <c r="B6" s="2071"/>
      <c r="C6" s="2072">
        <v>45</v>
      </c>
      <c r="D6" s="716" t="s">
        <v>2066</v>
      </c>
      <c r="E6" s="717">
        <v>-549478081</v>
      </c>
      <c r="F6" s="718"/>
      <c r="G6" s="719">
        <f t="shared" ref="G6:G15" si="0">E6+F6</f>
        <v>-549478081</v>
      </c>
      <c r="H6" s="720"/>
      <c r="I6" s="718"/>
      <c r="J6" s="719">
        <f t="shared" ref="J6:J15" si="1">H6+I6</f>
        <v>0</v>
      </c>
      <c r="K6" s="719">
        <f t="shared" ref="K6:K37" si="2">J6-G6</f>
        <v>549478081</v>
      </c>
    </row>
    <row r="7" spans="1:11" ht="13.15" customHeight="1" x14ac:dyDescent="0.2">
      <c r="A7" s="721"/>
      <c r="B7" s="722"/>
      <c r="C7" s="723">
        <v>47</v>
      </c>
      <c r="D7" s="724" t="s">
        <v>2067</v>
      </c>
      <c r="E7" s="725">
        <v>9000009</v>
      </c>
      <c r="F7" s="726">
        <v>549478081</v>
      </c>
      <c r="G7" s="727">
        <f t="shared" si="0"/>
        <v>558478090</v>
      </c>
      <c r="H7" s="728"/>
      <c r="I7" s="726"/>
      <c r="J7" s="727">
        <f t="shared" si="1"/>
        <v>0</v>
      </c>
      <c r="K7" s="727">
        <f t="shared" si="2"/>
        <v>-558478090</v>
      </c>
    </row>
    <row r="8" spans="1:11" ht="13.15" customHeight="1" x14ac:dyDescent="0.2">
      <c r="A8" s="729"/>
      <c r="B8" s="730"/>
      <c r="C8" s="731">
        <v>4203</v>
      </c>
      <c r="D8" s="732" t="s">
        <v>2068</v>
      </c>
      <c r="E8" s="2098"/>
      <c r="F8" s="2100">
        <v>2089037.62</v>
      </c>
      <c r="G8" s="727">
        <f t="shared" si="0"/>
        <v>2089037.62</v>
      </c>
      <c r="H8" s="728"/>
      <c r="I8" s="726"/>
      <c r="J8" s="727">
        <f t="shared" si="1"/>
        <v>0</v>
      </c>
      <c r="K8" s="727">
        <f t="shared" si="2"/>
        <v>-2089037.62</v>
      </c>
    </row>
    <row r="9" spans="1:11" ht="13.15" customHeight="1" x14ac:dyDescent="0.2">
      <c r="A9" s="729" t="s">
        <v>2069</v>
      </c>
      <c r="B9" s="733">
        <v>387.03</v>
      </c>
      <c r="C9" s="731">
        <v>4869</v>
      </c>
      <c r="D9" s="732" t="s">
        <v>2070</v>
      </c>
      <c r="E9" s="2098">
        <v>10674992.609999999</v>
      </c>
      <c r="F9" s="734">
        <v>12000000</v>
      </c>
      <c r="G9" s="2102">
        <f t="shared" si="0"/>
        <v>22674992.609999999</v>
      </c>
      <c r="H9" s="735">
        <v>12000000</v>
      </c>
      <c r="I9" s="734">
        <v>11000000</v>
      </c>
      <c r="J9" s="2102">
        <f t="shared" si="1"/>
        <v>23000000</v>
      </c>
      <c r="K9" s="2102">
        <f t="shared" si="2"/>
        <v>325007.3900000006</v>
      </c>
    </row>
    <row r="10" spans="1:11" ht="13.15" customHeight="1" x14ac:dyDescent="0.2">
      <c r="A10" s="715" t="s">
        <v>2071</v>
      </c>
      <c r="B10" s="2071">
        <v>244.33561</v>
      </c>
      <c r="C10" s="2072">
        <v>3335</v>
      </c>
      <c r="D10" s="716" t="s">
        <v>2072</v>
      </c>
      <c r="E10" s="717">
        <v>192343898.16</v>
      </c>
      <c r="F10" s="718">
        <v>221394000</v>
      </c>
      <c r="G10" s="719">
        <f t="shared" si="0"/>
        <v>413737898.15999997</v>
      </c>
      <c r="H10" s="720">
        <v>247988000</v>
      </c>
      <c r="I10" s="718">
        <v>240785000</v>
      </c>
      <c r="J10" s="719">
        <f t="shared" si="1"/>
        <v>488773000</v>
      </c>
      <c r="K10" s="719">
        <f t="shared" si="2"/>
        <v>75035101.840000033</v>
      </c>
    </row>
    <row r="11" spans="1:11" ht="13.15" customHeight="1" x14ac:dyDescent="0.2">
      <c r="A11" s="721" t="s">
        <v>2073</v>
      </c>
      <c r="B11" s="722">
        <v>387.19499999999999</v>
      </c>
      <c r="C11" s="723">
        <v>3340</v>
      </c>
      <c r="D11" s="724" t="s">
        <v>2074</v>
      </c>
      <c r="E11" s="725">
        <v>866967710.97000003</v>
      </c>
      <c r="F11" s="726">
        <f>ROUND(939636815,-3)</f>
        <v>939637000</v>
      </c>
      <c r="G11" s="727">
        <f t="shared" si="0"/>
        <v>1806604710.97</v>
      </c>
      <c r="H11" s="728">
        <f>ROUND(1003860622,-3)</f>
        <v>1003861000</v>
      </c>
      <c r="I11" s="726">
        <f>ROUND(1071136071,-3)</f>
        <v>1071136000</v>
      </c>
      <c r="J11" s="727">
        <f t="shared" si="1"/>
        <v>2074997000</v>
      </c>
      <c r="K11" s="727">
        <f t="shared" si="2"/>
        <v>268392289.02999997</v>
      </c>
    </row>
    <row r="12" spans="1:11" ht="13.15" customHeight="1" x14ac:dyDescent="0.2">
      <c r="A12" s="721" t="s">
        <v>2075</v>
      </c>
      <c r="B12" s="722" t="s">
        <v>2076</v>
      </c>
      <c r="C12" s="736">
        <v>4621</v>
      </c>
      <c r="D12" s="724" t="s">
        <v>2077</v>
      </c>
      <c r="E12" s="725">
        <v>0</v>
      </c>
      <c r="F12" s="726">
        <v>68000</v>
      </c>
      <c r="G12" s="727">
        <f t="shared" si="0"/>
        <v>68000</v>
      </c>
      <c r="H12" s="728">
        <v>34000</v>
      </c>
      <c r="I12" s="726">
        <v>34000</v>
      </c>
      <c r="J12" s="727">
        <f t="shared" si="1"/>
        <v>68000</v>
      </c>
      <c r="K12" s="727">
        <f t="shared" si="2"/>
        <v>0</v>
      </c>
    </row>
    <row r="13" spans="1:11" ht="13.15" customHeight="1" x14ac:dyDescent="0.2">
      <c r="A13" s="721" t="s">
        <v>2078</v>
      </c>
      <c r="B13" s="722">
        <v>179.11869999999999</v>
      </c>
      <c r="C13" s="736">
        <v>4152</v>
      </c>
      <c r="D13" s="724" t="s">
        <v>2079</v>
      </c>
      <c r="E13" s="725">
        <v>740368.57</v>
      </c>
      <c r="F13" s="726">
        <v>740000</v>
      </c>
      <c r="G13" s="727">
        <f t="shared" si="0"/>
        <v>1480368.5699999998</v>
      </c>
      <c r="H13" s="728">
        <v>740000</v>
      </c>
      <c r="I13" s="726">
        <v>740000</v>
      </c>
      <c r="J13" s="727">
        <f t="shared" si="1"/>
        <v>1480000</v>
      </c>
      <c r="K13" s="727">
        <f t="shared" si="2"/>
        <v>-368.56999999983236</v>
      </c>
    </row>
    <row r="14" spans="1:11" ht="13.15" customHeight="1" x14ac:dyDescent="0.2">
      <c r="A14" s="721" t="s">
        <v>2080</v>
      </c>
      <c r="B14" s="722" t="s">
        <v>2081</v>
      </c>
      <c r="C14" s="736"/>
      <c r="D14" s="724" t="s">
        <v>2082</v>
      </c>
      <c r="E14" s="725">
        <v>0</v>
      </c>
      <c r="F14" s="726">
        <v>0</v>
      </c>
      <c r="G14" s="727">
        <f t="shared" si="0"/>
        <v>0</v>
      </c>
      <c r="H14" s="728">
        <v>0</v>
      </c>
      <c r="I14" s="726">
        <v>0</v>
      </c>
      <c r="J14" s="727">
        <f t="shared" si="1"/>
        <v>0</v>
      </c>
      <c r="K14" s="727">
        <f t="shared" si="2"/>
        <v>0</v>
      </c>
    </row>
    <row r="15" spans="1:11" ht="13.15" customHeight="1" x14ac:dyDescent="0.2">
      <c r="A15" s="721" t="s">
        <v>2083</v>
      </c>
      <c r="B15" s="737">
        <v>328.45</v>
      </c>
      <c r="C15" s="2413">
        <v>3536</v>
      </c>
      <c r="D15" s="724" t="s">
        <v>2084</v>
      </c>
      <c r="E15" s="2415">
        <v>6260380.5899999999</v>
      </c>
      <c r="F15" s="2417">
        <v>6300000</v>
      </c>
      <c r="G15" s="2419">
        <f t="shared" si="0"/>
        <v>12560380.59</v>
      </c>
      <c r="H15" s="2415">
        <v>6300000</v>
      </c>
      <c r="I15" s="2417">
        <v>6300000</v>
      </c>
      <c r="J15" s="2419">
        <f t="shared" si="1"/>
        <v>12600000</v>
      </c>
      <c r="K15" s="2419">
        <f t="shared" si="2"/>
        <v>39619.410000000149</v>
      </c>
    </row>
    <row r="16" spans="1:11" ht="13.15" customHeight="1" x14ac:dyDescent="0.2">
      <c r="A16" s="721" t="s">
        <v>2085</v>
      </c>
      <c r="B16" s="737">
        <v>328.46</v>
      </c>
      <c r="C16" s="2414"/>
      <c r="D16" s="724" t="s">
        <v>2084</v>
      </c>
      <c r="E16" s="2416"/>
      <c r="F16" s="2418"/>
      <c r="G16" s="2420"/>
      <c r="H16" s="2416"/>
      <c r="I16" s="2418"/>
      <c r="J16" s="2420"/>
      <c r="K16" s="2420">
        <f t="shared" si="2"/>
        <v>0</v>
      </c>
    </row>
    <row r="17" spans="1:11" ht="33.75" x14ac:dyDescent="0.2">
      <c r="A17" s="721" t="s">
        <v>2086</v>
      </c>
      <c r="B17" s="737">
        <v>360.85</v>
      </c>
      <c r="C17" s="736"/>
      <c r="D17" s="724" t="s">
        <v>2087</v>
      </c>
      <c r="E17" s="725">
        <v>0</v>
      </c>
      <c r="F17" s="726">
        <v>0</v>
      </c>
      <c r="G17" s="727">
        <f>E17+F17</f>
        <v>0</v>
      </c>
      <c r="H17" s="728">
        <v>0</v>
      </c>
      <c r="I17" s="726">
        <v>0</v>
      </c>
      <c r="J17" s="727">
        <f>H17+I17</f>
        <v>0</v>
      </c>
      <c r="K17" s="727">
        <f t="shared" si="2"/>
        <v>0</v>
      </c>
    </row>
    <row r="18" spans="1:11" ht="45" x14ac:dyDescent="0.2">
      <c r="A18" s="721" t="s">
        <v>2088</v>
      </c>
      <c r="B18" s="722">
        <v>360.85500000000002</v>
      </c>
      <c r="C18" s="736"/>
      <c r="D18" s="724" t="s">
        <v>2089</v>
      </c>
      <c r="E18" s="725">
        <v>0</v>
      </c>
      <c r="F18" s="726">
        <v>0</v>
      </c>
      <c r="G18" s="727">
        <f>E18+F18</f>
        <v>0</v>
      </c>
      <c r="H18" s="728">
        <v>0</v>
      </c>
      <c r="I18" s="726">
        <v>0</v>
      </c>
      <c r="J18" s="727">
        <f>H18+I18</f>
        <v>0</v>
      </c>
      <c r="K18" s="727">
        <f t="shared" si="2"/>
        <v>0</v>
      </c>
    </row>
    <row r="19" spans="1:11" ht="13.15" customHeight="1" x14ac:dyDescent="0.2">
      <c r="A19" s="721" t="s">
        <v>2090</v>
      </c>
      <c r="B19" s="737">
        <v>362.1</v>
      </c>
      <c r="C19" s="723">
        <v>3064</v>
      </c>
      <c r="D19" s="724" t="s">
        <v>2091</v>
      </c>
      <c r="E19" s="738"/>
      <c r="F19" s="739"/>
      <c r="G19" s="727">
        <f>E19+F19</f>
        <v>0</v>
      </c>
      <c r="H19" s="728">
        <v>0</v>
      </c>
      <c r="I19" s="726">
        <v>67306000</v>
      </c>
      <c r="J19" s="727">
        <f>H19+I19</f>
        <v>67306000</v>
      </c>
      <c r="K19" s="727">
        <f t="shared" si="2"/>
        <v>67306000</v>
      </c>
    </row>
    <row r="20" spans="1:11" ht="13.15" customHeight="1" x14ac:dyDescent="0.2">
      <c r="A20" s="721" t="s">
        <v>2092</v>
      </c>
      <c r="B20" s="737">
        <v>362.17</v>
      </c>
      <c r="C20" s="723">
        <v>3868</v>
      </c>
      <c r="D20" s="724" t="s">
        <v>2093</v>
      </c>
      <c r="E20" s="725">
        <v>22214870.98</v>
      </c>
      <c r="F20" s="740">
        <v>25531000</v>
      </c>
      <c r="G20" s="727">
        <f>E20+F20</f>
        <v>47745870.980000004</v>
      </c>
      <c r="H20" s="741">
        <v>23463000</v>
      </c>
      <c r="I20" s="726">
        <v>23039000</v>
      </c>
      <c r="J20" s="727">
        <f>H20+I20</f>
        <v>46502000</v>
      </c>
      <c r="K20" s="727">
        <f t="shared" si="2"/>
        <v>-1243870.9800000042</v>
      </c>
    </row>
    <row r="21" spans="1:11" ht="13.15" customHeight="1" x14ac:dyDescent="0.2">
      <c r="A21" s="721" t="s">
        <v>2094</v>
      </c>
      <c r="B21" s="722" t="s">
        <v>2095</v>
      </c>
      <c r="C21" s="2428">
        <v>4771</v>
      </c>
      <c r="D21" s="724" t="s">
        <v>2096</v>
      </c>
      <c r="E21" s="2415">
        <v>58886476.310000002</v>
      </c>
      <c r="F21" s="2417">
        <v>46226000</v>
      </c>
      <c r="G21" s="2419">
        <f>E21+F21</f>
        <v>105112476.31</v>
      </c>
      <c r="H21" s="2415">
        <v>39837595</v>
      </c>
      <c r="I21" s="2417">
        <v>41741945</v>
      </c>
      <c r="J21" s="2419">
        <f>H21+I21</f>
        <v>81579540</v>
      </c>
      <c r="K21" s="2419">
        <f t="shared" si="2"/>
        <v>-23532936.310000002</v>
      </c>
    </row>
    <row r="22" spans="1:11" ht="22.5" x14ac:dyDescent="0.2">
      <c r="A22" s="721" t="s">
        <v>2097</v>
      </c>
      <c r="B22" s="722" t="s">
        <v>2098</v>
      </c>
      <c r="C22" s="2429"/>
      <c r="D22" s="724" t="s">
        <v>2099</v>
      </c>
      <c r="E22" s="2430"/>
      <c r="F22" s="2431"/>
      <c r="G22" s="2421"/>
      <c r="H22" s="2430"/>
      <c r="I22" s="2431"/>
      <c r="J22" s="2421"/>
      <c r="K22" s="2421">
        <f t="shared" si="2"/>
        <v>0</v>
      </c>
    </row>
    <row r="23" spans="1:11" ht="13.15" customHeight="1" x14ac:dyDescent="0.2">
      <c r="A23" s="721" t="s">
        <v>2100</v>
      </c>
      <c r="B23" s="737">
        <v>372.29</v>
      </c>
      <c r="C23" s="723">
        <v>3325</v>
      </c>
      <c r="D23" s="724" t="s">
        <v>2101</v>
      </c>
      <c r="E23" s="725">
        <v>89314456.219999999</v>
      </c>
      <c r="F23" s="726">
        <v>77382000</v>
      </c>
      <c r="G23" s="727">
        <f>E23+F23</f>
        <v>166696456.22</v>
      </c>
      <c r="H23" s="728">
        <v>74715000</v>
      </c>
      <c r="I23" s="726">
        <v>74055000</v>
      </c>
      <c r="J23" s="727">
        <f>H23+I23</f>
        <v>148770000</v>
      </c>
      <c r="K23" s="727">
        <f t="shared" si="2"/>
        <v>-17926456.219999999</v>
      </c>
    </row>
    <row r="24" spans="1:11" ht="13.15" customHeight="1" x14ac:dyDescent="0.2">
      <c r="A24" s="721" t="s">
        <v>2102</v>
      </c>
      <c r="B24" s="722">
        <v>374.78500000000003</v>
      </c>
      <c r="C24" s="723">
        <v>3328</v>
      </c>
      <c r="D24" s="724" t="s">
        <v>2103</v>
      </c>
      <c r="E24" s="725">
        <v>2066588989.8299999</v>
      </c>
      <c r="F24" s="726">
        <v>2216464000</v>
      </c>
      <c r="G24" s="727">
        <f>E24+F24</f>
        <v>4283052989.8299999</v>
      </c>
      <c r="H24" s="728">
        <v>2361698000</v>
      </c>
      <c r="I24" s="726">
        <v>2466828000</v>
      </c>
      <c r="J24" s="727">
        <f t="shared" ref="J24:J25" si="3">H24+I24</f>
        <v>4828526000</v>
      </c>
      <c r="K24" s="727">
        <f t="shared" si="2"/>
        <v>545473010.17000008</v>
      </c>
    </row>
    <row r="25" spans="1:11" ht="13.15" customHeight="1" x14ac:dyDescent="0.2">
      <c r="A25" s="721" t="s">
        <v>2104</v>
      </c>
      <c r="B25" s="722" t="s">
        <v>2105</v>
      </c>
      <c r="C25" s="723">
        <v>4157</v>
      </c>
      <c r="D25" s="724" t="s">
        <v>2106</v>
      </c>
      <c r="E25" s="725">
        <v>7000</v>
      </c>
      <c r="F25" s="726">
        <v>50000</v>
      </c>
      <c r="G25" s="727">
        <f>E25+F25</f>
        <v>57000</v>
      </c>
      <c r="H25" s="728">
        <v>50000</v>
      </c>
      <c r="I25" s="726">
        <v>50000</v>
      </c>
      <c r="J25" s="727">
        <f t="shared" si="3"/>
        <v>100000</v>
      </c>
      <c r="K25" s="727">
        <f t="shared" si="2"/>
        <v>43000</v>
      </c>
    </row>
    <row r="26" spans="1:11" ht="13.15" customHeight="1" x14ac:dyDescent="0.2">
      <c r="A26" s="721" t="s">
        <v>2107</v>
      </c>
      <c r="B26" s="722">
        <v>463.38499999999999</v>
      </c>
      <c r="C26" s="723">
        <v>3329</v>
      </c>
      <c r="D26" s="724" t="s">
        <v>2108</v>
      </c>
      <c r="E26" s="725">
        <v>23296449.850000001</v>
      </c>
      <c r="F26" s="726">
        <f>ROUND(24343553,-3)</f>
        <v>24344000</v>
      </c>
      <c r="G26" s="727">
        <f>E26+F26</f>
        <v>47640449.850000001</v>
      </c>
      <c r="H26" s="728">
        <f>ROUND(24357979,-3)</f>
        <v>24358000</v>
      </c>
      <c r="I26" s="726">
        <f>ROUND(24381128,-3)</f>
        <v>24381000</v>
      </c>
      <c r="J26" s="727">
        <f>H26+I26</f>
        <v>48739000</v>
      </c>
      <c r="K26" s="727">
        <f t="shared" si="2"/>
        <v>1098550.1499999985</v>
      </c>
    </row>
    <row r="27" spans="1:11" ht="13.15" customHeight="1" x14ac:dyDescent="0.2">
      <c r="A27" s="721" t="s">
        <v>2109</v>
      </c>
      <c r="B27" s="722">
        <v>482.18099999999998</v>
      </c>
      <c r="C27" s="723">
        <v>3324</v>
      </c>
      <c r="D27" s="724" t="s">
        <v>2110</v>
      </c>
      <c r="E27" s="725">
        <v>124174029.20999999</v>
      </c>
      <c r="F27" s="726">
        <v>129154000</v>
      </c>
      <c r="G27" s="727">
        <f t="shared" ref="G27:G38" si="4">E27+F27</f>
        <v>253328029.20999998</v>
      </c>
      <c r="H27" s="728">
        <v>132230000</v>
      </c>
      <c r="I27" s="726">
        <v>135480000</v>
      </c>
      <c r="J27" s="727">
        <f t="shared" ref="J27:J38" si="5">H27+I27</f>
        <v>267710000</v>
      </c>
      <c r="K27" s="727">
        <f t="shared" si="2"/>
        <v>14381970.790000021</v>
      </c>
    </row>
    <row r="28" spans="1:11" ht="13.15" customHeight="1" x14ac:dyDescent="0.2">
      <c r="A28" s="721" t="s">
        <v>2111</v>
      </c>
      <c r="B28" s="2071">
        <v>488.07499999999999</v>
      </c>
      <c r="C28" s="2072">
        <v>4770</v>
      </c>
      <c r="D28" s="742" t="s">
        <v>2112</v>
      </c>
      <c r="E28" s="2097">
        <v>897310</v>
      </c>
      <c r="F28" s="2099">
        <v>900000</v>
      </c>
      <c r="G28" s="2101">
        <f t="shared" si="4"/>
        <v>1797310</v>
      </c>
      <c r="H28" s="743">
        <v>900000</v>
      </c>
      <c r="I28" s="2099">
        <v>900000</v>
      </c>
      <c r="J28" s="727">
        <f>H28+I28</f>
        <v>1800000</v>
      </c>
      <c r="K28" s="727">
        <f>J28-G28</f>
        <v>2690</v>
      </c>
    </row>
    <row r="29" spans="1:11" ht="22.5" x14ac:dyDescent="0.2">
      <c r="A29" s="721" t="s">
        <v>2113</v>
      </c>
      <c r="B29" s="737">
        <v>709.11</v>
      </c>
      <c r="C29" s="2428">
        <v>3867</v>
      </c>
      <c r="D29" s="724" t="s">
        <v>2114</v>
      </c>
      <c r="E29" s="2454">
        <v>1770286.19</v>
      </c>
      <c r="F29" s="2457">
        <v>3500000</v>
      </c>
      <c r="G29" s="2445">
        <f t="shared" si="4"/>
        <v>5270286.1899999995</v>
      </c>
      <c r="H29" s="2454">
        <v>3500000</v>
      </c>
      <c r="I29" s="2457">
        <v>3500000</v>
      </c>
      <c r="J29" s="2445">
        <f t="shared" si="5"/>
        <v>7000000</v>
      </c>
      <c r="K29" s="2448">
        <f t="shared" si="2"/>
        <v>1729713.8100000005</v>
      </c>
    </row>
    <row r="30" spans="1:11" ht="22.5" x14ac:dyDescent="0.2">
      <c r="A30" s="721" t="s">
        <v>2115</v>
      </c>
      <c r="B30" s="737">
        <v>709.23</v>
      </c>
      <c r="C30" s="2435"/>
      <c r="D30" s="724" t="s">
        <v>2114</v>
      </c>
      <c r="E30" s="2455"/>
      <c r="F30" s="2458"/>
      <c r="G30" s="2446"/>
      <c r="H30" s="2455"/>
      <c r="I30" s="2458"/>
      <c r="J30" s="2446"/>
      <c r="K30" s="2449"/>
    </row>
    <row r="31" spans="1:11" ht="22.5" x14ac:dyDescent="0.2">
      <c r="A31" s="721" t="s">
        <v>2116</v>
      </c>
      <c r="B31" s="737">
        <v>709.27</v>
      </c>
      <c r="C31" s="2429"/>
      <c r="D31" s="724" t="s">
        <v>2117</v>
      </c>
      <c r="E31" s="2456"/>
      <c r="F31" s="2459"/>
      <c r="G31" s="2447"/>
      <c r="H31" s="2456"/>
      <c r="I31" s="2459"/>
      <c r="J31" s="2447"/>
      <c r="K31" s="2450"/>
    </row>
    <row r="32" spans="1:11" ht="13.15" customHeight="1" x14ac:dyDescent="0.2">
      <c r="A32" s="721" t="s">
        <v>2118</v>
      </c>
      <c r="B32" s="722" t="s">
        <v>2119</v>
      </c>
      <c r="C32" s="736">
        <v>3074</v>
      </c>
      <c r="D32" s="724" t="s">
        <v>2120</v>
      </c>
      <c r="E32" s="738"/>
      <c r="F32" s="739"/>
      <c r="G32" s="727">
        <f t="shared" si="4"/>
        <v>0</v>
      </c>
      <c r="H32" s="728">
        <v>69906000</v>
      </c>
      <c r="I32" s="726">
        <v>70905000</v>
      </c>
      <c r="J32" s="727">
        <f t="shared" si="5"/>
        <v>140811000</v>
      </c>
      <c r="K32" s="727">
        <f t="shared" si="2"/>
        <v>140811000</v>
      </c>
    </row>
    <row r="33" spans="1:11" ht="13.15" customHeight="1" x14ac:dyDescent="0.2">
      <c r="A33" s="715" t="s">
        <v>2121</v>
      </c>
      <c r="B33" s="2071"/>
      <c r="C33" s="2072">
        <v>4326</v>
      </c>
      <c r="D33" s="742" t="s">
        <v>2122</v>
      </c>
      <c r="E33" s="2097">
        <v>2150274.4</v>
      </c>
      <c r="F33" s="2099">
        <f>ROUND(4977838,-3)</f>
        <v>4978000</v>
      </c>
      <c r="G33" s="727">
        <f t="shared" si="4"/>
        <v>7128274.4000000004</v>
      </c>
      <c r="H33" s="743">
        <f>ROUND(8281172,-3)</f>
        <v>8281000</v>
      </c>
      <c r="I33" s="2099">
        <f>ROUND(7438273,-3)</f>
        <v>7438000</v>
      </c>
      <c r="J33" s="727">
        <f t="shared" si="5"/>
        <v>15719000</v>
      </c>
      <c r="K33" s="2101">
        <f t="shared" si="2"/>
        <v>8590725.5999999996</v>
      </c>
    </row>
    <row r="34" spans="1:11" ht="13.15" customHeight="1" x14ac:dyDescent="0.2">
      <c r="A34" s="715" t="s">
        <v>2123</v>
      </c>
      <c r="B34" s="2071"/>
      <c r="C34" s="2072">
        <v>4781</v>
      </c>
      <c r="D34" s="742" t="s">
        <v>2124</v>
      </c>
      <c r="E34" s="2097"/>
      <c r="F34" s="2099">
        <v>1267527.57</v>
      </c>
      <c r="G34" s="727"/>
      <c r="H34" s="743"/>
      <c r="I34" s="2099"/>
      <c r="J34" s="727"/>
      <c r="K34" s="2101"/>
    </row>
    <row r="35" spans="1:11" ht="13.15" customHeight="1" x14ac:dyDescent="0.2">
      <c r="A35" s="715" t="s">
        <v>2123</v>
      </c>
      <c r="B35" s="2071" t="s">
        <v>2125</v>
      </c>
      <c r="C35" s="2072">
        <v>4251</v>
      </c>
      <c r="D35" s="742" t="s">
        <v>2126</v>
      </c>
      <c r="E35" s="2097">
        <v>876</v>
      </c>
      <c r="F35" s="2099">
        <v>900</v>
      </c>
      <c r="G35" s="727">
        <f t="shared" ref="G35" si="6">E35+F35</f>
        <v>1776</v>
      </c>
      <c r="H35" s="743">
        <v>900</v>
      </c>
      <c r="I35" s="2099">
        <v>900</v>
      </c>
      <c r="J35" s="727">
        <f t="shared" ref="J35" si="7">H35+I35</f>
        <v>1800</v>
      </c>
      <c r="K35" s="2101">
        <f t="shared" ref="K35" si="8">J35-G35</f>
        <v>24</v>
      </c>
    </row>
    <row r="36" spans="1:11" ht="13.15" customHeight="1" thickBot="1" x14ac:dyDescent="0.25">
      <c r="A36" s="744" t="s">
        <v>2127</v>
      </c>
      <c r="B36" s="745"/>
      <c r="C36" s="746">
        <v>42</v>
      </c>
      <c r="D36" s="747" t="s">
        <v>2128</v>
      </c>
      <c r="E36" s="748">
        <v>1396939483</v>
      </c>
      <c r="F36" s="749">
        <v>1223780931</v>
      </c>
      <c r="G36" s="750">
        <f t="shared" si="4"/>
        <v>2620720414</v>
      </c>
      <c r="H36" s="768">
        <f>G36/2</f>
        <v>1310360207</v>
      </c>
      <c r="I36" s="769">
        <f>G36/2</f>
        <v>1310360207</v>
      </c>
      <c r="J36" s="750">
        <f t="shared" si="5"/>
        <v>2620720414</v>
      </c>
      <c r="K36" s="750">
        <f>J36-G36</f>
        <v>0</v>
      </c>
    </row>
    <row r="37" spans="1:11" s="755" customFormat="1" ht="15.75" thickBot="1" x14ac:dyDescent="0.3">
      <c r="A37" s="2432" t="s">
        <v>2129</v>
      </c>
      <c r="B37" s="2433"/>
      <c r="C37" s="2433"/>
      <c r="D37" s="2434"/>
      <c r="E37" s="751">
        <f>SUM(E6:E36)</f>
        <v>4322749780.8899994</v>
      </c>
      <c r="F37" s="752">
        <f>SUM(F6:F36)</f>
        <v>5485284477.1900005</v>
      </c>
      <c r="G37" s="753">
        <f t="shared" si="4"/>
        <v>9808034258.0799999</v>
      </c>
      <c r="H37" s="754">
        <f>SUM(H6:H36)</f>
        <v>5320222702</v>
      </c>
      <c r="I37" s="752">
        <f>SUM(I6:I36)</f>
        <v>5555980052</v>
      </c>
      <c r="J37" s="753">
        <f t="shared" si="5"/>
        <v>10876202754</v>
      </c>
      <c r="K37" s="753">
        <f t="shared" si="2"/>
        <v>1068168495.9200001</v>
      </c>
    </row>
    <row r="38" spans="1:11" s="755" customFormat="1" ht="15.75" thickBot="1" x14ac:dyDescent="0.3">
      <c r="A38" s="2432" t="s">
        <v>2130</v>
      </c>
      <c r="B38" s="2433"/>
      <c r="C38" s="2433"/>
      <c r="D38" s="2434"/>
      <c r="E38" s="751">
        <f>SUM(E9:E35)</f>
        <v>3466288369.8899999</v>
      </c>
      <c r="F38" s="752">
        <f>SUM(F9:F35)</f>
        <v>3709936427.5700002</v>
      </c>
      <c r="G38" s="753">
        <f t="shared" si="4"/>
        <v>7176224797.46</v>
      </c>
      <c r="H38" s="754">
        <f>SUM(H9:H35)</f>
        <v>4009862495</v>
      </c>
      <c r="I38" s="752">
        <f>SUM(I9:I35)</f>
        <v>4245619845</v>
      </c>
      <c r="J38" s="753">
        <f t="shared" si="5"/>
        <v>8255482340</v>
      </c>
      <c r="K38" s="753">
        <f>J38-G38</f>
        <v>1079257542.54</v>
      </c>
    </row>
    <row r="39" spans="1:11" s="755" customFormat="1" ht="12.75" customHeight="1" thickBot="1" x14ac:dyDescent="0.3">
      <c r="A39" s="2432" t="s">
        <v>2131</v>
      </c>
      <c r="B39" s="2433"/>
      <c r="C39" s="2433"/>
      <c r="D39" s="2434"/>
      <c r="E39" s="751">
        <f>SUM(E9:E36)</f>
        <v>4863227852.8899994</v>
      </c>
      <c r="F39" s="752">
        <f>SUM(F9:F36)</f>
        <v>4933717358.5699997</v>
      </c>
      <c r="G39" s="753">
        <f>E39+F39</f>
        <v>9796945211.4599991</v>
      </c>
      <c r="H39" s="754">
        <f>SUM(H9:H36)</f>
        <v>5320222702</v>
      </c>
      <c r="I39" s="752">
        <f>SUM(I9:I36)</f>
        <v>5555980052</v>
      </c>
      <c r="J39" s="753">
        <f>H39+I39</f>
        <v>10876202754</v>
      </c>
      <c r="K39" s="753">
        <f>J39-G39</f>
        <v>1079257542.5400009</v>
      </c>
    </row>
    <row r="40" spans="1:11" ht="4.1500000000000004" customHeight="1" thickBot="1" x14ac:dyDescent="0.25"/>
    <row r="41" spans="1:11" ht="12" customHeight="1" x14ac:dyDescent="0.2">
      <c r="A41" s="2451" t="s">
        <v>2134</v>
      </c>
      <c r="B41" s="2452"/>
      <c r="C41" s="2452"/>
      <c r="D41" s="2453"/>
      <c r="E41" s="756"/>
      <c r="F41" s="757"/>
      <c r="G41" s="758">
        <f t="shared" ref="G41:G43" si="9">E41+F41</f>
        <v>0</v>
      </c>
      <c r="H41" s="759"/>
      <c r="I41" s="757"/>
      <c r="J41" s="758">
        <f t="shared" ref="J41:J43" si="10">H41+I41</f>
        <v>0</v>
      </c>
      <c r="K41" s="758">
        <f>J41-G41</f>
        <v>0</v>
      </c>
    </row>
    <row r="42" spans="1:11" ht="12" customHeight="1" x14ac:dyDescent="0.2">
      <c r="A42" s="2460" t="s">
        <v>2135</v>
      </c>
      <c r="B42" s="2461"/>
      <c r="C42" s="2461"/>
      <c r="D42" s="2462"/>
      <c r="E42" s="725"/>
      <c r="F42" s="726"/>
      <c r="G42" s="727">
        <f t="shared" si="9"/>
        <v>0</v>
      </c>
      <c r="H42" s="728"/>
      <c r="I42" s="726"/>
      <c r="J42" s="727">
        <f t="shared" si="10"/>
        <v>0</v>
      </c>
      <c r="K42" s="727">
        <f>J42-G42</f>
        <v>0</v>
      </c>
    </row>
    <row r="43" spans="1:11" ht="12" customHeight="1" thickBot="1" x14ac:dyDescent="0.25">
      <c r="A43" s="2442" t="s">
        <v>2136</v>
      </c>
      <c r="B43" s="2443"/>
      <c r="C43" s="2443"/>
      <c r="D43" s="2444"/>
      <c r="E43" s="748">
        <f>E41+E42</f>
        <v>0</v>
      </c>
      <c r="F43" s="749">
        <f>F41+F42</f>
        <v>0</v>
      </c>
      <c r="G43" s="750">
        <f t="shared" si="9"/>
        <v>0</v>
      </c>
      <c r="H43" s="760">
        <f>H41+H42</f>
        <v>0</v>
      </c>
      <c r="I43" s="749">
        <f>I41+I42</f>
        <v>0</v>
      </c>
      <c r="J43" s="750">
        <f t="shared" si="10"/>
        <v>0</v>
      </c>
      <c r="K43" s="750">
        <f>J43-G43</f>
        <v>0</v>
      </c>
    </row>
    <row r="45" spans="1:11" x14ac:dyDescent="0.2">
      <c r="G45" s="702" t="s">
        <v>2137</v>
      </c>
      <c r="H45" s="761">
        <f>H39-H20+F20</f>
        <v>5322290702</v>
      </c>
      <c r="I45" s="761">
        <f>I39-I20+H20</f>
        <v>5556404052</v>
      </c>
    </row>
    <row r="46" spans="1:11" x14ac:dyDescent="0.2">
      <c r="H46" s="761"/>
    </row>
    <row r="47" spans="1:11" x14ac:dyDescent="0.2">
      <c r="H47" s="761">
        <f>H39-F39</f>
        <v>386505343.43000031</v>
      </c>
    </row>
  </sheetData>
  <mergeCells count="33">
    <mergeCell ref="I21:I22"/>
    <mergeCell ref="J21:J22"/>
    <mergeCell ref="K21:K22"/>
    <mergeCell ref="A42:D42"/>
    <mergeCell ref="C21:C22"/>
    <mergeCell ref="E21:E22"/>
    <mergeCell ref="F21:F22"/>
    <mergeCell ref="G21:G22"/>
    <mergeCell ref="H21:H22"/>
    <mergeCell ref="A43:D43"/>
    <mergeCell ref="J29:J31"/>
    <mergeCell ref="K29:K31"/>
    <mergeCell ref="A37:D37"/>
    <mergeCell ref="A38:D38"/>
    <mergeCell ref="A39:D39"/>
    <mergeCell ref="A41:D41"/>
    <mergeCell ref="C29:C31"/>
    <mergeCell ref="E29:E31"/>
    <mergeCell ref="F29:F31"/>
    <mergeCell ref="G29:G31"/>
    <mergeCell ref="H29:H31"/>
    <mergeCell ref="I29:I31"/>
    <mergeCell ref="E4:G4"/>
    <mergeCell ref="H4:J4"/>
    <mergeCell ref="K4:K5"/>
    <mergeCell ref="C15:C16"/>
    <mergeCell ref="E15:E16"/>
    <mergeCell ref="F15:F16"/>
    <mergeCell ref="G15:G16"/>
    <mergeCell ref="H15:H16"/>
    <mergeCell ref="I15:I16"/>
    <mergeCell ref="J15:J16"/>
    <mergeCell ref="K15:K16"/>
  </mergeCells>
  <pageMargins left="0.25" right="0.25" top="0.75" bottom="0.75" header="0.3" footer="0.3"/>
  <pageSetup scale="65" fitToWidth="0" pageOrder="overThenDown" orientation="landscape" r:id="rId1"/>
  <headerFooter>
    <oddFooter>&amp;L&amp;8Prepared by the Fiscal Analysis Division&amp;C&amp;8Budget/Fiscal December 2022 Consensus Forecast: Page &amp;P of &amp;N&amp;R&amp;8December 17, 2022 - 7:30 AM</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BBD5-9F74-4743-8652-2C87478F65B4}">
  <dimension ref="A1:G101"/>
  <sheetViews>
    <sheetView topLeftCell="A52" workbookViewId="0">
      <selection activeCell="B88" sqref="B88"/>
    </sheetView>
  </sheetViews>
  <sheetFormatPr defaultRowHeight="12.75" x14ac:dyDescent="0.2"/>
  <cols>
    <col min="1" max="1" width="10" style="2152" bestFit="1" customWidth="1"/>
    <col min="2" max="2" width="47" style="2152" bestFit="1" customWidth="1"/>
    <col min="3" max="3" width="5" style="2152" bestFit="1" customWidth="1"/>
    <col min="4" max="4" width="13.5703125" style="2152" customWidth="1"/>
    <col min="5" max="5" width="13.7109375" style="2152" customWidth="1"/>
    <col min="6" max="7" width="12.7109375" style="2152" bestFit="1" customWidth="1"/>
    <col min="8" max="256" width="9.140625" style="2152"/>
    <col min="257" max="257" width="10" style="2152" bestFit="1" customWidth="1"/>
    <col min="258" max="258" width="47" style="2152" bestFit="1" customWidth="1"/>
    <col min="259" max="259" width="5" style="2152" bestFit="1" customWidth="1"/>
    <col min="260" max="260" width="13.5703125" style="2152" customWidth="1"/>
    <col min="261" max="261" width="13.7109375" style="2152" customWidth="1"/>
    <col min="262" max="263" width="12.7109375" style="2152" bestFit="1" customWidth="1"/>
    <col min="264" max="512" width="9.140625" style="2152"/>
    <col min="513" max="513" width="10" style="2152" bestFit="1" customWidth="1"/>
    <col min="514" max="514" width="47" style="2152" bestFit="1" customWidth="1"/>
    <col min="515" max="515" width="5" style="2152" bestFit="1" customWidth="1"/>
    <col min="516" max="516" width="13.5703125" style="2152" customWidth="1"/>
    <col min="517" max="517" width="13.7109375" style="2152" customWidth="1"/>
    <col min="518" max="519" width="12.7109375" style="2152" bestFit="1" customWidth="1"/>
    <col min="520" max="768" width="9.140625" style="2152"/>
    <col min="769" max="769" width="10" style="2152" bestFit="1" customWidth="1"/>
    <col min="770" max="770" width="47" style="2152" bestFit="1" customWidth="1"/>
    <col min="771" max="771" width="5" style="2152" bestFit="1" customWidth="1"/>
    <col min="772" max="772" width="13.5703125" style="2152" customWidth="1"/>
    <col min="773" max="773" width="13.7109375" style="2152" customWidth="1"/>
    <col min="774" max="775" width="12.7109375" style="2152" bestFit="1" customWidth="1"/>
    <col min="776" max="1024" width="9.140625" style="2152"/>
    <col min="1025" max="1025" width="10" style="2152" bestFit="1" customWidth="1"/>
    <col min="1026" max="1026" width="47" style="2152" bestFit="1" customWidth="1"/>
    <col min="1027" max="1027" width="5" style="2152" bestFit="1" customWidth="1"/>
    <col min="1028" max="1028" width="13.5703125" style="2152" customWidth="1"/>
    <col min="1029" max="1029" width="13.7109375" style="2152" customWidth="1"/>
    <col min="1030" max="1031" width="12.7109375" style="2152" bestFit="1" customWidth="1"/>
    <col min="1032" max="1280" width="9.140625" style="2152"/>
    <col min="1281" max="1281" width="10" style="2152" bestFit="1" customWidth="1"/>
    <col min="1282" max="1282" width="47" style="2152" bestFit="1" customWidth="1"/>
    <col min="1283" max="1283" width="5" style="2152" bestFit="1" customWidth="1"/>
    <col min="1284" max="1284" width="13.5703125" style="2152" customWidth="1"/>
    <col min="1285" max="1285" width="13.7109375" style="2152" customWidth="1"/>
    <col min="1286" max="1287" width="12.7109375" style="2152" bestFit="1" customWidth="1"/>
    <col min="1288" max="1536" width="9.140625" style="2152"/>
    <col min="1537" max="1537" width="10" style="2152" bestFit="1" customWidth="1"/>
    <col min="1538" max="1538" width="47" style="2152" bestFit="1" customWidth="1"/>
    <col min="1539" max="1539" width="5" style="2152" bestFit="1" customWidth="1"/>
    <col min="1540" max="1540" width="13.5703125" style="2152" customWidth="1"/>
    <col min="1541" max="1541" width="13.7109375" style="2152" customWidth="1"/>
    <col min="1542" max="1543" width="12.7109375" style="2152" bestFit="1" customWidth="1"/>
    <col min="1544" max="1792" width="9.140625" style="2152"/>
    <col min="1793" max="1793" width="10" style="2152" bestFit="1" customWidth="1"/>
    <col min="1794" max="1794" width="47" style="2152" bestFit="1" customWidth="1"/>
    <col min="1795" max="1795" width="5" style="2152" bestFit="1" customWidth="1"/>
    <col min="1796" max="1796" width="13.5703125" style="2152" customWidth="1"/>
    <col min="1797" max="1797" width="13.7109375" style="2152" customWidth="1"/>
    <col min="1798" max="1799" width="12.7109375" style="2152" bestFit="1" customWidth="1"/>
    <col min="1800" max="2048" width="9.140625" style="2152"/>
    <col min="2049" max="2049" width="10" style="2152" bestFit="1" customWidth="1"/>
    <col min="2050" max="2050" width="47" style="2152" bestFit="1" customWidth="1"/>
    <col min="2051" max="2051" width="5" style="2152" bestFit="1" customWidth="1"/>
    <col min="2052" max="2052" width="13.5703125" style="2152" customWidth="1"/>
    <col min="2053" max="2053" width="13.7109375" style="2152" customWidth="1"/>
    <col min="2054" max="2055" width="12.7109375" style="2152" bestFit="1" customWidth="1"/>
    <col min="2056" max="2304" width="9.140625" style="2152"/>
    <col min="2305" max="2305" width="10" style="2152" bestFit="1" customWidth="1"/>
    <col min="2306" max="2306" width="47" style="2152" bestFit="1" customWidth="1"/>
    <col min="2307" max="2307" width="5" style="2152" bestFit="1" customWidth="1"/>
    <col min="2308" max="2308" width="13.5703125" style="2152" customWidth="1"/>
    <col min="2309" max="2309" width="13.7109375" style="2152" customWidth="1"/>
    <col min="2310" max="2311" width="12.7109375" style="2152" bestFit="1" customWidth="1"/>
    <col min="2312" max="2560" width="9.140625" style="2152"/>
    <col min="2561" max="2561" width="10" style="2152" bestFit="1" customWidth="1"/>
    <col min="2562" max="2562" width="47" style="2152" bestFit="1" customWidth="1"/>
    <col min="2563" max="2563" width="5" style="2152" bestFit="1" customWidth="1"/>
    <col min="2564" max="2564" width="13.5703125" style="2152" customWidth="1"/>
    <col min="2565" max="2565" width="13.7109375" style="2152" customWidth="1"/>
    <col min="2566" max="2567" width="12.7109375" style="2152" bestFit="1" customWidth="1"/>
    <col min="2568" max="2816" width="9.140625" style="2152"/>
    <col min="2817" max="2817" width="10" style="2152" bestFit="1" customWidth="1"/>
    <col min="2818" max="2818" width="47" style="2152" bestFit="1" customWidth="1"/>
    <col min="2819" max="2819" width="5" style="2152" bestFit="1" customWidth="1"/>
    <col min="2820" max="2820" width="13.5703125" style="2152" customWidth="1"/>
    <col min="2821" max="2821" width="13.7109375" style="2152" customWidth="1"/>
    <col min="2822" max="2823" width="12.7109375" style="2152" bestFit="1" customWidth="1"/>
    <col min="2824" max="3072" width="9.140625" style="2152"/>
    <col min="3073" max="3073" width="10" style="2152" bestFit="1" customWidth="1"/>
    <col min="3074" max="3074" width="47" style="2152" bestFit="1" customWidth="1"/>
    <col min="3075" max="3075" width="5" style="2152" bestFit="1" customWidth="1"/>
    <col min="3076" max="3076" width="13.5703125" style="2152" customWidth="1"/>
    <col min="3077" max="3077" width="13.7109375" style="2152" customWidth="1"/>
    <col min="3078" max="3079" width="12.7109375" style="2152" bestFit="1" customWidth="1"/>
    <col min="3080" max="3328" width="9.140625" style="2152"/>
    <col min="3329" max="3329" width="10" style="2152" bestFit="1" customWidth="1"/>
    <col min="3330" max="3330" width="47" style="2152" bestFit="1" customWidth="1"/>
    <col min="3331" max="3331" width="5" style="2152" bestFit="1" customWidth="1"/>
    <col min="3332" max="3332" width="13.5703125" style="2152" customWidth="1"/>
    <col min="3333" max="3333" width="13.7109375" style="2152" customWidth="1"/>
    <col min="3334" max="3335" width="12.7109375" style="2152" bestFit="1" customWidth="1"/>
    <col min="3336" max="3584" width="9.140625" style="2152"/>
    <col min="3585" max="3585" width="10" style="2152" bestFit="1" customWidth="1"/>
    <col min="3586" max="3586" width="47" style="2152" bestFit="1" customWidth="1"/>
    <col min="3587" max="3587" width="5" style="2152" bestFit="1" customWidth="1"/>
    <col min="3588" max="3588" width="13.5703125" style="2152" customWidth="1"/>
    <col min="3589" max="3589" width="13.7109375" style="2152" customWidth="1"/>
    <col min="3590" max="3591" width="12.7109375" style="2152" bestFit="1" customWidth="1"/>
    <col min="3592" max="3840" width="9.140625" style="2152"/>
    <col min="3841" max="3841" width="10" style="2152" bestFit="1" customWidth="1"/>
    <col min="3842" max="3842" width="47" style="2152" bestFit="1" customWidth="1"/>
    <col min="3843" max="3843" width="5" style="2152" bestFit="1" customWidth="1"/>
    <col min="3844" max="3844" width="13.5703125" style="2152" customWidth="1"/>
    <col min="3845" max="3845" width="13.7109375" style="2152" customWidth="1"/>
    <col min="3846" max="3847" width="12.7109375" style="2152" bestFit="1" customWidth="1"/>
    <col min="3848" max="4096" width="9.140625" style="2152"/>
    <col min="4097" max="4097" width="10" style="2152" bestFit="1" customWidth="1"/>
    <col min="4098" max="4098" width="47" style="2152" bestFit="1" customWidth="1"/>
    <col min="4099" max="4099" width="5" style="2152" bestFit="1" customWidth="1"/>
    <col min="4100" max="4100" width="13.5703125" style="2152" customWidth="1"/>
    <col min="4101" max="4101" width="13.7109375" style="2152" customWidth="1"/>
    <col min="4102" max="4103" width="12.7109375" style="2152" bestFit="1" customWidth="1"/>
    <col min="4104" max="4352" width="9.140625" style="2152"/>
    <col min="4353" max="4353" width="10" style="2152" bestFit="1" customWidth="1"/>
    <col min="4354" max="4354" width="47" style="2152" bestFit="1" customWidth="1"/>
    <col min="4355" max="4355" width="5" style="2152" bestFit="1" customWidth="1"/>
    <col min="4356" max="4356" width="13.5703125" style="2152" customWidth="1"/>
    <col min="4357" max="4357" width="13.7109375" style="2152" customWidth="1"/>
    <col min="4358" max="4359" width="12.7109375" style="2152" bestFit="1" customWidth="1"/>
    <col min="4360" max="4608" width="9.140625" style="2152"/>
    <col min="4609" max="4609" width="10" style="2152" bestFit="1" customWidth="1"/>
    <col min="4610" max="4610" width="47" style="2152" bestFit="1" customWidth="1"/>
    <col min="4611" max="4611" width="5" style="2152" bestFit="1" customWidth="1"/>
    <col min="4612" max="4612" width="13.5703125" style="2152" customWidth="1"/>
    <col min="4613" max="4613" width="13.7109375" style="2152" customWidth="1"/>
    <col min="4614" max="4615" width="12.7109375" style="2152" bestFit="1" customWidth="1"/>
    <col min="4616" max="4864" width="9.140625" style="2152"/>
    <col min="4865" max="4865" width="10" style="2152" bestFit="1" customWidth="1"/>
    <col min="4866" max="4866" width="47" style="2152" bestFit="1" customWidth="1"/>
    <col min="4867" max="4867" width="5" style="2152" bestFit="1" customWidth="1"/>
    <col min="4868" max="4868" width="13.5703125" style="2152" customWidth="1"/>
    <col min="4869" max="4869" width="13.7109375" style="2152" customWidth="1"/>
    <col min="4870" max="4871" width="12.7109375" style="2152" bestFit="1" customWidth="1"/>
    <col min="4872" max="5120" width="9.140625" style="2152"/>
    <col min="5121" max="5121" width="10" style="2152" bestFit="1" customWidth="1"/>
    <col min="5122" max="5122" width="47" style="2152" bestFit="1" customWidth="1"/>
    <col min="5123" max="5123" width="5" style="2152" bestFit="1" customWidth="1"/>
    <col min="5124" max="5124" width="13.5703125" style="2152" customWidth="1"/>
    <col min="5125" max="5125" width="13.7109375" style="2152" customWidth="1"/>
    <col min="5126" max="5127" width="12.7109375" style="2152" bestFit="1" customWidth="1"/>
    <col min="5128" max="5376" width="9.140625" style="2152"/>
    <col min="5377" max="5377" width="10" style="2152" bestFit="1" customWidth="1"/>
    <col min="5378" max="5378" width="47" style="2152" bestFit="1" customWidth="1"/>
    <col min="5379" max="5379" width="5" style="2152" bestFit="1" customWidth="1"/>
    <col min="5380" max="5380" width="13.5703125" style="2152" customWidth="1"/>
    <col min="5381" max="5381" width="13.7109375" style="2152" customWidth="1"/>
    <col min="5382" max="5383" width="12.7109375" style="2152" bestFit="1" customWidth="1"/>
    <col min="5384" max="5632" width="9.140625" style="2152"/>
    <col min="5633" max="5633" width="10" style="2152" bestFit="1" customWidth="1"/>
    <col min="5634" max="5634" width="47" style="2152" bestFit="1" customWidth="1"/>
    <col min="5635" max="5635" width="5" style="2152" bestFit="1" customWidth="1"/>
    <col min="5636" max="5636" width="13.5703125" style="2152" customWidth="1"/>
    <col min="5637" max="5637" width="13.7109375" style="2152" customWidth="1"/>
    <col min="5638" max="5639" width="12.7109375" style="2152" bestFit="1" customWidth="1"/>
    <col min="5640" max="5888" width="9.140625" style="2152"/>
    <col min="5889" max="5889" width="10" style="2152" bestFit="1" customWidth="1"/>
    <col min="5890" max="5890" width="47" style="2152" bestFit="1" customWidth="1"/>
    <col min="5891" max="5891" width="5" style="2152" bestFit="1" customWidth="1"/>
    <col min="5892" max="5892" width="13.5703125" style="2152" customWidth="1"/>
    <col min="5893" max="5893" width="13.7109375" style="2152" customWidth="1"/>
    <col min="5894" max="5895" width="12.7109375" style="2152" bestFit="1" customWidth="1"/>
    <col min="5896" max="6144" width="9.140625" style="2152"/>
    <col min="6145" max="6145" width="10" style="2152" bestFit="1" customWidth="1"/>
    <col min="6146" max="6146" width="47" style="2152" bestFit="1" customWidth="1"/>
    <col min="6147" max="6147" width="5" style="2152" bestFit="1" customWidth="1"/>
    <col min="6148" max="6148" width="13.5703125" style="2152" customWidth="1"/>
    <col min="6149" max="6149" width="13.7109375" style="2152" customWidth="1"/>
    <col min="6150" max="6151" width="12.7109375" style="2152" bestFit="1" customWidth="1"/>
    <col min="6152" max="6400" width="9.140625" style="2152"/>
    <col min="6401" max="6401" width="10" style="2152" bestFit="1" customWidth="1"/>
    <col min="6402" max="6402" width="47" style="2152" bestFit="1" customWidth="1"/>
    <col min="6403" max="6403" width="5" style="2152" bestFit="1" customWidth="1"/>
    <col min="6404" max="6404" width="13.5703125" style="2152" customWidth="1"/>
    <col min="6405" max="6405" width="13.7109375" style="2152" customWidth="1"/>
    <col min="6406" max="6407" width="12.7109375" style="2152" bestFit="1" customWidth="1"/>
    <col min="6408" max="6656" width="9.140625" style="2152"/>
    <col min="6657" max="6657" width="10" style="2152" bestFit="1" customWidth="1"/>
    <col min="6658" max="6658" width="47" style="2152" bestFit="1" customWidth="1"/>
    <col min="6659" max="6659" width="5" style="2152" bestFit="1" customWidth="1"/>
    <col min="6660" max="6660" width="13.5703125" style="2152" customWidth="1"/>
    <col min="6661" max="6661" width="13.7109375" style="2152" customWidth="1"/>
    <col min="6662" max="6663" width="12.7109375" style="2152" bestFit="1" customWidth="1"/>
    <col min="6664" max="6912" width="9.140625" style="2152"/>
    <col min="6913" max="6913" width="10" style="2152" bestFit="1" customWidth="1"/>
    <col min="6914" max="6914" width="47" style="2152" bestFit="1" customWidth="1"/>
    <col min="6915" max="6915" width="5" style="2152" bestFit="1" customWidth="1"/>
    <col min="6916" max="6916" width="13.5703125" style="2152" customWidth="1"/>
    <col min="6917" max="6917" width="13.7109375" style="2152" customWidth="1"/>
    <col min="6918" max="6919" width="12.7109375" style="2152" bestFit="1" customWidth="1"/>
    <col min="6920" max="7168" width="9.140625" style="2152"/>
    <col min="7169" max="7169" width="10" style="2152" bestFit="1" customWidth="1"/>
    <col min="7170" max="7170" width="47" style="2152" bestFit="1" customWidth="1"/>
    <col min="7171" max="7171" width="5" style="2152" bestFit="1" customWidth="1"/>
    <col min="7172" max="7172" width="13.5703125" style="2152" customWidth="1"/>
    <col min="7173" max="7173" width="13.7109375" style="2152" customWidth="1"/>
    <col min="7174" max="7175" width="12.7109375" style="2152" bestFit="1" customWidth="1"/>
    <col min="7176" max="7424" width="9.140625" style="2152"/>
    <col min="7425" max="7425" width="10" style="2152" bestFit="1" customWidth="1"/>
    <col min="7426" max="7426" width="47" style="2152" bestFit="1" customWidth="1"/>
    <col min="7427" max="7427" width="5" style="2152" bestFit="1" customWidth="1"/>
    <col min="7428" max="7428" width="13.5703125" style="2152" customWidth="1"/>
    <col min="7429" max="7429" width="13.7109375" style="2152" customWidth="1"/>
    <col min="7430" max="7431" width="12.7109375" style="2152" bestFit="1" customWidth="1"/>
    <col min="7432" max="7680" width="9.140625" style="2152"/>
    <col min="7681" max="7681" width="10" style="2152" bestFit="1" customWidth="1"/>
    <col min="7682" max="7682" width="47" style="2152" bestFit="1" customWidth="1"/>
    <col min="7683" max="7683" width="5" style="2152" bestFit="1" customWidth="1"/>
    <col min="7684" max="7684" width="13.5703125" style="2152" customWidth="1"/>
    <col min="7685" max="7685" width="13.7109375" style="2152" customWidth="1"/>
    <col min="7686" max="7687" width="12.7109375" style="2152" bestFit="1" customWidth="1"/>
    <col min="7688" max="7936" width="9.140625" style="2152"/>
    <col min="7937" max="7937" width="10" style="2152" bestFit="1" customWidth="1"/>
    <col min="7938" max="7938" width="47" style="2152" bestFit="1" customWidth="1"/>
    <col min="7939" max="7939" width="5" style="2152" bestFit="1" customWidth="1"/>
    <col min="7940" max="7940" width="13.5703125" style="2152" customWidth="1"/>
    <col min="7941" max="7941" width="13.7109375" style="2152" customWidth="1"/>
    <col min="7942" max="7943" width="12.7109375" style="2152" bestFit="1" customWidth="1"/>
    <col min="7944" max="8192" width="9.140625" style="2152"/>
    <col min="8193" max="8193" width="10" style="2152" bestFit="1" customWidth="1"/>
    <col min="8194" max="8194" width="47" style="2152" bestFit="1" customWidth="1"/>
    <col min="8195" max="8195" width="5" style="2152" bestFit="1" customWidth="1"/>
    <col min="8196" max="8196" width="13.5703125" style="2152" customWidth="1"/>
    <col min="8197" max="8197" width="13.7109375" style="2152" customWidth="1"/>
    <col min="8198" max="8199" width="12.7109375" style="2152" bestFit="1" customWidth="1"/>
    <col min="8200" max="8448" width="9.140625" style="2152"/>
    <col min="8449" max="8449" width="10" style="2152" bestFit="1" customWidth="1"/>
    <col min="8450" max="8450" width="47" style="2152" bestFit="1" customWidth="1"/>
    <col min="8451" max="8451" width="5" style="2152" bestFit="1" customWidth="1"/>
    <col min="8452" max="8452" width="13.5703125" style="2152" customWidth="1"/>
    <col min="8453" max="8453" width="13.7109375" style="2152" customWidth="1"/>
    <col min="8454" max="8455" width="12.7109375" style="2152" bestFit="1" customWidth="1"/>
    <col min="8456" max="8704" width="9.140625" style="2152"/>
    <col min="8705" max="8705" width="10" style="2152" bestFit="1" customWidth="1"/>
    <col min="8706" max="8706" width="47" style="2152" bestFit="1" customWidth="1"/>
    <col min="8707" max="8707" width="5" style="2152" bestFit="1" customWidth="1"/>
    <col min="8708" max="8708" width="13.5703125" style="2152" customWidth="1"/>
    <col min="8709" max="8709" width="13.7109375" style="2152" customWidth="1"/>
    <col min="8710" max="8711" width="12.7109375" style="2152" bestFit="1" customWidth="1"/>
    <col min="8712" max="8960" width="9.140625" style="2152"/>
    <col min="8961" max="8961" width="10" style="2152" bestFit="1" customWidth="1"/>
    <col min="8962" max="8962" width="47" style="2152" bestFit="1" customWidth="1"/>
    <col min="8963" max="8963" width="5" style="2152" bestFit="1" customWidth="1"/>
    <col min="8964" max="8964" width="13.5703125" style="2152" customWidth="1"/>
    <col min="8965" max="8965" width="13.7109375" style="2152" customWidth="1"/>
    <col min="8966" max="8967" width="12.7109375" style="2152" bestFit="1" customWidth="1"/>
    <col min="8968" max="9216" width="9.140625" style="2152"/>
    <col min="9217" max="9217" width="10" style="2152" bestFit="1" customWidth="1"/>
    <col min="9218" max="9218" width="47" style="2152" bestFit="1" customWidth="1"/>
    <col min="9219" max="9219" width="5" style="2152" bestFit="1" customWidth="1"/>
    <col min="9220" max="9220" width="13.5703125" style="2152" customWidth="1"/>
    <col min="9221" max="9221" width="13.7109375" style="2152" customWidth="1"/>
    <col min="9222" max="9223" width="12.7109375" style="2152" bestFit="1" customWidth="1"/>
    <col min="9224" max="9472" width="9.140625" style="2152"/>
    <col min="9473" max="9473" width="10" style="2152" bestFit="1" customWidth="1"/>
    <col min="9474" max="9474" width="47" style="2152" bestFit="1" customWidth="1"/>
    <col min="9475" max="9475" width="5" style="2152" bestFit="1" customWidth="1"/>
    <col min="9476" max="9476" width="13.5703125" style="2152" customWidth="1"/>
    <col min="9477" max="9477" width="13.7109375" style="2152" customWidth="1"/>
    <col min="9478" max="9479" width="12.7109375" style="2152" bestFit="1" customWidth="1"/>
    <col min="9480" max="9728" width="9.140625" style="2152"/>
    <col min="9729" max="9729" width="10" style="2152" bestFit="1" customWidth="1"/>
    <col min="9730" max="9730" width="47" style="2152" bestFit="1" customWidth="1"/>
    <col min="9731" max="9731" width="5" style="2152" bestFit="1" customWidth="1"/>
    <col min="9732" max="9732" width="13.5703125" style="2152" customWidth="1"/>
    <col min="9733" max="9733" width="13.7109375" style="2152" customWidth="1"/>
    <col min="9734" max="9735" width="12.7109375" style="2152" bestFit="1" customWidth="1"/>
    <col min="9736" max="9984" width="9.140625" style="2152"/>
    <col min="9985" max="9985" width="10" style="2152" bestFit="1" customWidth="1"/>
    <col min="9986" max="9986" width="47" style="2152" bestFit="1" customWidth="1"/>
    <col min="9987" max="9987" width="5" style="2152" bestFit="1" customWidth="1"/>
    <col min="9988" max="9988" width="13.5703125" style="2152" customWidth="1"/>
    <col min="9989" max="9989" width="13.7109375" style="2152" customWidth="1"/>
    <col min="9990" max="9991" width="12.7109375" style="2152" bestFit="1" customWidth="1"/>
    <col min="9992" max="10240" width="9.140625" style="2152"/>
    <col min="10241" max="10241" width="10" style="2152" bestFit="1" customWidth="1"/>
    <col min="10242" max="10242" width="47" style="2152" bestFit="1" customWidth="1"/>
    <col min="10243" max="10243" width="5" style="2152" bestFit="1" customWidth="1"/>
    <col min="10244" max="10244" width="13.5703125" style="2152" customWidth="1"/>
    <col min="10245" max="10245" width="13.7109375" style="2152" customWidth="1"/>
    <col min="10246" max="10247" width="12.7109375" style="2152" bestFit="1" customWidth="1"/>
    <col min="10248" max="10496" width="9.140625" style="2152"/>
    <col min="10497" max="10497" width="10" style="2152" bestFit="1" customWidth="1"/>
    <col min="10498" max="10498" width="47" style="2152" bestFit="1" customWidth="1"/>
    <col min="10499" max="10499" width="5" style="2152" bestFit="1" customWidth="1"/>
    <col min="10500" max="10500" width="13.5703125" style="2152" customWidth="1"/>
    <col min="10501" max="10501" width="13.7109375" style="2152" customWidth="1"/>
    <col min="10502" max="10503" width="12.7109375" style="2152" bestFit="1" customWidth="1"/>
    <col min="10504" max="10752" width="9.140625" style="2152"/>
    <col min="10753" max="10753" width="10" style="2152" bestFit="1" customWidth="1"/>
    <col min="10754" max="10754" width="47" style="2152" bestFit="1" customWidth="1"/>
    <col min="10755" max="10755" width="5" style="2152" bestFit="1" customWidth="1"/>
    <col min="10756" max="10756" width="13.5703125" style="2152" customWidth="1"/>
    <col min="10757" max="10757" width="13.7109375" style="2152" customWidth="1"/>
    <col min="10758" max="10759" width="12.7109375" style="2152" bestFit="1" customWidth="1"/>
    <col min="10760" max="11008" width="9.140625" style="2152"/>
    <col min="11009" max="11009" width="10" style="2152" bestFit="1" customWidth="1"/>
    <col min="11010" max="11010" width="47" style="2152" bestFit="1" customWidth="1"/>
    <col min="11011" max="11011" width="5" style="2152" bestFit="1" customWidth="1"/>
    <col min="11012" max="11012" width="13.5703125" style="2152" customWidth="1"/>
    <col min="11013" max="11013" width="13.7109375" style="2152" customWidth="1"/>
    <col min="11014" max="11015" width="12.7109375" style="2152" bestFit="1" customWidth="1"/>
    <col min="11016" max="11264" width="9.140625" style="2152"/>
    <col min="11265" max="11265" width="10" style="2152" bestFit="1" customWidth="1"/>
    <col min="11266" max="11266" width="47" style="2152" bestFit="1" customWidth="1"/>
    <col min="11267" max="11267" width="5" style="2152" bestFit="1" customWidth="1"/>
    <col min="11268" max="11268" width="13.5703125" style="2152" customWidth="1"/>
    <col min="11269" max="11269" width="13.7109375" style="2152" customWidth="1"/>
    <col min="11270" max="11271" width="12.7109375" style="2152" bestFit="1" customWidth="1"/>
    <col min="11272" max="11520" width="9.140625" style="2152"/>
    <col min="11521" max="11521" width="10" style="2152" bestFit="1" customWidth="1"/>
    <col min="11522" max="11522" width="47" style="2152" bestFit="1" customWidth="1"/>
    <col min="11523" max="11523" width="5" style="2152" bestFit="1" customWidth="1"/>
    <col min="11524" max="11524" width="13.5703125" style="2152" customWidth="1"/>
    <col min="11525" max="11525" width="13.7109375" style="2152" customWidth="1"/>
    <col min="11526" max="11527" width="12.7109375" style="2152" bestFit="1" customWidth="1"/>
    <col min="11528" max="11776" width="9.140625" style="2152"/>
    <col min="11777" max="11777" width="10" style="2152" bestFit="1" customWidth="1"/>
    <col min="11778" max="11778" width="47" style="2152" bestFit="1" customWidth="1"/>
    <col min="11779" max="11779" width="5" style="2152" bestFit="1" customWidth="1"/>
    <col min="11780" max="11780" width="13.5703125" style="2152" customWidth="1"/>
    <col min="11781" max="11781" width="13.7109375" style="2152" customWidth="1"/>
    <col min="11782" max="11783" width="12.7109375" style="2152" bestFit="1" customWidth="1"/>
    <col min="11784" max="12032" width="9.140625" style="2152"/>
    <col min="12033" max="12033" width="10" style="2152" bestFit="1" customWidth="1"/>
    <col min="12034" max="12034" width="47" style="2152" bestFit="1" customWidth="1"/>
    <col min="12035" max="12035" width="5" style="2152" bestFit="1" customWidth="1"/>
    <col min="12036" max="12036" width="13.5703125" style="2152" customWidth="1"/>
    <col min="12037" max="12037" width="13.7109375" style="2152" customWidth="1"/>
    <col min="12038" max="12039" width="12.7109375" style="2152" bestFit="1" customWidth="1"/>
    <col min="12040" max="12288" width="9.140625" style="2152"/>
    <col min="12289" max="12289" width="10" style="2152" bestFit="1" customWidth="1"/>
    <col min="12290" max="12290" width="47" style="2152" bestFit="1" customWidth="1"/>
    <col min="12291" max="12291" width="5" style="2152" bestFit="1" customWidth="1"/>
    <col min="12292" max="12292" width="13.5703125" style="2152" customWidth="1"/>
    <col min="12293" max="12293" width="13.7109375" style="2152" customWidth="1"/>
    <col min="12294" max="12295" width="12.7109375" style="2152" bestFit="1" customWidth="1"/>
    <col min="12296" max="12544" width="9.140625" style="2152"/>
    <col min="12545" max="12545" width="10" style="2152" bestFit="1" customWidth="1"/>
    <col min="12546" max="12546" width="47" style="2152" bestFit="1" customWidth="1"/>
    <col min="12547" max="12547" width="5" style="2152" bestFit="1" customWidth="1"/>
    <col min="12548" max="12548" width="13.5703125" style="2152" customWidth="1"/>
    <col min="12549" max="12549" width="13.7109375" style="2152" customWidth="1"/>
    <col min="12550" max="12551" width="12.7109375" style="2152" bestFit="1" customWidth="1"/>
    <col min="12552" max="12800" width="9.140625" style="2152"/>
    <col min="12801" max="12801" width="10" style="2152" bestFit="1" customWidth="1"/>
    <col min="12802" max="12802" width="47" style="2152" bestFit="1" customWidth="1"/>
    <col min="12803" max="12803" width="5" style="2152" bestFit="1" customWidth="1"/>
    <col min="12804" max="12804" width="13.5703125" style="2152" customWidth="1"/>
    <col min="12805" max="12805" width="13.7109375" style="2152" customWidth="1"/>
    <col min="12806" max="12807" width="12.7109375" style="2152" bestFit="1" customWidth="1"/>
    <col min="12808" max="13056" width="9.140625" style="2152"/>
    <col min="13057" max="13057" width="10" style="2152" bestFit="1" customWidth="1"/>
    <col min="13058" max="13058" width="47" style="2152" bestFit="1" customWidth="1"/>
    <col min="13059" max="13059" width="5" style="2152" bestFit="1" customWidth="1"/>
    <col min="13060" max="13060" width="13.5703125" style="2152" customWidth="1"/>
    <col min="13061" max="13061" width="13.7109375" style="2152" customWidth="1"/>
    <col min="13062" max="13063" width="12.7109375" style="2152" bestFit="1" customWidth="1"/>
    <col min="13064" max="13312" width="9.140625" style="2152"/>
    <col min="13313" max="13313" width="10" style="2152" bestFit="1" customWidth="1"/>
    <col min="13314" max="13314" width="47" style="2152" bestFit="1" customWidth="1"/>
    <col min="13315" max="13315" width="5" style="2152" bestFit="1" customWidth="1"/>
    <col min="13316" max="13316" width="13.5703125" style="2152" customWidth="1"/>
    <col min="13317" max="13317" width="13.7109375" style="2152" customWidth="1"/>
    <col min="13318" max="13319" width="12.7109375" style="2152" bestFit="1" customWidth="1"/>
    <col min="13320" max="13568" width="9.140625" style="2152"/>
    <col min="13569" max="13569" width="10" style="2152" bestFit="1" customWidth="1"/>
    <col min="13570" max="13570" width="47" style="2152" bestFit="1" customWidth="1"/>
    <col min="13571" max="13571" width="5" style="2152" bestFit="1" customWidth="1"/>
    <col min="13572" max="13572" width="13.5703125" style="2152" customWidth="1"/>
    <col min="13573" max="13573" width="13.7109375" style="2152" customWidth="1"/>
    <col min="13574" max="13575" width="12.7109375" style="2152" bestFit="1" customWidth="1"/>
    <col min="13576" max="13824" width="9.140625" style="2152"/>
    <col min="13825" max="13825" width="10" style="2152" bestFit="1" customWidth="1"/>
    <col min="13826" max="13826" width="47" style="2152" bestFit="1" customWidth="1"/>
    <col min="13827" max="13827" width="5" style="2152" bestFit="1" customWidth="1"/>
    <col min="13828" max="13828" width="13.5703125" style="2152" customWidth="1"/>
    <col min="13829" max="13829" width="13.7109375" style="2152" customWidth="1"/>
    <col min="13830" max="13831" width="12.7109375" style="2152" bestFit="1" customWidth="1"/>
    <col min="13832" max="14080" width="9.140625" style="2152"/>
    <col min="14081" max="14081" width="10" style="2152" bestFit="1" customWidth="1"/>
    <col min="14082" max="14082" width="47" style="2152" bestFit="1" customWidth="1"/>
    <col min="14083" max="14083" width="5" style="2152" bestFit="1" customWidth="1"/>
    <col min="14084" max="14084" width="13.5703125" style="2152" customWidth="1"/>
    <col min="14085" max="14085" width="13.7109375" style="2152" customWidth="1"/>
    <col min="14086" max="14087" width="12.7109375" style="2152" bestFit="1" customWidth="1"/>
    <col min="14088" max="14336" width="9.140625" style="2152"/>
    <col min="14337" max="14337" width="10" style="2152" bestFit="1" customWidth="1"/>
    <col min="14338" max="14338" width="47" style="2152" bestFit="1" customWidth="1"/>
    <col min="14339" max="14339" width="5" style="2152" bestFit="1" customWidth="1"/>
    <col min="14340" max="14340" width="13.5703125" style="2152" customWidth="1"/>
    <col min="14341" max="14341" width="13.7109375" style="2152" customWidth="1"/>
    <col min="14342" max="14343" width="12.7109375" style="2152" bestFit="1" customWidth="1"/>
    <col min="14344" max="14592" width="9.140625" style="2152"/>
    <col min="14593" max="14593" width="10" style="2152" bestFit="1" customWidth="1"/>
    <col min="14594" max="14594" width="47" style="2152" bestFit="1" customWidth="1"/>
    <col min="14595" max="14595" width="5" style="2152" bestFit="1" customWidth="1"/>
    <col min="14596" max="14596" width="13.5703125" style="2152" customWidth="1"/>
    <col min="14597" max="14597" width="13.7109375" style="2152" customWidth="1"/>
    <col min="14598" max="14599" width="12.7109375" style="2152" bestFit="1" customWidth="1"/>
    <col min="14600" max="14848" width="9.140625" style="2152"/>
    <col min="14849" max="14849" width="10" style="2152" bestFit="1" customWidth="1"/>
    <col min="14850" max="14850" width="47" style="2152" bestFit="1" customWidth="1"/>
    <col min="14851" max="14851" width="5" style="2152" bestFit="1" customWidth="1"/>
    <col min="14852" max="14852" width="13.5703125" style="2152" customWidth="1"/>
    <col min="14853" max="14853" width="13.7109375" style="2152" customWidth="1"/>
    <col min="14854" max="14855" width="12.7109375" style="2152" bestFit="1" customWidth="1"/>
    <col min="14856" max="15104" width="9.140625" style="2152"/>
    <col min="15105" max="15105" width="10" style="2152" bestFit="1" customWidth="1"/>
    <col min="15106" max="15106" width="47" style="2152" bestFit="1" customWidth="1"/>
    <col min="15107" max="15107" width="5" style="2152" bestFit="1" customWidth="1"/>
    <col min="15108" max="15108" width="13.5703125" style="2152" customWidth="1"/>
    <col min="15109" max="15109" width="13.7109375" style="2152" customWidth="1"/>
    <col min="15110" max="15111" width="12.7109375" style="2152" bestFit="1" customWidth="1"/>
    <col min="15112" max="15360" width="9.140625" style="2152"/>
    <col min="15361" max="15361" width="10" style="2152" bestFit="1" customWidth="1"/>
    <col min="15362" max="15362" width="47" style="2152" bestFit="1" customWidth="1"/>
    <col min="15363" max="15363" width="5" style="2152" bestFit="1" customWidth="1"/>
    <col min="15364" max="15364" width="13.5703125" style="2152" customWidth="1"/>
    <col min="15365" max="15365" width="13.7109375" style="2152" customWidth="1"/>
    <col min="15366" max="15367" width="12.7109375" style="2152" bestFit="1" customWidth="1"/>
    <col min="15368" max="15616" width="9.140625" style="2152"/>
    <col min="15617" max="15617" width="10" style="2152" bestFit="1" customWidth="1"/>
    <col min="15618" max="15618" width="47" style="2152" bestFit="1" customWidth="1"/>
    <col min="15619" max="15619" width="5" style="2152" bestFit="1" customWidth="1"/>
    <col min="15620" max="15620" width="13.5703125" style="2152" customWidth="1"/>
    <col min="15621" max="15621" width="13.7109375" style="2152" customWidth="1"/>
    <col min="15622" max="15623" width="12.7109375" style="2152" bestFit="1" customWidth="1"/>
    <col min="15624" max="15872" width="9.140625" style="2152"/>
    <col min="15873" max="15873" width="10" style="2152" bestFit="1" customWidth="1"/>
    <col min="15874" max="15874" width="47" style="2152" bestFit="1" customWidth="1"/>
    <col min="15875" max="15875" width="5" style="2152" bestFit="1" customWidth="1"/>
    <col min="15876" max="15876" width="13.5703125" style="2152" customWidth="1"/>
    <col min="15877" max="15877" width="13.7109375" style="2152" customWidth="1"/>
    <col min="15878" max="15879" width="12.7109375" style="2152" bestFit="1" customWidth="1"/>
    <col min="15880" max="16128" width="9.140625" style="2152"/>
    <col min="16129" max="16129" width="10" style="2152" bestFit="1" customWidth="1"/>
    <col min="16130" max="16130" width="47" style="2152" bestFit="1" customWidth="1"/>
    <col min="16131" max="16131" width="5" style="2152" bestFit="1" customWidth="1"/>
    <col min="16132" max="16132" width="13.5703125" style="2152" customWidth="1"/>
    <col min="16133" max="16133" width="13.7109375" style="2152" customWidth="1"/>
    <col min="16134" max="16135" width="12.7109375" style="2152" bestFit="1" customWidth="1"/>
    <col min="16136" max="16384" width="9.140625" style="2152"/>
  </cols>
  <sheetData>
    <row r="1" spans="1:7" x14ac:dyDescent="0.2">
      <c r="A1" s="2152" t="s">
        <v>2191</v>
      </c>
    </row>
    <row r="2" spans="1:7" x14ac:dyDescent="0.2">
      <c r="A2" s="2152" t="s">
        <v>2192</v>
      </c>
    </row>
    <row r="3" spans="1:7" x14ac:dyDescent="0.2">
      <c r="A3" s="2152" t="s">
        <v>2193</v>
      </c>
    </row>
    <row r="4" spans="1:7" x14ac:dyDescent="0.2">
      <c r="A4" s="2152" t="s">
        <v>2194</v>
      </c>
    </row>
    <row r="5" spans="1:7" x14ac:dyDescent="0.2">
      <c r="A5" s="2152" t="s">
        <v>2195</v>
      </c>
    </row>
    <row r="7" spans="1:7" x14ac:dyDescent="0.2">
      <c r="A7" s="2152" t="s">
        <v>1856</v>
      </c>
      <c r="B7" s="2152" t="s">
        <v>1857</v>
      </c>
      <c r="C7" s="2152" t="s">
        <v>2142</v>
      </c>
      <c r="D7" s="2152" t="s">
        <v>1858</v>
      </c>
      <c r="E7" s="2152" t="s">
        <v>2196</v>
      </c>
      <c r="F7" s="2152" t="s">
        <v>2161</v>
      </c>
      <c r="G7" s="2152" t="s">
        <v>1163</v>
      </c>
    </row>
    <row r="8" spans="1:7" x14ac:dyDescent="0.2">
      <c r="A8" s="2152" t="s">
        <v>2165</v>
      </c>
      <c r="B8" s="2152" t="s">
        <v>1866</v>
      </c>
      <c r="C8" s="2152" t="s">
        <v>2148</v>
      </c>
      <c r="D8" s="2153">
        <v>0</v>
      </c>
      <c r="E8" s="2153">
        <v>0</v>
      </c>
      <c r="F8" s="2153">
        <v>1396939483</v>
      </c>
      <c r="G8" s="2153">
        <v>1223780931</v>
      </c>
    </row>
    <row r="9" spans="1:7" x14ac:dyDescent="0.2">
      <c r="A9" s="2152" t="s">
        <v>2166</v>
      </c>
      <c r="B9" s="2152" t="s">
        <v>1867</v>
      </c>
      <c r="C9" s="2152" t="s">
        <v>2148</v>
      </c>
      <c r="D9" s="2153">
        <v>0</v>
      </c>
      <c r="E9" s="2153">
        <v>0</v>
      </c>
      <c r="F9" s="2153">
        <v>615090</v>
      </c>
      <c r="G9" s="2153">
        <v>0</v>
      </c>
    </row>
    <row r="10" spans="1:7" x14ac:dyDescent="0.2">
      <c r="A10" s="2152" t="s">
        <v>2170</v>
      </c>
      <c r="B10" s="2152" t="s">
        <v>1871</v>
      </c>
      <c r="C10" s="2152" t="s">
        <v>2148</v>
      </c>
      <c r="D10" s="2153">
        <v>0</v>
      </c>
      <c r="E10" s="2153">
        <v>0</v>
      </c>
      <c r="F10" s="2153">
        <v>122669000</v>
      </c>
      <c r="G10" s="2153">
        <v>125635000</v>
      </c>
    </row>
    <row r="11" spans="1:7" x14ac:dyDescent="0.2">
      <c r="A11" s="2152" t="s">
        <v>2171</v>
      </c>
      <c r="B11" s="2152" t="s">
        <v>1872</v>
      </c>
      <c r="C11" s="2152" t="s">
        <v>2148</v>
      </c>
      <c r="D11" s="2153">
        <v>0</v>
      </c>
      <c r="E11" s="2153">
        <v>0</v>
      </c>
      <c r="F11" s="2153">
        <v>89908000</v>
      </c>
      <c r="G11" s="2153">
        <v>94934000</v>
      </c>
    </row>
    <row r="12" spans="1:7" x14ac:dyDescent="0.2">
      <c r="A12" s="2152" t="s">
        <v>2172</v>
      </c>
      <c r="B12" s="2152" t="s">
        <v>1873</v>
      </c>
      <c r="C12" s="2152" t="s">
        <v>2148</v>
      </c>
      <c r="D12" s="2153">
        <v>0</v>
      </c>
      <c r="E12" s="2153">
        <v>0</v>
      </c>
      <c r="F12" s="2153">
        <v>1679865000</v>
      </c>
      <c r="G12" s="2153">
        <v>1787026000</v>
      </c>
    </row>
    <row r="13" spans="1:7" x14ac:dyDescent="0.2">
      <c r="A13" s="2152" t="s">
        <v>2173</v>
      </c>
      <c r="B13" s="2152" t="s">
        <v>1167</v>
      </c>
      <c r="C13" s="2152" t="s">
        <v>2148</v>
      </c>
      <c r="D13" s="2153">
        <v>0</v>
      </c>
      <c r="E13" s="2153">
        <v>0</v>
      </c>
      <c r="F13" s="2153">
        <v>23902000</v>
      </c>
      <c r="G13" s="2153">
        <v>25322000</v>
      </c>
    </row>
    <row r="14" spans="1:7" x14ac:dyDescent="0.2">
      <c r="A14" s="2152" t="s">
        <v>2174</v>
      </c>
      <c r="B14" s="2152" t="s">
        <v>1874</v>
      </c>
      <c r="C14" s="2152" t="s">
        <v>2148</v>
      </c>
      <c r="D14" s="2153">
        <v>0</v>
      </c>
      <c r="E14" s="2153">
        <v>0</v>
      </c>
      <c r="F14" s="2153">
        <v>126189000</v>
      </c>
      <c r="G14" s="2153">
        <v>173735000</v>
      </c>
    </row>
    <row r="15" spans="1:7" x14ac:dyDescent="0.2">
      <c r="A15" s="2152" t="s">
        <v>2175</v>
      </c>
      <c r="B15" s="2152" t="s">
        <v>1875</v>
      </c>
      <c r="C15" s="2152" t="s">
        <v>2148</v>
      </c>
      <c r="D15" s="2153">
        <v>0</v>
      </c>
      <c r="E15" s="2153">
        <v>0</v>
      </c>
      <c r="F15" s="2153">
        <v>860351000</v>
      </c>
      <c r="G15" s="2153">
        <v>918578000</v>
      </c>
    </row>
    <row r="16" spans="1:7" x14ac:dyDescent="0.2">
      <c r="A16" s="2152" t="s">
        <v>2176</v>
      </c>
      <c r="B16" s="2152" t="s">
        <v>1876</v>
      </c>
      <c r="C16" s="2152" t="s">
        <v>2148</v>
      </c>
      <c r="D16" s="2153">
        <v>0</v>
      </c>
      <c r="E16" s="2153">
        <v>0</v>
      </c>
      <c r="F16" s="2153">
        <v>5000000</v>
      </c>
      <c r="G16" s="2153">
        <v>5000000</v>
      </c>
    </row>
    <row r="17" spans="1:7" x14ac:dyDescent="0.2">
      <c r="A17" s="2152" t="s">
        <v>2177</v>
      </c>
      <c r="B17" s="2152" t="s">
        <v>1171</v>
      </c>
      <c r="C17" s="2152" t="s">
        <v>2148</v>
      </c>
      <c r="D17" s="2153">
        <v>0</v>
      </c>
      <c r="E17" s="2153">
        <v>0</v>
      </c>
      <c r="F17" s="2153">
        <v>3997500</v>
      </c>
      <c r="G17" s="2153">
        <v>3366900</v>
      </c>
    </row>
    <row r="18" spans="1:7" x14ac:dyDescent="0.2">
      <c r="A18" s="2152" t="s">
        <v>2178</v>
      </c>
      <c r="B18" s="2152" t="s">
        <v>1878</v>
      </c>
      <c r="C18" s="2152" t="s">
        <v>2148</v>
      </c>
      <c r="D18" s="2153">
        <v>0</v>
      </c>
      <c r="E18" s="2153">
        <v>0</v>
      </c>
      <c r="F18" s="2153">
        <v>28667000</v>
      </c>
      <c r="G18" s="2153">
        <v>28936000</v>
      </c>
    </row>
    <row r="19" spans="1:7" x14ac:dyDescent="0.2">
      <c r="A19" s="2152" t="s">
        <v>2180</v>
      </c>
      <c r="B19" s="2152" t="s">
        <v>1879</v>
      </c>
      <c r="C19" s="2152" t="s">
        <v>2148</v>
      </c>
      <c r="D19" s="2153">
        <v>0</v>
      </c>
      <c r="E19" s="2153">
        <v>0</v>
      </c>
      <c r="F19" s="2153">
        <v>290100</v>
      </c>
      <c r="G19" s="2153">
        <v>361800</v>
      </c>
    </row>
    <row r="20" spans="1:7" x14ac:dyDescent="0.2">
      <c r="A20" s="2152" t="s">
        <v>2184</v>
      </c>
      <c r="B20" s="2152" t="s">
        <v>1177</v>
      </c>
      <c r="C20" s="2152" t="s">
        <v>2148</v>
      </c>
      <c r="D20" s="2153">
        <v>0</v>
      </c>
      <c r="E20" s="2153">
        <v>0</v>
      </c>
      <c r="F20" s="2153">
        <v>228000</v>
      </c>
      <c r="G20" s="2153">
        <v>603000</v>
      </c>
    </row>
    <row r="21" spans="1:7" x14ac:dyDescent="0.2">
      <c r="A21" s="2152" t="s">
        <v>2187</v>
      </c>
      <c r="B21" s="2152" t="s">
        <v>1179</v>
      </c>
      <c r="C21" s="2152" t="s">
        <v>2148</v>
      </c>
      <c r="D21" s="2153">
        <v>0</v>
      </c>
      <c r="E21" s="2153">
        <v>0</v>
      </c>
      <c r="F21" s="2153">
        <v>148000</v>
      </c>
      <c r="G21" s="2153">
        <v>148000</v>
      </c>
    </row>
    <row r="22" spans="1:7" x14ac:dyDescent="0.2">
      <c r="A22" s="2152" t="s">
        <v>2197</v>
      </c>
      <c r="B22" s="2152" t="s">
        <v>2198</v>
      </c>
      <c r="C22" s="2152" t="s">
        <v>2148</v>
      </c>
      <c r="D22" s="2153">
        <v>0</v>
      </c>
      <c r="E22" s="2153">
        <v>0</v>
      </c>
      <c r="F22" s="2153">
        <v>0</v>
      </c>
      <c r="G22" s="2153">
        <v>0</v>
      </c>
    </row>
    <row r="23" spans="1:7" x14ac:dyDescent="0.2">
      <c r="A23" s="2152" t="s">
        <v>2188</v>
      </c>
      <c r="B23" s="2152" t="s">
        <v>1882</v>
      </c>
      <c r="C23" s="2152" t="s">
        <v>2148</v>
      </c>
      <c r="D23" s="2153">
        <v>0</v>
      </c>
      <c r="E23" s="2153">
        <v>0</v>
      </c>
      <c r="F23" s="2153">
        <v>729000</v>
      </c>
      <c r="G23" s="2153">
        <v>729000</v>
      </c>
    </row>
    <row r="24" spans="1:7" x14ac:dyDescent="0.2">
      <c r="A24" s="2152" t="s">
        <v>2189</v>
      </c>
      <c r="B24" s="2152" t="s">
        <v>1883</v>
      </c>
      <c r="C24" s="2152" t="s">
        <v>2148</v>
      </c>
      <c r="D24" s="2153">
        <v>0</v>
      </c>
      <c r="E24" s="2153">
        <v>0</v>
      </c>
      <c r="F24" s="2153">
        <v>60312470</v>
      </c>
      <c r="G24" s="2153">
        <v>63631649</v>
      </c>
    </row>
    <row r="25" spans="1:7" x14ac:dyDescent="0.2">
      <c r="A25" s="2152" t="s">
        <v>2190</v>
      </c>
      <c r="B25" s="2152" t="s">
        <v>1884</v>
      </c>
      <c r="C25" s="2152" t="s">
        <v>2148</v>
      </c>
      <c r="D25" s="2153">
        <v>0</v>
      </c>
      <c r="E25" s="2153">
        <v>0</v>
      </c>
      <c r="F25" s="2153">
        <v>10516000</v>
      </c>
      <c r="G25" s="2153">
        <v>11577000</v>
      </c>
    </row>
    <row r="26" spans="1:7" x14ac:dyDescent="0.2">
      <c r="A26" s="2152" t="s">
        <v>1889</v>
      </c>
      <c r="B26" s="2152" t="s">
        <v>1890</v>
      </c>
      <c r="C26" s="2152" t="s">
        <v>2150</v>
      </c>
      <c r="D26" s="2153">
        <v>0</v>
      </c>
      <c r="E26" s="2153">
        <v>0</v>
      </c>
      <c r="F26" s="2153">
        <v>4410326643</v>
      </c>
      <c r="G26" s="2153">
        <v>4463364280</v>
      </c>
    </row>
    <row r="27" spans="1:7" x14ac:dyDescent="0.2">
      <c r="A27" s="2152" t="s">
        <v>2049</v>
      </c>
      <c r="B27" s="2152" t="s">
        <v>2050</v>
      </c>
      <c r="C27" s="2152" t="s">
        <v>2150</v>
      </c>
      <c r="D27" s="2153">
        <v>0</v>
      </c>
      <c r="E27" s="2153">
        <v>0</v>
      </c>
      <c r="F27" s="2153">
        <v>0</v>
      </c>
      <c r="G27" s="2153">
        <v>0</v>
      </c>
    </row>
    <row r="30" spans="1:7" x14ac:dyDescent="0.2">
      <c r="A30" s="2152" t="s">
        <v>2191</v>
      </c>
    </row>
    <row r="31" spans="1:7" x14ac:dyDescent="0.2">
      <c r="A31" s="2152" t="s">
        <v>2199</v>
      </c>
    </row>
    <row r="32" spans="1:7" x14ac:dyDescent="0.2">
      <c r="A32" s="2152" t="s">
        <v>2200</v>
      </c>
    </row>
    <row r="33" spans="1:7" x14ac:dyDescent="0.2">
      <c r="A33" s="2152" t="s">
        <v>2194</v>
      </c>
    </row>
    <row r="34" spans="1:7" x14ac:dyDescent="0.2">
      <c r="A34" s="2152" t="s">
        <v>2195</v>
      </c>
    </row>
    <row r="36" spans="1:7" x14ac:dyDescent="0.2">
      <c r="A36" s="2152" t="s">
        <v>1856</v>
      </c>
      <c r="B36" s="2152" t="s">
        <v>1857</v>
      </c>
      <c r="C36" s="2152" t="s">
        <v>2142</v>
      </c>
      <c r="D36" s="2152" t="s">
        <v>1858</v>
      </c>
      <c r="E36" s="2152" t="s">
        <v>2196</v>
      </c>
      <c r="F36" s="2152" t="s">
        <v>2143</v>
      </c>
      <c r="G36" s="2152" t="s">
        <v>2144</v>
      </c>
    </row>
    <row r="37" spans="1:7" x14ac:dyDescent="0.2">
      <c r="A37" s="2152" t="s">
        <v>2165</v>
      </c>
      <c r="B37" s="2152" t="s">
        <v>1866</v>
      </c>
      <c r="C37" s="2152" t="s">
        <v>2148</v>
      </c>
      <c r="D37" s="2153">
        <v>1396939483</v>
      </c>
      <c r="E37" s="2153">
        <v>1223780931</v>
      </c>
      <c r="F37" s="2153">
        <v>1137995964</v>
      </c>
      <c r="G37" s="2153">
        <v>1487995964</v>
      </c>
    </row>
    <row r="38" spans="1:7" x14ac:dyDescent="0.2">
      <c r="A38" s="2152" t="s">
        <v>2166</v>
      </c>
      <c r="B38" s="2152" t="s">
        <v>1867</v>
      </c>
      <c r="C38" s="2152" t="s">
        <v>2148</v>
      </c>
      <c r="D38" s="2153">
        <v>9000009</v>
      </c>
      <c r="E38" s="2153">
        <v>549478081</v>
      </c>
      <c r="F38" s="2153">
        <v>308815945</v>
      </c>
      <c r="G38" s="2153">
        <v>19602000</v>
      </c>
    </row>
    <row r="39" spans="1:7" x14ac:dyDescent="0.2">
      <c r="A39" s="2152" t="s">
        <v>2167</v>
      </c>
      <c r="B39" s="2152" t="s">
        <v>1868</v>
      </c>
      <c r="C39" s="2152" t="s">
        <v>2148</v>
      </c>
      <c r="D39" s="2153">
        <v>-549478081</v>
      </c>
      <c r="E39" s="2153">
        <v>0</v>
      </c>
      <c r="F39" s="2153">
        <v>0</v>
      </c>
      <c r="G39" s="2153">
        <v>0</v>
      </c>
    </row>
    <row r="40" spans="1:7" x14ac:dyDescent="0.2">
      <c r="A40" s="2152" t="s">
        <v>2168</v>
      </c>
      <c r="B40" s="2152" t="s">
        <v>1869</v>
      </c>
      <c r="C40" s="2152" t="s">
        <v>2148</v>
      </c>
      <c r="D40" s="2153">
        <v>0</v>
      </c>
      <c r="E40" s="2153">
        <v>0</v>
      </c>
      <c r="F40" s="2153">
        <v>37525000</v>
      </c>
      <c r="G40" s="2153">
        <v>58305000</v>
      </c>
    </row>
    <row r="41" spans="1:7" x14ac:dyDescent="0.2">
      <c r="A41" s="2152" t="s">
        <v>2169</v>
      </c>
      <c r="B41" s="2152" t="s">
        <v>1870</v>
      </c>
      <c r="C41" s="2152" t="s">
        <v>2148</v>
      </c>
      <c r="D41" s="2153">
        <v>0</v>
      </c>
      <c r="E41" s="2153">
        <v>0</v>
      </c>
      <c r="F41" s="2153">
        <v>65747000</v>
      </c>
      <c r="G41" s="2153">
        <v>63063000</v>
      </c>
    </row>
    <row r="42" spans="1:7" x14ac:dyDescent="0.2">
      <c r="A42" s="2152" t="s">
        <v>2170</v>
      </c>
      <c r="B42" s="2152" t="s">
        <v>1871</v>
      </c>
      <c r="C42" s="2152" t="s">
        <v>2148</v>
      </c>
      <c r="D42" s="2153">
        <v>124174029</v>
      </c>
      <c r="E42" s="2153">
        <v>125635000</v>
      </c>
      <c r="F42" s="2153">
        <v>130140000</v>
      </c>
      <c r="G42" s="2153">
        <v>134499000</v>
      </c>
    </row>
    <row r="43" spans="1:7" x14ac:dyDescent="0.2">
      <c r="A43" s="2152" t="s">
        <v>2171</v>
      </c>
      <c r="B43" s="2152" t="s">
        <v>1872</v>
      </c>
      <c r="C43" s="2152" t="s">
        <v>2148</v>
      </c>
      <c r="D43" s="2153">
        <v>89314456</v>
      </c>
      <c r="E43" s="2153">
        <v>94934000</v>
      </c>
      <c r="F43" s="2153">
        <v>76037000</v>
      </c>
      <c r="G43" s="2153">
        <v>75404000</v>
      </c>
    </row>
    <row r="44" spans="1:7" x14ac:dyDescent="0.2">
      <c r="A44" s="2152" t="s">
        <v>2172</v>
      </c>
      <c r="B44" s="2152" t="s">
        <v>1873</v>
      </c>
      <c r="C44" s="2152" t="s">
        <v>2148</v>
      </c>
      <c r="D44" s="2153">
        <v>2066588990</v>
      </c>
      <c r="E44" s="2153">
        <v>1787026000</v>
      </c>
      <c r="F44" s="2153">
        <v>2347428000</v>
      </c>
      <c r="G44" s="2153">
        <v>2454407000</v>
      </c>
    </row>
    <row r="45" spans="1:7" x14ac:dyDescent="0.2">
      <c r="A45" s="2152" t="s">
        <v>2173</v>
      </c>
      <c r="B45" s="2152" t="s">
        <v>1167</v>
      </c>
      <c r="C45" s="2152" t="s">
        <v>2148</v>
      </c>
      <c r="D45" s="2153">
        <v>23296450</v>
      </c>
      <c r="E45" s="2153">
        <v>25322000</v>
      </c>
      <c r="F45" s="2153">
        <v>25788000</v>
      </c>
      <c r="G45" s="2153">
        <v>25152000</v>
      </c>
    </row>
    <row r="46" spans="1:7" x14ac:dyDescent="0.2">
      <c r="A46" s="2152" t="s">
        <v>2174</v>
      </c>
      <c r="B46" s="2152" t="s">
        <v>1874</v>
      </c>
      <c r="C46" s="2152" t="s">
        <v>2148</v>
      </c>
      <c r="D46" s="2153">
        <v>192343898</v>
      </c>
      <c r="E46" s="2153">
        <v>173735000</v>
      </c>
      <c r="F46" s="2153">
        <v>249739000</v>
      </c>
      <c r="G46" s="2153">
        <v>241840000</v>
      </c>
    </row>
    <row r="47" spans="1:7" x14ac:dyDescent="0.2">
      <c r="A47" s="2152" t="s">
        <v>2175</v>
      </c>
      <c r="B47" s="2152" t="s">
        <v>1169</v>
      </c>
      <c r="C47" s="2152" t="s">
        <v>2148</v>
      </c>
      <c r="D47" s="2153">
        <v>866967711</v>
      </c>
      <c r="E47" s="2153">
        <v>918578000</v>
      </c>
      <c r="F47" s="2153">
        <v>1012450000</v>
      </c>
      <c r="G47" s="2153">
        <v>1080279000</v>
      </c>
    </row>
    <row r="48" spans="1:7" x14ac:dyDescent="0.2">
      <c r="A48" s="2152" t="s">
        <v>2176</v>
      </c>
      <c r="B48" s="2152" t="s">
        <v>1876</v>
      </c>
      <c r="C48" s="2152" t="s">
        <v>2148</v>
      </c>
      <c r="D48" s="2153">
        <v>6260381</v>
      </c>
      <c r="E48" s="2153">
        <v>5000000</v>
      </c>
      <c r="F48" s="2153">
        <v>7500000</v>
      </c>
      <c r="G48" s="2153">
        <v>7500000</v>
      </c>
    </row>
    <row r="49" spans="1:7" x14ac:dyDescent="0.2">
      <c r="A49" s="2152" t="s">
        <v>2201</v>
      </c>
      <c r="B49" s="2152" t="s">
        <v>1877</v>
      </c>
      <c r="C49" s="2152" t="s">
        <v>2148</v>
      </c>
      <c r="D49" s="2153">
        <v>0</v>
      </c>
      <c r="E49" s="2153">
        <v>0</v>
      </c>
      <c r="F49" s="2153">
        <v>0</v>
      </c>
      <c r="G49" s="2153">
        <v>0</v>
      </c>
    </row>
    <row r="50" spans="1:7" x14ac:dyDescent="0.2">
      <c r="A50" s="2152" t="s">
        <v>2177</v>
      </c>
      <c r="B50" s="2152" t="s">
        <v>1171</v>
      </c>
      <c r="C50" s="2152" t="s">
        <v>2148</v>
      </c>
      <c r="D50" s="2153">
        <v>1770286</v>
      </c>
      <c r="E50" s="2153">
        <v>3366900</v>
      </c>
      <c r="F50" s="2153">
        <v>3500000</v>
      </c>
      <c r="G50" s="2153">
        <v>3500000</v>
      </c>
    </row>
    <row r="51" spans="1:7" x14ac:dyDescent="0.2">
      <c r="A51" s="2152" t="s">
        <v>2178</v>
      </c>
      <c r="B51" s="2152" t="s">
        <v>1878</v>
      </c>
      <c r="C51" s="2152" t="s">
        <v>2148</v>
      </c>
      <c r="D51" s="2153">
        <v>22214871</v>
      </c>
      <c r="E51" s="2153">
        <v>25531000</v>
      </c>
      <c r="F51" s="2153">
        <v>19602000</v>
      </c>
      <c r="G51" s="2153">
        <v>19223000</v>
      </c>
    </row>
    <row r="52" spans="1:7" x14ac:dyDescent="0.2">
      <c r="A52" s="2152" t="s">
        <v>2180</v>
      </c>
      <c r="B52" s="2152" t="s">
        <v>1879</v>
      </c>
      <c r="C52" s="2152" t="s">
        <v>2148</v>
      </c>
      <c r="D52" s="2153">
        <v>740369</v>
      </c>
      <c r="E52" s="2153">
        <v>361800</v>
      </c>
      <c r="F52" s="2153">
        <v>740000</v>
      </c>
      <c r="G52" s="2153">
        <v>740000</v>
      </c>
    </row>
    <row r="53" spans="1:7" x14ac:dyDescent="0.2">
      <c r="A53" s="2152" t="s">
        <v>2181</v>
      </c>
      <c r="B53" s="2152" t="s">
        <v>1880</v>
      </c>
      <c r="C53" s="2152" t="s">
        <v>2148</v>
      </c>
      <c r="D53" s="2153">
        <v>7000</v>
      </c>
      <c r="E53" s="2153">
        <v>0</v>
      </c>
      <c r="F53" s="2153">
        <v>50000</v>
      </c>
      <c r="G53" s="2153">
        <v>50000</v>
      </c>
    </row>
    <row r="54" spans="1:7" x14ac:dyDescent="0.2">
      <c r="A54" s="2152" t="s">
        <v>2182</v>
      </c>
      <c r="B54" s="2152" t="s">
        <v>1881</v>
      </c>
      <c r="C54" s="2152" t="s">
        <v>2148</v>
      </c>
      <c r="D54" s="2153">
        <v>0</v>
      </c>
      <c r="E54" s="2153">
        <v>7532470</v>
      </c>
      <c r="F54" s="2153">
        <v>0</v>
      </c>
      <c r="G54" s="2153">
        <v>0</v>
      </c>
    </row>
    <row r="55" spans="1:7" x14ac:dyDescent="0.2">
      <c r="A55" s="2152" t="s">
        <v>2183</v>
      </c>
      <c r="B55" s="2152" t="s">
        <v>1176</v>
      </c>
      <c r="C55" s="2152" t="s">
        <v>2148</v>
      </c>
      <c r="D55" s="2153">
        <v>876</v>
      </c>
      <c r="E55" s="2153">
        <v>0</v>
      </c>
      <c r="F55" s="2153">
        <v>900</v>
      </c>
      <c r="G55" s="2153">
        <v>900</v>
      </c>
    </row>
    <row r="56" spans="1:7" x14ac:dyDescent="0.2">
      <c r="A56" s="2152" t="s">
        <v>2184</v>
      </c>
      <c r="B56" s="2152" t="s">
        <v>1177</v>
      </c>
      <c r="C56" s="2152" t="s">
        <v>2148</v>
      </c>
      <c r="D56" s="2153">
        <v>2150274</v>
      </c>
      <c r="E56" s="2153">
        <v>603000</v>
      </c>
      <c r="F56" s="2153">
        <v>18569000</v>
      </c>
      <c r="G56" s="2153">
        <v>14540000</v>
      </c>
    </row>
    <row r="57" spans="1:7" x14ac:dyDescent="0.2">
      <c r="A57" s="2152" t="s">
        <v>2185</v>
      </c>
      <c r="B57" s="2152" t="s">
        <v>2186</v>
      </c>
      <c r="C57" s="2152" t="s">
        <v>2148</v>
      </c>
      <c r="D57" s="2153">
        <v>0</v>
      </c>
      <c r="E57" s="2153">
        <v>0</v>
      </c>
      <c r="F57" s="2153">
        <v>11000</v>
      </c>
      <c r="G57" s="2153">
        <v>11000</v>
      </c>
    </row>
    <row r="58" spans="1:7" x14ac:dyDescent="0.2">
      <c r="A58" s="2152" t="s">
        <v>2187</v>
      </c>
      <c r="B58" s="2152" t="s">
        <v>1179</v>
      </c>
      <c r="C58" s="2152" t="s">
        <v>2148</v>
      </c>
      <c r="D58" s="2153">
        <v>0</v>
      </c>
      <c r="E58" s="2153">
        <v>148000</v>
      </c>
      <c r="F58" s="2153">
        <v>34000</v>
      </c>
      <c r="G58" s="2153">
        <v>34000</v>
      </c>
    </row>
    <row r="59" spans="1:7" x14ac:dyDescent="0.2">
      <c r="A59" s="2152" t="s">
        <v>2188</v>
      </c>
      <c r="B59" s="2152" t="s">
        <v>1182</v>
      </c>
      <c r="C59" s="2152" t="s">
        <v>2148</v>
      </c>
      <c r="D59" s="2153">
        <v>897310</v>
      </c>
      <c r="E59" s="2153">
        <v>729000</v>
      </c>
      <c r="F59" s="2153">
        <v>900000</v>
      </c>
      <c r="G59" s="2153">
        <v>900000</v>
      </c>
    </row>
    <row r="60" spans="1:7" x14ac:dyDescent="0.2">
      <c r="A60" s="2152" t="s">
        <v>2189</v>
      </c>
      <c r="B60" s="2152" t="s">
        <v>1183</v>
      </c>
      <c r="C60" s="2152" t="s">
        <v>2148</v>
      </c>
      <c r="D60" s="2153">
        <v>58886476</v>
      </c>
      <c r="E60" s="2153">
        <v>72584527</v>
      </c>
      <c r="F60" s="2153">
        <v>40504000</v>
      </c>
      <c r="G60" s="2153">
        <v>40907000</v>
      </c>
    </row>
    <row r="61" spans="1:7" x14ac:dyDescent="0.2">
      <c r="A61" s="2152" t="s">
        <v>2190</v>
      </c>
      <c r="B61" s="2152" t="s">
        <v>1884</v>
      </c>
      <c r="C61" s="2152" t="s">
        <v>2148</v>
      </c>
      <c r="D61" s="2153">
        <v>10674993</v>
      </c>
      <c r="E61" s="2153">
        <v>11577000</v>
      </c>
      <c r="F61" s="2153">
        <v>13447000</v>
      </c>
      <c r="G61" s="2153">
        <v>11501000</v>
      </c>
    </row>
    <row r="62" spans="1:7" x14ac:dyDescent="0.2">
      <c r="A62" s="2152" t="s">
        <v>1887</v>
      </c>
      <c r="B62" s="2152" t="s">
        <v>1888</v>
      </c>
      <c r="C62" s="2152" t="s">
        <v>2150</v>
      </c>
      <c r="D62" s="2153">
        <v>5355733</v>
      </c>
      <c r="E62" s="2153">
        <v>0</v>
      </c>
      <c r="F62" s="2153">
        <v>0</v>
      </c>
      <c r="G62" s="2153">
        <v>0</v>
      </c>
    </row>
    <row r="63" spans="1:7" x14ac:dyDescent="0.2">
      <c r="A63" s="2152" t="s">
        <v>1889</v>
      </c>
      <c r="B63" s="2152" t="s">
        <v>1890</v>
      </c>
      <c r="C63" s="2152" t="s">
        <v>2150</v>
      </c>
      <c r="D63" s="2153">
        <v>0</v>
      </c>
      <c r="E63" s="2153">
        <v>4474065694</v>
      </c>
      <c r="F63" s="2153">
        <v>5476921809</v>
      </c>
      <c r="G63" s="2153">
        <v>5720230864</v>
      </c>
    </row>
    <row r="64" spans="1:7" x14ac:dyDescent="0.2">
      <c r="A64" s="2152" t="s">
        <v>2049</v>
      </c>
      <c r="B64" s="2152" t="s">
        <v>2050</v>
      </c>
      <c r="C64" s="2152" t="s">
        <v>2150</v>
      </c>
      <c r="D64" s="2153">
        <v>0</v>
      </c>
      <c r="E64" s="2153">
        <v>25531000</v>
      </c>
      <c r="F64" s="2153">
        <v>19602000</v>
      </c>
      <c r="G64" s="2153">
        <v>19223000</v>
      </c>
    </row>
    <row r="67" spans="1:7" ht="15" x14ac:dyDescent="0.25">
      <c r="A67" t="s">
        <v>2191</v>
      </c>
      <c r="B67"/>
      <c r="C67"/>
      <c r="D67"/>
      <c r="E67"/>
      <c r="F67"/>
      <c r="G67"/>
    </row>
    <row r="68" spans="1:7" ht="15" x14ac:dyDescent="0.25">
      <c r="A68" t="s">
        <v>2298</v>
      </c>
      <c r="B68"/>
      <c r="C68"/>
      <c r="D68"/>
      <c r="E68"/>
      <c r="F68"/>
      <c r="G68"/>
    </row>
    <row r="69" spans="1:7" ht="15" x14ac:dyDescent="0.25">
      <c r="A69" t="s">
        <v>2202</v>
      </c>
      <c r="B69"/>
      <c r="C69"/>
      <c r="D69"/>
      <c r="E69"/>
      <c r="F69"/>
      <c r="G69"/>
    </row>
    <row r="70" spans="1:7" ht="15" x14ac:dyDescent="0.25">
      <c r="A70" t="s">
        <v>2194</v>
      </c>
      <c r="B70"/>
      <c r="C70"/>
      <c r="D70"/>
      <c r="E70"/>
      <c r="F70"/>
      <c r="G70"/>
    </row>
    <row r="71" spans="1:7" ht="15" x14ac:dyDescent="0.25">
      <c r="A71" t="s">
        <v>2299</v>
      </c>
      <c r="B71"/>
      <c r="C71"/>
      <c r="D71"/>
      <c r="E71"/>
      <c r="F71"/>
      <c r="G71"/>
    </row>
    <row r="72" spans="1:7" ht="15" x14ac:dyDescent="0.25">
      <c r="A72"/>
      <c r="B72"/>
      <c r="C72"/>
      <c r="D72"/>
      <c r="E72"/>
      <c r="F72"/>
      <c r="G72"/>
    </row>
    <row r="73" spans="1:7" ht="15" x14ac:dyDescent="0.25">
      <c r="A73" t="s">
        <v>1856</v>
      </c>
      <c r="B73" t="s">
        <v>1857</v>
      </c>
      <c r="C73" t="s">
        <v>2142</v>
      </c>
      <c r="D73" t="s">
        <v>1858</v>
      </c>
      <c r="E73" t="s">
        <v>2196</v>
      </c>
      <c r="F73" t="s">
        <v>1567</v>
      </c>
      <c r="G73" t="s">
        <v>1569</v>
      </c>
    </row>
    <row r="74" spans="1:7" ht="15" x14ac:dyDescent="0.25">
      <c r="A74" t="s">
        <v>2165</v>
      </c>
      <c r="B74" t="s">
        <v>1866</v>
      </c>
      <c r="C74" t="s">
        <v>2148</v>
      </c>
      <c r="D74" s="2137">
        <v>1187446261</v>
      </c>
      <c r="E74" s="2137">
        <v>1487995964</v>
      </c>
      <c r="F74" s="2137">
        <v>1597338576</v>
      </c>
      <c r="G74" s="2137">
        <v>1463854290</v>
      </c>
    </row>
    <row r="75" spans="1:7" ht="15" x14ac:dyDescent="0.25">
      <c r="A75" t="s">
        <v>2166</v>
      </c>
      <c r="B75" t="s">
        <v>1867</v>
      </c>
      <c r="C75" t="s">
        <v>2148</v>
      </c>
      <c r="D75" s="2137">
        <v>281421778</v>
      </c>
      <c r="E75" s="2137">
        <v>23184801</v>
      </c>
      <c r="F75" s="2137">
        <v>25648000</v>
      </c>
      <c r="G75" s="2137">
        <v>27047000</v>
      </c>
    </row>
    <row r="76" spans="1:7" ht="15" x14ac:dyDescent="0.25">
      <c r="A76" t="s">
        <v>2167</v>
      </c>
      <c r="B76" t="s">
        <v>1868</v>
      </c>
      <c r="C76" t="s">
        <v>2148</v>
      </c>
      <c r="D76" s="2137">
        <v>-23184801</v>
      </c>
      <c r="E76" s="2137">
        <v>0</v>
      </c>
      <c r="F76" s="2137">
        <v>0</v>
      </c>
      <c r="G76" s="2137">
        <v>0</v>
      </c>
    </row>
    <row r="77" spans="1:7" ht="15" x14ac:dyDescent="0.25">
      <c r="A77" t="s">
        <v>2168</v>
      </c>
      <c r="B77" t="s">
        <v>1869</v>
      </c>
      <c r="C77" t="s">
        <v>2148</v>
      </c>
      <c r="D77" s="2137">
        <v>51140179</v>
      </c>
      <c r="E77" s="2137">
        <v>58305000</v>
      </c>
      <c r="F77" s="2137">
        <v>82694000</v>
      </c>
      <c r="G77" s="2137">
        <v>86685000</v>
      </c>
    </row>
    <row r="78" spans="1:7" ht="15" x14ac:dyDescent="0.25">
      <c r="A78" t="s">
        <v>2169</v>
      </c>
      <c r="B78" t="s">
        <v>1870</v>
      </c>
      <c r="C78" t="s">
        <v>2148</v>
      </c>
      <c r="D78" s="2137">
        <v>71729972</v>
      </c>
      <c r="E78" s="2137">
        <v>63063000</v>
      </c>
      <c r="F78" s="2137">
        <v>93509000</v>
      </c>
      <c r="G78" s="2137">
        <v>98125000</v>
      </c>
    </row>
    <row r="79" spans="1:7" ht="15" x14ac:dyDescent="0.25">
      <c r="A79" t="s">
        <v>2170</v>
      </c>
      <c r="B79" t="s">
        <v>1871</v>
      </c>
      <c r="C79" t="s">
        <v>2148</v>
      </c>
      <c r="D79" s="2137">
        <v>131944285</v>
      </c>
      <c r="E79" s="2137">
        <v>134499000</v>
      </c>
      <c r="F79" s="2137">
        <v>141250000</v>
      </c>
      <c r="G79" s="2137">
        <v>145488000</v>
      </c>
    </row>
    <row r="80" spans="1:7" ht="15" x14ac:dyDescent="0.25">
      <c r="A80" t="s">
        <v>2171</v>
      </c>
      <c r="B80" t="s">
        <v>1872</v>
      </c>
      <c r="C80" t="s">
        <v>2148</v>
      </c>
      <c r="D80" s="2137">
        <v>76800162</v>
      </c>
      <c r="E80" s="2137">
        <v>75404000</v>
      </c>
      <c r="F80" s="2137">
        <v>76705000</v>
      </c>
      <c r="G80" s="2137">
        <v>76763000</v>
      </c>
    </row>
    <row r="81" spans="1:7" ht="15" x14ac:dyDescent="0.25">
      <c r="A81" t="s">
        <v>2172</v>
      </c>
      <c r="B81" t="s">
        <v>1873</v>
      </c>
      <c r="C81" t="s">
        <v>2148</v>
      </c>
      <c r="D81" s="2137">
        <v>2257257330</v>
      </c>
      <c r="E81" s="2137">
        <v>2454407000</v>
      </c>
      <c r="F81" s="2137">
        <v>2341894000</v>
      </c>
      <c r="G81" s="2137">
        <v>2417537000</v>
      </c>
    </row>
    <row r="82" spans="1:7" ht="15" x14ac:dyDescent="0.25">
      <c r="A82" t="s">
        <v>2173</v>
      </c>
      <c r="B82" t="s">
        <v>1167</v>
      </c>
      <c r="C82" t="s">
        <v>2148</v>
      </c>
      <c r="D82" s="2137">
        <v>26177827</v>
      </c>
      <c r="E82" s="2137">
        <v>25152000</v>
      </c>
      <c r="F82" s="2137">
        <v>25011000</v>
      </c>
      <c r="G82" s="2137">
        <v>25022000</v>
      </c>
    </row>
    <row r="83" spans="1:7" ht="15" x14ac:dyDescent="0.25">
      <c r="A83" t="s">
        <v>2174</v>
      </c>
      <c r="B83" t="s">
        <v>1874</v>
      </c>
      <c r="C83" t="s">
        <v>2148</v>
      </c>
      <c r="D83" s="2137">
        <v>245004523</v>
      </c>
      <c r="E83" s="2137">
        <v>241840000</v>
      </c>
      <c r="F83" s="2137">
        <v>249644000</v>
      </c>
      <c r="G83" s="2137">
        <v>257082000</v>
      </c>
    </row>
    <row r="84" spans="1:7" ht="15" x14ac:dyDescent="0.25">
      <c r="A84" t="s">
        <v>2175</v>
      </c>
      <c r="B84" t="s">
        <v>1169</v>
      </c>
      <c r="C84" t="s">
        <v>2148</v>
      </c>
      <c r="D84" s="2137">
        <v>1037676931</v>
      </c>
      <c r="E84" s="2137">
        <v>1086704000</v>
      </c>
      <c r="F84" s="2137">
        <v>1208120000</v>
      </c>
      <c r="G84" s="2137">
        <v>1281818000</v>
      </c>
    </row>
    <row r="85" spans="1:7" ht="15" x14ac:dyDescent="0.25">
      <c r="A85" t="s">
        <v>2176</v>
      </c>
      <c r="B85" t="s">
        <v>1876</v>
      </c>
      <c r="C85" t="s">
        <v>2148</v>
      </c>
      <c r="D85" s="2137">
        <v>6740004</v>
      </c>
      <c r="E85" s="2137">
        <v>7500000</v>
      </c>
      <c r="F85" s="2137">
        <v>7000000</v>
      </c>
      <c r="G85" s="2137">
        <v>7000000</v>
      </c>
    </row>
    <row r="86" spans="1:7" ht="15" x14ac:dyDescent="0.25">
      <c r="A86" t="s">
        <v>2177</v>
      </c>
      <c r="B86" t="s">
        <v>1171</v>
      </c>
      <c r="C86" t="s">
        <v>2148</v>
      </c>
      <c r="D86" s="2137">
        <v>640279</v>
      </c>
      <c r="E86" s="2137">
        <v>3500000</v>
      </c>
      <c r="F86" s="2137">
        <v>3250000</v>
      </c>
      <c r="G86" s="2137">
        <v>3500000</v>
      </c>
    </row>
    <row r="87" spans="1:7" ht="15" x14ac:dyDescent="0.25">
      <c r="A87" t="s">
        <v>2178</v>
      </c>
      <c r="B87" t="s">
        <v>1878</v>
      </c>
      <c r="C87" t="s">
        <v>2148</v>
      </c>
      <c r="D87" s="2137">
        <v>23184801</v>
      </c>
      <c r="E87" s="2137">
        <v>19223000</v>
      </c>
      <c r="F87" s="2137">
        <v>27047000</v>
      </c>
      <c r="G87" s="2137">
        <v>28348000</v>
      </c>
    </row>
    <row r="88" spans="1:7" ht="15" x14ac:dyDescent="0.25">
      <c r="A88" t="s">
        <v>2180</v>
      </c>
      <c r="B88" t="s">
        <v>1879</v>
      </c>
      <c r="C88" t="s">
        <v>2148</v>
      </c>
      <c r="D88" s="2137">
        <v>314032</v>
      </c>
      <c r="E88" s="2137">
        <v>740000</v>
      </c>
      <c r="F88" s="2137">
        <v>750000</v>
      </c>
      <c r="G88" s="2137">
        <v>750000</v>
      </c>
    </row>
    <row r="89" spans="1:7" ht="15" x14ac:dyDescent="0.25">
      <c r="A89" t="s">
        <v>2181</v>
      </c>
      <c r="B89" t="s">
        <v>1880</v>
      </c>
      <c r="C89" t="s">
        <v>2148</v>
      </c>
      <c r="D89" s="2137">
        <v>118100</v>
      </c>
      <c r="E89" s="2137">
        <v>50000</v>
      </c>
      <c r="F89" s="2137">
        <v>50000</v>
      </c>
      <c r="G89" s="2137">
        <v>50000</v>
      </c>
    </row>
    <row r="90" spans="1:7" ht="15" x14ac:dyDescent="0.25">
      <c r="A90" t="s">
        <v>2182</v>
      </c>
      <c r="B90" t="s">
        <v>1881</v>
      </c>
      <c r="C90" t="s">
        <v>2148</v>
      </c>
      <c r="D90" s="2137">
        <v>5301052</v>
      </c>
      <c r="E90" s="2137">
        <v>0</v>
      </c>
      <c r="F90" s="2137">
        <v>0</v>
      </c>
      <c r="G90" s="2137">
        <v>0</v>
      </c>
    </row>
    <row r="91" spans="1:7" ht="15" x14ac:dyDescent="0.25">
      <c r="A91" t="s">
        <v>2183</v>
      </c>
      <c r="B91" t="s">
        <v>1176</v>
      </c>
      <c r="C91" t="s">
        <v>2148</v>
      </c>
      <c r="D91" s="2137">
        <v>1494</v>
      </c>
      <c r="E91" s="2137">
        <v>900</v>
      </c>
      <c r="F91" s="2137">
        <v>1000</v>
      </c>
      <c r="G91" s="2137">
        <v>1000</v>
      </c>
    </row>
    <row r="92" spans="1:7" ht="15" x14ac:dyDescent="0.25">
      <c r="A92" t="s">
        <v>2184</v>
      </c>
      <c r="B92" t="s">
        <v>1177</v>
      </c>
      <c r="C92" t="s">
        <v>2148</v>
      </c>
      <c r="D92" s="2137">
        <v>10293102</v>
      </c>
      <c r="E92" s="2137">
        <v>14540000</v>
      </c>
      <c r="F92" s="2137">
        <v>10034000</v>
      </c>
      <c r="G92" s="2137">
        <v>9814000</v>
      </c>
    </row>
    <row r="93" spans="1:7" ht="15" x14ac:dyDescent="0.25">
      <c r="A93" t="s">
        <v>2185</v>
      </c>
      <c r="B93" t="s">
        <v>2186</v>
      </c>
      <c r="C93" t="s">
        <v>2148</v>
      </c>
      <c r="D93" s="2137">
        <v>0</v>
      </c>
      <c r="E93" s="2137">
        <v>11000</v>
      </c>
      <c r="F93" s="2137">
        <v>0</v>
      </c>
      <c r="G93" s="2137">
        <v>0</v>
      </c>
    </row>
    <row r="94" spans="1:7" ht="15" x14ac:dyDescent="0.25">
      <c r="A94" t="s">
        <v>2187</v>
      </c>
      <c r="B94" t="s">
        <v>1179</v>
      </c>
      <c r="C94" t="s">
        <v>2148</v>
      </c>
      <c r="D94" s="2137">
        <v>572973</v>
      </c>
      <c r="E94" s="2137">
        <v>34000</v>
      </c>
      <c r="F94" s="2137">
        <v>500000</v>
      </c>
      <c r="G94" s="2137">
        <v>500000</v>
      </c>
    </row>
    <row r="95" spans="1:7" ht="15" x14ac:dyDescent="0.25">
      <c r="A95" t="s">
        <v>2188</v>
      </c>
      <c r="B95" t="s">
        <v>1182</v>
      </c>
      <c r="C95" t="s">
        <v>2148</v>
      </c>
      <c r="D95" s="2137">
        <v>726430</v>
      </c>
      <c r="E95" s="2137">
        <v>900000</v>
      </c>
      <c r="F95" s="2137">
        <v>800000</v>
      </c>
      <c r="G95" s="2137">
        <v>800000</v>
      </c>
    </row>
    <row r="96" spans="1:7" ht="15" x14ac:dyDescent="0.25">
      <c r="A96" t="s">
        <v>2189</v>
      </c>
      <c r="B96" t="s">
        <v>1183</v>
      </c>
      <c r="C96" t="s">
        <v>2148</v>
      </c>
      <c r="D96" s="2137">
        <v>31079460</v>
      </c>
      <c r="E96" s="2137">
        <v>40907000</v>
      </c>
      <c r="F96" s="2137">
        <v>17832115</v>
      </c>
      <c r="G96" s="2137">
        <v>16713499</v>
      </c>
    </row>
    <row r="97" spans="1:7" ht="15" x14ac:dyDescent="0.25">
      <c r="A97" t="s">
        <v>2190</v>
      </c>
      <c r="B97" t="s">
        <v>1884</v>
      </c>
      <c r="C97" t="s">
        <v>2148</v>
      </c>
      <c r="D97" s="2137">
        <v>16123708</v>
      </c>
      <c r="E97" s="2137">
        <v>11501000</v>
      </c>
      <c r="F97" s="2137">
        <v>10124000</v>
      </c>
      <c r="G97" s="2137">
        <v>9960000</v>
      </c>
    </row>
    <row r="98" spans="1:7" ht="15" x14ac:dyDescent="0.25">
      <c r="A98" t="s">
        <v>1887</v>
      </c>
      <c r="B98" t="s">
        <v>1888</v>
      </c>
      <c r="C98" t="s">
        <v>2150</v>
      </c>
      <c r="D98" s="2137">
        <v>6969673</v>
      </c>
      <c r="E98" s="2137">
        <v>0</v>
      </c>
      <c r="F98" s="2137">
        <v>0</v>
      </c>
      <c r="G98" s="2137">
        <v>0</v>
      </c>
    </row>
    <row r="99" spans="1:7" ht="15" x14ac:dyDescent="0.25">
      <c r="A99" t="s">
        <v>1889</v>
      </c>
      <c r="B99" t="s">
        <v>1890</v>
      </c>
      <c r="C99" t="s">
        <v>2150</v>
      </c>
      <c r="D99" s="2137">
        <v>0</v>
      </c>
      <c r="E99" s="2137">
        <v>5723813665</v>
      </c>
      <c r="F99" s="2137">
        <v>5892154691</v>
      </c>
      <c r="G99" s="2137">
        <v>5928509789</v>
      </c>
    </row>
    <row r="100" spans="1:7" ht="15" x14ac:dyDescent="0.25">
      <c r="A100" t="s">
        <v>2049</v>
      </c>
      <c r="B100" t="s">
        <v>2050</v>
      </c>
      <c r="C100" t="s">
        <v>2150</v>
      </c>
      <c r="D100" s="2137">
        <v>0</v>
      </c>
      <c r="E100" s="2137">
        <v>25648000</v>
      </c>
      <c r="F100" s="2137">
        <v>27047000</v>
      </c>
      <c r="G100" s="2137">
        <v>28348000</v>
      </c>
    </row>
    <row r="101" spans="1:7" x14ac:dyDescent="0.2">
      <c r="A101" s="2152" t="s">
        <v>2218</v>
      </c>
      <c r="B101" s="2152" t="s">
        <v>2219</v>
      </c>
      <c r="C101" s="2152" t="s">
        <v>2150</v>
      </c>
      <c r="D101" s="2152">
        <v>107104</v>
      </c>
      <c r="E101" s="2152">
        <v>0</v>
      </c>
      <c r="F101" s="2152">
        <v>0</v>
      </c>
      <c r="G101" s="2152">
        <v>0</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A82E-28EC-448A-A708-F7011B680F1D}">
  <sheetPr>
    <tabColor rgb="FFFFB7B7"/>
  </sheetPr>
  <dimension ref="A1:P20"/>
  <sheetViews>
    <sheetView workbookViewId="0">
      <selection activeCell="G44" sqref="G44"/>
    </sheetView>
  </sheetViews>
  <sheetFormatPr defaultRowHeight="15" x14ac:dyDescent="0.25"/>
  <cols>
    <col min="2" max="2" width="18" bestFit="1" customWidth="1"/>
    <col min="4" max="4" width="16.140625" bestFit="1" customWidth="1"/>
    <col min="5" max="5" width="16.140625" customWidth="1"/>
    <col min="7" max="7" width="18" bestFit="1" customWidth="1"/>
    <col min="9" max="9" width="16.140625" bestFit="1" customWidth="1"/>
    <col min="11" max="11" width="11" bestFit="1" customWidth="1"/>
    <col min="12" max="12" width="10" bestFit="1" customWidth="1"/>
    <col min="13" max="13" width="15.140625" bestFit="1" customWidth="1"/>
    <col min="15" max="15" width="15.140625" bestFit="1" customWidth="1"/>
    <col min="16" max="16" width="16.140625" bestFit="1" customWidth="1"/>
  </cols>
  <sheetData>
    <row r="1" spans="1:16" x14ac:dyDescent="0.25">
      <c r="A1" s="3" t="s">
        <v>136</v>
      </c>
      <c r="B1" s="3"/>
      <c r="C1" s="3"/>
      <c r="D1" s="1904">
        <f>'1.1 Assumption Control YR1'!E20</f>
        <v>244919189</v>
      </c>
      <c r="E1" s="1904"/>
      <c r="F1" s="3"/>
      <c r="G1" s="3" t="s">
        <v>137</v>
      </c>
      <c r="H1" s="3"/>
      <c r="I1" s="1905">
        <f>'5.3 Budgeted Revenues YR2'!G5</f>
        <v>489890409</v>
      </c>
    </row>
    <row r="2" spans="1:16" x14ac:dyDescent="0.25">
      <c r="A2" s="3" t="s">
        <v>138</v>
      </c>
      <c r="B2" s="3" t="s">
        <v>139</v>
      </c>
      <c r="C2" s="3" t="s">
        <v>140</v>
      </c>
      <c r="D2" s="3" t="s">
        <v>141</v>
      </c>
      <c r="E2" s="3"/>
      <c r="F2" s="3" t="s">
        <v>142</v>
      </c>
      <c r="G2" s="3" t="str">
        <f>B2</f>
        <v>Allocation</v>
      </c>
      <c r="H2" s="3" t="str">
        <f t="shared" ref="H2:I2" si="0">C2</f>
        <v>%</v>
      </c>
      <c r="I2" s="3" t="str">
        <f t="shared" si="0"/>
        <v>Adjustment</v>
      </c>
    </row>
    <row r="3" spans="1:16" x14ac:dyDescent="0.25">
      <c r="A3" s="3" t="s">
        <v>143</v>
      </c>
      <c r="B3" s="1838">
        <f>'3.1b Allocation Adj. YR1 '!F32</f>
        <v>4523487318</v>
      </c>
      <c r="C3" s="1840">
        <f>B3/$B$10</f>
        <v>0.79019902247350127</v>
      </c>
      <c r="D3" s="1">
        <f t="shared" ref="D3:D9" si="1">ROUND($D$1*C3,0)</f>
        <v>193534904</v>
      </c>
      <c r="E3" s="1"/>
      <c r="F3" t="s">
        <v>143</v>
      </c>
      <c r="G3" s="1">
        <f>'7.1b Allocation Adj. YR2'!F32</f>
        <v>4557042431</v>
      </c>
      <c r="H3" s="1839">
        <f>G3/$G$10</f>
        <v>0.79100429409198891</v>
      </c>
      <c r="I3" s="1977">
        <f t="shared" ref="I3:I8" si="2">ROUND($I$1*H3,2)</f>
        <v>387505417.14999998</v>
      </c>
      <c r="M3" s="1"/>
      <c r="O3" s="1953"/>
      <c r="P3" s="1"/>
    </row>
    <row r="4" spans="1:16" x14ac:dyDescent="0.25">
      <c r="A4" s="3" t="s">
        <v>144</v>
      </c>
      <c r="B4" s="1838">
        <f>'3.1b Allocation Adj. YR1 '!N32</f>
        <v>192112974</v>
      </c>
      <c r="C4" s="1840">
        <f t="shared" ref="C4:C9" si="3">B4/$B$10</f>
        <v>3.3559834169358704E-2</v>
      </c>
      <c r="D4" s="1">
        <f t="shared" si="1"/>
        <v>8219447</v>
      </c>
      <c r="E4" s="1"/>
      <c r="F4" t="s">
        <v>144</v>
      </c>
      <c r="G4" s="1">
        <f>'7.1b Allocation Adj. YR2'!N32</f>
        <v>192112974</v>
      </c>
      <c r="H4" s="1839">
        <f t="shared" ref="H4:H9" si="4">G4/$G$10</f>
        <v>3.3346669399221714E-2</v>
      </c>
      <c r="I4" s="1977">
        <f t="shared" si="2"/>
        <v>16336213.51</v>
      </c>
      <c r="M4" s="1"/>
      <c r="O4" s="1953"/>
      <c r="P4" s="1"/>
    </row>
    <row r="5" spans="1:16" x14ac:dyDescent="0.25">
      <c r="A5" s="3" t="s">
        <v>145</v>
      </c>
      <c r="B5" s="1838">
        <f>'3.1b Allocation Adj. YR1 '!P32</f>
        <v>1499704</v>
      </c>
      <c r="C5" s="1840">
        <f t="shared" si="3"/>
        <v>2.6198031551541087E-4</v>
      </c>
      <c r="D5" s="1">
        <f t="shared" si="1"/>
        <v>64164</v>
      </c>
      <c r="E5" s="1"/>
      <c r="F5" t="s">
        <v>145</v>
      </c>
      <c r="G5" s="1">
        <f>'7.1b Allocation Adj. YR2'!P32</f>
        <v>1499704</v>
      </c>
      <c r="H5" s="1839">
        <f t="shared" si="4"/>
        <v>2.6031627351045221E-4</v>
      </c>
      <c r="I5" s="1977">
        <f t="shared" si="2"/>
        <v>127526.45</v>
      </c>
      <c r="M5" s="1"/>
      <c r="O5" s="1953"/>
      <c r="P5" s="1"/>
    </row>
    <row r="6" spans="1:16" x14ac:dyDescent="0.25">
      <c r="A6" s="3" t="s">
        <v>146</v>
      </c>
      <c r="B6" s="1838">
        <f>'3.1b Allocation Adj. YR1 '!T32</f>
        <v>599829442</v>
      </c>
      <c r="C6" s="1840">
        <f t="shared" si="3"/>
        <v>0.10478301482865475</v>
      </c>
      <c r="D6" s="1">
        <f t="shared" si="1"/>
        <v>25663371</v>
      </c>
      <c r="E6" s="1"/>
      <c r="F6" t="s">
        <v>146</v>
      </c>
      <c r="G6" s="1">
        <f>'7.1b Allocation Adj. YR2'!T32</f>
        <v>599829442</v>
      </c>
      <c r="H6" s="1839">
        <f t="shared" si="4"/>
        <v>0.10411745590016025</v>
      </c>
      <c r="I6" s="1977">
        <f t="shared" si="2"/>
        <v>51006143.049999997</v>
      </c>
      <c r="M6" s="1"/>
      <c r="O6" s="1953"/>
      <c r="P6" s="1"/>
    </row>
    <row r="7" spans="1:16" x14ac:dyDescent="0.25">
      <c r="A7" s="3" t="s">
        <v>147</v>
      </c>
      <c r="B7" s="1838">
        <f>'3.1b Allocation Adj. YR1 '!I32</f>
        <v>232694619</v>
      </c>
      <c r="C7" s="1840">
        <f t="shared" si="3"/>
        <v>4.0648961197915265E-2</v>
      </c>
      <c r="D7" s="1">
        <f t="shared" si="1"/>
        <v>9955711</v>
      </c>
      <c r="E7" s="1"/>
      <c r="F7" t="s">
        <v>147</v>
      </c>
      <c r="G7" s="1">
        <f>'7.1b Allocation Adj. YR2'!I32</f>
        <v>234429130</v>
      </c>
      <c r="H7" s="1839">
        <f t="shared" si="4"/>
        <v>4.0691841539328664E-2</v>
      </c>
      <c r="I7" s="1977">
        <f t="shared" si="2"/>
        <v>19934542.890000001</v>
      </c>
      <c r="M7" s="1"/>
      <c r="O7" s="1953"/>
      <c r="P7" s="1"/>
    </row>
    <row r="8" spans="1:16" x14ac:dyDescent="0.25">
      <c r="A8" s="3" t="s">
        <v>148</v>
      </c>
      <c r="B8" s="1838">
        <f>'3.1b Allocation Adj. YR1 '!J32</f>
        <v>165011887</v>
      </c>
      <c r="C8" s="1840">
        <f t="shared" si="3"/>
        <v>2.8825599064917693E-2</v>
      </c>
      <c r="D8" s="1">
        <f t="shared" si="1"/>
        <v>7059942</v>
      </c>
      <c r="E8" s="1"/>
      <c r="F8" t="s">
        <v>148</v>
      </c>
      <c r="G8" s="1">
        <f>'7.1b Allocation Adj. YR2'!J32</f>
        <v>166241943</v>
      </c>
      <c r="H8" s="1839">
        <f t="shared" si="4"/>
        <v>2.8856016322485644E-2</v>
      </c>
      <c r="I8" s="1977">
        <f t="shared" si="2"/>
        <v>14136285.640000001</v>
      </c>
      <c r="M8" s="1"/>
      <c r="O8" s="1953"/>
      <c r="P8" s="1"/>
    </row>
    <row r="9" spans="1:16" x14ac:dyDescent="0.25">
      <c r="A9" s="1933" t="s">
        <v>149</v>
      </c>
      <c r="B9" s="1841">
        <f>'3.1b Allocation Adj. YR1 '!K32</f>
        <v>9855215</v>
      </c>
      <c r="C9" s="1842">
        <f t="shared" si="3"/>
        <v>1.7215879501369668E-3</v>
      </c>
      <c r="D9" s="1843">
        <f t="shared" si="1"/>
        <v>421650</v>
      </c>
      <c r="E9" s="1843"/>
      <c r="F9" s="908" t="s">
        <v>149</v>
      </c>
      <c r="G9" s="1843">
        <f>'7.1b Allocation Adj. YR2'!K32</f>
        <v>9928690</v>
      </c>
      <c r="H9" s="1844">
        <f t="shared" si="4"/>
        <v>1.7234064733043933E-3</v>
      </c>
      <c r="I9" s="1978">
        <f t="shared" ref="I9" si="5">ROUND($I$1*H9,0)</f>
        <v>844280</v>
      </c>
      <c r="M9" s="1"/>
      <c r="O9" s="1953"/>
      <c r="P9" s="1"/>
    </row>
    <row r="10" spans="1:16" x14ac:dyDescent="0.25">
      <c r="B10" s="1838">
        <f>SUM(B3:B9)</f>
        <v>5724491159</v>
      </c>
      <c r="C10" s="1840">
        <f>SUM(C3:C9)</f>
        <v>1</v>
      </c>
      <c r="D10" s="1">
        <f>SUM(D3:D9)</f>
        <v>244919189</v>
      </c>
      <c r="E10" s="1"/>
      <c r="G10" s="1">
        <f>SUM(G3:G9)</f>
        <v>5761084314</v>
      </c>
      <c r="H10" s="1839">
        <f>SUM(H3:H9)</f>
        <v>1</v>
      </c>
      <c r="I10" s="1977">
        <f>SUM(I3:I9)</f>
        <v>489890408.68999994</v>
      </c>
      <c r="M10" s="1"/>
      <c r="P10" s="1"/>
    </row>
    <row r="11" spans="1:16" x14ac:dyDescent="0.25">
      <c r="B11" s="2">
        <f>B10-'1.3 Budgeted Revenues YR1'!C40</f>
        <v>0</v>
      </c>
      <c r="C11" s="2"/>
      <c r="D11" s="2">
        <f>D10-D1</f>
        <v>0</v>
      </c>
      <c r="E11" s="2"/>
      <c r="F11" s="2"/>
      <c r="G11" s="2">
        <f>G10-'5.3 Budgeted Revenues YR2'!C40</f>
        <v>-2</v>
      </c>
      <c r="I11" s="1977">
        <f>I10-I1</f>
        <v>-0.31000006198883057</v>
      </c>
    </row>
    <row r="13" spans="1:16" x14ac:dyDescent="0.25">
      <c r="A13" s="3" t="s">
        <v>150</v>
      </c>
    </row>
    <row r="14" spans="1:16" x14ac:dyDescent="0.25">
      <c r="A14" s="3" t="str">
        <f>A2</f>
        <v>YR 1</v>
      </c>
      <c r="B14" s="3" t="str">
        <f>B2</f>
        <v>Allocation</v>
      </c>
      <c r="C14" s="3" t="str">
        <f>C2</f>
        <v>%</v>
      </c>
      <c r="D14" s="3" t="str">
        <f>D2</f>
        <v>Adjustment</v>
      </c>
      <c r="E14" s="3"/>
      <c r="F14" s="3" t="str">
        <f>F2</f>
        <v>YR 2</v>
      </c>
      <c r="G14" s="3" t="str">
        <f>G2</f>
        <v>Allocation</v>
      </c>
      <c r="H14" s="3" t="str">
        <f>H2</f>
        <v>%</v>
      </c>
      <c r="I14" s="3" t="str">
        <f>I2</f>
        <v>Adjustment</v>
      </c>
    </row>
    <row r="15" spans="1:16" x14ac:dyDescent="0.25">
      <c r="A15" s="3" t="str">
        <f>A3</f>
        <v>CAT 08</v>
      </c>
      <c r="B15" s="1838">
        <f>'3.1b Allocation Adj. YR1 '!F32</f>
        <v>4523487318</v>
      </c>
      <c r="C15" s="1839">
        <v>1</v>
      </c>
      <c r="D15" s="1977">
        <f>'1.3 Budgeted Revenues YR1'!F6</f>
        <v>0</v>
      </c>
      <c r="F15" t="str">
        <f>F3</f>
        <v>CAT 08</v>
      </c>
      <c r="G15" s="1">
        <f>'7.1b Allocation Adj. YR2'!F32</f>
        <v>4557042431</v>
      </c>
      <c r="H15" s="1839">
        <v>1</v>
      </c>
      <c r="I15" s="1977">
        <f>'5.3 Budgeted Revenues YR2'!G6</f>
        <v>0</v>
      </c>
    </row>
    <row r="17" spans="1:7" x14ac:dyDescent="0.25">
      <c r="A17" s="1915"/>
      <c r="B17" s="1915"/>
      <c r="C17" s="1915"/>
      <c r="D17" s="1915"/>
      <c r="E17" s="1915"/>
      <c r="F17" s="1915"/>
      <c r="G17" s="1915"/>
    </row>
    <row r="20" spans="1:7" x14ac:dyDescent="0.25">
      <c r="D20" s="1"/>
    </row>
  </sheetData>
  <phoneticPr fontId="74" type="noConversion"/>
  <pageMargins left="0.7" right="0.7" top="0.75" bottom="0.75" header="0.3" footer="0.3"/>
  <pageSetup scale="7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4C1A-77B6-46EE-9646-6C4881B523E5}">
  <sheetPr>
    <tabColor rgb="FFFF0000"/>
  </sheetPr>
  <dimension ref="A1:P115"/>
  <sheetViews>
    <sheetView zoomScale="85" zoomScaleNormal="85" workbookViewId="0">
      <selection activeCell="A6" sqref="A6"/>
    </sheetView>
  </sheetViews>
  <sheetFormatPr defaultColWidth="8.7109375" defaultRowHeight="16.5" x14ac:dyDescent="0.3"/>
  <cols>
    <col min="1" max="1" width="57.140625" style="9" customWidth="1"/>
    <col min="2" max="2" width="7.140625" style="9" customWidth="1"/>
    <col min="3" max="3" width="2.7109375" style="9" customWidth="1"/>
    <col min="4" max="4" width="18.140625" style="9" bestFit="1" customWidth="1"/>
    <col min="5" max="5" width="26.140625" style="9" bestFit="1" customWidth="1"/>
    <col min="6" max="6" width="14.140625" style="9" bestFit="1" customWidth="1"/>
    <col min="7" max="7" width="49.5703125" style="9" bestFit="1" customWidth="1"/>
    <col min="8" max="8" width="16.140625" style="9" bestFit="1" customWidth="1"/>
    <col min="9" max="9" width="19.7109375" style="9" bestFit="1" customWidth="1"/>
    <col min="10" max="10" width="3" style="9" bestFit="1" customWidth="1"/>
    <col min="11" max="11" width="52" style="9" bestFit="1" customWidth="1"/>
    <col min="12" max="12" width="7.140625" style="13" customWidth="1"/>
    <col min="13" max="13" width="17" style="9" bestFit="1" customWidth="1"/>
    <col min="14" max="14" width="19.7109375" style="9" bestFit="1" customWidth="1"/>
    <col min="15" max="15" width="11.5703125" style="9" bestFit="1" customWidth="1"/>
    <col min="16" max="16384" width="8.7109375" style="9"/>
  </cols>
  <sheetData>
    <row r="1" spans="1:15" s="4" customFormat="1" x14ac:dyDescent="0.3">
      <c r="A1" s="4" t="s">
        <v>15</v>
      </c>
      <c r="L1" s="17"/>
    </row>
    <row r="2" spans="1:15" x14ac:dyDescent="0.3">
      <c r="A2" s="9" t="str">
        <f>CONCATENATE("Pupil Center Funding Plan | FY",'1.1 Assumption Control YR1'!D5)</f>
        <v>Pupil Center Funding Plan | FY2026</v>
      </c>
    </row>
    <row r="3" spans="1:15" x14ac:dyDescent="0.3">
      <c r="A3" s="9" t="s">
        <v>151</v>
      </c>
      <c r="G3" s="2346" t="s">
        <v>152</v>
      </c>
      <c r="H3" s="2347"/>
      <c r="I3" s="2347"/>
      <c r="J3" s="2347"/>
      <c r="K3" s="2347"/>
      <c r="L3" s="2347"/>
      <c r="M3" s="2347"/>
      <c r="N3" s="2347"/>
      <c r="O3" s="2348"/>
    </row>
    <row r="4" spans="1:15" ht="17.25" thickBot="1" x14ac:dyDescent="0.35">
      <c r="B4" s="21" t="s">
        <v>73</v>
      </c>
      <c r="G4" s="106"/>
      <c r="O4" s="112"/>
    </row>
    <row r="5" spans="1:15" ht="18" thickTop="1" thickBot="1" x14ac:dyDescent="0.35">
      <c r="A5" s="9" t="s">
        <v>153</v>
      </c>
      <c r="B5" s="35"/>
      <c r="C5" s="35"/>
      <c r="D5" s="829">
        <v>2026</v>
      </c>
      <c r="G5" s="249" t="str">
        <f>CONCATENATE("Pupil Center Funding Plan Prior Year Outputs | FY ", D5-1)</f>
        <v>Pupil Center Funding Plan Prior Year Outputs | FY 2025</v>
      </c>
      <c r="H5" s="297"/>
      <c r="I5" s="1994"/>
      <c r="J5" s="4"/>
      <c r="K5" s="300" t="str">
        <f>CONCATENATE("Pupil Center Funding Plan Current Year Outputs | FY ",D5)</f>
        <v>Pupil Center Funding Plan Current Year Outputs | FY 2026</v>
      </c>
      <c r="L5" s="242"/>
      <c r="M5" s="1995"/>
      <c r="N5" s="301"/>
      <c r="O5" s="1995"/>
    </row>
    <row r="6" spans="1:15" x14ac:dyDescent="0.3">
      <c r="B6" s="35"/>
      <c r="C6" s="35"/>
      <c r="D6" s="35"/>
      <c r="G6" s="97" t="s">
        <v>154</v>
      </c>
      <c r="H6" s="17" t="s">
        <v>155</v>
      </c>
      <c r="I6" s="118" t="s">
        <v>156</v>
      </c>
      <c r="J6" s="4"/>
      <c r="K6" s="97" t="s">
        <v>157</v>
      </c>
      <c r="L6" s="17" t="s">
        <v>155</v>
      </c>
      <c r="M6" s="118" t="s">
        <v>158</v>
      </c>
      <c r="N6" s="98" t="s">
        <v>159</v>
      </c>
      <c r="O6" s="118" t="s">
        <v>160</v>
      </c>
    </row>
    <row r="7" spans="1:15" ht="18" thickTop="1" thickBot="1" x14ac:dyDescent="0.35">
      <c r="A7" s="4" t="s">
        <v>161</v>
      </c>
      <c r="D7" s="17" t="s">
        <v>162</v>
      </c>
      <c r="E7" s="17" t="s">
        <v>163</v>
      </c>
      <c r="G7" s="140" t="s">
        <v>164</v>
      </c>
      <c r="H7" s="34" t="s">
        <v>165</v>
      </c>
      <c r="I7" s="824">
        <v>0.45</v>
      </c>
      <c r="J7" s="4"/>
      <c r="K7" s="97" t="s">
        <v>166</v>
      </c>
      <c r="L7" s="13" t="s">
        <v>167</v>
      </c>
      <c r="M7" s="350">
        <f>D39</f>
        <v>0.45</v>
      </c>
      <c r="N7" s="416">
        <f>M7-I7</f>
        <v>0</v>
      </c>
      <c r="O7" s="609">
        <f>IF(I7=0,"",(M7-'1.1 Assumption Control YR1'!I7)/'1.1 Assumption Control YR1'!I7)</f>
        <v>0</v>
      </c>
    </row>
    <row r="8" spans="1:15" ht="18" thickTop="1" thickBot="1" x14ac:dyDescent="0.35">
      <c r="A8" s="4" t="s">
        <v>168</v>
      </c>
      <c r="E8" s="20"/>
      <c r="G8" s="140"/>
      <c r="H8" s="34"/>
      <c r="I8" s="825"/>
      <c r="K8" s="140"/>
      <c r="M8" s="351"/>
      <c r="N8" s="302"/>
      <c r="O8" s="102"/>
    </row>
    <row r="9" spans="1:15" ht="18" thickTop="1" thickBot="1" x14ac:dyDescent="0.35">
      <c r="A9" s="13" t="str">
        <f>CONCATENATE("Prior Year Revenue | FY ",D5-1)</f>
        <v>Prior Year Revenue | FY 2025</v>
      </c>
      <c r="B9" s="35"/>
      <c r="E9" s="349">
        <f>I13</f>
        <v>5739453864</v>
      </c>
      <c r="G9" s="140" t="s">
        <v>169</v>
      </c>
      <c r="H9" s="34" t="s">
        <v>165</v>
      </c>
      <c r="I9" s="824">
        <v>0.35</v>
      </c>
      <c r="K9" s="140" t="s">
        <v>170</v>
      </c>
      <c r="L9" s="13" t="s">
        <v>167</v>
      </c>
      <c r="M9" s="350">
        <f>D40</f>
        <v>0.35</v>
      </c>
      <c r="N9" s="416">
        <f>M9-I9</f>
        <v>0</v>
      </c>
      <c r="O9" s="609">
        <f>IF(I9=0,"",(M9-'1.1 Assumption Control YR1'!I9)/'1.1 Assumption Control YR1'!I9)</f>
        <v>0</v>
      </c>
    </row>
    <row r="10" spans="1:15" ht="18" thickTop="1" thickBot="1" x14ac:dyDescent="0.35">
      <c r="A10" s="13" t="str">
        <f>CONCATENATE("Projected Revenue | FY ",D5)</f>
        <v>Projected Revenue | FY 2026</v>
      </c>
      <c r="B10" s="35"/>
      <c r="E10" s="349">
        <f>'1.3 Budgeted Revenues YR1'!C40</f>
        <v>5724491159</v>
      </c>
      <c r="G10" s="140"/>
      <c r="H10" s="34"/>
      <c r="I10" s="826"/>
      <c r="K10" s="140"/>
      <c r="M10" s="352"/>
      <c r="N10" s="302"/>
      <c r="O10" s="102"/>
    </row>
    <row r="11" spans="1:15" ht="18" thickTop="1" thickBot="1" x14ac:dyDescent="0.35">
      <c r="A11" s="13" t="s">
        <v>171</v>
      </c>
      <c r="E11" s="420">
        <f>E10-E9</f>
        <v>-14962705</v>
      </c>
      <c r="G11" s="140" t="s">
        <v>172</v>
      </c>
      <c r="H11" s="34" t="s">
        <v>165</v>
      </c>
      <c r="I11" s="824">
        <v>0.12</v>
      </c>
      <c r="K11" s="140" t="s">
        <v>173</v>
      </c>
      <c r="L11" s="13" t="s">
        <v>167</v>
      </c>
      <c r="M11" s="350">
        <f>D41</f>
        <v>0.12</v>
      </c>
      <c r="N11" s="416">
        <f>M11-I11</f>
        <v>0</v>
      </c>
      <c r="O11" s="609">
        <f>IF(I11=0,"",(M11-'1.1 Assumption Control YR1'!I11)/'1.1 Assumption Control YR1'!I11)</f>
        <v>0</v>
      </c>
    </row>
    <row r="12" spans="1:15" ht="18" thickTop="1" thickBot="1" x14ac:dyDescent="0.35">
      <c r="A12" s="13" t="s">
        <v>174</v>
      </c>
      <c r="E12" s="421">
        <f>(E10-E9)/E9</f>
        <v>-2.6069910752052E-3</v>
      </c>
      <c r="G12" s="106"/>
      <c r="H12" s="34"/>
      <c r="I12" s="196"/>
      <c r="K12" s="287"/>
      <c r="L12" s="5"/>
      <c r="M12" s="353"/>
      <c r="N12" s="288"/>
      <c r="O12" s="353"/>
    </row>
    <row r="13" spans="1:15" ht="18" thickTop="1" thickBot="1" x14ac:dyDescent="0.35">
      <c r="D13" s="213"/>
      <c r="G13" s="140" t="s">
        <v>175</v>
      </c>
      <c r="H13" s="34" t="s">
        <v>165</v>
      </c>
      <c r="I13" s="827">
        <v>5739453864</v>
      </c>
      <c r="K13" s="140" t="s">
        <v>176</v>
      </c>
      <c r="L13" s="13" t="s">
        <v>177</v>
      </c>
      <c r="M13" s="1464">
        <f>'1.3 Budgeted Revenues YR1'!C40</f>
        <v>5724491159</v>
      </c>
      <c r="N13" s="417">
        <f>M13-'1.1 Assumption Control YR1'!I13</f>
        <v>-14962705</v>
      </c>
      <c r="O13" s="609">
        <f>IF(I13=0,"",(M13-'1.1 Assumption Control YR1'!I13)/'1.1 Assumption Control YR1'!I13)</f>
        <v>-2.6069910752052E-3</v>
      </c>
    </row>
    <row r="14" spans="1:15" ht="17.25" customHeight="1" thickTop="1" thickBot="1" x14ac:dyDescent="0.35">
      <c r="A14" s="4" t="s">
        <v>178</v>
      </c>
      <c r="D14" s="213"/>
      <c r="E14" s="165"/>
      <c r="F14" s="35"/>
      <c r="G14" s="140"/>
      <c r="H14" s="34"/>
      <c r="I14" s="356"/>
      <c r="K14" s="140"/>
      <c r="M14" s="15"/>
      <c r="N14" s="116"/>
      <c r="O14" s="102"/>
    </row>
    <row r="15" spans="1:15" ht="17.25" customHeight="1" thickTop="1" thickBot="1" x14ac:dyDescent="0.35">
      <c r="A15" s="13" t="str">
        <f>CONCATENATE("Calculated Federal CPI 3 Year Average Inflation Factor for FY ",D5)</f>
        <v>Calculated Federal CPI 3 Year Average Inflation Factor for FY 2026</v>
      </c>
      <c r="B15" s="35" t="s">
        <v>79</v>
      </c>
      <c r="D15" s="833">
        <v>5.6099999999999997E-2</v>
      </c>
      <c r="E15" s="15"/>
      <c r="G15" s="140" t="s">
        <v>179</v>
      </c>
      <c r="H15" s="34" t="s">
        <v>180</v>
      </c>
      <c r="I15" s="827">
        <v>9414</v>
      </c>
      <c r="K15" s="140" t="s">
        <v>181</v>
      </c>
      <c r="L15" s="13" t="s">
        <v>167</v>
      </c>
      <c r="M15" s="1464">
        <f>E53</f>
        <v>9432</v>
      </c>
      <c r="N15" s="418">
        <f>M15-'1.1 Assumption Control YR1'!I15</f>
        <v>18</v>
      </c>
      <c r="O15" s="609">
        <f>(M15-'1.1 Assumption Control YR1'!I15)/'1.1 Assumption Control YR1'!I15</f>
        <v>1.9120458891013384E-3</v>
      </c>
    </row>
    <row r="16" spans="1:15" ht="18" thickTop="1" thickBot="1" x14ac:dyDescent="0.35">
      <c r="A16" s="140" t="s">
        <v>182</v>
      </c>
      <c r="B16" s="35"/>
      <c r="D16" s="349">
        <f>(D19*D15)</f>
        <v>528.12540000000001</v>
      </c>
      <c r="E16" s="422">
        <f>ROUND(I23*D16,2)</f>
        <v>244919189.38</v>
      </c>
      <c r="G16" s="140"/>
      <c r="H16" s="34"/>
      <c r="I16" s="356"/>
      <c r="K16" s="140"/>
      <c r="M16" s="1465"/>
      <c r="N16" s="100"/>
      <c r="O16" s="102"/>
    </row>
    <row r="17" spans="1:15" ht="18" thickTop="1" thickBot="1" x14ac:dyDescent="0.35">
      <c r="E17" s="666"/>
      <c r="F17" s="17"/>
      <c r="G17" s="140" t="s">
        <v>183</v>
      </c>
      <c r="H17" s="34" t="s">
        <v>184</v>
      </c>
      <c r="I17" s="827">
        <v>227301057</v>
      </c>
      <c r="K17" s="140" t="s">
        <v>185</v>
      </c>
      <c r="L17" s="13" t="s">
        <v>186</v>
      </c>
      <c r="M17" s="1464">
        <f>'2.7 Weighted Funding YR1'!E39</f>
        <v>233115184</v>
      </c>
      <c r="N17" s="418">
        <f>M17-'1.1 Assumption Control YR1'!I17</f>
        <v>5814127</v>
      </c>
      <c r="O17" s="609">
        <f>(M17-'1.1 Assumption Control YR1'!I17)/'1.1 Assumption Control YR1'!I17</f>
        <v>2.5578970360881338E-2</v>
      </c>
    </row>
    <row r="18" spans="1:15" ht="18" thickTop="1" thickBot="1" x14ac:dyDescent="0.35">
      <c r="A18" s="300" t="s">
        <v>187</v>
      </c>
      <c r="B18" s="207"/>
      <c r="C18" s="207"/>
      <c r="D18" s="207"/>
      <c r="E18" s="205" t="s">
        <v>188</v>
      </c>
      <c r="G18" s="140"/>
      <c r="H18" s="34"/>
      <c r="I18" s="828"/>
      <c r="K18" s="140"/>
      <c r="M18" s="1465"/>
      <c r="N18" s="100"/>
      <c r="O18" s="102"/>
    </row>
    <row r="19" spans="1:15" ht="18" thickTop="1" thickBot="1" x14ac:dyDescent="0.35">
      <c r="A19" s="140" t="str">
        <f>CONCATENATE("Statewide Base Per Pupil Funding from the preceding Fiscal Year | FY",D5-1)</f>
        <v>Statewide Base Per Pupil Funding from the preceding Fiscal Year | FY2025</v>
      </c>
      <c r="B19" s="35"/>
      <c r="D19" s="349">
        <f>ROUND('1.1 Assumption Control YR1'!I15,2)</f>
        <v>9414</v>
      </c>
      <c r="E19" s="422">
        <f>ROUND(I23*D19,0)</f>
        <v>4365760951</v>
      </c>
      <c r="G19" s="140" t="s">
        <v>189</v>
      </c>
      <c r="H19" s="34" t="s">
        <v>184</v>
      </c>
      <c r="I19" s="827">
        <v>200276723</v>
      </c>
      <c r="K19" s="140" t="s">
        <v>190</v>
      </c>
      <c r="L19" s="13" t="s">
        <v>186</v>
      </c>
      <c r="M19" s="1464">
        <f>'2.7 Weighted Funding YR1'!I39</f>
        <v>165304285</v>
      </c>
      <c r="N19" s="418">
        <f>M19-'1.1 Assumption Control YR1'!I19</f>
        <v>-34972438</v>
      </c>
      <c r="O19" s="609">
        <f>(M19-'1.1 Assumption Control YR1'!I19)/'1.1 Assumption Control YR1'!I19</f>
        <v>-0.17462058234296154</v>
      </c>
    </row>
    <row r="20" spans="1:15" ht="18" thickTop="1" thickBot="1" x14ac:dyDescent="0.35">
      <c r="A20" s="140" t="s">
        <v>191</v>
      </c>
      <c r="D20" s="349">
        <f>D16</f>
        <v>528.12540000000001</v>
      </c>
      <c r="E20" s="422">
        <f>ROUND(I23*D20,0)</f>
        <v>244919189</v>
      </c>
      <c r="F20" s="650"/>
      <c r="G20" s="140"/>
      <c r="H20" s="34"/>
      <c r="I20" s="828"/>
      <c r="K20" s="140"/>
      <c r="M20" s="1465"/>
      <c r="N20" s="100"/>
      <c r="O20" s="102"/>
    </row>
    <row r="21" spans="1:15" ht="18" thickTop="1" thickBot="1" x14ac:dyDescent="0.35">
      <c r="A21" s="140" t="str">
        <f>CONCATENATE("Statewide Base Funding including Inflation for | FY",D5)</f>
        <v>Statewide Base Funding including Inflation for | FY2026</v>
      </c>
      <c r="B21" s="35"/>
      <c r="D21" s="423">
        <f>(D19+D20)</f>
        <v>9942.1254000000008</v>
      </c>
      <c r="E21" s="423">
        <f>ROUND(I23*D21,0)</f>
        <v>4610680141</v>
      </c>
      <c r="F21" s="611"/>
      <c r="G21" s="140" t="s">
        <v>192</v>
      </c>
      <c r="H21" s="34" t="s">
        <v>184</v>
      </c>
      <c r="I21" s="827">
        <v>9389863</v>
      </c>
      <c r="K21" s="140" t="s">
        <v>193</v>
      </c>
      <c r="L21" s="13" t="s">
        <v>186</v>
      </c>
      <c r="M21" s="1464">
        <f>'2.7 Weighted Funding YR1'!M39</f>
        <v>9871908</v>
      </c>
      <c r="N21" s="418">
        <f>M21-'1.1 Assumption Control YR1'!I21</f>
        <v>482045</v>
      </c>
      <c r="O21" s="609">
        <f>(M21-'1.1 Assumption Control YR1'!I21)/'1.1 Assumption Control YR1'!I21</f>
        <v>5.1336744742708176E-2</v>
      </c>
    </row>
    <row r="22" spans="1:15" ht="17.25" customHeight="1" thickTop="1" thickBot="1" x14ac:dyDescent="0.35">
      <c r="A22" s="97" t="str">
        <f>CONCATENATE("Inflation Adjustment For | FY ",D5)</f>
        <v>Inflation Adjustment For | FY 2026</v>
      </c>
      <c r="B22" s="5"/>
      <c r="C22" s="4"/>
      <c r="D22" s="686"/>
      <c r="E22" s="423">
        <f>E21-E19</f>
        <v>244919190</v>
      </c>
      <c r="F22" s="138"/>
      <c r="G22" s="140"/>
      <c r="H22" s="35"/>
      <c r="I22" s="356"/>
      <c r="K22" s="106"/>
      <c r="M22" s="1466"/>
      <c r="N22" s="116"/>
      <c r="O22" s="102"/>
    </row>
    <row r="23" spans="1:15" ht="18" thickTop="1" thickBot="1" x14ac:dyDescent="0.35">
      <c r="A23" s="174" t="str">
        <f>CONCATENATE("Statewide Base Inflationary Growth % For | FY ",D5)</f>
        <v>Statewide Base Inflationary Growth % For | FY 2026</v>
      </c>
      <c r="B23" s="2092"/>
      <c r="C23" s="135"/>
      <c r="D23" s="298"/>
      <c r="E23" s="421">
        <f>E22/E19</f>
        <v>5.610000014863388E-2</v>
      </c>
      <c r="F23" s="138"/>
      <c r="G23" s="140" t="s">
        <v>2302</v>
      </c>
      <c r="H23" s="34" t="s">
        <v>91</v>
      </c>
      <c r="I23" s="1956">
        <v>463751.96</v>
      </c>
      <c r="K23" s="140" t="s">
        <v>194</v>
      </c>
      <c r="L23" s="13" t="s">
        <v>195</v>
      </c>
      <c r="M23" s="1464">
        <f>'1.2 Budgeted Enrollment YR1'!G30</f>
        <v>463751.95591146237</v>
      </c>
      <c r="N23" s="419">
        <f>M23-'1.1 Assumption Control YR1'!I23</f>
        <v>-4.0885376511141658E-3</v>
      </c>
      <c r="O23" s="609">
        <f>(M23-'1.1 Assumption Control YR1'!I23)/'1.1 Assumption Control YR1'!I23</f>
        <v>-8.8162164341346739E-9</v>
      </c>
    </row>
    <row r="24" spans="1:15" ht="18" thickTop="1" thickBot="1" x14ac:dyDescent="0.35">
      <c r="A24" s="106"/>
      <c r="B24" s="35"/>
      <c r="D24" s="689"/>
      <c r="E24" s="15"/>
      <c r="F24" s="138"/>
      <c r="G24" s="106"/>
      <c r="H24" s="35"/>
      <c r="I24" s="1469"/>
      <c r="K24" s="140"/>
      <c r="M24" s="1467"/>
      <c r="N24" s="199"/>
      <c r="O24" s="102"/>
    </row>
    <row r="25" spans="1:15" ht="18" thickTop="1" thickBot="1" x14ac:dyDescent="0.35">
      <c r="A25" s="300" t="s">
        <v>196</v>
      </c>
      <c r="B25" s="477"/>
      <c r="C25" s="207"/>
      <c r="D25" s="689"/>
      <c r="E25" s="692"/>
      <c r="F25" s="138"/>
      <c r="G25" s="140" t="s">
        <v>197</v>
      </c>
      <c r="H25" s="35"/>
      <c r="I25" s="1468">
        <v>53660</v>
      </c>
      <c r="K25" s="140" t="s">
        <v>198</v>
      </c>
      <c r="L25" s="13" t="s">
        <v>195</v>
      </c>
      <c r="M25" s="1464">
        <f>'1.2 Budgeted Enrollment YR1'!I30</f>
        <v>54923</v>
      </c>
      <c r="N25" s="419">
        <f>M25-'1.1 Assumption Control YR1'!I25</f>
        <v>1263</v>
      </c>
      <c r="O25" s="609">
        <f>(M25-'1.1 Assumption Control YR1'!I25)/'1.1 Assumption Control YR1'!I25</f>
        <v>2.3537085352217667E-2</v>
      </c>
    </row>
    <row r="26" spans="1:15" ht="18" thickTop="1" thickBot="1" x14ac:dyDescent="0.35">
      <c r="A26" s="140" t="str">
        <f>CONCATENATE("Statewide Base Funding including Inflation for | FY",D5)</f>
        <v>Statewide Base Funding including Inflation for | FY2026</v>
      </c>
      <c r="B26" s="35"/>
      <c r="D26" s="423">
        <f>D21</f>
        <v>9942.1254000000008</v>
      </c>
      <c r="E26" s="672"/>
      <c r="F26" s="138"/>
      <c r="G26" s="106"/>
      <c r="H26" s="35"/>
      <c r="I26" s="1469"/>
      <c r="K26" s="140"/>
      <c r="M26" s="1467"/>
      <c r="N26" s="199"/>
      <c r="O26" s="102"/>
    </row>
    <row r="27" spans="1:15" ht="18" thickTop="1" thickBot="1" x14ac:dyDescent="0.35">
      <c r="A27" s="140" t="s">
        <v>199</v>
      </c>
      <c r="B27" s="35" t="s">
        <v>200</v>
      </c>
      <c r="D27" s="349">
        <f>'2.8 Alloc of Residual Rev. YR1'!H6</f>
        <v>-510</v>
      </c>
      <c r="E27" s="696" t="s">
        <v>201</v>
      </c>
      <c r="F27" s="691"/>
      <c r="G27" s="140" t="s">
        <v>202</v>
      </c>
      <c r="H27" s="34" t="s">
        <v>85</v>
      </c>
      <c r="I27" s="1468">
        <v>60794</v>
      </c>
      <c r="K27" s="140" t="s">
        <v>203</v>
      </c>
      <c r="L27" s="13" t="s">
        <v>195</v>
      </c>
      <c r="M27" s="1464">
        <f>'1.2 Budgeted Enrollment YR1'!J30</f>
        <v>50074</v>
      </c>
      <c r="N27" s="419">
        <f>M27-'1.1 Assumption Control YR1'!I27</f>
        <v>-10720</v>
      </c>
      <c r="O27" s="609">
        <f>(M27-'1.1 Assumption Control YR1'!I27)/'1.1 Assumption Control YR1'!I27</f>
        <v>-0.17633319077540546</v>
      </c>
    </row>
    <row r="28" spans="1:15" ht="18" thickTop="1" thickBot="1" x14ac:dyDescent="0.35">
      <c r="A28" s="126" t="str">
        <f>CONCATENATE("Modified Statewide Base Funding for | FY",D5)</f>
        <v>Modified Statewide Base Funding for | FY2026</v>
      </c>
      <c r="B28" s="304"/>
      <c r="C28" s="137"/>
      <c r="D28" s="423">
        <f>ROUND(D26+D27,0)</f>
        <v>9432</v>
      </c>
      <c r="E28" s="664">
        <f>(D28-D19)/D19</f>
        <v>1.9120458891013384E-3</v>
      </c>
      <c r="F28" s="697"/>
      <c r="G28" s="106"/>
      <c r="H28" s="35"/>
      <c r="I28" s="1469"/>
      <c r="K28" s="140"/>
      <c r="M28" s="1467"/>
      <c r="N28" s="199"/>
      <c r="O28" s="102"/>
    </row>
    <row r="29" spans="1:15" ht="18" thickTop="1" thickBot="1" x14ac:dyDescent="0.35">
      <c r="A29" s="34"/>
      <c r="B29" s="35"/>
      <c r="D29" s="610"/>
      <c r="F29" s="650"/>
      <c r="G29" s="140" t="s">
        <v>204</v>
      </c>
      <c r="H29" s="35"/>
      <c r="I29" s="1468">
        <v>8315</v>
      </c>
      <c r="K29" s="140" t="s">
        <v>205</v>
      </c>
      <c r="L29" s="13" t="s">
        <v>195</v>
      </c>
      <c r="M29" s="1464">
        <f>'1.2 Budgeted Enrollment YR1'!K30</f>
        <v>8722</v>
      </c>
      <c r="N29" s="419">
        <f>M29-'1.1 Assumption Control YR1'!I29</f>
        <v>407</v>
      </c>
      <c r="O29" s="609">
        <f>(M29-'1.1 Assumption Control YR1'!I29)/'1.1 Assumption Control YR1'!I29</f>
        <v>4.894768490679495E-2</v>
      </c>
    </row>
    <row r="30" spans="1:15" ht="18" thickTop="1" thickBot="1" x14ac:dyDescent="0.35">
      <c r="A30" s="300" t="s">
        <v>206</v>
      </c>
      <c r="B30" s="477"/>
      <c r="C30" s="207"/>
      <c r="D30" s="689"/>
      <c r="E30" s="690" t="s">
        <v>207</v>
      </c>
      <c r="F30" s="650"/>
      <c r="G30" s="140"/>
      <c r="H30" s="35"/>
      <c r="I30" s="1469"/>
      <c r="K30" s="140"/>
      <c r="M30" s="1467"/>
      <c r="N30" s="199"/>
      <c r="O30" s="102"/>
    </row>
    <row r="31" spans="1:15" ht="18" thickTop="1" thickBot="1" x14ac:dyDescent="0.35">
      <c r="A31" s="140" t="str">
        <f>CONCATENATE("Prior Year Enrollment | FY ",D5-1)</f>
        <v>Prior Year Enrollment | FY 2025</v>
      </c>
      <c r="B31" s="35"/>
      <c r="D31" s="299">
        <f>I23</f>
        <v>463751.96</v>
      </c>
      <c r="E31" s="1561">
        <f>ROUND(D31*D28,0)</f>
        <v>4374108487</v>
      </c>
      <c r="F31" s="650"/>
      <c r="G31" s="140" t="s">
        <v>208</v>
      </c>
      <c r="H31" s="35"/>
      <c r="I31" s="1468">
        <v>4304.5359614060253</v>
      </c>
      <c r="K31" s="140" t="s">
        <v>209</v>
      </c>
      <c r="L31" s="13" t="s">
        <v>195</v>
      </c>
      <c r="M31" s="1464">
        <f>'1.2 Budgeted Enrollment YR1'!L30</f>
        <v>8524.8310092063148</v>
      </c>
      <c r="N31" s="419">
        <f>M31-'1.1 Assumption Control YR1'!I31</f>
        <v>4220.2950478002895</v>
      </c>
      <c r="O31" s="609">
        <f>(M31-'1.1 Assumption Control YR1'!I31)/'1.1 Assumption Control YR1'!I31</f>
        <v>0.98042973403845846</v>
      </c>
    </row>
    <row r="32" spans="1:15" ht="18" thickTop="1" thickBot="1" x14ac:dyDescent="0.35">
      <c r="A32" s="140" t="str">
        <f>CONCATENATE("Projected Enrollment | FY ",D5)</f>
        <v>Projected Enrollment | FY 2026</v>
      </c>
      <c r="B32" s="35"/>
      <c r="D32" s="299">
        <f>M23</f>
        <v>463751.95591146237</v>
      </c>
      <c r="E32" s="1561">
        <f>ROUND(D32*D28,0)</f>
        <v>4374108448</v>
      </c>
      <c r="F32" s="650"/>
      <c r="G32" s="142"/>
      <c r="H32" s="137"/>
      <c r="I32" s="164"/>
      <c r="K32" s="142"/>
      <c r="L32" s="144"/>
      <c r="M32" s="143"/>
      <c r="N32" s="128"/>
      <c r="O32" s="143"/>
    </row>
    <row r="33" spans="1:15" ht="18" thickTop="1" thickBot="1" x14ac:dyDescent="0.35">
      <c r="A33" s="140" t="s">
        <v>210</v>
      </c>
      <c r="B33" s="35"/>
      <c r="D33" s="1955"/>
      <c r="E33" s="1561">
        <f>ROUND(E32-E31,0)</f>
        <v>-39</v>
      </c>
      <c r="F33" s="650"/>
      <c r="G33" s="106"/>
      <c r="N33" s="35" t="s">
        <v>211</v>
      </c>
      <c r="O33" s="445"/>
    </row>
    <row r="34" spans="1:15" ht="18" thickTop="1" thickBot="1" x14ac:dyDescent="0.35">
      <c r="A34" s="97" t="str">
        <f>CONCATENATE("Enrollment Change For | FY ",D5)</f>
        <v>Enrollment Change For | FY 2026</v>
      </c>
      <c r="B34" s="5"/>
      <c r="C34" s="4"/>
      <c r="D34" s="1954"/>
      <c r="E34" s="818">
        <f>D32-D31</f>
        <v>-4.0885376511141658E-3</v>
      </c>
      <c r="F34" s="650"/>
      <c r="G34" s="97" t="str">
        <f>CONCATENATE("District Prior Year Inputs | FY",D5-1)</f>
        <v>District Prior Year Inputs | FY2025</v>
      </c>
      <c r="H34" s="5" t="str">
        <f>CONCATENATE("NCEI | FY ",D5-1)</f>
        <v>NCEI | FY 2025</v>
      </c>
      <c r="I34" s="17" t="s">
        <v>212</v>
      </c>
      <c r="K34" s="17" t="str">
        <f>CONCATENATE("District Current Year Outputs | FY",D5)</f>
        <v>District Current Year Outputs | FY2026</v>
      </c>
      <c r="L34" s="17" t="s">
        <v>88</v>
      </c>
      <c r="M34" s="5" t="str">
        <f>CONCATENATE("NCEI | FY ",D5)</f>
        <v>NCEI | FY 2026</v>
      </c>
      <c r="N34" s="17" t="s">
        <v>212</v>
      </c>
      <c r="O34" s="456"/>
    </row>
    <row r="35" spans="1:15" ht="18" thickTop="1" thickBot="1" x14ac:dyDescent="0.35">
      <c r="A35" s="174" t="str">
        <f>CONCATENATE("Enrollment Growth % For | FY ",D5)</f>
        <v>Enrollment Growth % For | FY 2026</v>
      </c>
      <c r="B35" s="2092"/>
      <c r="C35" s="135"/>
      <c r="D35" s="298"/>
      <c r="E35" s="1972">
        <f>ROUND(E33/E31,5)</f>
        <v>0</v>
      </c>
      <c r="F35" s="650"/>
      <c r="G35" s="140" t="str">
        <f>'2.5 NCEI Adj. YR1'!B7</f>
        <v>Carson City</v>
      </c>
      <c r="H35" s="830">
        <v>1</v>
      </c>
      <c r="I35" s="830" t="s">
        <v>213</v>
      </c>
      <c r="K35" s="13" t="str">
        <f>'3.1b Allocation Adj. YR1 '!B11</f>
        <v>Carson City</v>
      </c>
      <c r="L35" s="35"/>
      <c r="M35" s="848">
        <v>1</v>
      </c>
      <c r="N35" s="458" t="str">
        <f>'3.1b Allocation Adj. YR1 '!E11</f>
        <v>PCFP</v>
      </c>
      <c r="O35" s="112"/>
    </row>
    <row r="36" spans="1:15" ht="18" thickTop="1" thickBot="1" x14ac:dyDescent="0.35">
      <c r="A36" s="34"/>
      <c r="B36" s="35"/>
      <c r="D36" s="610"/>
      <c r="F36" s="650"/>
      <c r="G36" s="140" t="str">
        <f>'2.5 NCEI Adj. YR1'!B8</f>
        <v>Churchill</v>
      </c>
      <c r="H36" s="830">
        <v>1</v>
      </c>
      <c r="I36" s="830" t="s">
        <v>213</v>
      </c>
      <c r="K36" s="13" t="str">
        <f>'3.1b Allocation Adj. YR1 '!B12</f>
        <v>Churchill</v>
      </c>
      <c r="L36" s="35"/>
      <c r="M36" s="848">
        <v>1</v>
      </c>
      <c r="N36" s="458" t="str">
        <f>'3.1b Allocation Adj. YR1 '!E12</f>
        <v>PCFP</v>
      </c>
      <c r="O36" s="112"/>
    </row>
    <row r="37" spans="1:15" ht="18" thickTop="1" thickBot="1" x14ac:dyDescent="0.35">
      <c r="B37" s="35"/>
      <c r="D37" s="87"/>
      <c r="E37" s="15"/>
      <c r="F37" s="650"/>
      <c r="G37" s="140" t="str">
        <f>'2.5 NCEI Adj. YR1'!B9</f>
        <v>Clark</v>
      </c>
      <c r="H37" s="830">
        <v>1</v>
      </c>
      <c r="I37" s="830" t="s">
        <v>213</v>
      </c>
      <c r="K37" s="13" t="str">
        <f>'3.1b Allocation Adj. YR1 '!B13</f>
        <v>Clark</v>
      </c>
      <c r="L37" s="35"/>
      <c r="M37" s="848">
        <v>1</v>
      </c>
      <c r="N37" s="458" t="str">
        <f>'3.1b Allocation Adj. YR1 '!E13</f>
        <v>PCFP</v>
      </c>
      <c r="O37" s="112"/>
    </row>
    <row r="38" spans="1:15" ht="18" thickTop="1" thickBot="1" x14ac:dyDescent="0.35">
      <c r="A38" s="300" t="s">
        <v>214</v>
      </c>
      <c r="B38" s="477" t="s">
        <v>83</v>
      </c>
      <c r="C38" s="207"/>
      <c r="D38" s="242" t="s">
        <v>215</v>
      </c>
      <c r="E38" s="205" t="s">
        <v>216</v>
      </c>
      <c r="F38" s="650"/>
      <c r="G38" s="140" t="str">
        <f>'2.5 NCEI Adj. YR1'!B10</f>
        <v>Douglas</v>
      </c>
      <c r="H38" s="830">
        <v>1</v>
      </c>
      <c r="I38" s="830" t="s">
        <v>213</v>
      </c>
      <c r="K38" s="13" t="str">
        <f>'3.1b Allocation Adj. YR1 '!B14</f>
        <v>Douglas</v>
      </c>
      <c r="L38" s="35"/>
      <c r="M38" s="848">
        <v>1</v>
      </c>
      <c r="N38" s="458" t="str">
        <f>'3.1b Allocation Adj. YR1 '!E14</f>
        <v>PCFP</v>
      </c>
      <c r="O38" s="112"/>
    </row>
    <row r="39" spans="1:15" ht="18" thickTop="1" thickBot="1" x14ac:dyDescent="0.35">
      <c r="A39" s="140" t="s">
        <v>217</v>
      </c>
      <c r="B39" s="35"/>
      <c r="D39" s="832">
        <v>0.45</v>
      </c>
      <c r="E39" s="687">
        <f>D28*D39</f>
        <v>4244.4000000000005</v>
      </c>
      <c r="F39" s="650"/>
      <c r="G39" s="140" t="str">
        <f>'2.5 NCEI Adj. YR1'!B11</f>
        <v>Elko</v>
      </c>
      <c r="H39" s="830">
        <v>1</v>
      </c>
      <c r="I39" s="830" t="s">
        <v>213</v>
      </c>
      <c r="K39" s="13" t="str">
        <f>'3.1b Allocation Adj. YR1 '!B15</f>
        <v>Elko</v>
      </c>
      <c r="L39" s="35"/>
      <c r="M39" s="848">
        <v>1</v>
      </c>
      <c r="N39" s="458" t="str">
        <f>'3.1b Allocation Adj. YR1 '!E15</f>
        <v>PCFP</v>
      </c>
      <c r="O39" s="112"/>
    </row>
    <row r="40" spans="1:15" ht="18" thickTop="1" thickBot="1" x14ac:dyDescent="0.35">
      <c r="A40" s="140" t="s">
        <v>218</v>
      </c>
      <c r="B40" s="35" t="s">
        <v>85</v>
      </c>
      <c r="D40" s="832">
        <v>0.35</v>
      </c>
      <c r="E40" s="688">
        <f>D28*D40</f>
        <v>3301.2</v>
      </c>
      <c r="F40" s="650"/>
      <c r="G40" s="140" t="str">
        <f>'2.5 NCEI Adj. YR1'!B12</f>
        <v>Esmeralda</v>
      </c>
      <c r="H40" s="830">
        <v>1</v>
      </c>
      <c r="I40" s="830" t="s">
        <v>219</v>
      </c>
      <c r="K40" s="13" t="str">
        <f>'3.1b Allocation Adj. YR1 '!B16</f>
        <v>Esmeralda</v>
      </c>
      <c r="L40" s="35"/>
      <c r="M40" s="848">
        <v>1</v>
      </c>
      <c r="N40" s="458" t="str">
        <f>'3.1b Allocation Adj. YR1 '!E16</f>
        <v>FY 2020 Baseline</v>
      </c>
      <c r="O40" s="112"/>
    </row>
    <row r="41" spans="1:15" ht="18" thickTop="1" thickBot="1" x14ac:dyDescent="0.35">
      <c r="A41" s="140" t="s">
        <v>220</v>
      </c>
      <c r="B41" s="35"/>
      <c r="D41" s="832">
        <v>0.12</v>
      </c>
      <c r="E41" s="688">
        <f>D41*D28</f>
        <v>1131.8399999999999</v>
      </c>
      <c r="F41" s="650"/>
      <c r="G41" s="140" t="str">
        <f>'2.5 NCEI Adj. YR1'!B13</f>
        <v>Eureka</v>
      </c>
      <c r="H41" s="830">
        <v>1</v>
      </c>
      <c r="I41" s="830" t="s">
        <v>219</v>
      </c>
      <c r="K41" s="13" t="str">
        <f>'3.1b Allocation Adj. YR1 '!B17</f>
        <v>Eureka</v>
      </c>
      <c r="L41" s="35"/>
      <c r="M41" s="848">
        <v>1</v>
      </c>
      <c r="N41" s="458" t="str">
        <f>'3.1b Allocation Adj. YR1 '!E17</f>
        <v>FY 2020 Baseline</v>
      </c>
      <c r="O41" s="112"/>
    </row>
    <row r="42" spans="1:15" ht="18" thickTop="1" thickBot="1" x14ac:dyDescent="0.35">
      <c r="A42" s="142"/>
      <c r="B42" s="304"/>
      <c r="C42" s="137"/>
      <c r="D42" s="137"/>
      <c r="E42" s="128"/>
      <c r="F42" s="650"/>
      <c r="G42" s="140" t="str">
        <f>'2.5 NCEI Adj. YR1'!B14</f>
        <v>Humboldt</v>
      </c>
      <c r="H42" s="830">
        <v>1</v>
      </c>
      <c r="I42" s="830" t="s">
        <v>213</v>
      </c>
      <c r="K42" s="13" t="str">
        <f>'3.1b Allocation Adj. YR1 '!B18</f>
        <v>Humboldt</v>
      </c>
      <c r="L42" s="35"/>
      <c r="M42" s="848">
        <v>1</v>
      </c>
      <c r="N42" s="458" t="str">
        <f>'3.1b Allocation Adj. YR1 '!E18</f>
        <v>PCFP</v>
      </c>
      <c r="O42" s="112"/>
    </row>
    <row r="43" spans="1:15" ht="18" thickTop="1" thickBot="1" x14ac:dyDescent="0.35">
      <c r="F43" s="78"/>
      <c r="G43" s="140" t="str">
        <f>'2.5 NCEI Adj. YR1'!B15</f>
        <v>Lander</v>
      </c>
      <c r="H43" s="830">
        <v>1</v>
      </c>
      <c r="I43" s="830" t="s">
        <v>213</v>
      </c>
      <c r="K43" s="13" t="str">
        <f>'3.1b Allocation Adj. YR1 '!B19</f>
        <v>Lander</v>
      </c>
      <c r="L43" s="35"/>
      <c r="M43" s="848">
        <v>1</v>
      </c>
      <c r="N43" s="458" t="str">
        <f>'3.1b Allocation Adj. YR1 '!E19</f>
        <v>PCFP</v>
      </c>
      <c r="O43" s="112"/>
    </row>
    <row r="44" spans="1:15" ht="18" thickTop="1" thickBot="1" x14ac:dyDescent="0.35">
      <c r="F44" s="12"/>
      <c r="G44" s="140" t="str">
        <f>'2.5 NCEI Adj. YR1'!B16</f>
        <v>Lincoln</v>
      </c>
      <c r="H44" s="830">
        <v>1</v>
      </c>
      <c r="I44" s="830" t="s">
        <v>213</v>
      </c>
      <c r="K44" s="13" t="str">
        <f>'3.1b Allocation Adj. YR1 '!B20</f>
        <v>Lincoln</v>
      </c>
      <c r="L44" s="35"/>
      <c r="M44" s="848">
        <v>1</v>
      </c>
      <c r="N44" s="458" t="str">
        <f>'3.1b Allocation Adj. YR1 '!E20</f>
        <v>PCFP</v>
      </c>
      <c r="O44" s="112"/>
    </row>
    <row r="45" spans="1:15" ht="18" thickTop="1" thickBot="1" x14ac:dyDescent="0.35">
      <c r="A45" s="4" t="s">
        <v>221</v>
      </c>
      <c r="B45" s="35"/>
      <c r="D45" s="87"/>
      <c r="E45" s="436" t="str">
        <f>'4.0 PCFP Allocation Summary'!D26</f>
        <v>Model is Balanced</v>
      </c>
      <c r="F45" s="12"/>
      <c r="G45" s="140" t="str">
        <f>'2.5 NCEI Adj. YR1'!B17</f>
        <v>Lyon</v>
      </c>
      <c r="H45" s="830">
        <v>1</v>
      </c>
      <c r="I45" s="830" t="s">
        <v>213</v>
      </c>
      <c r="K45" s="13" t="str">
        <f>'3.1b Allocation Adj. YR1 '!B21</f>
        <v>Lyon</v>
      </c>
      <c r="L45" s="35"/>
      <c r="M45" s="848">
        <v>1</v>
      </c>
      <c r="N45" s="458" t="str">
        <f>'3.1b Allocation Adj. YR1 '!E21</f>
        <v>PCFP</v>
      </c>
      <c r="O45" s="112"/>
    </row>
    <row r="46" spans="1:15" ht="18" thickTop="1" thickBot="1" x14ac:dyDescent="0.35">
      <c r="A46" s="17" t="str">
        <f>CONCATENATE("Projected Revenue | FY",$D$5)</f>
        <v>Projected Revenue | FY2026</v>
      </c>
      <c r="B46" s="5"/>
      <c r="C46" s="4"/>
      <c r="D46" s="296"/>
      <c r="E46" s="423">
        <f>E10</f>
        <v>5724491159</v>
      </c>
      <c r="G46" s="140" t="str">
        <f>'2.5 NCEI Adj. YR1'!B18</f>
        <v>Mineral</v>
      </c>
      <c r="H46" s="830">
        <v>1</v>
      </c>
      <c r="I46" s="830" t="s">
        <v>213</v>
      </c>
      <c r="K46" s="13" t="str">
        <f>'3.1b Allocation Adj. YR1 '!B22</f>
        <v>Mineral</v>
      </c>
      <c r="L46" s="35"/>
      <c r="M46" s="848">
        <v>1</v>
      </c>
      <c r="N46" s="458" t="str">
        <f>'3.1b Allocation Adj. YR1 '!E22</f>
        <v>PCFP</v>
      </c>
      <c r="O46" s="112"/>
    </row>
    <row r="47" spans="1:15" ht="18" thickTop="1" thickBot="1" x14ac:dyDescent="0.35">
      <c r="E47" s="12"/>
      <c r="F47" s="168"/>
      <c r="G47" s="140" t="str">
        <f>'2.5 NCEI Adj. YR1'!B19</f>
        <v>Nye</v>
      </c>
      <c r="H47" s="830">
        <v>1</v>
      </c>
      <c r="I47" s="830" t="s">
        <v>213</v>
      </c>
      <c r="K47" s="13" t="str">
        <f>'3.1b Allocation Adj. YR1 '!B23</f>
        <v>Nye</v>
      </c>
      <c r="L47" s="35"/>
      <c r="M47" s="848">
        <v>1</v>
      </c>
      <c r="N47" s="458" t="str">
        <f>'3.1b Allocation Adj. YR1 '!E23</f>
        <v>PCFP</v>
      </c>
      <c r="O47" s="112"/>
    </row>
    <row r="48" spans="1:15" ht="18" thickTop="1" thickBot="1" x14ac:dyDescent="0.35">
      <c r="A48" s="189" t="s">
        <v>2319</v>
      </c>
      <c r="D48" s="13" t="s">
        <v>222</v>
      </c>
      <c r="E48" s="349">
        <f>'3.1a Initial Allocations YR1'!W38</f>
        <v>4939400864</v>
      </c>
      <c r="G48" s="140" t="str">
        <f>'2.5 NCEI Adj. YR1'!B20</f>
        <v>Pershing</v>
      </c>
      <c r="H48" s="830">
        <v>1</v>
      </c>
      <c r="I48" s="830" t="s">
        <v>213</v>
      </c>
      <c r="K48" s="13" t="str">
        <f>'3.1b Allocation Adj. YR1 '!B24</f>
        <v>Pershing</v>
      </c>
      <c r="L48" s="35"/>
      <c r="M48" s="848">
        <v>1</v>
      </c>
      <c r="N48" s="458" t="str">
        <f>'3.1b Allocation Adj. YR1 '!E24</f>
        <v>PCFP</v>
      </c>
      <c r="O48" s="112"/>
    </row>
    <row r="49" spans="1:16" ht="18" thickTop="1" thickBot="1" x14ac:dyDescent="0.35">
      <c r="A49" s="189" t="s">
        <v>2320</v>
      </c>
      <c r="D49" s="13" t="s">
        <v>211</v>
      </c>
      <c r="E49" s="349">
        <f>'3.1b Allocation Adj. YR1 '!F32+'3.1b Allocation Adj. YR1 '!L32</f>
        <v>4931049039</v>
      </c>
      <c r="F49" s="15"/>
      <c r="G49" s="140" t="str">
        <f>'2.5 NCEI Adj. YR1'!B21</f>
        <v>Storey</v>
      </c>
      <c r="H49" s="830">
        <v>1</v>
      </c>
      <c r="I49" s="830" t="s">
        <v>219</v>
      </c>
      <c r="K49" s="13" t="str">
        <f>'3.1b Allocation Adj. YR1 '!B25</f>
        <v>Storey</v>
      </c>
      <c r="L49" s="35"/>
      <c r="M49" s="848">
        <v>1</v>
      </c>
      <c r="N49" s="458" t="str">
        <f>'3.1b Allocation Adj. YR1 '!E25</f>
        <v>FY 2020 Baseline</v>
      </c>
      <c r="O49" s="112"/>
    </row>
    <row r="50" spans="1:16" ht="18" thickTop="1" thickBot="1" x14ac:dyDescent="0.35">
      <c r="A50" s="189" t="s">
        <v>223</v>
      </c>
      <c r="D50" s="13"/>
      <c r="E50" s="1558">
        <f>E49-E48</f>
        <v>-8351825</v>
      </c>
      <c r="F50" s="15"/>
      <c r="G50" s="140" t="str">
        <f>'2.5 NCEI Adj. YR1'!B22</f>
        <v>Washoe</v>
      </c>
      <c r="H50" s="830">
        <v>1</v>
      </c>
      <c r="I50" s="830" t="s">
        <v>213</v>
      </c>
      <c r="K50" s="13" t="str">
        <f>'3.1b Allocation Adj. YR1 '!B26</f>
        <v>Washoe</v>
      </c>
      <c r="L50" s="35"/>
      <c r="M50" s="848">
        <v>1</v>
      </c>
      <c r="N50" s="458" t="str">
        <f>'3.1b Allocation Adj. YR1 '!E26</f>
        <v>PCFP</v>
      </c>
      <c r="O50" s="112"/>
    </row>
    <row r="51" spans="1:16" ht="18" thickTop="1" thickBot="1" x14ac:dyDescent="0.35">
      <c r="A51" s="189" t="s">
        <v>224</v>
      </c>
      <c r="B51" s="35"/>
      <c r="D51" s="13"/>
      <c r="E51" s="421">
        <f>E50/E48</f>
        <v>-1.6908579056360629E-3</v>
      </c>
      <c r="F51" s="15"/>
      <c r="G51" s="140" t="str">
        <f>'2.5 NCEI Adj. YR1'!B23</f>
        <v>White Pine</v>
      </c>
      <c r="H51" s="830">
        <v>1</v>
      </c>
      <c r="I51" s="830" t="s">
        <v>213</v>
      </c>
      <c r="K51" s="13" t="str">
        <f>'3.1b Allocation Adj. YR1 '!B27</f>
        <v>White Pine</v>
      </c>
      <c r="L51" s="35"/>
      <c r="M51" s="848">
        <v>1</v>
      </c>
      <c r="N51" s="458" t="str">
        <f>'3.1b Allocation Adj. YR1 '!E28</f>
        <v>PCFP</v>
      </c>
      <c r="O51" s="112"/>
    </row>
    <row r="52" spans="1:16" ht="18" thickTop="1" thickBot="1" x14ac:dyDescent="0.35">
      <c r="A52" s="189"/>
      <c r="B52" s="35"/>
      <c r="D52" s="13"/>
      <c r="E52" s="1559"/>
      <c r="F52" s="15"/>
      <c r="G52" s="140" t="s">
        <v>225</v>
      </c>
      <c r="H52" s="437"/>
      <c r="I52" s="831" t="s">
        <v>213</v>
      </c>
      <c r="K52" s="13" t="str">
        <f>'3.1b Allocation Adj. YR1 '!B28</f>
        <v>Charter Schools</v>
      </c>
      <c r="L52" s="35"/>
      <c r="M52" s="437"/>
      <c r="N52" s="458" t="str">
        <f>'3.1b Allocation Adj. YR1 '!E48</f>
        <v>PCFP</v>
      </c>
      <c r="O52" s="112"/>
    </row>
    <row r="53" spans="1:16" ht="18" thickTop="1" thickBot="1" x14ac:dyDescent="0.35">
      <c r="A53" s="189" t="str">
        <f>CONCATENATE("Statewide Base Per Pupil Funding (Prior to Reduction) | FY ",D5)</f>
        <v>Statewide Base Per Pupil Funding (Prior to Reduction) | FY 2026</v>
      </c>
      <c r="B53" s="35"/>
      <c r="D53" s="13" t="s">
        <v>226</v>
      </c>
      <c r="E53" s="349">
        <f>ROUND('2.3 Statewide Base Funding YR1'!C8,0)</f>
        <v>9432</v>
      </c>
      <c r="F53" s="15"/>
      <c r="G53" s="140" t="s">
        <v>227</v>
      </c>
      <c r="H53" s="437"/>
      <c r="I53" s="831" t="s">
        <v>213</v>
      </c>
      <c r="K53" s="13" t="str">
        <f>'3.1b Allocation Adj. YR1 '!B29</f>
        <v>University Schools</v>
      </c>
      <c r="L53" s="35"/>
      <c r="M53" s="437"/>
      <c r="N53" s="458" t="str">
        <f>'3.1b Allocation Adj. YR1 '!E29</f>
        <v>PCFP</v>
      </c>
      <c r="O53" s="112"/>
    </row>
    <row r="54" spans="1:16" ht="18" thickTop="1" thickBot="1" x14ac:dyDescent="0.35">
      <c r="A54" s="189" t="str">
        <f>CONCATENATE("Statewide Base Per Pupil Funding FY 2024 (After Reduction) | FY ",D5)</f>
        <v>Statewide Base Per Pupil Funding FY 2024 (After Reduction) | FY 2026</v>
      </c>
      <c r="B54" s="35"/>
      <c r="D54" s="13"/>
      <c r="E54" s="1560">
        <f>ROUND(E53*(1+E51),0)</f>
        <v>9416</v>
      </c>
      <c r="F54" s="15"/>
      <c r="G54" s="140" t="s">
        <v>228</v>
      </c>
      <c r="H54" s="437"/>
      <c r="I54" s="831" t="s">
        <v>213</v>
      </c>
      <c r="K54" s="140" t="s">
        <v>228</v>
      </c>
      <c r="M54" s="437"/>
      <c r="N54" s="831" t="str">
        <f>'2.9 PCFP Funding Comparison YR1'!T27</f>
        <v>PCFP</v>
      </c>
      <c r="O54" s="1260"/>
      <c r="P54" s="112"/>
    </row>
    <row r="55" spans="1:16" ht="18" thickTop="1" thickBot="1" x14ac:dyDescent="0.35">
      <c r="A55" s="189"/>
      <c r="B55" s="35"/>
      <c r="D55" s="13"/>
      <c r="E55" s="12"/>
      <c r="F55" s="15"/>
      <c r="G55" s="140" t="s">
        <v>229</v>
      </c>
      <c r="H55" s="437"/>
      <c r="I55" s="831" t="s">
        <v>213</v>
      </c>
      <c r="K55" s="140" t="s">
        <v>230</v>
      </c>
      <c r="M55" s="437"/>
      <c r="N55" s="831" t="s">
        <v>213</v>
      </c>
      <c r="O55" s="1260"/>
      <c r="P55" s="112"/>
    </row>
    <row r="56" spans="1:16" ht="18" thickTop="1" thickBot="1" x14ac:dyDescent="0.35">
      <c r="A56" s="189" t="str">
        <f>CONCATENATE("State English Learner Funding FY (Prior to Red) | FY ",D5)</f>
        <v>State English Learner Funding FY (Prior to Red) | FY 2026</v>
      </c>
      <c r="B56" s="35"/>
      <c r="D56" s="13" t="s">
        <v>222</v>
      </c>
      <c r="E56" s="349">
        <f>'3.1a Initial Allocations YR1'!G33</f>
        <v>233088734</v>
      </c>
      <c r="F56" s="15"/>
      <c r="G56" s="140"/>
      <c r="H56" s="13"/>
      <c r="I56" s="35"/>
      <c r="K56" s="13"/>
      <c r="L56" s="35"/>
      <c r="M56" s="35"/>
      <c r="N56" s="167"/>
      <c r="O56" s="112"/>
    </row>
    <row r="57" spans="1:16" ht="18" thickTop="1" thickBot="1" x14ac:dyDescent="0.35">
      <c r="A57" s="189" t="str">
        <f>CONCATENATE("State English Learner Funding (After Red) | FY ",D5)</f>
        <v>State English Learner Funding (After Red) | FY 2026</v>
      </c>
      <c r="B57" s="35"/>
      <c r="D57" s="13" t="s">
        <v>211</v>
      </c>
      <c r="E57" s="349">
        <f>'3.1b Allocation Adj. YR1 '!I32</f>
        <v>232694619</v>
      </c>
      <c r="F57" s="15"/>
      <c r="G57" s="97" t="str">
        <f>CONCATENATE("PCFP Funding Status Determinations | FY ",D5-1)</f>
        <v>PCFP Funding Status Determinations | FY 2025</v>
      </c>
      <c r="H57" s="17"/>
      <c r="I57" s="5" t="s">
        <v>231</v>
      </c>
      <c r="K57" s="17" t="str">
        <f>CONCATENATE("PCFP Funding Status Determinations | FY ",D5)</f>
        <v>PCFP Funding Status Determinations | FY 2026</v>
      </c>
      <c r="L57" s="202"/>
      <c r="M57" s="202"/>
      <c r="N57" s="5" t="s">
        <v>231</v>
      </c>
      <c r="O57" s="112"/>
    </row>
    <row r="58" spans="1:16" ht="18" thickTop="1" thickBot="1" x14ac:dyDescent="0.35">
      <c r="A58" s="189"/>
      <c r="B58" s="35"/>
      <c r="D58" s="13"/>
      <c r="E58" s="12"/>
      <c r="F58" s="15"/>
      <c r="G58" s="140" t="s">
        <v>232</v>
      </c>
      <c r="H58" s="13"/>
      <c r="I58" s="424">
        <f>COUNTIF(I35:I53,"PCFP")</f>
        <v>16</v>
      </c>
      <c r="K58" s="13" t="s">
        <v>232</v>
      </c>
      <c r="L58" s="9"/>
      <c r="N58" s="424">
        <f>COUNTIF(N35:N53,"PCFP")</f>
        <v>16</v>
      </c>
      <c r="O58" s="128"/>
    </row>
    <row r="59" spans="1:16" ht="18" thickTop="1" thickBot="1" x14ac:dyDescent="0.35">
      <c r="A59" s="189" t="str">
        <f>CONCATENATE("State At-Risk Student Funding  (Prior to Red) | FY ",D5)</f>
        <v>State At-Risk Student Funding  (Prior to Red) | FY 2026</v>
      </c>
      <c r="B59" s="35"/>
      <c r="D59" s="13" t="s">
        <v>222</v>
      </c>
      <c r="E59" s="349">
        <f>'3.1a Initial Allocations YR1'!H33</f>
        <v>165291372</v>
      </c>
      <c r="F59" s="15"/>
      <c r="G59" s="140" t="s">
        <v>233</v>
      </c>
      <c r="H59" s="13"/>
      <c r="I59" s="424">
        <f>COUNTIF(I35:I53,"FY 2020 Baseline")</f>
        <v>3</v>
      </c>
      <c r="K59" s="13" t="s">
        <v>233</v>
      </c>
      <c r="L59" s="9"/>
      <c r="N59" s="424">
        <f>COUNTIF(N35:N53,"FY 2020 Baseline")</f>
        <v>3</v>
      </c>
    </row>
    <row r="60" spans="1:16" ht="18" thickTop="1" thickBot="1" x14ac:dyDescent="0.35">
      <c r="A60" s="189" t="str">
        <f>CONCATENATE("State At-Risk Student Funding (After Red) | FY ",D5)</f>
        <v>State At-Risk Student Funding (After Red) | FY 2026</v>
      </c>
      <c r="B60" s="35"/>
      <c r="D60" s="13" t="s">
        <v>211</v>
      </c>
      <c r="E60" s="349">
        <f>'3.1b Allocation Adj. YR1 '!J32</f>
        <v>165011887</v>
      </c>
      <c r="F60" s="15"/>
      <c r="G60" s="142"/>
      <c r="H60" s="137"/>
      <c r="I60" s="137"/>
      <c r="J60" s="137"/>
      <c r="K60" s="137"/>
      <c r="L60" s="144"/>
      <c r="M60" s="137"/>
      <c r="N60" s="137"/>
    </row>
    <row r="61" spans="1:16" ht="18" thickTop="1" thickBot="1" x14ac:dyDescent="0.35">
      <c r="A61" s="189"/>
      <c r="B61" s="35"/>
      <c r="D61" s="13"/>
      <c r="E61" s="12"/>
      <c r="F61" s="15"/>
    </row>
    <row r="62" spans="1:16" s="4" customFormat="1" ht="18" thickTop="1" thickBot="1" x14ac:dyDescent="0.35">
      <c r="A62" s="189" t="str">
        <f>CONCATENATE("State Gifted and Talented Funding (Prior to Red) | FY ",D5)</f>
        <v>State Gifted and Talented Funding (Prior to Red) | FY 2026</v>
      </c>
      <c r="B62" s="35"/>
      <c r="C62" s="9"/>
      <c r="D62" s="13" t="s">
        <v>222</v>
      </c>
      <c r="E62" s="349">
        <f>'3.1a Initial Allocations YR1'!I33</f>
        <v>9871908</v>
      </c>
      <c r="F62" s="15"/>
      <c r="G62" s="9"/>
      <c r="H62" s="9"/>
      <c r="I62" s="17"/>
      <c r="J62" s="9"/>
      <c r="K62" s="9"/>
      <c r="L62" s="13"/>
      <c r="M62" s="9"/>
      <c r="N62" s="9"/>
    </row>
    <row r="63" spans="1:16" s="4" customFormat="1" ht="18" thickTop="1" thickBot="1" x14ac:dyDescent="0.35">
      <c r="A63" s="189" t="str">
        <f>CONCATENATE("State Gifted and Talented Funding (After Red) | FY ",D5)</f>
        <v>State Gifted and Talented Funding (After Red) | FY 2026</v>
      </c>
      <c r="B63" s="35"/>
      <c r="C63" s="9"/>
      <c r="D63" s="13" t="s">
        <v>211</v>
      </c>
      <c r="E63" s="349">
        <f>'3.1b Allocation Adj. YR1 '!K32</f>
        <v>9855215</v>
      </c>
      <c r="F63" s="15"/>
      <c r="G63" s="9"/>
      <c r="H63" s="9"/>
      <c r="I63" s="694"/>
      <c r="J63" s="9"/>
      <c r="K63" s="9"/>
      <c r="L63" s="13"/>
      <c r="M63" s="9"/>
      <c r="N63" s="9"/>
    </row>
    <row r="64" spans="1:16" ht="17.25" thickTop="1" x14ac:dyDescent="0.3">
      <c r="B64" s="35"/>
      <c r="F64" s="15"/>
      <c r="G64" s="4"/>
      <c r="H64" s="675"/>
      <c r="I64" s="4"/>
      <c r="J64" s="4"/>
      <c r="K64" s="4"/>
      <c r="L64" s="4"/>
      <c r="M64" s="4"/>
      <c r="N64" s="4"/>
    </row>
    <row r="65" spans="1:14" x14ac:dyDescent="0.3">
      <c r="B65" s="35"/>
      <c r="F65" s="15"/>
      <c r="G65" s="4"/>
      <c r="H65" s="676"/>
      <c r="I65" s="642"/>
      <c r="J65" s="4"/>
      <c r="K65" s="4"/>
      <c r="L65" s="4"/>
      <c r="M65" s="4"/>
      <c r="N65" s="4"/>
    </row>
    <row r="66" spans="1:14" x14ac:dyDescent="0.3">
      <c r="B66" s="35"/>
      <c r="G66" s="4"/>
      <c r="H66" s="676"/>
      <c r="I66" s="642"/>
      <c r="L66" s="17"/>
    </row>
    <row r="67" spans="1:14" x14ac:dyDescent="0.3">
      <c r="G67" s="4"/>
      <c r="H67" s="677"/>
      <c r="I67" s="695"/>
      <c r="L67" s="17"/>
    </row>
    <row r="68" spans="1:14" x14ac:dyDescent="0.3">
      <c r="A68" s="4" t="s">
        <v>234</v>
      </c>
      <c r="H68" s="693"/>
      <c r="I68" s="277"/>
    </row>
    <row r="69" spans="1:14" x14ac:dyDescent="0.3">
      <c r="A69" s="4" t="s">
        <v>235</v>
      </c>
      <c r="B69" s="5"/>
      <c r="C69" s="4"/>
      <c r="D69" s="4"/>
      <c r="E69" s="4"/>
      <c r="F69" s="4"/>
    </row>
    <row r="70" spans="1:14" x14ac:dyDescent="0.3">
      <c r="A70" s="4" t="s">
        <v>236</v>
      </c>
      <c r="B70" s="5"/>
      <c r="C70" s="4"/>
      <c r="D70" s="4"/>
      <c r="E70" s="4"/>
      <c r="F70" s="4"/>
    </row>
    <row r="71" spans="1:14" x14ac:dyDescent="0.3">
      <c r="A71" s="4" t="s">
        <v>237</v>
      </c>
      <c r="B71" s="35"/>
    </row>
    <row r="72" spans="1:14" x14ac:dyDescent="0.3">
      <c r="A72" s="4" t="s">
        <v>238</v>
      </c>
    </row>
    <row r="73" spans="1:14" x14ac:dyDescent="0.3">
      <c r="A73" s="4" t="s">
        <v>239</v>
      </c>
    </row>
    <row r="74" spans="1:14" x14ac:dyDescent="0.3">
      <c r="A74" s="1478"/>
      <c r="F74" s="153"/>
    </row>
    <row r="114" spans="4:4" x14ac:dyDescent="0.3">
      <c r="D114" s="9" t="s">
        <v>240</v>
      </c>
    </row>
    <row r="115" spans="4:4" x14ac:dyDescent="0.3">
      <c r="D115" s="9" t="s">
        <v>241</v>
      </c>
    </row>
  </sheetData>
  <customSheetViews>
    <customSheetView guid="{CA1C9262-C0F9-4BBB-95C8-A52990BD1149}" scale="70">
      <selection activeCell="E17" sqref="E17"/>
      <pageMargins left="0" right="0" top="0" bottom="0" header="0" footer="0"/>
    </customSheetView>
    <customSheetView guid="{9F71BA88-74DF-4B45-811C-93ABE8314534}" scale="70">
      <selection activeCell="E17" sqref="E17"/>
      <pageMargins left="0" right="0" top="0" bottom="0" header="0" footer="0"/>
    </customSheetView>
    <customSheetView guid="{92EB2B16-3546-4CC6-AF3A-0019867B62A7}" scale="70">
      <selection activeCell="B48" sqref="B48"/>
      <pageMargins left="0" right="0" top="0" bottom="0" header="0" footer="0"/>
    </customSheetView>
  </customSheetViews>
  <mergeCells count="1">
    <mergeCell ref="G3:O3"/>
  </mergeCells>
  <phoneticPr fontId="74" type="noConversion"/>
  <conditionalFormatting sqref="K9 E45">
    <cfRule type="containsText" dxfId="47" priority="5" operator="containsText" text="Model is Out of Balance">
      <formula>NOT(ISERROR(SEARCH("Model is Out of Balance",E9)))</formula>
    </cfRule>
    <cfRule type="cellIs" priority="6" operator="notEqual">
      <formula>"Model Is Balanced"</formula>
    </cfRule>
    <cfRule type="cellIs" dxfId="46" priority="7" operator="equal">
      <formula>"Model Is Balanced"</formula>
    </cfRule>
  </conditionalFormatting>
  <conditionalFormatting sqref="K10">
    <cfRule type="cellIs" dxfId="45" priority="1" operator="equal">
      <formula>"Hold Harmless, Out of Balance"</formula>
    </cfRule>
  </conditionalFormatting>
  <hyperlinks>
    <hyperlink ref="A39" location="'2.4 Weighted Funding, Initial'!A1" display="State only English Learner Funding" xr:uid="{09603DD6-64D7-4F23-953C-B33BD0EBE88B}"/>
  </hyperlinks>
  <pageMargins left="0.7" right="0.7" top="0.75" bottom="0.75" header="0.3" footer="0.3"/>
  <pageSetup scale="61"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2DF16-3B9F-4003-AA11-988B14D2D3BE}">
  <sheetPr>
    <tabColor rgb="FFFF0000"/>
  </sheetPr>
  <dimension ref="A1:U757"/>
  <sheetViews>
    <sheetView topLeftCell="A52" zoomScale="70" zoomScaleNormal="70" workbookViewId="0">
      <selection activeCell="A79" sqref="A79:XFD80"/>
    </sheetView>
  </sheetViews>
  <sheetFormatPr defaultColWidth="8.7109375" defaultRowHeight="16.5" x14ac:dyDescent="0.3"/>
  <cols>
    <col min="1" max="1" width="14" style="9" customWidth="1"/>
    <col min="2" max="2" width="8.7109375" style="35" customWidth="1"/>
    <col min="3" max="3" width="7.42578125" style="35" customWidth="1"/>
    <col min="4" max="4" width="20.7109375" style="35" customWidth="1"/>
    <col min="5" max="5" width="43.42578125" style="9" bestFit="1" customWidth="1"/>
    <col min="6" max="6" width="46.140625" style="9" hidden="1" customWidth="1"/>
    <col min="7" max="7" width="20.7109375" style="1520" bestFit="1" customWidth="1"/>
    <col min="8" max="8" width="11.7109375" style="9" bestFit="1" customWidth="1"/>
    <col min="9" max="9" width="20.7109375" style="9" customWidth="1"/>
    <col min="10" max="10" width="19.140625" style="36" bestFit="1" customWidth="1"/>
    <col min="11" max="11" width="19.5703125" style="9" bestFit="1" customWidth="1"/>
    <col min="12" max="12" width="16.7109375" style="36" customWidth="1"/>
    <col min="13" max="13" width="11.7109375" style="9" customWidth="1"/>
    <col min="14" max="14" width="14.140625" style="9" customWidth="1"/>
    <col min="15" max="15" width="12.5703125" style="9" bestFit="1" customWidth="1"/>
    <col min="16" max="16" width="14.7109375" style="9" customWidth="1"/>
    <col min="17" max="17" width="51.5703125" style="9" bestFit="1" customWidth="1"/>
    <col min="18" max="18" width="16" style="9" bestFit="1" customWidth="1"/>
    <col min="19" max="19" width="8.7109375" style="9" customWidth="1"/>
    <col min="20" max="20" width="12.140625" style="9" bestFit="1" customWidth="1"/>
    <col min="21" max="21" width="11" style="9" bestFit="1" customWidth="1"/>
    <col min="22" max="16384" width="8.7109375" style="9"/>
  </cols>
  <sheetData>
    <row r="1" spans="1:21" s="4" customFormat="1" x14ac:dyDescent="0.3">
      <c r="A1" s="4" t="s">
        <v>15</v>
      </c>
      <c r="D1" s="5"/>
      <c r="G1" s="1476" t="s">
        <v>242</v>
      </c>
      <c r="I1" s="1477" t="s">
        <v>243</v>
      </c>
      <c r="J1" s="1478"/>
      <c r="L1" s="1478"/>
    </row>
    <row r="2" spans="1:21" x14ac:dyDescent="0.3">
      <c r="A2" s="9" t="str">
        <f>CONCATENATE("Pupil Center Funding Plan | FY",'1.1 Assumption Control YR1'!D5)</f>
        <v>Pupil Center Funding Plan | FY2026</v>
      </c>
      <c r="B2" s="9"/>
      <c r="C2" s="9"/>
      <c r="E2" s="108"/>
      <c r="G2" s="1476"/>
      <c r="I2" s="1477" t="s">
        <v>244</v>
      </c>
    </row>
    <row r="3" spans="1:21" x14ac:dyDescent="0.3">
      <c r="A3" s="9" t="s">
        <v>245</v>
      </c>
      <c r="B3" s="9"/>
      <c r="C3" s="9"/>
      <c r="E3" s="74"/>
      <c r="G3" s="1480"/>
      <c r="I3" s="1477" t="s">
        <v>246</v>
      </c>
    </row>
    <row r="4" spans="1:21" x14ac:dyDescent="0.3">
      <c r="B4" s="9"/>
      <c r="C4" s="9"/>
      <c r="D4" s="9"/>
      <c r="E4" s="17"/>
      <c r="G4" s="17"/>
      <c r="I4" s="1521" t="s">
        <v>248</v>
      </c>
      <c r="J4" s="9"/>
      <c r="P4" s="9" t="s">
        <v>240</v>
      </c>
    </row>
    <row r="5" spans="1:21" s="4" customFormat="1" ht="15" customHeight="1" x14ac:dyDescent="0.3">
      <c r="E5" s="17"/>
      <c r="G5" s="1481"/>
      <c r="I5" s="1482" t="s">
        <v>249</v>
      </c>
      <c r="J5" s="1482"/>
      <c r="K5" s="1482"/>
      <c r="L5" s="1483"/>
      <c r="P5" s="9" t="s">
        <v>241</v>
      </c>
    </row>
    <row r="6" spans="1:21" x14ac:dyDescent="0.3">
      <c r="A6" s="4"/>
      <c r="B6" s="1484"/>
      <c r="C6" s="5"/>
      <c r="D6" s="5"/>
      <c r="F6" s="4"/>
      <c r="G6" s="1485" t="s">
        <v>250</v>
      </c>
      <c r="H6" s="4"/>
      <c r="I6" s="1486">
        <f>'1.1 Assumption Control YR1'!D39</f>
        <v>0.45</v>
      </c>
      <c r="J6" s="1487">
        <f>'1.1 Assumption Control YR1'!D40</f>
        <v>0.35</v>
      </c>
      <c r="K6" s="1488">
        <f>'1.1 Assumption Control YR1'!D41</f>
        <v>0.12</v>
      </c>
      <c r="L6" s="1478"/>
      <c r="M6" s="4"/>
    </row>
    <row r="7" spans="1:21" x14ac:dyDescent="0.3">
      <c r="A7" s="4" t="s">
        <v>251</v>
      </c>
      <c r="B7" s="1484"/>
      <c r="C7" s="5"/>
      <c r="D7" s="5"/>
      <c r="F7" s="4"/>
      <c r="G7" s="1485" t="s">
        <v>252</v>
      </c>
      <c r="H7" s="4"/>
      <c r="I7" s="1486">
        <f>'1.1 Assumption Control YR1'!D39</f>
        <v>0.45</v>
      </c>
      <c r="J7" s="1487">
        <f>'1.1 Assumption Control YR1'!D40</f>
        <v>0.35</v>
      </c>
      <c r="K7" s="1488">
        <f>'1.1 Assumption Control YR1'!D41</f>
        <v>0.12</v>
      </c>
      <c r="L7" s="1478"/>
      <c r="M7" s="4"/>
      <c r="N7" s="4"/>
      <c r="O7" s="4"/>
      <c r="P7" s="4"/>
      <c r="Q7" s="4"/>
      <c r="R7" s="4"/>
      <c r="S7" s="4"/>
      <c r="T7" s="4"/>
      <c r="U7" s="4"/>
    </row>
    <row r="8" spans="1:21" ht="116.25" thickBot="1" x14ac:dyDescent="0.35">
      <c r="A8" s="1489" t="s">
        <v>253</v>
      </c>
      <c r="B8" s="528" t="s">
        <v>254</v>
      </c>
      <c r="C8" s="528" t="s">
        <v>255</v>
      </c>
      <c r="D8" s="528" t="s">
        <v>256</v>
      </c>
      <c r="E8" s="1489" t="s">
        <v>257</v>
      </c>
      <c r="F8" s="1489" t="s">
        <v>258</v>
      </c>
      <c r="G8" s="1970" t="s">
        <v>259</v>
      </c>
      <c r="H8" s="1970"/>
      <c r="I8" s="1971" t="s">
        <v>261</v>
      </c>
      <c r="J8" s="1970" t="s">
        <v>262</v>
      </c>
      <c r="K8" s="1970" t="s">
        <v>263</v>
      </c>
      <c r="L8" s="1970" t="s">
        <v>264</v>
      </c>
      <c r="M8" s="1969"/>
      <c r="N8" s="278" t="s">
        <v>265</v>
      </c>
      <c r="O8" s="279" t="s">
        <v>266</v>
      </c>
      <c r="P8" s="608" t="s">
        <v>267</v>
      </c>
      <c r="Q8" s="4"/>
      <c r="R8" s="4"/>
      <c r="S8" s="4"/>
      <c r="T8" s="4"/>
      <c r="U8" s="4"/>
    </row>
    <row r="9" spans="1:21" ht="18" thickTop="1" thickBot="1" x14ac:dyDescent="0.35">
      <c r="A9" s="309" t="s">
        <v>270</v>
      </c>
      <c r="B9" s="1490">
        <v>13</v>
      </c>
      <c r="C9" s="1490">
        <v>13</v>
      </c>
      <c r="D9" s="1490"/>
      <c r="E9" s="309" t="s">
        <v>270</v>
      </c>
      <c r="F9" s="309"/>
      <c r="G9" s="1491">
        <f>SUM(G119:G129)+H9</f>
        <v>6970.4860982512937</v>
      </c>
      <c r="H9" s="1491"/>
      <c r="I9" s="1491">
        <v>780</v>
      </c>
      <c r="J9" s="1491">
        <v>221</v>
      </c>
      <c r="K9" s="1491">
        <v>285</v>
      </c>
      <c r="L9" s="1491">
        <f>SUM(L119:L129)</f>
        <v>0</v>
      </c>
      <c r="M9" s="1526"/>
      <c r="N9" s="607">
        <f t="shared" ref="N9:N29" si="0">IF(G9=0,0,I9/G9)</f>
        <v>0.11190037380544822</v>
      </c>
      <c r="O9" s="310">
        <f t="shared" ref="O9:O29" si="1">IF(G9=0,0,J9/G9)</f>
        <v>3.1705105911543664E-2</v>
      </c>
      <c r="P9" s="1493">
        <f t="shared" ref="P9:P29" si="2">IF(G9=0,0,K9/G9)</f>
        <v>4.0886675044298389E-2</v>
      </c>
    </row>
    <row r="10" spans="1:21" ht="18" thickTop="1" thickBot="1" x14ac:dyDescent="0.35">
      <c r="A10" s="309" t="s">
        <v>271</v>
      </c>
      <c r="B10" s="1490">
        <v>1</v>
      </c>
      <c r="C10" s="1490">
        <v>1</v>
      </c>
      <c r="D10" s="1490"/>
      <c r="E10" s="309" t="s">
        <v>271</v>
      </c>
      <c r="F10" s="309"/>
      <c r="G10" s="1491">
        <f>SUM(G130:G135)+H10</f>
        <v>3074.1458778318033</v>
      </c>
      <c r="H10" s="1491"/>
      <c r="I10" s="1491">
        <v>114</v>
      </c>
      <c r="J10" s="1491">
        <v>87</v>
      </c>
      <c r="K10" s="1491">
        <v>0</v>
      </c>
      <c r="L10" s="1491">
        <f>SUM(L130:L135)</f>
        <v>0</v>
      </c>
      <c r="M10" s="1526"/>
      <c r="N10" s="607">
        <f t="shared" si="0"/>
        <v>3.7083471159281567E-2</v>
      </c>
      <c r="O10" s="310">
        <f t="shared" si="1"/>
        <v>2.8300543779451723E-2</v>
      </c>
      <c r="P10" s="1493">
        <f t="shared" si="2"/>
        <v>0</v>
      </c>
    </row>
    <row r="11" spans="1:21" ht="18" thickTop="1" thickBot="1" x14ac:dyDescent="0.35">
      <c r="A11" s="309" t="s">
        <v>273</v>
      </c>
      <c r="B11" s="1490">
        <v>2</v>
      </c>
      <c r="C11" s="1490">
        <v>2</v>
      </c>
      <c r="D11" s="1490"/>
      <c r="E11" s="309" t="s">
        <v>273</v>
      </c>
      <c r="F11" s="309"/>
      <c r="G11" s="1491">
        <f>SUM(G136:G501)+H11</f>
        <v>285878.81775061262</v>
      </c>
      <c r="H11" s="1491"/>
      <c r="I11" s="1491">
        <v>38828</v>
      </c>
      <c r="J11" s="1491">
        <v>41674</v>
      </c>
      <c r="K11" s="1491">
        <v>5436</v>
      </c>
      <c r="L11" s="1491">
        <f>SUM(L136:L499)</f>
        <v>4270.5052025537861</v>
      </c>
      <c r="M11" s="1526"/>
      <c r="N11" s="607">
        <f t="shared" si="0"/>
        <v>0.13581978652882123</v>
      </c>
      <c r="O11" s="310">
        <f t="shared" si="1"/>
        <v>0.14577505366751048</v>
      </c>
      <c r="P11" s="1493">
        <f t="shared" si="2"/>
        <v>1.9015049952886377E-2</v>
      </c>
      <c r="U11" s="108"/>
    </row>
    <row r="12" spans="1:21" ht="18" thickTop="1" thickBot="1" x14ac:dyDescent="0.35">
      <c r="A12" s="309" t="s">
        <v>275</v>
      </c>
      <c r="B12" s="1490">
        <v>3</v>
      </c>
      <c r="C12" s="1490">
        <v>3</v>
      </c>
      <c r="D12" s="1490"/>
      <c r="E12" s="309" t="s">
        <v>275</v>
      </c>
      <c r="F12" s="309"/>
      <c r="G12" s="1491">
        <f>SUM(G502:G516)+H12</f>
        <v>4790.5859463145525</v>
      </c>
      <c r="H12" s="1491"/>
      <c r="I12" s="1491">
        <v>161</v>
      </c>
      <c r="J12" s="1491">
        <v>144</v>
      </c>
      <c r="K12" s="1491">
        <v>118</v>
      </c>
      <c r="L12" s="1491">
        <f>SUM(L502:L516)</f>
        <v>15.264272057143687</v>
      </c>
      <c r="M12" s="1526"/>
      <c r="N12" s="607">
        <f t="shared" si="0"/>
        <v>3.3607579908645407E-2</v>
      </c>
      <c r="O12" s="310">
        <f t="shared" si="1"/>
        <v>3.0058953458664214E-2</v>
      </c>
      <c r="P12" s="1493">
        <f t="shared" si="2"/>
        <v>2.463164241751651E-2</v>
      </c>
      <c r="T12" s="13"/>
      <c r="U12" s="108"/>
    </row>
    <row r="13" spans="1:21" ht="18" thickTop="1" thickBot="1" x14ac:dyDescent="0.35">
      <c r="A13" s="309" t="s">
        <v>277</v>
      </c>
      <c r="B13" s="1490">
        <v>4</v>
      </c>
      <c r="C13" s="1490">
        <v>4</v>
      </c>
      <c r="D13" s="1490"/>
      <c r="E13" s="309" t="s">
        <v>277</v>
      </c>
      <c r="F13" s="309"/>
      <c r="G13" s="1491">
        <f>SUM(G517:G550)+H13</f>
        <v>9234.4483500865917</v>
      </c>
      <c r="H13" s="1491"/>
      <c r="I13" s="1491">
        <v>669</v>
      </c>
      <c r="J13" s="1491">
        <v>452</v>
      </c>
      <c r="K13" s="1491">
        <v>38</v>
      </c>
      <c r="L13" s="1491">
        <f>SUM(L517:L550)</f>
        <v>66.516314588571021</v>
      </c>
      <c r="M13" s="1526"/>
      <c r="N13" s="607">
        <f t="shared" si="0"/>
        <v>7.2446125056698896E-2</v>
      </c>
      <c r="O13" s="310">
        <f t="shared" si="1"/>
        <v>4.8947157736364572E-2</v>
      </c>
      <c r="P13" s="1493">
        <f t="shared" si="2"/>
        <v>4.1150265353580833E-3</v>
      </c>
    </row>
    <row r="14" spans="1:21" ht="18" thickTop="1" thickBot="1" x14ac:dyDescent="0.35">
      <c r="A14" s="309" t="s">
        <v>279</v>
      </c>
      <c r="B14" s="1490">
        <v>5</v>
      </c>
      <c r="C14" s="1490">
        <v>5</v>
      </c>
      <c r="D14" s="1490"/>
      <c r="E14" s="309" t="s">
        <v>279</v>
      </c>
      <c r="F14" s="309"/>
      <c r="G14" s="1491">
        <f>SUM(G551:G555)+H14</f>
        <v>80.635895560117746</v>
      </c>
      <c r="H14" s="1491"/>
      <c r="I14" s="1491">
        <v>11</v>
      </c>
      <c r="J14" s="1491">
        <v>1</v>
      </c>
      <c r="K14" s="1491">
        <v>0</v>
      </c>
      <c r="L14" s="1491">
        <f>SUM(L551:L555)</f>
        <v>11.270292041752496</v>
      </c>
      <c r="M14" s="1526"/>
      <c r="N14" s="607">
        <f t="shared" si="0"/>
        <v>0.13641567348624531</v>
      </c>
      <c r="O14" s="310">
        <f t="shared" si="1"/>
        <v>1.2401424862385936E-2</v>
      </c>
      <c r="P14" s="1493">
        <f t="shared" si="2"/>
        <v>0</v>
      </c>
    </row>
    <row r="15" spans="1:21" ht="18" thickTop="1" thickBot="1" x14ac:dyDescent="0.35">
      <c r="A15" s="309" t="s">
        <v>281</v>
      </c>
      <c r="B15" s="1490">
        <v>6</v>
      </c>
      <c r="C15" s="1490">
        <v>6</v>
      </c>
      <c r="D15" s="1490"/>
      <c r="E15" s="309" t="s">
        <v>281</v>
      </c>
      <c r="F15" s="309"/>
      <c r="G15" s="1491">
        <f>SUM(G556:G558)+H15</f>
        <v>297.58201989503061</v>
      </c>
      <c r="H15" s="1491"/>
      <c r="I15" s="1491">
        <v>4</v>
      </c>
      <c r="J15" s="1491">
        <v>1</v>
      </c>
      <c r="K15" s="1491">
        <v>0</v>
      </c>
      <c r="L15" s="1491">
        <f>SUM(L556:L558)</f>
        <v>0</v>
      </c>
      <c r="M15" s="1526"/>
      <c r="N15" s="607">
        <f t="shared" si="0"/>
        <v>1.3441672320830957E-2</v>
      </c>
      <c r="O15" s="310">
        <f t="shared" si="1"/>
        <v>3.3604180802077393E-3</v>
      </c>
      <c r="P15" s="1493">
        <f t="shared" si="2"/>
        <v>0</v>
      </c>
    </row>
    <row r="16" spans="1:21" ht="18" thickTop="1" thickBot="1" x14ac:dyDescent="0.35">
      <c r="A16" s="309" t="s">
        <v>283</v>
      </c>
      <c r="B16" s="1490">
        <v>7</v>
      </c>
      <c r="C16" s="1490">
        <v>7</v>
      </c>
      <c r="D16" s="1490"/>
      <c r="E16" s="309" t="s">
        <v>283</v>
      </c>
      <c r="F16" s="309"/>
      <c r="G16" s="1491">
        <f>SUM(G559:G571)+H16</f>
        <v>3135.8857800940204</v>
      </c>
      <c r="H16" s="1491"/>
      <c r="I16" s="1491">
        <v>197</v>
      </c>
      <c r="J16" s="1491">
        <v>106</v>
      </c>
      <c r="K16" s="1491">
        <v>0</v>
      </c>
      <c r="L16" s="1491">
        <f>SUM(L559:L571)</f>
        <v>0</v>
      </c>
      <c r="M16" s="1526"/>
      <c r="N16" s="607">
        <f t="shared" si="0"/>
        <v>6.2821165633811293E-2</v>
      </c>
      <c r="O16" s="310">
        <f t="shared" si="1"/>
        <v>3.3802251559309632E-2</v>
      </c>
      <c r="P16" s="1493">
        <f t="shared" si="2"/>
        <v>0</v>
      </c>
    </row>
    <row r="17" spans="1:21" ht="18" thickTop="1" thickBot="1" x14ac:dyDescent="0.35">
      <c r="A17" s="309" t="s">
        <v>285</v>
      </c>
      <c r="B17" s="1490">
        <v>8</v>
      </c>
      <c r="C17" s="1490">
        <v>8</v>
      </c>
      <c r="D17" s="1490"/>
      <c r="E17" s="309" t="s">
        <v>285</v>
      </c>
      <c r="F17" s="309"/>
      <c r="G17" s="1491">
        <f>SUM(G572:G575)+H17</f>
        <v>970.28169719049401</v>
      </c>
      <c r="H17" s="1491"/>
      <c r="I17" s="1491">
        <v>39</v>
      </c>
      <c r="J17" s="1491">
        <v>79</v>
      </c>
      <c r="K17" s="1491">
        <v>0</v>
      </c>
      <c r="L17" s="1491">
        <f>SUM(L572:L575)</f>
        <v>0</v>
      </c>
      <c r="M17" s="1526"/>
      <c r="N17" s="607">
        <f t="shared" si="0"/>
        <v>4.0194512699689919E-2</v>
      </c>
      <c r="O17" s="310">
        <f t="shared" si="1"/>
        <v>8.1419653930141112E-2</v>
      </c>
      <c r="P17" s="1493">
        <f t="shared" si="2"/>
        <v>0</v>
      </c>
    </row>
    <row r="18" spans="1:21" ht="18" thickTop="1" thickBot="1" x14ac:dyDescent="0.35">
      <c r="A18" s="309" t="s">
        <v>287</v>
      </c>
      <c r="B18" s="1490">
        <v>9</v>
      </c>
      <c r="C18" s="1490">
        <v>9</v>
      </c>
      <c r="D18" s="1490"/>
      <c r="E18" s="309" t="s">
        <v>287</v>
      </c>
      <c r="F18" s="309"/>
      <c r="G18" s="1491">
        <f>SUM(G576:G584)+H18</f>
        <v>870.02699048734246</v>
      </c>
      <c r="H18" s="1491"/>
      <c r="I18" s="1491">
        <v>8</v>
      </c>
      <c r="J18" s="1491">
        <v>41</v>
      </c>
      <c r="K18" s="1491">
        <v>0</v>
      </c>
      <c r="L18" s="1491">
        <f>SUM(L576:L584)</f>
        <v>0</v>
      </c>
      <c r="M18" s="1526"/>
      <c r="N18" s="607">
        <f t="shared" si="0"/>
        <v>9.1951170336897585E-3</v>
      </c>
      <c r="O18" s="310">
        <f t="shared" si="1"/>
        <v>4.7124974797660014E-2</v>
      </c>
      <c r="P18" s="1493">
        <f t="shared" si="2"/>
        <v>0</v>
      </c>
    </row>
    <row r="19" spans="1:21" ht="18" thickTop="1" thickBot="1" x14ac:dyDescent="0.35">
      <c r="A19" s="309" t="s">
        <v>289</v>
      </c>
      <c r="B19" s="1490">
        <v>10</v>
      </c>
      <c r="C19" s="1490">
        <v>10</v>
      </c>
      <c r="D19" s="1490"/>
      <c r="E19" s="309" t="s">
        <v>289</v>
      </c>
      <c r="F19" s="309"/>
      <c r="G19" s="1491">
        <f>SUM(G585:G603)+H19</f>
        <v>8933.9764767711295</v>
      </c>
      <c r="H19" s="1491"/>
      <c r="I19" s="1491">
        <v>536</v>
      </c>
      <c r="J19" s="1491">
        <v>389</v>
      </c>
      <c r="K19" s="1491">
        <v>60</v>
      </c>
      <c r="L19" s="1491">
        <f>SUM(L585:L603)</f>
        <v>0</v>
      </c>
      <c r="M19" s="1526"/>
      <c r="N19" s="607">
        <f t="shared" si="0"/>
        <v>5.9995680690858311E-2</v>
      </c>
      <c r="O19" s="310">
        <f t="shared" si="1"/>
        <v>4.3541641396910226E-2</v>
      </c>
      <c r="P19" s="1493">
        <f t="shared" si="2"/>
        <v>6.7159344056930944E-3</v>
      </c>
      <c r="U19" s="108"/>
    </row>
    <row r="20" spans="1:21" ht="18" thickTop="1" thickBot="1" x14ac:dyDescent="0.35">
      <c r="A20" s="309" t="s">
        <v>291</v>
      </c>
      <c r="B20" s="1490">
        <v>11</v>
      </c>
      <c r="C20" s="1490">
        <v>11</v>
      </c>
      <c r="D20" s="1490"/>
      <c r="E20" s="309" t="s">
        <v>291</v>
      </c>
      <c r="F20" s="309"/>
      <c r="G20" s="1491">
        <f>SUM(G604:G607)+H20</f>
        <v>509.60323278309136</v>
      </c>
      <c r="H20" s="1491"/>
      <c r="I20" s="1491">
        <v>34</v>
      </c>
      <c r="J20" s="1491">
        <v>43</v>
      </c>
      <c r="K20" s="1491">
        <v>0</v>
      </c>
      <c r="L20" s="1491">
        <f>SUM(L604:L607)</f>
        <v>0</v>
      </c>
      <c r="M20" s="1526"/>
      <c r="N20" s="607">
        <f t="shared" si="0"/>
        <v>6.6718572043423116E-2</v>
      </c>
      <c r="O20" s="310">
        <f t="shared" si="1"/>
        <v>8.4379370525505704E-2</v>
      </c>
      <c r="P20" s="1493">
        <f t="shared" si="2"/>
        <v>0</v>
      </c>
    </row>
    <row r="21" spans="1:21" ht="18" thickTop="1" thickBot="1" x14ac:dyDescent="0.35">
      <c r="A21" s="309" t="s">
        <v>293</v>
      </c>
      <c r="B21" s="1490">
        <v>12</v>
      </c>
      <c r="C21" s="1490">
        <v>12</v>
      </c>
      <c r="D21" s="1490"/>
      <c r="E21" s="309" t="s">
        <v>293</v>
      </c>
      <c r="F21" s="309"/>
      <c r="G21" s="1491">
        <f>SUM(G608:G631)+H21</f>
        <v>5457.0457625112185</v>
      </c>
      <c r="H21" s="1491"/>
      <c r="I21" s="1491">
        <v>377</v>
      </c>
      <c r="J21" s="1491">
        <v>271</v>
      </c>
      <c r="K21" s="1491">
        <v>0</v>
      </c>
      <c r="L21" s="1491">
        <f>SUM(L608:L631)</f>
        <v>161.24587053077215</v>
      </c>
      <c r="M21" s="1526"/>
      <c r="N21" s="607">
        <f t="shared" si="0"/>
        <v>6.9084998808313536E-2</v>
      </c>
      <c r="O21" s="310">
        <f t="shared" si="1"/>
        <v>4.9660569435153769E-2</v>
      </c>
      <c r="P21" s="1493">
        <f t="shared" si="2"/>
        <v>0</v>
      </c>
    </row>
    <row r="22" spans="1:21" ht="18" thickTop="1" thickBot="1" x14ac:dyDescent="0.35">
      <c r="A22" s="309" t="s">
        <v>295</v>
      </c>
      <c r="B22" s="1490">
        <v>14</v>
      </c>
      <c r="C22" s="1490">
        <v>14</v>
      </c>
      <c r="D22" s="1490"/>
      <c r="E22" s="309" t="s">
        <v>295</v>
      </c>
      <c r="F22" s="309"/>
      <c r="G22" s="1491">
        <f>SUM(G632:G636)+H22</f>
        <v>635.8592256998902</v>
      </c>
      <c r="H22" s="1491"/>
      <c r="I22" s="1491">
        <v>29</v>
      </c>
      <c r="J22" s="1491">
        <v>28</v>
      </c>
      <c r="K22" s="1491">
        <v>0</v>
      </c>
      <c r="L22" s="1491">
        <f>SUM(L632:L636)</f>
        <v>0</v>
      </c>
      <c r="M22" s="1526"/>
      <c r="N22" s="607">
        <f t="shared" si="0"/>
        <v>4.5607579206041561E-2</v>
      </c>
      <c r="O22" s="310">
        <f t="shared" si="1"/>
        <v>4.4034904061005645E-2</v>
      </c>
      <c r="P22" s="1493">
        <f t="shared" si="2"/>
        <v>0</v>
      </c>
      <c r="U22" s="108"/>
    </row>
    <row r="23" spans="1:21" ht="18" thickTop="1" thickBot="1" x14ac:dyDescent="0.35">
      <c r="A23" s="309" t="s">
        <v>297</v>
      </c>
      <c r="B23" s="1490">
        <v>15</v>
      </c>
      <c r="C23" s="1490">
        <v>15</v>
      </c>
      <c r="D23" s="1490"/>
      <c r="E23" s="309" t="s">
        <v>297</v>
      </c>
      <c r="F23" s="309"/>
      <c r="G23" s="1491">
        <f>SUM(G637:G640)+H23</f>
        <v>395.34078642383383</v>
      </c>
      <c r="H23" s="1491"/>
      <c r="I23" s="1491">
        <v>1</v>
      </c>
      <c r="J23" s="1491">
        <v>9</v>
      </c>
      <c r="K23" s="1491">
        <v>0</v>
      </c>
      <c r="L23" s="1491">
        <f>SUM(L637:L640)</f>
        <v>0</v>
      </c>
      <c r="M23" s="1526"/>
      <c r="N23" s="607">
        <f t="shared" si="0"/>
        <v>2.5294632740673713E-3</v>
      </c>
      <c r="O23" s="310">
        <f t="shared" si="1"/>
        <v>2.2765169466606339E-2</v>
      </c>
      <c r="P23" s="1493">
        <f t="shared" si="2"/>
        <v>0</v>
      </c>
    </row>
    <row r="24" spans="1:21" ht="18" thickTop="1" thickBot="1" x14ac:dyDescent="0.35">
      <c r="A24" s="309" t="s">
        <v>299</v>
      </c>
      <c r="B24" s="1490">
        <v>16</v>
      </c>
      <c r="C24" s="1490">
        <v>16</v>
      </c>
      <c r="D24" s="1490"/>
      <c r="E24" s="309" t="s">
        <v>299</v>
      </c>
      <c r="F24" s="309"/>
      <c r="G24" s="1491">
        <f>SUM(G641:G743)+H24</f>
        <v>58816.718998091914</v>
      </c>
      <c r="H24" s="1491"/>
      <c r="I24" s="1491">
        <v>6736</v>
      </c>
      <c r="J24" s="1491">
        <v>4401</v>
      </c>
      <c r="K24" s="1491">
        <v>1294</v>
      </c>
      <c r="L24" s="1491">
        <f>SUM(L641:L743)</f>
        <v>574.84482766713779</v>
      </c>
      <c r="M24" s="1526"/>
      <c r="N24" s="607">
        <f t="shared" si="0"/>
        <v>0.11452525939467184</v>
      </c>
      <c r="O24" s="310">
        <f t="shared" si="1"/>
        <v>7.4825663093223097E-2</v>
      </c>
      <c r="P24" s="1493">
        <f t="shared" si="2"/>
        <v>2.2000547158061962E-2</v>
      </c>
    </row>
    <row r="25" spans="1:21" ht="18" thickTop="1" thickBot="1" x14ac:dyDescent="0.35">
      <c r="A25" s="309" t="s">
        <v>301</v>
      </c>
      <c r="B25" s="1490">
        <v>17</v>
      </c>
      <c r="C25" s="1490">
        <v>17</v>
      </c>
      <c r="D25" s="1490"/>
      <c r="E25" s="309" t="s">
        <v>301</v>
      </c>
      <c r="F25" s="309"/>
      <c r="G25" s="1494">
        <f>SUM(G744:G753)+H25</f>
        <v>1231.0239819599622</v>
      </c>
      <c r="H25" s="1494"/>
      <c r="I25" s="1494">
        <v>15</v>
      </c>
      <c r="J25" s="1494">
        <v>120</v>
      </c>
      <c r="K25" s="1494">
        <v>0</v>
      </c>
      <c r="L25" s="1494">
        <f>SUM(L744:L753)</f>
        <v>0</v>
      </c>
      <c r="M25" s="1526"/>
      <c r="N25" s="607">
        <f t="shared" si="0"/>
        <v>1.2184977888178836E-2</v>
      </c>
      <c r="O25" s="310">
        <f t="shared" si="1"/>
        <v>9.7479823105430685E-2</v>
      </c>
      <c r="P25" s="1493">
        <f t="shared" si="2"/>
        <v>0</v>
      </c>
    </row>
    <row r="26" spans="1:21" ht="18" thickTop="1" thickBot="1" x14ac:dyDescent="0.35">
      <c r="A26" s="1495" t="s">
        <v>303</v>
      </c>
      <c r="B26" s="1496">
        <v>18</v>
      </c>
      <c r="C26" s="1496" t="s">
        <v>304</v>
      </c>
      <c r="D26" s="1496"/>
      <c r="E26" s="1497" t="s">
        <v>305</v>
      </c>
      <c r="F26" s="1498"/>
      <c r="G26" s="1499">
        <f>G96+H26</f>
        <v>72301.606666666703</v>
      </c>
      <c r="H26" s="1499"/>
      <c r="I26" s="1500">
        <f>I96</f>
        <v>6384</v>
      </c>
      <c r="J26" s="1500">
        <f>J96</f>
        <v>2007</v>
      </c>
      <c r="K26" s="1500">
        <f>K96</f>
        <v>1491</v>
      </c>
      <c r="L26" s="1501">
        <f>L96</f>
        <v>3425.1842297671528</v>
      </c>
      <c r="M26" s="1526"/>
      <c r="N26" s="607">
        <f t="shared" si="0"/>
        <v>8.8296793035765597E-2</v>
      </c>
      <c r="O26" s="310">
        <f t="shared" si="1"/>
        <v>2.7758719239157511E-2</v>
      </c>
      <c r="P26" s="1493">
        <f t="shared" si="2"/>
        <v>2.0621948373484727E-2</v>
      </c>
    </row>
    <row r="27" spans="1:21" ht="18" thickTop="1" thickBot="1" x14ac:dyDescent="0.35">
      <c r="A27" s="1502" t="s">
        <v>299</v>
      </c>
      <c r="B27" s="1503">
        <v>19</v>
      </c>
      <c r="C27" s="1503" t="s">
        <v>304</v>
      </c>
      <c r="D27" s="1503"/>
      <c r="E27" s="1504" t="s">
        <v>306</v>
      </c>
      <c r="F27" s="1498"/>
      <c r="G27" s="1499">
        <f>G102+H27</f>
        <v>167.88437423074134</v>
      </c>
      <c r="H27" s="1499"/>
      <c r="I27" s="1500">
        <f>I102</f>
        <v>0</v>
      </c>
      <c r="J27" s="1500">
        <f>J102</f>
        <v>0</v>
      </c>
      <c r="K27" s="1500">
        <f>K102</f>
        <v>0</v>
      </c>
      <c r="L27" s="1501">
        <f>L102</f>
        <v>0</v>
      </c>
      <c r="M27" s="1526"/>
      <c r="N27" s="607">
        <f t="shared" si="0"/>
        <v>0</v>
      </c>
      <c r="O27" s="310">
        <f t="shared" si="1"/>
        <v>0</v>
      </c>
      <c r="P27" s="1493">
        <f t="shared" si="2"/>
        <v>0</v>
      </c>
    </row>
    <row r="28" spans="1:21" ht="18" thickTop="1" thickBot="1" x14ac:dyDescent="0.35">
      <c r="A28" s="1502" t="s">
        <v>273</v>
      </c>
      <c r="B28" s="1503">
        <v>20</v>
      </c>
      <c r="C28" s="1503">
        <v>20</v>
      </c>
      <c r="D28" s="1503"/>
      <c r="E28" s="1504" t="s">
        <v>228</v>
      </c>
      <c r="F28" s="1498"/>
      <c r="G28" s="1499">
        <f>G109+H28</f>
        <v>0</v>
      </c>
      <c r="H28" s="1499"/>
      <c r="I28" s="1499">
        <f t="shared" ref="I28:L28" si="3">I109</f>
        <v>0</v>
      </c>
      <c r="J28" s="1499">
        <f t="shared" si="3"/>
        <v>0</v>
      </c>
      <c r="K28" s="1499">
        <f t="shared" si="3"/>
        <v>0</v>
      </c>
      <c r="L28" s="1499">
        <f t="shared" si="3"/>
        <v>0</v>
      </c>
      <c r="M28" s="1526"/>
      <c r="N28" s="607">
        <f t="shared" si="0"/>
        <v>0</v>
      </c>
      <c r="O28" s="310">
        <f t="shared" si="1"/>
        <v>0</v>
      </c>
      <c r="P28" s="1493">
        <f t="shared" si="2"/>
        <v>0</v>
      </c>
    </row>
    <row r="29" spans="1:21" ht="18" thickTop="1" thickBot="1" x14ac:dyDescent="0.35">
      <c r="A29" s="1505" t="s">
        <v>273</v>
      </c>
      <c r="B29" s="1506">
        <v>21</v>
      </c>
      <c r="C29" s="1506">
        <v>21</v>
      </c>
      <c r="D29" s="1506"/>
      <c r="E29" s="1507" t="s">
        <v>230</v>
      </c>
      <c r="F29" s="1498"/>
      <c r="G29" s="1499">
        <f>G115+H29</f>
        <v>0</v>
      </c>
      <c r="H29" s="1499"/>
      <c r="I29" s="1499">
        <f t="shared" ref="I29:L29" si="4">I115</f>
        <v>0</v>
      </c>
      <c r="J29" s="1499">
        <f t="shared" si="4"/>
        <v>0</v>
      </c>
      <c r="K29" s="1499">
        <f t="shared" si="4"/>
        <v>0</v>
      </c>
      <c r="L29" s="1499">
        <f t="shared" si="4"/>
        <v>0</v>
      </c>
      <c r="M29" s="1526"/>
      <c r="N29" s="607">
        <f t="shared" si="0"/>
        <v>0</v>
      </c>
      <c r="O29" s="310">
        <f t="shared" si="1"/>
        <v>0</v>
      </c>
      <c r="P29" s="1493">
        <f t="shared" si="2"/>
        <v>0</v>
      </c>
    </row>
    <row r="30" spans="1:21" s="4" customFormat="1" ht="18" thickTop="1" thickBot="1" x14ac:dyDescent="0.35">
      <c r="B30" s="5"/>
      <c r="C30" s="5"/>
      <c r="D30" s="5"/>
      <c r="G30" s="1508">
        <f t="shared" ref="G30:L30" si="5">SUM(G9:G29)</f>
        <v>463751.95591146237</v>
      </c>
      <c r="H30" s="1508">
        <f t="shared" si="5"/>
        <v>0</v>
      </c>
      <c r="I30" s="1509">
        <f t="shared" si="5"/>
        <v>54923</v>
      </c>
      <c r="J30" s="1509">
        <f t="shared" si="5"/>
        <v>50074</v>
      </c>
      <c r="K30" s="1509">
        <f t="shared" si="5"/>
        <v>8722</v>
      </c>
      <c r="L30" s="1508">
        <f t="shared" si="5"/>
        <v>8524.8310092063148</v>
      </c>
      <c r="M30" s="1526"/>
      <c r="N30" s="1510">
        <f>I30/G30</f>
        <v>0.11843184551546274</v>
      </c>
      <c r="O30" s="1511">
        <f>J30/G30</f>
        <v>0.10797582492473611</v>
      </c>
      <c r="P30" s="1512">
        <f>K30/G30</f>
        <v>1.8807467847456731E-2</v>
      </c>
    </row>
    <row r="31" spans="1:21" s="4" customFormat="1" ht="17.25" thickTop="1" x14ac:dyDescent="0.3">
      <c r="B31" s="5"/>
      <c r="C31" s="5"/>
      <c r="D31" s="5"/>
      <c r="G31" s="1513"/>
      <c r="H31" s="1516"/>
      <c r="I31" s="1514"/>
      <c r="J31" s="1514"/>
      <c r="K31" s="1514"/>
      <c r="L31" s="1515"/>
      <c r="M31" s="1516"/>
      <c r="N31" s="1517" t="s">
        <v>310</v>
      </c>
      <c r="O31" s="1518"/>
      <c r="P31" s="1519">
        <f>(G30-G27-G26)-G754</f>
        <v>0</v>
      </c>
    </row>
    <row r="32" spans="1:21" s="4" customFormat="1" x14ac:dyDescent="0.3">
      <c r="A32" s="4" t="s">
        <v>312</v>
      </c>
      <c r="B32" s="5"/>
      <c r="C32" s="5"/>
      <c r="D32" s="5"/>
      <c r="G32" s="1520">
        <f>G30*0.2</f>
        <v>92750.391182292486</v>
      </c>
      <c r="H32" s="2340">
        <f>I32/G30</f>
        <v>0.22640767044019885</v>
      </c>
      <c r="I32" s="108">
        <f>I30+J30</f>
        <v>104997</v>
      </c>
      <c r="J32" s="2339">
        <f>J30/G30</f>
        <v>0.10797582492473611</v>
      </c>
      <c r="K32" s="9"/>
      <c r="L32" s="1521"/>
      <c r="M32" s="1516"/>
      <c r="N32" s="1522" t="s">
        <v>313</v>
      </c>
      <c r="O32" s="9"/>
      <c r="P32" s="1523">
        <f>G26-G96</f>
        <v>0</v>
      </c>
    </row>
    <row r="33" spans="1:21" s="4" customFormat="1" ht="17.25" thickBot="1" x14ac:dyDescent="0.35">
      <c r="A33" s="5" t="str">
        <f>A8</f>
        <v>County</v>
      </c>
      <c r="B33" s="5" t="str">
        <f>B8</f>
        <v>District #</v>
      </c>
      <c r="C33" s="5" t="str">
        <f>C8</f>
        <v>DOHQ#</v>
      </c>
      <c r="D33" s="5" t="str">
        <f>D8</f>
        <v>Attendance Area</v>
      </c>
      <c r="E33" s="4" t="s">
        <v>315</v>
      </c>
      <c r="F33" s="4" t="s">
        <v>316</v>
      </c>
      <c r="G33" s="1524"/>
      <c r="H33" s="1516"/>
      <c r="J33" s="1478"/>
      <c r="L33" s="1478"/>
      <c r="M33" s="1516"/>
      <c r="N33" s="1525" t="s">
        <v>317</v>
      </c>
      <c r="O33" s="137"/>
      <c r="P33" s="1436">
        <f>L26-L96</f>
        <v>0</v>
      </c>
    </row>
    <row r="34" spans="1:21" s="4" customFormat="1" ht="18" thickTop="1" thickBot="1" x14ac:dyDescent="0.35">
      <c r="A34" s="309" t="s">
        <v>273</v>
      </c>
      <c r="B34" s="1490">
        <v>2</v>
      </c>
      <c r="C34" s="1490">
        <v>2</v>
      </c>
      <c r="D34" s="1490" t="s">
        <v>319</v>
      </c>
      <c r="E34" s="1528" t="s">
        <v>320</v>
      </c>
      <c r="F34" s="309" t="s">
        <v>321</v>
      </c>
      <c r="G34" s="1491">
        <v>240.86136805673826</v>
      </c>
      <c r="H34" s="1491"/>
      <c r="I34" s="1491">
        <v>27</v>
      </c>
      <c r="J34" s="1491">
        <v>79</v>
      </c>
      <c r="K34" s="1491">
        <v>0</v>
      </c>
      <c r="L34" s="1491">
        <v>0</v>
      </c>
      <c r="M34" s="1526"/>
      <c r="N34" s="1516"/>
      <c r="O34" s="1840"/>
      <c r="P34" s="108"/>
      <c r="Q34" s="9"/>
    </row>
    <row r="35" spans="1:21" s="4" customFormat="1" ht="18" thickTop="1" thickBot="1" x14ac:dyDescent="0.35">
      <c r="A35" s="309" t="s">
        <v>299</v>
      </c>
      <c r="B35" s="1490">
        <v>16</v>
      </c>
      <c r="C35" s="1490">
        <v>16</v>
      </c>
      <c r="D35" s="1490" t="s">
        <v>323</v>
      </c>
      <c r="E35" s="1528" t="s">
        <v>324</v>
      </c>
      <c r="F35" s="309" t="s">
        <v>325</v>
      </c>
      <c r="G35" s="1491">
        <v>253.57864951202251</v>
      </c>
      <c r="H35" s="1491"/>
      <c r="I35" s="1491">
        <v>27</v>
      </c>
      <c r="J35" s="1491">
        <v>4</v>
      </c>
      <c r="K35" s="1491">
        <v>0</v>
      </c>
      <c r="L35" s="1491">
        <v>0</v>
      </c>
      <c r="M35" s="1526"/>
      <c r="N35" s="1516"/>
      <c r="O35" s="9"/>
      <c r="P35" s="108"/>
      <c r="Q35" s="9"/>
    </row>
    <row r="36" spans="1:21" s="4" customFormat="1" ht="18" thickTop="1" thickBot="1" x14ac:dyDescent="0.35">
      <c r="A36" s="309" t="s">
        <v>299</v>
      </c>
      <c r="B36" s="1490">
        <v>18</v>
      </c>
      <c r="C36" s="1490">
        <v>16</v>
      </c>
      <c r="D36" s="1490" t="s">
        <v>323</v>
      </c>
      <c r="E36" s="1528" t="s">
        <v>327</v>
      </c>
      <c r="F36" s="309" t="s">
        <v>328</v>
      </c>
      <c r="G36" s="1491">
        <v>164.31844740358281</v>
      </c>
      <c r="H36" s="1491"/>
      <c r="I36" s="1491">
        <v>5</v>
      </c>
      <c r="J36" s="1491">
        <v>8</v>
      </c>
      <c r="K36" s="1491">
        <v>0</v>
      </c>
      <c r="L36" s="1491">
        <v>0</v>
      </c>
      <c r="M36" s="1526"/>
      <c r="N36" s="1516"/>
      <c r="O36" s="34"/>
      <c r="P36" s="108"/>
    </row>
    <row r="37" spans="1:21" s="4" customFormat="1" ht="18" thickTop="1" thickBot="1" x14ac:dyDescent="0.35">
      <c r="A37" s="309" t="s">
        <v>273</v>
      </c>
      <c r="B37" s="1490">
        <v>18</v>
      </c>
      <c r="C37" s="1490">
        <v>2</v>
      </c>
      <c r="D37" s="1490" t="s">
        <v>319</v>
      </c>
      <c r="E37" s="309" t="s">
        <v>330</v>
      </c>
      <c r="F37" s="309" t="s">
        <v>331</v>
      </c>
      <c r="G37" s="1491">
        <v>2368.9011816066622</v>
      </c>
      <c r="H37" s="1491"/>
      <c r="I37" s="1491">
        <v>149</v>
      </c>
      <c r="J37" s="1491">
        <v>9</v>
      </c>
      <c r="K37" s="1491">
        <v>59</v>
      </c>
      <c r="L37" s="1491">
        <v>0</v>
      </c>
      <c r="M37" s="1526"/>
      <c r="N37" s="1516"/>
      <c r="O37" s="9"/>
      <c r="P37" s="108"/>
    </row>
    <row r="38" spans="1:21" ht="18" thickTop="1" thickBot="1" x14ac:dyDescent="0.35">
      <c r="A38" s="309" t="s">
        <v>299</v>
      </c>
      <c r="B38" s="1490">
        <v>16</v>
      </c>
      <c r="C38" s="1490">
        <v>16</v>
      </c>
      <c r="D38" s="1490" t="s">
        <v>323</v>
      </c>
      <c r="E38" s="309" t="s">
        <v>334</v>
      </c>
      <c r="F38" s="309" t="s">
        <v>335</v>
      </c>
      <c r="G38" s="1491">
        <v>166.53929996193739</v>
      </c>
      <c r="H38" s="1491"/>
      <c r="I38" s="1491">
        <v>65</v>
      </c>
      <c r="J38" s="1491">
        <v>31</v>
      </c>
      <c r="K38" s="1491">
        <v>0</v>
      </c>
      <c r="L38" s="1491">
        <v>0</v>
      </c>
      <c r="M38" s="1526"/>
      <c r="N38" s="1516"/>
      <c r="O38" s="34"/>
      <c r="P38" s="108"/>
    </row>
    <row r="39" spans="1:21" ht="18" thickTop="1" thickBot="1" x14ac:dyDescent="0.35">
      <c r="A39" s="309" t="s">
        <v>273</v>
      </c>
      <c r="B39" s="1490">
        <v>18</v>
      </c>
      <c r="C39" s="1490">
        <v>2</v>
      </c>
      <c r="D39" s="1490" t="s">
        <v>319</v>
      </c>
      <c r="E39" s="309" t="s">
        <v>337</v>
      </c>
      <c r="F39" s="309" t="s">
        <v>338</v>
      </c>
      <c r="G39" s="1491">
        <v>270.53331354166147</v>
      </c>
      <c r="H39" s="1491"/>
      <c r="I39" s="1491">
        <v>141</v>
      </c>
      <c r="J39" s="1491">
        <v>0</v>
      </c>
      <c r="K39" s="1491">
        <v>0</v>
      </c>
      <c r="L39" s="1491"/>
      <c r="M39" s="1526"/>
      <c r="N39" s="1516"/>
      <c r="O39" s="13"/>
      <c r="P39" s="108"/>
    </row>
    <row r="40" spans="1:21" ht="18" customHeight="1" thickTop="1" thickBot="1" x14ac:dyDescent="0.35">
      <c r="A40" s="309" t="s">
        <v>273</v>
      </c>
      <c r="B40" s="1490">
        <v>18</v>
      </c>
      <c r="C40" s="1490">
        <v>2</v>
      </c>
      <c r="D40" s="1490" t="s">
        <v>319</v>
      </c>
      <c r="E40" s="309" t="s">
        <v>340</v>
      </c>
      <c r="F40" s="1527" t="s">
        <v>341</v>
      </c>
      <c r="G40" s="1491">
        <v>857.51912183963623</v>
      </c>
      <c r="H40" s="1491"/>
      <c r="I40" s="1491">
        <v>123</v>
      </c>
      <c r="J40" s="1491">
        <v>261</v>
      </c>
      <c r="K40" s="1491">
        <v>0</v>
      </c>
      <c r="L40" s="1491">
        <v>0</v>
      </c>
      <c r="M40" s="1526"/>
      <c r="N40" s="1516"/>
      <c r="P40" s="108"/>
    </row>
    <row r="41" spans="1:21" ht="18" thickTop="1" thickBot="1" x14ac:dyDescent="0.35">
      <c r="A41" s="309" t="s">
        <v>273</v>
      </c>
      <c r="B41" s="1490">
        <v>18</v>
      </c>
      <c r="C41" s="1490">
        <v>2</v>
      </c>
      <c r="D41" s="1490" t="s">
        <v>319</v>
      </c>
      <c r="E41" s="309" t="s">
        <v>343</v>
      </c>
      <c r="F41" s="1527" t="s">
        <v>344</v>
      </c>
      <c r="G41" s="1491">
        <v>301.59239347241777</v>
      </c>
      <c r="H41" s="1491"/>
      <c r="I41" s="1491">
        <v>64</v>
      </c>
      <c r="J41" s="1491">
        <v>0</v>
      </c>
      <c r="K41" s="1491">
        <v>0</v>
      </c>
      <c r="L41" s="1491"/>
      <c r="M41" s="1526"/>
      <c r="N41" s="1516"/>
      <c r="P41" s="108"/>
    </row>
    <row r="42" spans="1:21" ht="18" thickTop="1" thickBot="1" x14ac:dyDescent="0.35">
      <c r="A42" s="309" t="s">
        <v>270</v>
      </c>
      <c r="B42" s="1490">
        <v>13</v>
      </c>
      <c r="C42" s="1490">
        <v>13</v>
      </c>
      <c r="D42" s="1490" t="s">
        <v>270</v>
      </c>
      <c r="E42" s="309" t="s">
        <v>345</v>
      </c>
      <c r="F42" s="309" t="s">
        <v>346</v>
      </c>
      <c r="G42" s="1491">
        <v>296.55722891108132</v>
      </c>
      <c r="H42" s="1491"/>
      <c r="I42" s="1491">
        <v>5</v>
      </c>
      <c r="J42" s="1491">
        <v>1</v>
      </c>
      <c r="K42" s="1491">
        <v>1</v>
      </c>
      <c r="L42" s="1491">
        <v>0</v>
      </c>
      <c r="M42" s="1526"/>
      <c r="N42" s="1516"/>
      <c r="P42" s="108"/>
    </row>
    <row r="43" spans="1:21" ht="18" thickTop="1" thickBot="1" x14ac:dyDescent="0.35">
      <c r="A43" s="309" t="s">
        <v>273</v>
      </c>
      <c r="B43" s="1490">
        <v>18</v>
      </c>
      <c r="C43" s="1490">
        <v>2</v>
      </c>
      <c r="D43" s="1490" t="s">
        <v>319</v>
      </c>
      <c r="E43" s="309" t="s">
        <v>348</v>
      </c>
      <c r="F43" s="309" t="s">
        <v>349</v>
      </c>
      <c r="G43" s="1491">
        <v>916.3393721230467</v>
      </c>
      <c r="H43" s="1491"/>
      <c r="I43" s="1491">
        <v>338</v>
      </c>
      <c r="J43" s="1491">
        <v>5</v>
      </c>
      <c r="K43" s="1491">
        <v>0</v>
      </c>
      <c r="L43" s="1491">
        <v>0</v>
      </c>
      <c r="M43" s="1526"/>
      <c r="N43" s="1516"/>
      <c r="P43" s="108"/>
    </row>
    <row r="44" spans="1:21" ht="18" thickTop="1" thickBot="1" x14ac:dyDescent="0.35">
      <c r="A44" s="309" t="s">
        <v>273</v>
      </c>
      <c r="B44" s="1490">
        <v>18</v>
      </c>
      <c r="C44" s="1490">
        <v>2</v>
      </c>
      <c r="D44" s="1490" t="s">
        <v>319</v>
      </c>
      <c r="E44" s="309" t="s">
        <v>351</v>
      </c>
      <c r="F44" s="309" t="s">
        <v>352</v>
      </c>
      <c r="G44" s="1491">
        <v>5480.3063751434274</v>
      </c>
      <c r="H44" s="1491"/>
      <c r="I44" s="1491">
        <v>264</v>
      </c>
      <c r="J44" s="1491">
        <v>17</v>
      </c>
      <c r="K44" s="1491">
        <v>61</v>
      </c>
      <c r="L44" s="1491">
        <v>0</v>
      </c>
      <c r="M44" s="1526"/>
      <c r="N44" s="1516"/>
      <c r="P44" s="108"/>
    </row>
    <row r="45" spans="1:21" ht="18" thickTop="1" thickBot="1" x14ac:dyDescent="0.35">
      <c r="A45" s="309" t="s">
        <v>299</v>
      </c>
      <c r="B45" s="1490">
        <v>16</v>
      </c>
      <c r="C45" s="1490">
        <v>16</v>
      </c>
      <c r="D45" s="1490" t="s">
        <v>323</v>
      </c>
      <c r="E45" s="309" t="s">
        <v>354</v>
      </c>
      <c r="F45" s="309" t="s">
        <v>355</v>
      </c>
      <c r="G45" s="1491">
        <v>2027.9998005260131</v>
      </c>
      <c r="H45" s="1491"/>
      <c r="I45" s="1491">
        <v>162</v>
      </c>
      <c r="J45" s="1491">
        <v>42</v>
      </c>
      <c r="K45" s="1491">
        <v>1</v>
      </c>
      <c r="L45" s="1491">
        <v>0</v>
      </c>
      <c r="M45" s="1526"/>
      <c r="N45" s="1516"/>
      <c r="P45" s="108"/>
    </row>
    <row r="46" spans="1:21" ht="18" thickTop="1" thickBot="1" x14ac:dyDescent="0.35">
      <c r="A46" s="309" t="s">
        <v>273</v>
      </c>
      <c r="B46" s="1490">
        <v>2</v>
      </c>
      <c r="C46" s="1490">
        <v>2</v>
      </c>
      <c r="D46" s="1490" t="s">
        <v>319</v>
      </c>
      <c r="E46" s="309" t="s">
        <v>357</v>
      </c>
      <c r="F46" s="309" t="s">
        <v>358</v>
      </c>
      <c r="G46" s="1491">
        <v>1405.0080479301287</v>
      </c>
      <c r="H46" s="1491"/>
      <c r="I46" s="1491">
        <v>104</v>
      </c>
      <c r="J46" s="1491">
        <v>315</v>
      </c>
      <c r="K46" s="1491">
        <v>0</v>
      </c>
      <c r="L46" s="1491">
        <v>0</v>
      </c>
      <c r="M46" s="1526"/>
      <c r="N46" s="1516"/>
      <c r="P46" s="108"/>
    </row>
    <row r="47" spans="1:21" ht="18" thickTop="1" thickBot="1" x14ac:dyDescent="0.35">
      <c r="A47" s="309" t="s">
        <v>273</v>
      </c>
      <c r="B47" s="1490">
        <v>18</v>
      </c>
      <c r="C47" s="1490">
        <v>2</v>
      </c>
      <c r="D47" s="1490" t="s">
        <v>319</v>
      </c>
      <c r="E47" s="309" t="s">
        <v>360</v>
      </c>
      <c r="F47" s="309" t="s">
        <v>361</v>
      </c>
      <c r="G47" s="1491">
        <v>1279.0046975769933</v>
      </c>
      <c r="H47" s="1491"/>
      <c r="I47" s="1491">
        <v>104</v>
      </c>
      <c r="J47" s="1491">
        <v>177</v>
      </c>
      <c r="K47" s="1491">
        <v>0</v>
      </c>
      <c r="L47" s="1491">
        <v>0</v>
      </c>
      <c r="M47" s="1526"/>
      <c r="N47" s="1516"/>
      <c r="P47" s="108"/>
    </row>
    <row r="48" spans="1:21" ht="18" thickTop="1" thickBot="1" x14ac:dyDescent="0.35">
      <c r="A48" s="309" t="s">
        <v>273</v>
      </c>
      <c r="B48" s="1490">
        <v>18</v>
      </c>
      <c r="C48" s="1490">
        <v>2</v>
      </c>
      <c r="D48" s="1490" t="s">
        <v>319</v>
      </c>
      <c r="E48" s="309" t="s">
        <v>363</v>
      </c>
      <c r="F48" s="309" t="s">
        <v>364</v>
      </c>
      <c r="G48" s="1491">
        <v>499.79963400639872</v>
      </c>
      <c r="H48" s="1491"/>
      <c r="I48" s="1491">
        <v>55</v>
      </c>
      <c r="J48" s="1491">
        <v>3</v>
      </c>
      <c r="K48" s="1491">
        <v>0</v>
      </c>
      <c r="L48" s="1491">
        <v>0</v>
      </c>
      <c r="M48" s="1526"/>
      <c r="N48" s="1516"/>
      <c r="P48" s="108"/>
      <c r="Q48" s="4" t="s">
        <v>365</v>
      </c>
      <c r="R48" s="4"/>
      <c r="S48" s="4"/>
      <c r="T48" s="4"/>
      <c r="U48" s="4"/>
    </row>
    <row r="49" spans="1:21" ht="18" thickTop="1" thickBot="1" x14ac:dyDescent="0.35">
      <c r="A49" s="1528" t="s">
        <v>273</v>
      </c>
      <c r="B49" s="1529">
        <v>18</v>
      </c>
      <c r="C49" s="1529">
        <v>2</v>
      </c>
      <c r="D49" s="1529" t="s">
        <v>319</v>
      </c>
      <c r="E49" s="1528" t="s">
        <v>368</v>
      </c>
      <c r="F49" s="1528" t="s">
        <v>369</v>
      </c>
      <c r="G49" s="1530">
        <v>55.444307975565003</v>
      </c>
      <c r="H49" s="1530"/>
      <c r="I49" s="1530"/>
      <c r="J49" s="1530"/>
      <c r="K49" s="1530"/>
      <c r="L49" s="1530"/>
      <c r="M49" s="1526" t="s">
        <v>370</v>
      </c>
      <c r="N49" s="1516"/>
      <c r="P49" s="108"/>
      <c r="Q49" s="1935" t="str">
        <f>E49</f>
        <v>Do and Be Academy of Excellence</v>
      </c>
      <c r="R49" s="207">
        <v>54</v>
      </c>
      <c r="S49" s="207"/>
      <c r="T49" s="207"/>
      <c r="U49" s="1936">
        <f>R49-SUM(S49:T49)</f>
        <v>54</v>
      </c>
    </row>
    <row r="50" spans="1:21" ht="18" thickTop="1" thickBot="1" x14ac:dyDescent="0.35">
      <c r="A50" s="309" t="s">
        <v>273</v>
      </c>
      <c r="B50" s="1490">
        <v>18</v>
      </c>
      <c r="C50" s="1490">
        <v>2</v>
      </c>
      <c r="D50" s="1490" t="s">
        <v>319</v>
      </c>
      <c r="E50" s="309" t="s">
        <v>372</v>
      </c>
      <c r="F50" s="309" t="s">
        <v>373</v>
      </c>
      <c r="G50" s="1491">
        <v>6463.7282261846876</v>
      </c>
      <c r="H50" s="1491"/>
      <c r="I50" s="1491">
        <v>232</v>
      </c>
      <c r="J50" s="1491">
        <v>7</v>
      </c>
      <c r="K50" s="1491">
        <v>330</v>
      </c>
      <c r="L50" s="1491">
        <v>0</v>
      </c>
      <c r="M50" s="1526"/>
      <c r="N50" s="1516"/>
      <c r="P50" s="108"/>
      <c r="Q50" s="106" t="str">
        <f>E81</f>
        <v>Pioneer Technical Arts Academy</v>
      </c>
      <c r="R50" s="9">
        <v>257</v>
      </c>
      <c r="S50" s="1947">
        <v>257</v>
      </c>
      <c r="U50" s="112">
        <f t="shared" ref="U50:U53" si="6">R50-SUM(S50:T50)</f>
        <v>0</v>
      </c>
    </row>
    <row r="51" spans="1:21" ht="18" thickTop="1" thickBot="1" x14ac:dyDescent="0.35">
      <c r="A51" s="309" t="s">
        <v>299</v>
      </c>
      <c r="B51" s="1490">
        <v>18</v>
      </c>
      <c r="C51" s="1490">
        <v>16</v>
      </c>
      <c r="D51" s="1490" t="s">
        <v>323</v>
      </c>
      <c r="E51" s="309" t="s">
        <v>375</v>
      </c>
      <c r="F51" s="309" t="s">
        <v>376</v>
      </c>
      <c r="G51" s="1491">
        <v>1018.777864840123</v>
      </c>
      <c r="H51" s="1491"/>
      <c r="I51" s="1491">
        <v>10</v>
      </c>
      <c r="J51" s="1491">
        <v>0</v>
      </c>
      <c r="K51" s="1491">
        <v>79</v>
      </c>
      <c r="L51" s="1491">
        <v>0</v>
      </c>
      <c r="M51" s="1526"/>
      <c r="N51" s="1516"/>
      <c r="P51" s="108"/>
      <c r="Q51" s="106" t="str">
        <f>E84</f>
        <v>Rooted Charter School</v>
      </c>
      <c r="R51" s="9">
        <v>23</v>
      </c>
      <c r="T51" s="1947">
        <v>21.39</v>
      </c>
      <c r="U51" s="1937">
        <f t="shared" si="6"/>
        <v>1.6099999999999994</v>
      </c>
    </row>
    <row r="52" spans="1:21" ht="18" thickTop="1" thickBot="1" x14ac:dyDescent="0.35">
      <c r="A52" s="309" t="s">
        <v>273</v>
      </c>
      <c r="B52" s="1490">
        <v>18</v>
      </c>
      <c r="C52" s="1490">
        <v>2</v>
      </c>
      <c r="D52" s="1490" t="s">
        <v>319</v>
      </c>
      <c r="E52" s="309" t="s">
        <v>378</v>
      </c>
      <c r="F52" s="309" t="s">
        <v>379</v>
      </c>
      <c r="G52" s="1491">
        <v>0</v>
      </c>
      <c r="H52" s="1491"/>
      <c r="I52" s="1491">
        <v>0</v>
      </c>
      <c r="J52" s="1491">
        <v>0</v>
      </c>
      <c r="K52" s="1491">
        <v>0</v>
      </c>
      <c r="L52" s="1491">
        <v>0</v>
      </c>
      <c r="M52" s="1526"/>
      <c r="N52" s="1516"/>
      <c r="P52" s="108"/>
      <c r="Q52" s="1991" t="str">
        <f>E93</f>
        <v>ThrivePoint</v>
      </c>
      <c r="R52" s="309">
        <v>149</v>
      </c>
      <c r="S52" s="309"/>
      <c r="T52" s="309"/>
      <c r="U52" s="1992">
        <f t="shared" si="6"/>
        <v>149</v>
      </c>
    </row>
    <row r="53" spans="1:21" ht="18" thickTop="1" thickBot="1" x14ac:dyDescent="0.35">
      <c r="A53" s="309" t="s">
        <v>277</v>
      </c>
      <c r="B53" s="1490">
        <v>18</v>
      </c>
      <c r="C53" s="1490">
        <v>4</v>
      </c>
      <c r="D53" s="1490" t="s">
        <v>277</v>
      </c>
      <c r="E53" s="309" t="s">
        <v>381</v>
      </c>
      <c r="F53" s="309" t="s">
        <v>382</v>
      </c>
      <c r="G53" s="1491">
        <v>315.7286385132989</v>
      </c>
      <c r="H53" s="1491"/>
      <c r="I53" s="1491">
        <v>8</v>
      </c>
      <c r="J53" s="1491">
        <v>8</v>
      </c>
      <c r="K53" s="1491">
        <v>0</v>
      </c>
      <c r="L53" s="1491">
        <v>0</v>
      </c>
      <c r="M53" s="1526"/>
      <c r="N53" s="1516"/>
      <c r="P53" s="108"/>
      <c r="Q53" s="142" t="str">
        <f>E94</f>
        <v>Vegas Vista Academy</v>
      </c>
      <c r="R53" s="137">
        <v>102</v>
      </c>
      <c r="S53" s="137"/>
      <c r="T53" s="137"/>
      <c r="U53" s="1938">
        <f t="shared" si="6"/>
        <v>102</v>
      </c>
    </row>
    <row r="54" spans="1:21" ht="18" thickTop="1" thickBot="1" x14ac:dyDescent="0.35">
      <c r="A54" s="309" t="s">
        <v>299</v>
      </c>
      <c r="B54" s="1490">
        <v>16</v>
      </c>
      <c r="C54" s="1490">
        <v>16</v>
      </c>
      <c r="D54" s="1490" t="s">
        <v>323</v>
      </c>
      <c r="E54" s="309" t="s">
        <v>384</v>
      </c>
      <c r="F54" s="309" t="s">
        <v>385</v>
      </c>
      <c r="G54" s="1491">
        <v>129.86699722187711</v>
      </c>
      <c r="H54" s="1491"/>
      <c r="I54" s="1491">
        <v>15</v>
      </c>
      <c r="J54" s="1491">
        <v>10</v>
      </c>
      <c r="K54" s="1491">
        <v>0</v>
      </c>
      <c r="L54" s="1491">
        <v>0</v>
      </c>
      <c r="M54" s="1526"/>
      <c r="N54" s="1516"/>
      <c r="P54" s="108"/>
      <c r="Q54" s="142"/>
      <c r="R54" s="137">
        <f>SUM(R49:R53)</f>
        <v>585</v>
      </c>
      <c r="S54" s="137"/>
      <c r="T54" s="137"/>
      <c r="U54" s="1943">
        <f>SUM(U49:U53)</f>
        <v>306.61</v>
      </c>
    </row>
    <row r="55" spans="1:21" ht="18" thickTop="1" thickBot="1" x14ac:dyDescent="0.35">
      <c r="A55" s="309" t="s">
        <v>273</v>
      </c>
      <c r="B55" s="1490">
        <v>18</v>
      </c>
      <c r="C55" s="1490">
        <v>2</v>
      </c>
      <c r="D55" s="1490" t="s">
        <v>319</v>
      </c>
      <c r="E55" s="309" t="s">
        <v>387</v>
      </c>
      <c r="F55" s="309" t="s">
        <v>388</v>
      </c>
      <c r="G55" s="1491">
        <v>900.7667088070209</v>
      </c>
      <c r="H55" s="1491"/>
      <c r="I55" s="1491">
        <v>249</v>
      </c>
      <c r="J55" s="1491">
        <v>22</v>
      </c>
      <c r="K55" s="1491">
        <v>0</v>
      </c>
      <c r="L55" s="1491">
        <v>0</v>
      </c>
      <c r="M55" s="1526"/>
      <c r="P55" s="108"/>
    </row>
    <row r="56" spans="1:21" ht="18" thickTop="1" thickBot="1" x14ac:dyDescent="0.35">
      <c r="A56" s="309" t="s">
        <v>273</v>
      </c>
      <c r="B56" s="1490">
        <v>18</v>
      </c>
      <c r="C56" s="1490">
        <v>2</v>
      </c>
      <c r="D56" s="1490" t="s">
        <v>319</v>
      </c>
      <c r="E56" s="309" t="s">
        <v>390</v>
      </c>
      <c r="F56" s="309" t="s">
        <v>391</v>
      </c>
      <c r="G56" s="1491">
        <v>285.9150020191048</v>
      </c>
      <c r="H56" s="1491"/>
      <c r="I56" s="1491">
        <v>41</v>
      </c>
      <c r="J56" s="1491">
        <v>3</v>
      </c>
      <c r="K56" s="1491">
        <v>0</v>
      </c>
      <c r="L56" s="1491">
        <v>0</v>
      </c>
      <c r="M56" s="1526"/>
      <c r="P56" s="108"/>
      <c r="Q56" s="289" t="s">
        <v>392</v>
      </c>
      <c r="R56" s="1946">
        <v>278.39</v>
      </c>
      <c r="S56" s="291">
        <f>R56-S50</f>
        <v>21.389999999999986</v>
      </c>
      <c r="T56" s="291">
        <f>S56-T51</f>
        <v>0</v>
      </c>
      <c r="U56" s="342"/>
    </row>
    <row r="57" spans="1:21" ht="18" thickTop="1" thickBot="1" x14ac:dyDescent="0.35">
      <c r="A57" s="309" t="s">
        <v>273</v>
      </c>
      <c r="B57" s="1490">
        <v>2</v>
      </c>
      <c r="C57" s="1490">
        <v>2</v>
      </c>
      <c r="D57" s="1490" t="s">
        <v>319</v>
      </c>
      <c r="E57" s="309" t="s">
        <v>394</v>
      </c>
      <c r="F57" s="309" t="s">
        <v>395</v>
      </c>
      <c r="G57" s="1491">
        <v>664.59038477421791</v>
      </c>
      <c r="H57" s="1491"/>
      <c r="I57" s="1491">
        <v>47</v>
      </c>
      <c r="J57" s="1491">
        <v>21</v>
      </c>
      <c r="K57" s="1491">
        <v>0</v>
      </c>
      <c r="L57" s="1491">
        <v>0</v>
      </c>
      <c r="M57" s="1526"/>
      <c r="P57" s="108"/>
    </row>
    <row r="58" spans="1:21" ht="18" thickTop="1" thickBot="1" x14ac:dyDescent="0.35">
      <c r="A58" s="309" t="s">
        <v>273</v>
      </c>
      <c r="B58" s="1490">
        <v>18</v>
      </c>
      <c r="C58" s="1490">
        <v>2</v>
      </c>
      <c r="D58" s="1490" t="s">
        <v>319</v>
      </c>
      <c r="E58" s="309" t="s">
        <v>397</v>
      </c>
      <c r="F58" s="309" t="s">
        <v>398</v>
      </c>
      <c r="G58" s="1491">
        <v>1110.2866416609052</v>
      </c>
      <c r="H58" s="1491"/>
      <c r="I58" s="1491">
        <v>86</v>
      </c>
      <c r="J58" s="1491">
        <v>8</v>
      </c>
      <c r="K58" s="1491">
        <v>0</v>
      </c>
      <c r="L58" s="1491">
        <v>0</v>
      </c>
      <c r="M58" s="1526"/>
      <c r="P58" s="108"/>
      <c r="Q58" s="300" t="s">
        <v>399</v>
      </c>
      <c r="R58" s="1951">
        <v>288530.90825990721</v>
      </c>
      <c r="S58" s="207"/>
      <c r="T58" s="498"/>
      <c r="U58" s="1939"/>
    </row>
    <row r="59" spans="1:21" ht="18" thickTop="1" thickBot="1" x14ac:dyDescent="0.35">
      <c r="A59" s="309" t="s">
        <v>273</v>
      </c>
      <c r="B59" s="1490">
        <v>18</v>
      </c>
      <c r="C59" s="1490">
        <v>2</v>
      </c>
      <c r="D59" s="1490" t="s">
        <v>319</v>
      </c>
      <c r="E59" s="309" t="s">
        <v>401</v>
      </c>
      <c r="F59" s="309" t="s">
        <v>402</v>
      </c>
      <c r="G59" s="1491">
        <v>1074.7232250803561</v>
      </c>
      <c r="H59" s="1491"/>
      <c r="I59" s="1491">
        <v>137</v>
      </c>
      <c r="J59" s="1491">
        <v>21</v>
      </c>
      <c r="K59" s="1491">
        <v>48</v>
      </c>
      <c r="L59" s="1491">
        <v>0</v>
      </c>
      <c r="M59" s="1526"/>
      <c r="P59" s="108"/>
      <c r="Q59" s="106" t="s">
        <v>403</v>
      </c>
      <c r="R59" s="1940">
        <v>-54</v>
      </c>
      <c r="U59" s="112"/>
    </row>
    <row r="60" spans="1:21" ht="18" thickTop="1" thickBot="1" x14ac:dyDescent="0.35">
      <c r="A60" s="309" t="s">
        <v>273</v>
      </c>
      <c r="B60" s="1490">
        <v>18</v>
      </c>
      <c r="C60" s="1490">
        <v>2</v>
      </c>
      <c r="D60" s="1490" t="s">
        <v>319</v>
      </c>
      <c r="E60" s="309" t="s">
        <v>405</v>
      </c>
      <c r="F60" s="309" t="s">
        <v>406</v>
      </c>
      <c r="G60" s="1491">
        <v>467.88219404846518</v>
      </c>
      <c r="H60" s="1491"/>
      <c r="I60" s="1491">
        <v>173</v>
      </c>
      <c r="J60" s="1491">
        <v>0</v>
      </c>
      <c r="K60" s="1491">
        <v>0</v>
      </c>
      <c r="L60" s="1491">
        <v>0</v>
      </c>
      <c r="M60" s="1526"/>
      <c r="P60" s="108"/>
      <c r="Q60" s="106" t="s">
        <v>407</v>
      </c>
      <c r="R60" s="1941">
        <v>-149</v>
      </c>
      <c r="U60" s="112"/>
    </row>
    <row r="61" spans="1:21" ht="18" thickTop="1" thickBot="1" x14ac:dyDescent="0.35">
      <c r="A61" s="309" t="s">
        <v>299</v>
      </c>
      <c r="B61" s="1490">
        <v>16</v>
      </c>
      <c r="C61" s="1490">
        <v>16</v>
      </c>
      <c r="D61" s="1490" t="s">
        <v>323</v>
      </c>
      <c r="E61" s="309" t="s">
        <v>409</v>
      </c>
      <c r="F61" s="309" t="s">
        <v>410</v>
      </c>
      <c r="G61" s="1491">
        <v>411.94504777978403</v>
      </c>
      <c r="H61" s="1491"/>
      <c r="I61" s="1491">
        <v>18</v>
      </c>
      <c r="J61" s="1491">
        <v>16</v>
      </c>
      <c r="K61" s="1491">
        <v>0</v>
      </c>
      <c r="L61" s="1491">
        <v>0</v>
      </c>
      <c r="M61" s="1526"/>
      <c r="P61" s="108"/>
      <c r="Q61" s="142" t="s">
        <v>411</v>
      </c>
      <c r="R61" s="1934">
        <f>SUM((S61:T61))</f>
        <v>-103.61</v>
      </c>
      <c r="S61" s="1934">
        <f>-U53</f>
        <v>-102</v>
      </c>
      <c r="T61" s="1945">
        <f>-U51</f>
        <v>-1.6099999999999994</v>
      </c>
      <c r="U61" s="128"/>
    </row>
    <row r="62" spans="1:21" ht="18" thickTop="1" thickBot="1" x14ac:dyDescent="0.35">
      <c r="A62" s="309" t="s">
        <v>299</v>
      </c>
      <c r="B62" s="1490">
        <v>18</v>
      </c>
      <c r="C62" s="1490">
        <v>16</v>
      </c>
      <c r="D62" s="1490" t="s">
        <v>323</v>
      </c>
      <c r="E62" s="309" t="s">
        <v>413</v>
      </c>
      <c r="F62" s="309" t="s">
        <v>414</v>
      </c>
      <c r="G62" s="1491">
        <v>219.20317856717219</v>
      </c>
      <c r="H62" s="1491"/>
      <c r="I62" s="1491">
        <v>2</v>
      </c>
      <c r="J62" s="1491">
        <v>0</v>
      </c>
      <c r="K62" s="1491">
        <v>2</v>
      </c>
      <c r="L62" s="1491">
        <v>0</v>
      </c>
      <c r="M62" s="1526"/>
      <c r="P62" s="108"/>
      <c r="Q62" s="294"/>
      <c r="R62" s="1942">
        <f>SUM(R58:R61)</f>
        <v>288224.29825990723</v>
      </c>
      <c r="S62" s="226"/>
      <c r="T62" s="226"/>
      <c r="U62" s="1944">
        <f>SUM(R59:R61)</f>
        <v>-306.61</v>
      </c>
    </row>
    <row r="63" spans="1:21" ht="18" thickTop="1" thickBot="1" x14ac:dyDescent="0.35">
      <c r="A63" s="309" t="s">
        <v>273</v>
      </c>
      <c r="B63" s="1490">
        <v>18</v>
      </c>
      <c r="C63" s="1490">
        <v>2</v>
      </c>
      <c r="D63" s="1490" t="s">
        <v>319</v>
      </c>
      <c r="E63" s="309" t="s">
        <v>416</v>
      </c>
      <c r="F63" s="309" t="s">
        <v>417</v>
      </c>
      <c r="G63" s="1491">
        <v>695.95030141306381</v>
      </c>
      <c r="H63" s="1491"/>
      <c r="I63" s="1491">
        <v>82</v>
      </c>
      <c r="J63" s="1491">
        <v>0</v>
      </c>
      <c r="K63" s="1491">
        <v>0</v>
      </c>
      <c r="L63" s="1491">
        <v>0</v>
      </c>
      <c r="M63" s="1526"/>
      <c r="P63" s="108"/>
    </row>
    <row r="64" spans="1:21" ht="18" thickTop="1" thickBot="1" x14ac:dyDescent="0.35">
      <c r="A64" s="309" t="s">
        <v>273</v>
      </c>
      <c r="B64" s="1490">
        <v>2</v>
      </c>
      <c r="C64" s="1490">
        <v>2</v>
      </c>
      <c r="D64" s="1490" t="s">
        <v>319</v>
      </c>
      <c r="E64" s="309" t="s">
        <v>419</v>
      </c>
      <c r="F64" s="309" t="s">
        <v>420</v>
      </c>
      <c r="G64" s="1491">
        <v>682.14466872714809</v>
      </c>
      <c r="H64" s="1491"/>
      <c r="I64" s="1491">
        <v>180</v>
      </c>
      <c r="J64" s="1491">
        <v>61</v>
      </c>
      <c r="K64" s="1491">
        <v>0</v>
      </c>
      <c r="L64" s="1491">
        <v>0</v>
      </c>
      <c r="M64" s="1526"/>
      <c r="P64" s="108"/>
    </row>
    <row r="65" spans="1:16" ht="18" thickTop="1" thickBot="1" x14ac:dyDescent="0.35">
      <c r="A65" s="309" t="s">
        <v>273</v>
      </c>
      <c r="B65" s="1490">
        <v>18</v>
      </c>
      <c r="C65" s="1490">
        <v>2</v>
      </c>
      <c r="D65" s="1490" t="s">
        <v>319</v>
      </c>
      <c r="E65" s="309" t="s">
        <v>422</v>
      </c>
      <c r="F65" s="309" t="s">
        <v>423</v>
      </c>
      <c r="G65" s="1491">
        <v>287.40686460222514</v>
      </c>
      <c r="H65" s="1491"/>
      <c r="I65" s="1491">
        <v>5</v>
      </c>
      <c r="J65" s="1491">
        <v>7</v>
      </c>
      <c r="K65" s="1491">
        <v>0</v>
      </c>
      <c r="L65" s="1491">
        <v>287.40686460222514</v>
      </c>
      <c r="M65" s="1526"/>
      <c r="P65" s="108"/>
    </row>
    <row r="66" spans="1:16" ht="18" thickTop="1" thickBot="1" x14ac:dyDescent="0.35">
      <c r="A66" s="309" t="s">
        <v>301</v>
      </c>
      <c r="B66" s="1490">
        <v>18</v>
      </c>
      <c r="C66" s="1490">
        <v>17</v>
      </c>
      <c r="D66" s="1490" t="s">
        <v>425</v>
      </c>
      <c r="E66" s="309" t="s">
        <v>426</v>
      </c>
      <c r="F66" s="309" t="s">
        <v>427</v>
      </c>
      <c r="G66" s="1491">
        <v>170.53745061484202</v>
      </c>
      <c r="H66" s="1491"/>
      <c r="I66" s="1491">
        <v>0</v>
      </c>
      <c r="J66" s="1491">
        <v>0</v>
      </c>
      <c r="K66" s="1491">
        <v>0</v>
      </c>
      <c r="L66" s="1491">
        <v>0</v>
      </c>
      <c r="M66" s="1526"/>
      <c r="P66" s="108"/>
    </row>
    <row r="67" spans="1:16" ht="18" thickTop="1" thickBot="1" x14ac:dyDescent="0.35">
      <c r="A67" s="309" t="s">
        <v>273</v>
      </c>
      <c r="B67" s="1490">
        <v>18</v>
      </c>
      <c r="C67" s="1490">
        <v>2</v>
      </c>
      <c r="D67" s="1490" t="s">
        <v>319</v>
      </c>
      <c r="E67" s="309" t="s">
        <v>430</v>
      </c>
      <c r="F67" s="309" t="s">
        <v>431</v>
      </c>
      <c r="G67" s="1491">
        <v>4125.1478938155515</v>
      </c>
      <c r="H67" s="1491"/>
      <c r="I67" s="1491">
        <v>280</v>
      </c>
      <c r="J67" s="1491">
        <v>36</v>
      </c>
      <c r="K67" s="1491">
        <v>209</v>
      </c>
      <c r="L67" s="1491">
        <v>0</v>
      </c>
      <c r="M67" s="1526"/>
      <c r="P67" s="108"/>
    </row>
    <row r="68" spans="1:16" ht="18" thickTop="1" thickBot="1" x14ac:dyDescent="0.35">
      <c r="A68" s="309" t="s">
        <v>299</v>
      </c>
      <c r="B68" s="1490">
        <v>16</v>
      </c>
      <c r="C68" s="1490">
        <v>16</v>
      </c>
      <c r="D68" s="1490" t="s">
        <v>323</v>
      </c>
      <c r="E68" s="309" t="s">
        <v>433</v>
      </c>
      <c r="F68" s="309" t="s">
        <v>434</v>
      </c>
      <c r="G68" s="1491">
        <v>164.39442664043821</v>
      </c>
      <c r="H68" s="1491"/>
      <c r="I68" s="1491">
        <v>46</v>
      </c>
      <c r="J68" s="1491">
        <v>0</v>
      </c>
      <c r="K68" s="1491">
        <v>0</v>
      </c>
      <c r="L68" s="1491">
        <v>0</v>
      </c>
      <c r="M68" s="1526"/>
      <c r="P68" s="108"/>
    </row>
    <row r="69" spans="1:16" ht="18" thickTop="1" thickBot="1" x14ac:dyDescent="0.35">
      <c r="A69" s="309" t="s">
        <v>273</v>
      </c>
      <c r="B69" s="1490">
        <v>18</v>
      </c>
      <c r="C69" s="1490">
        <v>2</v>
      </c>
      <c r="D69" s="1490" t="s">
        <v>319</v>
      </c>
      <c r="E69" s="309" t="s">
        <v>436</v>
      </c>
      <c r="F69" s="309" t="s">
        <v>437</v>
      </c>
      <c r="G69" s="1491">
        <v>4489.9355041692297</v>
      </c>
      <c r="H69" s="1491"/>
      <c r="I69" s="1491">
        <v>1459</v>
      </c>
      <c r="J69" s="1491">
        <v>5</v>
      </c>
      <c r="K69" s="1491">
        <v>0</v>
      </c>
      <c r="L69" s="1491">
        <v>0</v>
      </c>
      <c r="M69" s="1526"/>
      <c r="P69" s="108"/>
    </row>
    <row r="70" spans="1:16" ht="18" thickTop="1" thickBot="1" x14ac:dyDescent="0.35">
      <c r="A70" s="1531" t="s">
        <v>299</v>
      </c>
      <c r="B70" s="1532">
        <v>18</v>
      </c>
      <c r="C70" s="1532">
        <v>2</v>
      </c>
      <c r="D70" s="1532" t="s">
        <v>323</v>
      </c>
      <c r="E70" s="1531" t="s">
        <v>439</v>
      </c>
      <c r="F70" s="1531" t="s">
        <v>440</v>
      </c>
      <c r="G70" s="1491">
        <v>502.85317793083078</v>
      </c>
      <c r="H70" s="1491"/>
      <c r="I70" s="1491">
        <v>133</v>
      </c>
      <c r="J70" s="1491">
        <v>2</v>
      </c>
      <c r="K70" s="1491">
        <v>0</v>
      </c>
      <c r="L70" s="1491">
        <v>0</v>
      </c>
      <c r="M70" s="1526"/>
      <c r="P70" s="108"/>
    </row>
    <row r="71" spans="1:16" ht="18" thickTop="1" thickBot="1" x14ac:dyDescent="0.35">
      <c r="A71" s="309" t="s">
        <v>299</v>
      </c>
      <c r="B71" s="1490">
        <v>18</v>
      </c>
      <c r="C71" s="1490">
        <v>16</v>
      </c>
      <c r="D71" s="1490" t="s">
        <v>323</v>
      </c>
      <c r="E71" s="309" t="s">
        <v>442</v>
      </c>
      <c r="F71" s="309" t="s">
        <v>443</v>
      </c>
      <c r="G71" s="1491">
        <v>1200.806661656123</v>
      </c>
      <c r="H71" s="1491"/>
      <c r="I71" s="1491">
        <v>38</v>
      </c>
      <c r="J71" s="1491">
        <v>30</v>
      </c>
      <c r="K71" s="1491">
        <v>0</v>
      </c>
      <c r="L71" s="1491">
        <v>1200.806661656123</v>
      </c>
      <c r="M71" s="1526"/>
      <c r="P71" s="108"/>
    </row>
    <row r="72" spans="1:16" ht="18" thickTop="1" thickBot="1" x14ac:dyDescent="0.35">
      <c r="A72" s="309" t="s">
        <v>273</v>
      </c>
      <c r="B72" s="1490">
        <v>18</v>
      </c>
      <c r="C72" s="1490">
        <v>2</v>
      </c>
      <c r="D72" s="1490" t="s">
        <v>319</v>
      </c>
      <c r="E72" s="309" t="s">
        <v>445</v>
      </c>
      <c r="F72" s="309" t="s">
        <v>446</v>
      </c>
      <c r="G72" s="1491">
        <v>305.23837009503319</v>
      </c>
      <c r="H72" s="1491"/>
      <c r="I72" s="1491">
        <v>74</v>
      </c>
      <c r="J72" s="1491">
        <v>28</v>
      </c>
      <c r="K72" s="1491">
        <v>0</v>
      </c>
      <c r="L72" s="1491">
        <v>0</v>
      </c>
      <c r="M72" s="1526"/>
      <c r="P72" s="108"/>
    </row>
    <row r="73" spans="1:16" ht="18" thickTop="1" thickBot="1" x14ac:dyDescent="0.35">
      <c r="A73" s="309" t="s">
        <v>273</v>
      </c>
      <c r="B73" s="1490">
        <v>18</v>
      </c>
      <c r="C73" s="1490">
        <v>2</v>
      </c>
      <c r="D73" s="1490" t="s">
        <v>319</v>
      </c>
      <c r="E73" s="309" t="s">
        <v>448</v>
      </c>
      <c r="F73" s="309" t="s">
        <v>446</v>
      </c>
      <c r="G73" s="1491">
        <v>372.57548213135692</v>
      </c>
      <c r="H73" s="1491"/>
      <c r="I73" s="1491">
        <v>35</v>
      </c>
      <c r="J73" s="1491">
        <v>1</v>
      </c>
      <c r="K73" s="1491">
        <v>0</v>
      </c>
      <c r="L73" s="1491">
        <v>0</v>
      </c>
      <c r="M73" s="1526"/>
      <c r="P73" s="108"/>
    </row>
    <row r="74" spans="1:16" ht="18" thickTop="1" thickBot="1" x14ac:dyDescent="0.35">
      <c r="A74" s="309" t="s">
        <v>273</v>
      </c>
      <c r="B74" s="1490">
        <v>18</v>
      </c>
      <c r="C74" s="1490">
        <v>2</v>
      </c>
      <c r="D74" s="1490" t="s">
        <v>319</v>
      </c>
      <c r="E74" s="309" t="s">
        <v>450</v>
      </c>
      <c r="F74" s="309" t="s">
        <v>451</v>
      </c>
      <c r="G74" s="1491">
        <v>913.27248049484274</v>
      </c>
      <c r="H74" s="1491"/>
      <c r="I74" s="1491">
        <v>24</v>
      </c>
      <c r="J74" s="1491">
        <v>1</v>
      </c>
      <c r="K74" s="1491">
        <v>0</v>
      </c>
      <c r="L74" s="1491">
        <v>0</v>
      </c>
      <c r="M74" s="1526"/>
      <c r="P74" s="108"/>
    </row>
    <row r="75" spans="1:16" ht="18" thickTop="1" thickBot="1" x14ac:dyDescent="0.35">
      <c r="A75" s="309" t="s">
        <v>299</v>
      </c>
      <c r="B75" s="1490">
        <v>18</v>
      </c>
      <c r="C75" s="1490">
        <v>2</v>
      </c>
      <c r="D75" s="1490" t="s">
        <v>323</v>
      </c>
      <c r="E75" s="309" t="s">
        <v>453</v>
      </c>
      <c r="F75" s="309" t="s">
        <v>454</v>
      </c>
      <c r="G75" s="1491">
        <v>30.196612917803087</v>
      </c>
      <c r="H75" s="1491"/>
      <c r="I75" s="1491">
        <v>0</v>
      </c>
      <c r="J75" s="1491">
        <v>0</v>
      </c>
      <c r="K75" s="1491">
        <v>0</v>
      </c>
      <c r="L75" s="1491">
        <v>0</v>
      </c>
      <c r="M75" s="1526"/>
      <c r="P75" s="108"/>
    </row>
    <row r="76" spans="1:16" ht="18" thickTop="1" thickBot="1" x14ac:dyDescent="0.35">
      <c r="A76" s="309" t="s">
        <v>273</v>
      </c>
      <c r="B76" s="1490">
        <v>18</v>
      </c>
      <c r="C76" s="1490">
        <v>2</v>
      </c>
      <c r="D76" s="1490" t="s">
        <v>319</v>
      </c>
      <c r="E76" s="309" t="s">
        <v>456</v>
      </c>
      <c r="F76" s="309" t="s">
        <v>457</v>
      </c>
      <c r="G76" s="1491">
        <v>1819.9707035088049</v>
      </c>
      <c r="H76" s="1491"/>
      <c r="I76" s="1491">
        <v>79</v>
      </c>
      <c r="J76" s="1491">
        <v>78</v>
      </c>
      <c r="K76" s="1491">
        <v>0</v>
      </c>
      <c r="L76" s="1491">
        <v>1819.9707035088049</v>
      </c>
      <c r="M76" s="1526"/>
      <c r="P76" s="108"/>
    </row>
    <row r="77" spans="1:16" ht="18" thickTop="1" thickBot="1" x14ac:dyDescent="0.35">
      <c r="A77" s="309" t="s">
        <v>271</v>
      </c>
      <c r="B77" s="1490">
        <v>18</v>
      </c>
      <c r="C77" s="1490">
        <v>1</v>
      </c>
      <c r="D77" s="1490" t="s">
        <v>272</v>
      </c>
      <c r="E77" s="309" t="s">
        <v>459</v>
      </c>
      <c r="F77" s="309" t="s">
        <v>460</v>
      </c>
      <c r="G77" s="1491">
        <v>785.63660329576021</v>
      </c>
      <c r="H77" s="1491"/>
      <c r="I77" s="1491">
        <v>20</v>
      </c>
      <c r="J77" s="1491">
        <v>0</v>
      </c>
      <c r="K77" s="1491">
        <v>0</v>
      </c>
      <c r="L77" s="1491">
        <v>0</v>
      </c>
      <c r="M77" s="1526"/>
      <c r="P77" s="108"/>
    </row>
    <row r="78" spans="1:16" ht="18" thickTop="1" thickBot="1" x14ac:dyDescent="0.35">
      <c r="A78" s="309" t="s">
        <v>273</v>
      </c>
      <c r="B78" s="1490">
        <v>2</v>
      </c>
      <c r="C78" s="1490">
        <v>2</v>
      </c>
      <c r="D78" s="1490" t="s">
        <v>319</v>
      </c>
      <c r="E78" s="309" t="s">
        <v>463</v>
      </c>
      <c r="F78" s="309" t="s">
        <v>464</v>
      </c>
      <c r="G78" s="1491">
        <v>2400.7898726641642</v>
      </c>
      <c r="H78" s="1491"/>
      <c r="I78" s="1491">
        <v>111</v>
      </c>
      <c r="J78" s="1491">
        <v>281</v>
      </c>
      <c r="K78" s="1491">
        <v>0</v>
      </c>
      <c r="L78" s="1491">
        <v>0</v>
      </c>
      <c r="M78" s="1526"/>
      <c r="P78" s="108"/>
    </row>
    <row r="79" spans="1:16" ht="18" thickTop="1" thickBot="1" x14ac:dyDescent="0.35">
      <c r="A79" s="309" t="s">
        <v>299</v>
      </c>
      <c r="B79" s="1490">
        <v>18</v>
      </c>
      <c r="C79" s="1490">
        <v>16</v>
      </c>
      <c r="D79" s="1490" t="s">
        <v>323</v>
      </c>
      <c r="E79" s="309" t="s">
        <v>465</v>
      </c>
      <c r="F79" s="309" t="s">
        <v>466</v>
      </c>
      <c r="G79" s="1491">
        <v>1022.3920123229747</v>
      </c>
      <c r="H79" s="1491"/>
      <c r="I79" s="1491">
        <v>18</v>
      </c>
      <c r="J79" s="1491">
        <v>0</v>
      </c>
      <c r="K79" s="1491">
        <v>62</v>
      </c>
      <c r="L79" s="1491">
        <v>0</v>
      </c>
      <c r="M79" s="1526"/>
      <c r="P79" s="108"/>
    </row>
    <row r="80" spans="1:16" ht="18" thickTop="1" thickBot="1" x14ac:dyDescent="0.35">
      <c r="A80" s="309" t="s">
        <v>273</v>
      </c>
      <c r="B80" s="1490">
        <v>18</v>
      </c>
      <c r="C80" s="1490">
        <v>2</v>
      </c>
      <c r="D80" s="1490" t="s">
        <v>319</v>
      </c>
      <c r="E80" s="309" t="s">
        <v>468</v>
      </c>
      <c r="F80" s="309" t="s">
        <v>469</v>
      </c>
      <c r="G80" s="1491">
        <v>8054.8515217779041</v>
      </c>
      <c r="H80" s="1491"/>
      <c r="I80" s="1491">
        <v>195</v>
      </c>
      <c r="J80" s="1491">
        <v>127</v>
      </c>
      <c r="K80" s="1491">
        <v>396</v>
      </c>
      <c r="L80" s="1491">
        <v>117</v>
      </c>
      <c r="M80" s="1526"/>
      <c r="P80" s="108"/>
    </row>
    <row r="81" spans="1:21" ht="18" thickTop="1" thickBot="1" x14ac:dyDescent="0.35">
      <c r="A81" s="1528" t="s">
        <v>273</v>
      </c>
      <c r="B81" s="1529">
        <v>18</v>
      </c>
      <c r="C81" s="1529">
        <v>2</v>
      </c>
      <c r="D81" s="1529" t="s">
        <v>319</v>
      </c>
      <c r="E81" s="1528" t="s">
        <v>471</v>
      </c>
      <c r="F81" s="1528">
        <v>89107</v>
      </c>
      <c r="G81" s="1530">
        <v>263.87383610592974</v>
      </c>
      <c r="H81" s="1530"/>
      <c r="I81" s="1530">
        <v>0</v>
      </c>
      <c r="J81" s="1530">
        <v>0</v>
      </c>
      <c r="K81" s="1530">
        <v>0</v>
      </c>
      <c r="L81" s="1530">
        <v>0</v>
      </c>
      <c r="M81" s="1526" t="s">
        <v>370</v>
      </c>
      <c r="P81" s="108"/>
    </row>
    <row r="82" spans="1:21" ht="18" thickTop="1" thickBot="1" x14ac:dyDescent="0.35">
      <c r="A82" s="309" t="s">
        <v>273</v>
      </c>
      <c r="B82" s="1490">
        <v>18</v>
      </c>
      <c r="C82" s="1490">
        <v>2</v>
      </c>
      <c r="D82" s="1490" t="s">
        <v>319</v>
      </c>
      <c r="E82" s="309" t="s">
        <v>472</v>
      </c>
      <c r="F82" s="309" t="s">
        <v>473</v>
      </c>
      <c r="G82" s="1491">
        <v>455.57355767788971</v>
      </c>
      <c r="H82" s="1491"/>
      <c r="I82" s="1491">
        <v>48</v>
      </c>
      <c r="J82" s="1491">
        <v>16</v>
      </c>
      <c r="K82" s="1491">
        <v>0</v>
      </c>
      <c r="L82" s="1491">
        <v>0</v>
      </c>
      <c r="M82" s="1526"/>
      <c r="P82" s="108"/>
    </row>
    <row r="83" spans="1:21" ht="18" thickTop="1" thickBot="1" x14ac:dyDescent="0.35">
      <c r="A83" s="309" t="s">
        <v>273</v>
      </c>
      <c r="B83" s="1490">
        <v>18</v>
      </c>
      <c r="C83" s="1490">
        <v>2</v>
      </c>
      <c r="D83" s="1490" t="s">
        <v>319</v>
      </c>
      <c r="E83" s="309" t="s">
        <v>474</v>
      </c>
      <c r="F83" s="309" t="s">
        <v>475</v>
      </c>
      <c r="G83" s="1491">
        <v>63.383111480510713</v>
      </c>
      <c r="H83" s="1491"/>
      <c r="I83" s="1491">
        <v>6</v>
      </c>
      <c r="J83" s="1491">
        <v>5</v>
      </c>
      <c r="K83" s="1491">
        <v>0</v>
      </c>
      <c r="L83" s="1491">
        <v>0</v>
      </c>
      <c r="M83" s="1526"/>
      <c r="P83" s="108"/>
    </row>
    <row r="84" spans="1:21" ht="18" thickTop="1" thickBot="1" x14ac:dyDescent="0.35">
      <c r="A84" s="1528" t="s">
        <v>273</v>
      </c>
      <c r="B84" s="1529">
        <v>18</v>
      </c>
      <c r="C84" s="1529">
        <v>2</v>
      </c>
      <c r="D84" s="1529" t="s">
        <v>319</v>
      </c>
      <c r="E84" s="1528" t="s">
        <v>476</v>
      </c>
      <c r="F84" s="1528" t="s">
        <v>477</v>
      </c>
      <c r="G84" s="1530">
        <v>23.615168211814723</v>
      </c>
      <c r="H84" s="1530"/>
      <c r="I84" s="1530">
        <v>0</v>
      </c>
      <c r="J84" s="1530">
        <v>0</v>
      </c>
      <c r="K84" s="1530">
        <v>0</v>
      </c>
      <c r="L84" s="1530">
        <v>0</v>
      </c>
      <c r="M84" s="1526" t="s">
        <v>370</v>
      </c>
      <c r="N84" s="1533"/>
      <c r="P84" s="108"/>
    </row>
    <row r="85" spans="1:21" ht="18" thickTop="1" thickBot="1" x14ac:dyDescent="0.35">
      <c r="A85" s="309" t="s">
        <v>273</v>
      </c>
      <c r="B85" s="1490">
        <v>18</v>
      </c>
      <c r="C85" s="1490">
        <v>2</v>
      </c>
      <c r="D85" s="1490" t="s">
        <v>319</v>
      </c>
      <c r="E85" s="309" t="s">
        <v>478</v>
      </c>
      <c r="F85" s="309" t="s">
        <v>479</v>
      </c>
      <c r="G85" s="1491">
        <v>236.13114718926738</v>
      </c>
      <c r="H85" s="1491"/>
      <c r="I85" s="1491">
        <v>69</v>
      </c>
      <c r="J85" s="1491">
        <v>0</v>
      </c>
      <c r="K85" s="1491">
        <v>0</v>
      </c>
      <c r="L85" s="1491">
        <v>0</v>
      </c>
      <c r="M85" s="1526"/>
      <c r="N85" s="1516"/>
      <c r="P85" s="108"/>
    </row>
    <row r="86" spans="1:21" ht="18" thickTop="1" thickBot="1" x14ac:dyDescent="0.35">
      <c r="A86" s="309" t="s">
        <v>299</v>
      </c>
      <c r="B86" s="1490">
        <v>16</v>
      </c>
      <c r="C86" s="1490">
        <v>16</v>
      </c>
      <c r="D86" s="1490" t="s">
        <v>452</v>
      </c>
      <c r="E86" s="309" t="s">
        <v>480</v>
      </c>
      <c r="F86" s="309" t="s">
        <v>481</v>
      </c>
      <c r="G86" s="1491">
        <v>265.07102245962432</v>
      </c>
      <c r="H86" s="1491"/>
      <c r="I86" s="1491">
        <v>22</v>
      </c>
      <c r="J86" s="1491">
        <v>30</v>
      </c>
      <c r="K86" s="1491">
        <v>0</v>
      </c>
      <c r="L86" s="1491">
        <v>0</v>
      </c>
      <c r="M86" s="1526"/>
      <c r="N86" s="1516"/>
      <c r="P86" s="108"/>
    </row>
    <row r="87" spans="1:21" ht="18" thickTop="1" thickBot="1" x14ac:dyDescent="0.35">
      <c r="A87" s="309" t="s">
        <v>273</v>
      </c>
      <c r="B87" s="1490">
        <v>18</v>
      </c>
      <c r="C87" s="1490">
        <v>2</v>
      </c>
      <c r="D87" s="1490" t="s">
        <v>319</v>
      </c>
      <c r="E87" s="309" t="s">
        <v>482</v>
      </c>
      <c r="F87" s="309" t="s">
        <v>483</v>
      </c>
      <c r="G87" s="1491">
        <v>995.39371457820653</v>
      </c>
      <c r="H87" s="1491"/>
      <c r="I87" s="1491">
        <v>67</v>
      </c>
      <c r="J87" s="1491">
        <v>17</v>
      </c>
      <c r="K87" s="1491">
        <v>0</v>
      </c>
      <c r="L87" s="1491">
        <v>0</v>
      </c>
      <c r="M87" s="1526"/>
      <c r="N87" s="1516"/>
      <c r="P87" s="108"/>
    </row>
    <row r="88" spans="1:21" ht="18" thickTop="1" thickBot="1" x14ac:dyDescent="0.35">
      <c r="A88" s="309" t="s">
        <v>273</v>
      </c>
      <c r="B88" s="1490">
        <v>18</v>
      </c>
      <c r="C88" s="1490">
        <v>2</v>
      </c>
      <c r="D88" s="1490" t="s">
        <v>319</v>
      </c>
      <c r="E88" s="309" t="s">
        <v>484</v>
      </c>
      <c r="F88" s="309" t="s">
        <v>485</v>
      </c>
      <c r="G88" s="1491">
        <v>239.7637761081109</v>
      </c>
      <c r="H88" s="1491"/>
      <c r="I88" s="1491">
        <v>24</v>
      </c>
      <c r="J88" s="1491">
        <v>0</v>
      </c>
      <c r="K88" s="1491">
        <v>0</v>
      </c>
      <c r="L88" s="1491">
        <v>0</v>
      </c>
      <c r="M88" s="1526"/>
      <c r="N88" s="1516"/>
      <c r="P88" s="108"/>
    </row>
    <row r="89" spans="1:21" ht="18" thickTop="1" thickBot="1" x14ac:dyDescent="0.35">
      <c r="A89" s="309" t="s">
        <v>273</v>
      </c>
      <c r="B89" s="1490">
        <v>18</v>
      </c>
      <c r="C89" s="1490">
        <v>2</v>
      </c>
      <c r="D89" s="1490" t="s">
        <v>319</v>
      </c>
      <c r="E89" s="309" t="s">
        <v>486</v>
      </c>
      <c r="F89" s="309" t="s">
        <v>487</v>
      </c>
      <c r="G89" s="1491">
        <v>9613.0429519265235</v>
      </c>
      <c r="H89" s="1491"/>
      <c r="I89" s="1491">
        <v>346</v>
      </c>
      <c r="J89" s="1491">
        <v>109</v>
      </c>
      <c r="K89" s="1491">
        <v>243</v>
      </c>
      <c r="L89" s="1491">
        <v>0</v>
      </c>
      <c r="M89" s="1526"/>
      <c r="N89" s="1516"/>
      <c r="P89" s="108"/>
    </row>
    <row r="90" spans="1:21" ht="18" thickTop="1" thickBot="1" x14ac:dyDescent="0.35">
      <c r="A90" s="309" t="s">
        <v>273</v>
      </c>
      <c r="B90" s="1490">
        <v>18</v>
      </c>
      <c r="C90" s="1490">
        <v>2</v>
      </c>
      <c r="D90" s="1490" t="s">
        <v>319</v>
      </c>
      <c r="E90" s="309" t="s">
        <v>488</v>
      </c>
      <c r="F90" s="309" t="s">
        <v>489</v>
      </c>
      <c r="G90" s="1491">
        <v>81.083193428487846</v>
      </c>
      <c r="H90" s="1491"/>
      <c r="I90" s="1491">
        <v>25</v>
      </c>
      <c r="J90" s="1491">
        <v>32</v>
      </c>
      <c r="K90" s="1491">
        <v>0</v>
      </c>
      <c r="L90" s="1491">
        <v>0</v>
      </c>
      <c r="M90" s="1526"/>
      <c r="N90" s="1534"/>
      <c r="P90" s="108"/>
      <c r="Q90" s="4"/>
    </row>
    <row r="91" spans="1:21" ht="18" thickTop="1" thickBot="1" x14ac:dyDescent="0.35">
      <c r="A91" s="309" t="s">
        <v>273</v>
      </c>
      <c r="B91" s="1490">
        <v>18</v>
      </c>
      <c r="C91" s="1490">
        <v>2</v>
      </c>
      <c r="D91" s="1490" t="s">
        <v>319</v>
      </c>
      <c r="E91" s="309" t="s">
        <v>490</v>
      </c>
      <c r="F91" s="309" t="s">
        <v>491</v>
      </c>
      <c r="G91" s="1491">
        <v>1868.7586142879702</v>
      </c>
      <c r="H91" s="1491"/>
      <c r="I91" s="1491">
        <v>194</v>
      </c>
      <c r="J91" s="1491">
        <v>22</v>
      </c>
      <c r="K91" s="1491">
        <v>0</v>
      </c>
      <c r="L91" s="1491">
        <v>0</v>
      </c>
      <c r="M91" s="1526"/>
      <c r="N91" s="1516"/>
      <c r="O91" s="4"/>
      <c r="P91" s="108"/>
      <c r="Q91" s="4"/>
      <c r="R91" s="4"/>
      <c r="S91" s="4"/>
      <c r="T91" s="4"/>
      <c r="U91" s="4"/>
    </row>
    <row r="92" spans="1:21" s="4" customFormat="1" ht="18" thickTop="1" thickBot="1" x14ac:dyDescent="0.35">
      <c r="A92" s="309" t="s">
        <v>273</v>
      </c>
      <c r="B92" s="1490">
        <v>18</v>
      </c>
      <c r="C92" s="1490">
        <v>2</v>
      </c>
      <c r="D92" s="1490" t="s">
        <v>319</v>
      </c>
      <c r="E92" s="309" t="s">
        <v>492</v>
      </c>
      <c r="F92" s="309" t="s">
        <v>493</v>
      </c>
      <c r="G92" s="1491">
        <v>147.52292907276259</v>
      </c>
      <c r="H92" s="1491"/>
      <c r="I92" s="1491">
        <v>56</v>
      </c>
      <c r="J92" s="1491">
        <v>0</v>
      </c>
      <c r="K92" s="1491">
        <v>0</v>
      </c>
      <c r="L92" s="1491"/>
      <c r="M92" s="1526"/>
      <c r="N92" s="1516"/>
      <c r="P92" s="108"/>
      <c r="Q92" s="9"/>
      <c r="R92" s="9"/>
      <c r="S92" s="9"/>
      <c r="T92" s="9"/>
      <c r="U92" s="9"/>
    </row>
    <row r="93" spans="1:21" ht="18" thickTop="1" thickBot="1" x14ac:dyDescent="0.35">
      <c r="A93" s="1528" t="s">
        <v>273</v>
      </c>
      <c r="B93" s="1529">
        <v>18</v>
      </c>
      <c r="C93" s="1529">
        <v>2</v>
      </c>
      <c r="D93" s="1529" t="s">
        <v>319</v>
      </c>
      <c r="E93" s="1528" t="s">
        <v>494</v>
      </c>
      <c r="F93" s="1528" t="s">
        <v>495</v>
      </c>
      <c r="G93" s="1530">
        <v>152.98522015479972</v>
      </c>
      <c r="H93" s="1530"/>
      <c r="I93" s="1530">
        <v>42</v>
      </c>
      <c r="J93" s="1530">
        <v>49</v>
      </c>
      <c r="K93" s="1530">
        <v>0</v>
      </c>
      <c r="L93" s="1530"/>
      <c r="M93" s="1526" t="s">
        <v>370</v>
      </c>
      <c r="N93" s="1516"/>
      <c r="P93" s="108"/>
    </row>
    <row r="94" spans="1:21" ht="18" thickTop="1" thickBot="1" x14ac:dyDescent="0.35">
      <c r="A94" s="1528" t="s">
        <v>273</v>
      </c>
      <c r="B94" s="1529">
        <v>18</v>
      </c>
      <c r="C94" s="1529">
        <v>2</v>
      </c>
      <c r="D94" s="1529" t="s">
        <v>319</v>
      </c>
      <c r="E94" s="1528" t="s">
        <v>496</v>
      </c>
      <c r="F94" s="1528" t="s">
        <v>497</v>
      </c>
      <c r="G94" s="1530">
        <v>104.72813728717834</v>
      </c>
      <c r="H94" s="1530"/>
      <c r="I94" s="1530">
        <v>36</v>
      </c>
      <c r="J94" s="1530">
        <v>0</v>
      </c>
      <c r="K94" s="1530">
        <v>0</v>
      </c>
      <c r="L94" s="1530"/>
      <c r="M94" s="1526" t="s">
        <v>370</v>
      </c>
      <c r="N94" s="1516"/>
      <c r="P94" s="108"/>
    </row>
    <row r="95" spans="1:21" ht="18" thickTop="1" thickBot="1" x14ac:dyDescent="0.35">
      <c r="A95" s="1535" t="s">
        <v>273</v>
      </c>
      <c r="B95" s="1536">
        <v>18</v>
      </c>
      <c r="C95" s="1536">
        <v>2</v>
      </c>
      <c r="D95" s="1536" t="s">
        <v>319</v>
      </c>
      <c r="E95" s="1535" t="s">
        <v>498</v>
      </c>
      <c r="F95" s="1535"/>
      <c r="G95" s="1491">
        <v>118.86232883517145</v>
      </c>
      <c r="H95" s="1491"/>
      <c r="I95" s="1491">
        <v>19</v>
      </c>
      <c r="J95" s="1491">
        <v>2</v>
      </c>
      <c r="K95" s="1491">
        <v>0</v>
      </c>
      <c r="L95" s="1491">
        <v>0</v>
      </c>
      <c r="M95" s="1526"/>
      <c r="N95" s="1516"/>
      <c r="P95" s="108"/>
    </row>
    <row r="96" spans="1:21" ht="18" thickTop="1" thickBot="1" x14ac:dyDescent="0.35">
      <c r="A96" s="4"/>
      <c r="B96" s="5"/>
      <c r="C96" s="5"/>
      <c r="D96" s="5"/>
      <c r="E96" s="4" t="s">
        <v>499</v>
      </c>
      <c r="F96" s="4"/>
      <c r="G96" s="1537">
        <f>SUM(G34:G95)</f>
        <v>72301.606666666703</v>
      </c>
      <c r="H96" s="1537"/>
      <c r="I96" s="1538">
        <f>SUM(I34:I95)</f>
        <v>6384</v>
      </c>
      <c r="J96" s="1538">
        <f>SUM(J34:J95)</f>
        <v>2007</v>
      </c>
      <c r="K96" s="1538">
        <f>SUM(K34:K95)</f>
        <v>1491</v>
      </c>
      <c r="L96" s="1537">
        <f>SUM(L34:L95)</f>
        <v>3425.1842297671528</v>
      </c>
      <c r="M96" s="1526"/>
      <c r="N96" s="108"/>
      <c r="P96" s="108"/>
    </row>
    <row r="97" spans="1:21" ht="17.25" thickTop="1" x14ac:dyDescent="0.3">
      <c r="A97" s="4"/>
      <c r="B97" s="4"/>
      <c r="C97" s="4"/>
      <c r="D97" s="4"/>
      <c r="E97" s="4"/>
      <c r="F97" s="4"/>
      <c r="G97" s="1539"/>
      <c r="H97" s="62"/>
      <c r="I97" s="4"/>
      <c r="J97" s="4"/>
      <c r="K97" s="4"/>
      <c r="L97" s="1478"/>
      <c r="M97" s="62"/>
      <c r="N97" s="108"/>
    </row>
    <row r="98" spans="1:21" x14ac:dyDescent="0.3">
      <c r="A98" s="4" t="str">
        <f>E27</f>
        <v>University Schools</v>
      </c>
      <c r="B98" s="5"/>
      <c r="C98" s="5"/>
      <c r="D98" s="5"/>
      <c r="E98" s="4"/>
      <c r="F98" s="4"/>
      <c r="G98" s="1540"/>
      <c r="H98" s="62"/>
      <c r="I98" s="1516"/>
      <c r="J98" s="1516"/>
      <c r="K98" s="1516"/>
      <c r="L98" s="1541"/>
      <c r="M98" s="62"/>
      <c r="Q98" s="4"/>
      <c r="R98" s="4"/>
      <c r="S98" s="4"/>
      <c r="T98" s="4"/>
      <c r="U98" s="4"/>
    </row>
    <row r="99" spans="1:21" ht="17.25" thickBot="1" x14ac:dyDescent="0.35">
      <c r="A99" s="4" t="s">
        <v>253</v>
      </c>
      <c r="B99" s="5" t="s">
        <v>254</v>
      </c>
      <c r="C99" s="5" t="s">
        <v>255</v>
      </c>
      <c r="D99" s="5" t="s">
        <v>256</v>
      </c>
      <c r="E99" s="4" t="s">
        <v>315</v>
      </c>
      <c r="F99" s="4" t="s">
        <v>316</v>
      </c>
      <c r="G99" s="1540"/>
      <c r="H99" s="62"/>
      <c r="I99" s="1516"/>
      <c r="J99" s="1516"/>
      <c r="K99" s="1516"/>
      <c r="L99" s="1541"/>
      <c r="M99" s="62"/>
      <c r="N99" s="108"/>
    </row>
    <row r="100" spans="1:21" s="4" customFormat="1" ht="18" thickTop="1" thickBot="1" x14ac:dyDescent="0.35">
      <c r="A100" s="309" t="s">
        <v>299</v>
      </c>
      <c r="B100" s="1490">
        <v>19</v>
      </c>
      <c r="C100" s="1490">
        <v>16</v>
      </c>
      <c r="D100" s="1490" t="s">
        <v>323</v>
      </c>
      <c r="E100" s="309" t="s">
        <v>227</v>
      </c>
      <c r="F100" s="309" t="s">
        <v>500</v>
      </c>
      <c r="G100" s="1491">
        <v>167.88437423074134</v>
      </c>
      <c r="H100" s="1491"/>
      <c r="I100" s="1542">
        <v>0</v>
      </c>
      <c r="J100" s="1491">
        <v>0</v>
      </c>
      <c r="K100" s="1542">
        <v>0</v>
      </c>
      <c r="L100" s="1491">
        <v>0</v>
      </c>
      <c r="M100" s="1492"/>
      <c r="N100" s="108"/>
      <c r="O100" s="9"/>
      <c r="P100" s="9"/>
      <c r="Q100" s="9"/>
      <c r="R100" s="9"/>
      <c r="S100" s="9"/>
      <c r="T100" s="9"/>
      <c r="U100" s="9"/>
    </row>
    <row r="101" spans="1:21" ht="18" thickTop="1" thickBot="1" x14ac:dyDescent="0.35">
      <c r="A101" s="1535"/>
      <c r="B101" s="1543"/>
      <c r="C101" s="1543"/>
      <c r="D101" s="1543"/>
      <c r="E101" s="1535" t="s">
        <v>501</v>
      </c>
      <c r="F101" s="1535"/>
      <c r="G101" s="1491">
        <v>0</v>
      </c>
      <c r="H101" s="1491"/>
      <c r="I101" s="1542">
        <v>0</v>
      </c>
      <c r="J101" s="1491">
        <v>0</v>
      </c>
      <c r="K101" s="1542">
        <v>0</v>
      </c>
      <c r="L101" s="1491">
        <v>0</v>
      </c>
      <c r="M101" s="1492"/>
      <c r="N101" s="108"/>
    </row>
    <row r="102" spans="1:21" ht="18" thickTop="1" thickBot="1" x14ac:dyDescent="0.35">
      <c r="A102" s="4"/>
      <c r="B102" s="5"/>
      <c r="C102" s="5"/>
      <c r="D102" s="5"/>
      <c r="E102" s="17" t="s">
        <v>502</v>
      </c>
      <c r="F102" s="4"/>
      <c r="G102" s="1537">
        <f>SUM(G100:G101)</f>
        <v>167.88437423074134</v>
      </c>
      <c r="H102" s="1537"/>
      <c r="I102" s="1538">
        <f>SUM(I100:I101)</f>
        <v>0</v>
      </c>
      <c r="J102" s="1538">
        <f>SUM(J100:J101)</f>
        <v>0</v>
      </c>
      <c r="K102" s="1538">
        <f>SUM(K100:K101)</f>
        <v>0</v>
      </c>
      <c r="L102" s="1537">
        <f>SUM(L100:L101)</f>
        <v>0</v>
      </c>
      <c r="M102" s="1544"/>
      <c r="N102" s="108"/>
    </row>
    <row r="103" spans="1:21" ht="17.25" thickTop="1" x14ac:dyDescent="0.3">
      <c r="A103" s="4"/>
      <c r="B103" s="5"/>
      <c r="C103" s="5"/>
      <c r="D103" s="5"/>
      <c r="E103" s="17" t="s">
        <v>503</v>
      </c>
      <c r="F103" s="4"/>
      <c r="G103" s="1545">
        <f>SUM(G96,G102)</f>
        <v>72469.491040897439</v>
      </c>
      <c r="H103" s="1545"/>
      <c r="I103" s="1546"/>
      <c r="J103" s="1546"/>
      <c r="K103" s="1546"/>
      <c r="L103" s="1547"/>
      <c r="M103" s="62"/>
      <c r="N103" s="108"/>
    </row>
    <row r="104" spans="1:21" x14ac:dyDescent="0.3">
      <c r="A104" s="4"/>
      <c r="B104" s="5"/>
      <c r="C104" s="5"/>
      <c r="D104" s="5"/>
      <c r="E104" s="17"/>
      <c r="F104" s="4"/>
      <c r="G104" s="1545"/>
      <c r="H104" s="1545"/>
      <c r="I104" s="1546"/>
      <c r="J104" s="1546"/>
      <c r="K104" s="1546"/>
      <c r="L104" s="1547"/>
      <c r="M104" s="62"/>
    </row>
    <row r="105" spans="1:21" x14ac:dyDescent="0.3">
      <c r="A105" s="4" t="str">
        <f>E28</f>
        <v>City of Henderson</v>
      </c>
      <c r="B105" s="5"/>
      <c r="C105" s="5"/>
      <c r="D105" s="5"/>
      <c r="E105" s="4"/>
      <c r="F105" s="4"/>
      <c r="G105" s="1540"/>
      <c r="H105" s="1540"/>
      <c r="I105" s="1516"/>
      <c r="J105" s="1516"/>
      <c r="K105" s="1516"/>
      <c r="L105" s="1541"/>
      <c r="M105" s="62"/>
      <c r="Q105" s="4"/>
      <c r="R105" s="4"/>
      <c r="S105" s="4"/>
      <c r="T105" s="4"/>
      <c r="U105" s="4"/>
    </row>
    <row r="106" spans="1:21" ht="17.25" thickBot="1" x14ac:dyDescent="0.35">
      <c r="A106" s="4" t="s">
        <v>253</v>
      </c>
      <c r="B106" s="5" t="s">
        <v>254</v>
      </c>
      <c r="C106" s="5" t="s">
        <v>255</v>
      </c>
      <c r="D106" s="5" t="s">
        <v>256</v>
      </c>
      <c r="E106" s="4" t="s">
        <v>315</v>
      </c>
      <c r="F106" s="4" t="s">
        <v>316</v>
      </c>
      <c r="G106" s="1540"/>
      <c r="H106" s="1540"/>
      <c r="I106" s="1516"/>
      <c r="J106" s="1516"/>
      <c r="K106" s="1516"/>
      <c r="L106" s="1541"/>
      <c r="M106" s="62"/>
      <c r="N106" s="108"/>
    </row>
    <row r="107" spans="1:21" s="4" customFormat="1" ht="18" thickTop="1" thickBot="1" x14ac:dyDescent="0.35">
      <c r="A107" s="309" t="s">
        <v>273</v>
      </c>
      <c r="B107" s="1490">
        <v>20</v>
      </c>
      <c r="C107" s="1490">
        <v>20</v>
      </c>
      <c r="D107" s="1490" t="s">
        <v>319</v>
      </c>
      <c r="E107" s="309" t="s">
        <v>501</v>
      </c>
      <c r="F107" s="309" t="s">
        <v>500</v>
      </c>
      <c r="G107" s="1548">
        <v>0</v>
      </c>
      <c r="H107" s="1548"/>
      <c r="I107" s="1542">
        <v>0</v>
      </c>
      <c r="J107" s="1491">
        <v>0</v>
      </c>
      <c r="K107" s="1542">
        <v>0</v>
      </c>
      <c r="L107" s="1491">
        <v>0</v>
      </c>
      <c r="M107" s="1492"/>
      <c r="N107" s="9"/>
      <c r="O107" s="9"/>
      <c r="P107" s="9"/>
      <c r="Q107" s="9"/>
      <c r="R107" s="9"/>
      <c r="S107" s="9"/>
      <c r="T107" s="9"/>
      <c r="U107" s="9"/>
    </row>
    <row r="108" spans="1:21" ht="18" thickTop="1" thickBot="1" x14ac:dyDescent="0.35">
      <c r="A108" s="1535" t="s">
        <v>273</v>
      </c>
      <c r="B108" s="1543">
        <v>20</v>
      </c>
      <c r="C108" s="1543">
        <v>20</v>
      </c>
      <c r="D108" s="1543" t="s">
        <v>319</v>
      </c>
      <c r="E108" s="1535" t="s">
        <v>501</v>
      </c>
      <c r="F108" s="1535"/>
      <c r="G108" s="1491">
        <v>0</v>
      </c>
      <c r="H108" s="1491"/>
      <c r="I108" s="1542">
        <v>0</v>
      </c>
      <c r="J108" s="1491">
        <v>0</v>
      </c>
      <c r="K108" s="1542">
        <v>0</v>
      </c>
      <c r="L108" s="1491">
        <v>0</v>
      </c>
      <c r="M108" s="1492"/>
    </row>
    <row r="109" spans="1:21" ht="18" thickTop="1" thickBot="1" x14ac:dyDescent="0.35">
      <c r="A109" s="4"/>
      <c r="B109" s="5"/>
      <c r="C109" s="5"/>
      <c r="D109" s="5"/>
      <c r="E109" s="17" t="s">
        <v>156</v>
      </c>
      <c r="F109" s="4"/>
      <c r="G109" s="1537">
        <f>SUM(G107:G108)</f>
        <v>0</v>
      </c>
      <c r="H109" s="1537"/>
      <c r="I109" s="1538">
        <f>SUM(I107:I108)</f>
        <v>0</v>
      </c>
      <c r="J109" s="1538">
        <f>SUM(J107:J108)</f>
        <v>0</v>
      </c>
      <c r="K109" s="1538">
        <f>SUM(K107:K108)</f>
        <v>0</v>
      </c>
      <c r="L109" s="1537">
        <f>SUM(L107:L108)</f>
        <v>0</v>
      </c>
      <c r="M109" s="1544"/>
    </row>
    <row r="110" spans="1:21" ht="17.25" thickTop="1" x14ac:dyDescent="0.3">
      <c r="A110" s="4"/>
      <c r="B110" s="5"/>
      <c r="C110" s="5"/>
      <c r="D110" s="5"/>
      <c r="E110" s="17"/>
      <c r="F110" s="4"/>
      <c r="G110" s="1545"/>
      <c r="H110" s="1545"/>
      <c r="I110" s="1546"/>
      <c r="J110" s="1546"/>
      <c r="K110" s="1546"/>
      <c r="L110" s="1547"/>
      <c r="M110" s="62"/>
    </row>
    <row r="111" spans="1:21" x14ac:dyDescent="0.3">
      <c r="A111" s="4" t="str">
        <f>E29</f>
        <v>City of North Las Vegas</v>
      </c>
      <c r="B111" s="5"/>
      <c r="C111" s="5"/>
      <c r="D111" s="5"/>
      <c r="E111" s="4"/>
      <c r="F111" s="4"/>
      <c r="G111" s="1540"/>
      <c r="H111" s="1540"/>
      <c r="I111" s="1516"/>
      <c r="J111" s="1516"/>
      <c r="K111" s="1516"/>
      <c r="L111" s="1541"/>
      <c r="M111" s="62"/>
      <c r="Q111" s="4"/>
      <c r="R111" s="4"/>
      <c r="S111" s="4"/>
      <c r="T111" s="4"/>
      <c r="U111" s="4"/>
    </row>
    <row r="112" spans="1:21" ht="17.25" thickBot="1" x14ac:dyDescent="0.35">
      <c r="A112" s="4" t="s">
        <v>253</v>
      </c>
      <c r="B112" s="5" t="s">
        <v>254</v>
      </c>
      <c r="C112" s="5" t="s">
        <v>255</v>
      </c>
      <c r="D112" s="5" t="s">
        <v>256</v>
      </c>
      <c r="E112" s="4" t="s">
        <v>315</v>
      </c>
      <c r="F112" s="4" t="s">
        <v>316</v>
      </c>
      <c r="G112" s="1540"/>
      <c r="H112" s="1540"/>
      <c r="I112" s="1516"/>
      <c r="J112" s="1516"/>
      <c r="K112" s="1516"/>
      <c r="L112" s="1541"/>
      <c r="M112" s="62"/>
      <c r="N112" s="108"/>
    </row>
    <row r="113" spans="1:21" s="4" customFormat="1" ht="18" thickTop="1" thickBot="1" x14ac:dyDescent="0.35">
      <c r="A113" s="309" t="s">
        <v>273</v>
      </c>
      <c r="B113" s="1490">
        <v>21</v>
      </c>
      <c r="C113" s="1490">
        <v>21</v>
      </c>
      <c r="D113" s="1490" t="s">
        <v>319</v>
      </c>
      <c r="E113" s="309" t="s">
        <v>501</v>
      </c>
      <c r="F113" s="309" t="s">
        <v>500</v>
      </c>
      <c r="G113" s="1491">
        <v>0</v>
      </c>
      <c r="H113" s="1491"/>
      <c r="I113" s="1542">
        <v>0</v>
      </c>
      <c r="J113" s="1491">
        <v>0</v>
      </c>
      <c r="K113" s="1542">
        <v>0</v>
      </c>
      <c r="L113" s="1491">
        <v>0</v>
      </c>
      <c r="M113" s="1492"/>
      <c r="N113" s="9"/>
      <c r="O113" s="9"/>
      <c r="P113" s="9"/>
      <c r="Q113" s="9"/>
      <c r="R113" s="9"/>
      <c r="S113" s="9"/>
      <c r="T113" s="9"/>
      <c r="U113" s="9"/>
    </row>
    <row r="114" spans="1:21" ht="18" thickTop="1" thickBot="1" x14ac:dyDescent="0.35">
      <c r="A114" s="1535" t="s">
        <v>273</v>
      </c>
      <c r="B114" s="1543">
        <v>21</v>
      </c>
      <c r="C114" s="1543">
        <v>21</v>
      </c>
      <c r="D114" s="1543" t="s">
        <v>319</v>
      </c>
      <c r="E114" s="1535" t="s">
        <v>501</v>
      </c>
      <c r="F114" s="1535"/>
      <c r="G114" s="1491">
        <v>0</v>
      </c>
      <c r="H114" s="1491"/>
      <c r="I114" s="1542">
        <v>0</v>
      </c>
      <c r="J114" s="1491">
        <v>0</v>
      </c>
      <c r="K114" s="1542">
        <v>0</v>
      </c>
      <c r="L114" s="1491">
        <v>0</v>
      </c>
      <c r="M114" s="1492"/>
    </row>
    <row r="115" spans="1:21" ht="18" thickTop="1" thickBot="1" x14ac:dyDescent="0.35">
      <c r="A115" s="4"/>
      <c r="B115" s="5"/>
      <c r="C115" s="5"/>
      <c r="D115" s="5"/>
      <c r="E115" s="17" t="s">
        <v>156</v>
      </c>
      <c r="F115" s="4"/>
      <c r="G115" s="1537">
        <f>SUM(G113:G114)</f>
        <v>0</v>
      </c>
      <c r="H115" s="1537"/>
      <c r="I115" s="1538">
        <f>SUM(I113:I114)</f>
        <v>0</v>
      </c>
      <c r="J115" s="1538">
        <f>SUM(J113:J114)</f>
        <v>0</v>
      </c>
      <c r="K115" s="1538">
        <f>SUM(K113:K114)</f>
        <v>0</v>
      </c>
      <c r="L115" s="1537">
        <f>SUM(L113:L114)</f>
        <v>0</v>
      </c>
      <c r="M115" s="1544"/>
    </row>
    <row r="116" spans="1:21" ht="17.25" thickTop="1" x14ac:dyDescent="0.3">
      <c r="A116" s="4"/>
      <c r="B116" s="5"/>
      <c r="C116" s="5"/>
      <c r="D116" s="5"/>
      <c r="E116" s="17"/>
      <c r="F116" s="4"/>
      <c r="G116" s="1545"/>
      <c r="H116" s="1545"/>
      <c r="I116" s="1546"/>
      <c r="J116" s="1546"/>
      <c r="K116" s="1546"/>
      <c r="L116" s="1547"/>
      <c r="M116" s="62"/>
    </row>
    <row r="117" spans="1:21" x14ac:dyDescent="0.3">
      <c r="A117" s="4" t="s">
        <v>504</v>
      </c>
      <c r="H117" s="1520"/>
      <c r="I117" s="1544"/>
      <c r="J117" s="1549"/>
      <c r="K117" s="1544"/>
      <c r="L117" s="1549"/>
      <c r="M117" s="62"/>
    </row>
    <row r="118" spans="1:21" ht="17.25" thickBot="1" x14ac:dyDescent="0.35">
      <c r="A118" s="5" t="str">
        <f>A8</f>
        <v>County</v>
      </c>
      <c r="B118" s="5" t="str">
        <f>B8</f>
        <v>District #</v>
      </c>
      <c r="C118" s="5" t="str">
        <f>C8</f>
        <v>DOHQ#</v>
      </c>
      <c r="D118" s="5" t="str">
        <f>D8</f>
        <v>Attendance Area</v>
      </c>
      <c r="E118" s="4" t="s">
        <v>505</v>
      </c>
      <c r="F118" s="4"/>
      <c r="G118" s="1524"/>
      <c r="H118" s="1524"/>
      <c r="I118" s="4"/>
      <c r="J118" s="1478"/>
      <c r="K118" s="4"/>
      <c r="L118" s="1478"/>
      <c r="M118" s="62"/>
    </row>
    <row r="119" spans="1:21" ht="18" thickTop="1" thickBot="1" x14ac:dyDescent="0.35">
      <c r="A119" s="309" t="s">
        <v>270</v>
      </c>
      <c r="B119" s="1490">
        <v>13</v>
      </c>
      <c r="C119" s="1490">
        <v>13</v>
      </c>
      <c r="D119" s="1490" t="s">
        <v>270</v>
      </c>
      <c r="E119" s="309" t="s">
        <v>506</v>
      </c>
      <c r="F119" s="399"/>
      <c r="G119" s="1491">
        <v>520.76639743924079</v>
      </c>
      <c r="H119" s="1491"/>
      <c r="I119" s="1542">
        <v>0</v>
      </c>
      <c r="J119" s="1491">
        <v>0</v>
      </c>
      <c r="K119" s="1542">
        <v>0</v>
      </c>
      <c r="L119" s="1491">
        <v>0</v>
      </c>
      <c r="M119" s="1492"/>
    </row>
    <row r="120" spans="1:21" ht="18" thickTop="1" thickBot="1" x14ac:dyDescent="0.35">
      <c r="A120" s="309" t="s">
        <v>270</v>
      </c>
      <c r="B120" s="1490">
        <v>13</v>
      </c>
      <c r="C120" s="1490">
        <v>13</v>
      </c>
      <c r="D120" s="1490" t="s">
        <v>270</v>
      </c>
      <c r="E120" s="309" t="s">
        <v>507</v>
      </c>
      <c r="F120" s="399"/>
      <c r="G120" s="1491">
        <v>504.66459730843565</v>
      </c>
      <c r="H120" s="1491"/>
      <c r="I120" s="1542">
        <v>0</v>
      </c>
      <c r="J120" s="1491">
        <v>0</v>
      </c>
      <c r="K120" s="1542">
        <v>0</v>
      </c>
      <c r="L120" s="1491">
        <v>0</v>
      </c>
      <c r="M120" s="1492"/>
    </row>
    <row r="121" spans="1:21" ht="18" thickTop="1" thickBot="1" x14ac:dyDescent="0.35">
      <c r="A121" s="309" t="s">
        <v>270</v>
      </c>
      <c r="B121" s="1490">
        <v>13</v>
      </c>
      <c r="C121" s="1490">
        <v>13</v>
      </c>
      <c r="D121" s="1490" t="s">
        <v>270</v>
      </c>
      <c r="E121" s="309" t="s">
        <v>508</v>
      </c>
      <c r="F121" s="399"/>
      <c r="G121" s="1491">
        <v>2189.594693805439</v>
      </c>
      <c r="H121" s="1491"/>
      <c r="I121" s="1542">
        <v>0</v>
      </c>
      <c r="J121" s="1491">
        <v>0</v>
      </c>
      <c r="K121" s="1542">
        <v>0</v>
      </c>
      <c r="L121" s="1491">
        <v>0</v>
      </c>
      <c r="M121" s="1492"/>
    </row>
    <row r="122" spans="1:21" ht="18" thickTop="1" thickBot="1" x14ac:dyDescent="0.35">
      <c r="A122" s="309" t="s">
        <v>270</v>
      </c>
      <c r="B122" s="1490">
        <v>13</v>
      </c>
      <c r="C122" s="1490">
        <v>13</v>
      </c>
      <c r="D122" s="1490" t="s">
        <v>270</v>
      </c>
      <c r="E122" s="309" t="s">
        <v>509</v>
      </c>
      <c r="F122" s="399"/>
      <c r="G122" s="1491">
        <v>829.17204037143472</v>
      </c>
      <c r="H122" s="1491"/>
      <c r="I122" s="1542">
        <v>0</v>
      </c>
      <c r="J122" s="1491">
        <v>0</v>
      </c>
      <c r="K122" s="1542">
        <v>0</v>
      </c>
      <c r="L122" s="1491">
        <v>0</v>
      </c>
      <c r="M122" s="1492"/>
    </row>
    <row r="123" spans="1:21" ht="18" thickTop="1" thickBot="1" x14ac:dyDescent="0.35">
      <c r="A123" s="309" t="s">
        <v>270</v>
      </c>
      <c r="B123" s="1490">
        <v>13</v>
      </c>
      <c r="C123" s="1490">
        <v>13</v>
      </c>
      <c r="D123" s="1490" t="s">
        <v>270</v>
      </c>
      <c r="E123" s="309" t="s">
        <v>510</v>
      </c>
      <c r="F123" s="399"/>
      <c r="G123" s="1491">
        <v>798.89317004747932</v>
      </c>
      <c r="H123" s="1491"/>
      <c r="I123" s="1542">
        <v>0</v>
      </c>
      <c r="J123" s="1491">
        <v>0</v>
      </c>
      <c r="K123" s="1542">
        <v>0</v>
      </c>
      <c r="L123" s="1491">
        <v>0</v>
      </c>
      <c r="M123" s="1492"/>
    </row>
    <row r="124" spans="1:21" ht="18" thickTop="1" thickBot="1" x14ac:dyDescent="0.35">
      <c r="A124" s="309" t="s">
        <v>270</v>
      </c>
      <c r="B124" s="1490">
        <v>13</v>
      </c>
      <c r="C124" s="1490">
        <v>13</v>
      </c>
      <c r="D124" s="1490" t="s">
        <v>270</v>
      </c>
      <c r="E124" s="309" t="s">
        <v>511</v>
      </c>
      <c r="F124" s="399"/>
      <c r="G124" s="1491">
        <v>21.317812870954906</v>
      </c>
      <c r="H124" s="1491"/>
      <c r="I124" s="1542">
        <v>0</v>
      </c>
      <c r="J124" s="1491">
        <v>0</v>
      </c>
      <c r="K124" s="1542">
        <v>0</v>
      </c>
      <c r="L124" s="1491">
        <v>0</v>
      </c>
      <c r="M124" s="1492"/>
    </row>
    <row r="125" spans="1:21" ht="18" thickTop="1" thickBot="1" x14ac:dyDescent="0.35">
      <c r="A125" s="309" t="s">
        <v>270</v>
      </c>
      <c r="B125" s="1490">
        <v>13</v>
      </c>
      <c r="C125" s="1490">
        <v>13</v>
      </c>
      <c r="D125" s="1490" t="s">
        <v>270</v>
      </c>
      <c r="E125" s="309" t="s">
        <v>512</v>
      </c>
      <c r="F125" s="399"/>
      <c r="G125" s="1491">
        <v>484.4962287147884</v>
      </c>
      <c r="H125" s="1491"/>
      <c r="I125" s="1542">
        <v>0</v>
      </c>
      <c r="J125" s="1491">
        <v>0</v>
      </c>
      <c r="K125" s="1542">
        <v>0</v>
      </c>
      <c r="L125" s="1491">
        <v>0</v>
      </c>
      <c r="M125" s="1492"/>
    </row>
    <row r="126" spans="1:21" ht="18" thickTop="1" thickBot="1" x14ac:dyDescent="0.35">
      <c r="A126" s="309" t="s">
        <v>270</v>
      </c>
      <c r="B126" s="1490">
        <v>13</v>
      </c>
      <c r="C126" s="1490">
        <v>13</v>
      </c>
      <c r="D126" s="1490" t="s">
        <v>270</v>
      </c>
      <c r="E126" s="309" t="s">
        <v>513</v>
      </c>
      <c r="F126" s="399"/>
      <c r="G126" s="1491">
        <v>406.96904298837552</v>
      </c>
      <c r="H126" s="1491"/>
      <c r="I126" s="1542">
        <v>0</v>
      </c>
      <c r="J126" s="1491">
        <v>0</v>
      </c>
      <c r="K126" s="1542">
        <v>0</v>
      </c>
      <c r="L126" s="1491">
        <v>0</v>
      </c>
      <c r="M126" s="1492"/>
    </row>
    <row r="127" spans="1:21" ht="18" thickTop="1" thickBot="1" x14ac:dyDescent="0.35">
      <c r="A127" s="309" t="s">
        <v>270</v>
      </c>
      <c r="B127" s="1490">
        <v>13</v>
      </c>
      <c r="C127" s="1490">
        <v>13</v>
      </c>
      <c r="D127" s="1490" t="s">
        <v>270</v>
      </c>
      <c r="E127" s="309" t="s">
        <v>514</v>
      </c>
      <c r="F127" s="399"/>
      <c r="G127" s="1491">
        <v>528.49608375603623</v>
      </c>
      <c r="H127" s="1491"/>
      <c r="I127" s="1542">
        <v>0</v>
      </c>
      <c r="J127" s="1491">
        <v>0</v>
      </c>
      <c r="K127" s="1542">
        <v>0</v>
      </c>
      <c r="L127" s="1491">
        <v>0</v>
      </c>
      <c r="M127" s="1492"/>
    </row>
    <row r="128" spans="1:21" ht="18" thickTop="1" thickBot="1" x14ac:dyDescent="0.35">
      <c r="A128" s="309" t="s">
        <v>270</v>
      </c>
      <c r="B128" s="1490">
        <v>13</v>
      </c>
      <c r="C128" s="1490">
        <v>13</v>
      </c>
      <c r="D128" s="1490" t="s">
        <v>270</v>
      </c>
      <c r="E128" s="309" t="s">
        <v>515</v>
      </c>
      <c r="F128" s="399"/>
      <c r="G128" s="1491">
        <v>483.12823864327419</v>
      </c>
      <c r="H128" s="1491"/>
      <c r="I128" s="1542">
        <v>0</v>
      </c>
      <c r="J128" s="1491">
        <v>0</v>
      </c>
      <c r="K128" s="1542">
        <v>0</v>
      </c>
      <c r="L128" s="1491">
        <v>0</v>
      </c>
      <c r="M128" s="1492"/>
    </row>
    <row r="129" spans="1:13" ht="18" thickTop="1" thickBot="1" x14ac:dyDescent="0.35">
      <c r="A129" s="309" t="s">
        <v>270</v>
      </c>
      <c r="B129" s="1490">
        <v>13</v>
      </c>
      <c r="C129" s="1490">
        <v>13</v>
      </c>
      <c r="D129" s="1490" t="s">
        <v>270</v>
      </c>
      <c r="E129" s="309" t="s">
        <v>516</v>
      </c>
      <c r="F129" s="399"/>
      <c r="G129" s="1491">
        <v>202.9877923058344</v>
      </c>
      <c r="H129" s="1491"/>
      <c r="I129" s="1542">
        <v>0</v>
      </c>
      <c r="J129" s="1491">
        <v>0</v>
      </c>
      <c r="K129" s="1542">
        <v>0</v>
      </c>
      <c r="L129" s="1491">
        <v>0</v>
      </c>
      <c r="M129" s="1492"/>
    </row>
    <row r="130" spans="1:13" ht="18" thickTop="1" thickBot="1" x14ac:dyDescent="0.35">
      <c r="A130" s="309" t="s">
        <v>271</v>
      </c>
      <c r="B130" s="1490">
        <v>1</v>
      </c>
      <c r="C130" s="1490">
        <v>1</v>
      </c>
      <c r="D130" s="1490" t="s">
        <v>272</v>
      </c>
      <c r="E130" s="309" t="s">
        <v>517</v>
      </c>
      <c r="F130" s="399"/>
      <c r="G130" s="1491">
        <v>1030.109800095044</v>
      </c>
      <c r="H130" s="1491"/>
      <c r="I130" s="1542">
        <v>0</v>
      </c>
      <c r="J130" s="1491">
        <v>0</v>
      </c>
      <c r="K130" s="1542">
        <v>0</v>
      </c>
      <c r="L130" s="1491">
        <v>0</v>
      </c>
      <c r="M130" s="1492"/>
    </row>
    <row r="131" spans="1:13" ht="18" thickTop="1" thickBot="1" x14ac:dyDescent="0.35">
      <c r="A131" s="309" t="s">
        <v>271</v>
      </c>
      <c r="B131" s="1490">
        <v>1</v>
      </c>
      <c r="C131" s="1490">
        <v>1</v>
      </c>
      <c r="D131" s="1490" t="s">
        <v>272</v>
      </c>
      <c r="E131" s="309" t="s">
        <v>518</v>
      </c>
      <c r="F131" s="399"/>
      <c r="G131" s="1491">
        <v>695.95021910671119</v>
      </c>
      <c r="H131" s="1491"/>
      <c r="I131" s="1542">
        <v>0</v>
      </c>
      <c r="J131" s="1491">
        <v>0</v>
      </c>
      <c r="K131" s="1542">
        <v>0</v>
      </c>
      <c r="L131" s="1491">
        <v>0</v>
      </c>
      <c r="M131" s="1492"/>
    </row>
    <row r="132" spans="1:13" ht="18" thickTop="1" thickBot="1" x14ac:dyDescent="0.35">
      <c r="A132" s="309" t="s">
        <v>271</v>
      </c>
      <c r="B132" s="1490">
        <v>1</v>
      </c>
      <c r="C132" s="1490">
        <v>1</v>
      </c>
      <c r="D132" s="1490" t="s">
        <v>272</v>
      </c>
      <c r="E132" s="309" t="s">
        <v>519</v>
      </c>
      <c r="F132" s="399"/>
      <c r="G132" s="1491">
        <v>453.5190137387915</v>
      </c>
      <c r="H132" s="1491"/>
      <c r="I132" s="1542">
        <v>0</v>
      </c>
      <c r="J132" s="1491">
        <v>0</v>
      </c>
      <c r="K132" s="1542">
        <v>0</v>
      </c>
      <c r="L132" s="1491">
        <v>0</v>
      </c>
      <c r="M132" s="1492"/>
    </row>
    <row r="133" spans="1:13" ht="18" thickTop="1" thickBot="1" x14ac:dyDescent="0.35">
      <c r="A133" s="309" t="s">
        <v>271</v>
      </c>
      <c r="B133" s="1490">
        <v>1</v>
      </c>
      <c r="C133" s="1490">
        <v>1</v>
      </c>
      <c r="D133" s="1490" t="s">
        <v>272</v>
      </c>
      <c r="E133" s="309" t="s">
        <v>520</v>
      </c>
      <c r="F133" s="399"/>
      <c r="G133" s="1491">
        <v>429.54409495925148</v>
      </c>
      <c r="H133" s="1491"/>
      <c r="I133" s="1542">
        <v>0</v>
      </c>
      <c r="J133" s="1491">
        <v>0</v>
      </c>
      <c r="K133" s="1542">
        <v>0</v>
      </c>
      <c r="L133" s="1491">
        <v>0</v>
      </c>
      <c r="M133" s="1492"/>
    </row>
    <row r="134" spans="1:13" ht="18" thickTop="1" thickBot="1" x14ac:dyDescent="0.35">
      <c r="A134" s="309" t="s">
        <v>271</v>
      </c>
      <c r="B134" s="1490">
        <v>1</v>
      </c>
      <c r="C134" s="1490">
        <v>1</v>
      </c>
      <c r="D134" s="1490" t="s">
        <v>272</v>
      </c>
      <c r="E134" s="309" t="s">
        <v>521</v>
      </c>
      <c r="F134" s="399"/>
      <c r="G134" s="1491">
        <v>23.508480426996279</v>
      </c>
      <c r="H134" s="1491"/>
      <c r="I134" s="1542">
        <v>0</v>
      </c>
      <c r="J134" s="1491">
        <v>0</v>
      </c>
      <c r="K134" s="1542">
        <v>0</v>
      </c>
      <c r="L134" s="1491">
        <v>0</v>
      </c>
      <c r="M134" s="1492"/>
    </row>
    <row r="135" spans="1:13" ht="18" thickTop="1" thickBot="1" x14ac:dyDescent="0.35">
      <c r="A135" s="309" t="s">
        <v>271</v>
      </c>
      <c r="B135" s="1490">
        <v>1</v>
      </c>
      <c r="C135" s="1490">
        <v>1</v>
      </c>
      <c r="D135" s="1490" t="s">
        <v>272</v>
      </c>
      <c r="E135" s="309" t="s">
        <v>522</v>
      </c>
      <c r="F135" s="399"/>
      <c r="G135" s="1491">
        <v>441.51426950500888</v>
      </c>
      <c r="H135" s="1491"/>
      <c r="I135" s="1542">
        <v>0</v>
      </c>
      <c r="J135" s="1491">
        <v>0</v>
      </c>
      <c r="K135" s="1542">
        <v>0</v>
      </c>
      <c r="L135" s="1491">
        <v>0</v>
      </c>
      <c r="M135" s="1492"/>
    </row>
    <row r="136" spans="1:13" ht="18" thickTop="1" thickBot="1" x14ac:dyDescent="0.35">
      <c r="A136" s="309" t="s">
        <v>273</v>
      </c>
      <c r="B136" s="1490">
        <v>2</v>
      </c>
      <c r="C136" s="1490">
        <v>2</v>
      </c>
      <c r="D136" s="1490" t="s">
        <v>319</v>
      </c>
      <c r="E136" s="309" t="s">
        <v>523</v>
      </c>
      <c r="F136" s="399"/>
      <c r="G136" s="1491">
        <v>664.95618411768464</v>
      </c>
      <c r="H136" s="1491"/>
      <c r="I136" s="1542">
        <v>0</v>
      </c>
      <c r="J136" s="1491">
        <v>0</v>
      </c>
      <c r="K136" s="1542">
        <v>0</v>
      </c>
      <c r="L136" s="1491">
        <v>0</v>
      </c>
      <c r="M136" s="1492"/>
    </row>
    <row r="137" spans="1:13" ht="18" thickTop="1" thickBot="1" x14ac:dyDescent="0.35">
      <c r="A137" s="309" t="s">
        <v>273</v>
      </c>
      <c r="B137" s="1490">
        <v>3</v>
      </c>
      <c r="C137" s="1490">
        <v>2</v>
      </c>
      <c r="D137" s="1490" t="s">
        <v>319</v>
      </c>
      <c r="E137" s="309" t="s">
        <v>524</v>
      </c>
      <c r="F137" s="399"/>
      <c r="G137" s="1491">
        <v>1713.1549407481252</v>
      </c>
      <c r="H137" s="1491"/>
      <c r="I137" s="1542"/>
      <c r="J137" s="1491"/>
      <c r="K137" s="1542"/>
      <c r="L137" s="1491"/>
      <c r="M137" s="1492"/>
    </row>
    <row r="138" spans="1:13" ht="18" thickTop="1" thickBot="1" x14ac:dyDescent="0.35">
      <c r="A138" s="309" t="s">
        <v>273</v>
      </c>
      <c r="B138" s="1490">
        <v>2</v>
      </c>
      <c r="C138" s="1490">
        <v>2</v>
      </c>
      <c r="D138" s="1490" t="s">
        <v>319</v>
      </c>
      <c r="E138" s="309" t="s">
        <v>525</v>
      </c>
      <c r="F138" s="399"/>
      <c r="G138" s="1491">
        <v>368.53280654281559</v>
      </c>
      <c r="H138" s="1491"/>
      <c r="I138" s="1542">
        <v>0</v>
      </c>
      <c r="J138" s="1491">
        <v>0</v>
      </c>
      <c r="K138" s="1542">
        <v>0</v>
      </c>
      <c r="L138" s="1491">
        <v>0</v>
      </c>
      <c r="M138" s="1492"/>
    </row>
    <row r="139" spans="1:13" ht="18" thickTop="1" thickBot="1" x14ac:dyDescent="0.35">
      <c r="A139" s="309" t="s">
        <v>273</v>
      </c>
      <c r="B139" s="1490">
        <v>2</v>
      </c>
      <c r="C139" s="1490">
        <v>2</v>
      </c>
      <c r="D139" s="1490" t="s">
        <v>319</v>
      </c>
      <c r="E139" s="309" t="s">
        <v>526</v>
      </c>
      <c r="F139" s="399"/>
      <c r="G139" s="1491">
        <v>406.78589853601005</v>
      </c>
      <c r="H139" s="1491"/>
      <c r="I139" s="1542">
        <v>0</v>
      </c>
      <c r="J139" s="1491">
        <v>0</v>
      </c>
      <c r="K139" s="1542">
        <v>0</v>
      </c>
      <c r="L139" s="1491">
        <v>0</v>
      </c>
      <c r="M139" s="1492"/>
    </row>
    <row r="140" spans="1:13" ht="18" thickTop="1" thickBot="1" x14ac:dyDescent="0.35">
      <c r="A140" s="309" t="s">
        <v>273</v>
      </c>
      <c r="B140" s="1490">
        <v>2</v>
      </c>
      <c r="C140" s="1490">
        <v>2</v>
      </c>
      <c r="D140" s="1490" t="s">
        <v>319</v>
      </c>
      <c r="E140" s="309" t="s">
        <v>527</v>
      </c>
      <c r="F140" s="399"/>
      <c r="G140" s="1491">
        <v>1189.9029548041337</v>
      </c>
      <c r="H140" s="1491"/>
      <c r="I140" s="1542">
        <v>0</v>
      </c>
      <c r="J140" s="1491">
        <v>0</v>
      </c>
      <c r="K140" s="1542">
        <v>0</v>
      </c>
      <c r="L140" s="1491">
        <v>0</v>
      </c>
      <c r="M140" s="1492"/>
    </row>
    <row r="141" spans="1:13" ht="18" thickTop="1" thickBot="1" x14ac:dyDescent="0.35">
      <c r="A141" s="309" t="s">
        <v>273</v>
      </c>
      <c r="B141" s="1490">
        <v>2</v>
      </c>
      <c r="C141" s="1490">
        <v>2</v>
      </c>
      <c r="D141" s="1490" t="s">
        <v>319</v>
      </c>
      <c r="E141" s="309" t="s">
        <v>528</v>
      </c>
      <c r="F141" s="399"/>
      <c r="G141" s="1491">
        <v>836.93756161885301</v>
      </c>
      <c r="H141" s="1491"/>
      <c r="I141" s="1542">
        <v>0</v>
      </c>
      <c r="J141" s="1491">
        <v>0</v>
      </c>
      <c r="K141" s="1542">
        <v>0</v>
      </c>
      <c r="L141" s="1491">
        <v>0</v>
      </c>
      <c r="M141" s="1492"/>
    </row>
    <row r="142" spans="1:13" ht="18" thickTop="1" thickBot="1" x14ac:dyDescent="0.35">
      <c r="A142" s="309" t="s">
        <v>273</v>
      </c>
      <c r="B142" s="1490">
        <v>2</v>
      </c>
      <c r="C142" s="1490">
        <v>2</v>
      </c>
      <c r="D142" s="1490" t="s">
        <v>319</v>
      </c>
      <c r="E142" s="309" t="s">
        <v>529</v>
      </c>
      <c r="F142" s="399"/>
      <c r="G142" s="1491">
        <v>388.29310966770026</v>
      </c>
      <c r="H142" s="1491"/>
      <c r="I142" s="1542">
        <v>0</v>
      </c>
      <c r="J142" s="1491">
        <v>0</v>
      </c>
      <c r="K142" s="1542">
        <v>0</v>
      </c>
      <c r="L142" s="1491">
        <v>0</v>
      </c>
      <c r="M142" s="1492"/>
    </row>
    <row r="143" spans="1:13" ht="18" thickTop="1" thickBot="1" x14ac:dyDescent="0.35">
      <c r="A143" s="309" t="s">
        <v>273</v>
      </c>
      <c r="B143" s="1490">
        <v>2</v>
      </c>
      <c r="C143" s="1490">
        <v>2</v>
      </c>
      <c r="D143" s="1490" t="s">
        <v>319</v>
      </c>
      <c r="E143" s="309" t="s">
        <v>530</v>
      </c>
      <c r="F143" s="399"/>
      <c r="G143" s="1491">
        <v>488.03542552851383</v>
      </c>
      <c r="H143" s="1491"/>
      <c r="I143" s="1542">
        <v>0</v>
      </c>
      <c r="J143" s="1491">
        <v>0</v>
      </c>
      <c r="K143" s="1542">
        <v>0</v>
      </c>
      <c r="L143" s="1491">
        <v>0</v>
      </c>
      <c r="M143" s="1492"/>
    </row>
    <row r="144" spans="1:13" ht="18" thickTop="1" thickBot="1" x14ac:dyDescent="0.35">
      <c r="A144" s="309" t="s">
        <v>273</v>
      </c>
      <c r="B144" s="1490">
        <v>2</v>
      </c>
      <c r="C144" s="1490">
        <v>2</v>
      </c>
      <c r="D144" s="1490" t="s">
        <v>319</v>
      </c>
      <c r="E144" s="309" t="s">
        <v>531</v>
      </c>
      <c r="F144" s="399"/>
      <c r="G144" s="1491">
        <v>3096.3111391572188</v>
      </c>
      <c r="H144" s="1491" t="s">
        <v>532</v>
      </c>
      <c r="I144" s="1542">
        <v>0</v>
      </c>
      <c r="J144" s="1491">
        <v>0</v>
      </c>
      <c r="K144" s="1542">
        <v>0</v>
      </c>
      <c r="L144" s="1491">
        <v>0</v>
      </c>
      <c r="M144" s="1492"/>
    </row>
    <row r="145" spans="1:13" ht="18" thickTop="1" thickBot="1" x14ac:dyDescent="0.35">
      <c r="A145" s="309" t="s">
        <v>273</v>
      </c>
      <c r="B145" s="1490">
        <v>2</v>
      </c>
      <c r="C145" s="1490">
        <v>2</v>
      </c>
      <c r="D145" s="1490" t="s">
        <v>319</v>
      </c>
      <c r="E145" s="309" t="s">
        <v>533</v>
      </c>
      <c r="F145" s="399"/>
      <c r="G145" s="1491">
        <v>1148.5528982980352</v>
      </c>
      <c r="H145" s="1491"/>
      <c r="I145" s="1542">
        <v>0</v>
      </c>
      <c r="J145" s="1491">
        <v>0</v>
      </c>
      <c r="K145" s="1542">
        <v>0</v>
      </c>
      <c r="L145" s="1491">
        <v>0</v>
      </c>
      <c r="M145" s="1492"/>
    </row>
    <row r="146" spans="1:13" ht="18" thickTop="1" thickBot="1" x14ac:dyDescent="0.35">
      <c r="A146" s="309" t="s">
        <v>273</v>
      </c>
      <c r="B146" s="1490">
        <v>2</v>
      </c>
      <c r="C146" s="1490">
        <v>2</v>
      </c>
      <c r="D146" s="1490" t="s">
        <v>319</v>
      </c>
      <c r="E146" s="309" t="s">
        <v>534</v>
      </c>
      <c r="F146" s="399"/>
      <c r="G146" s="1491">
        <v>548.09465593913114</v>
      </c>
      <c r="H146" s="1491"/>
      <c r="I146" s="1542">
        <v>0</v>
      </c>
      <c r="J146" s="1491">
        <v>0</v>
      </c>
      <c r="K146" s="1542">
        <v>0</v>
      </c>
      <c r="L146" s="1491">
        <v>0</v>
      </c>
      <c r="M146" s="1492"/>
    </row>
    <row r="147" spans="1:13" ht="18" thickTop="1" thickBot="1" x14ac:dyDescent="0.35">
      <c r="A147" s="309" t="s">
        <v>273</v>
      </c>
      <c r="B147" s="1490">
        <v>2</v>
      </c>
      <c r="C147" s="1490">
        <v>2</v>
      </c>
      <c r="D147" s="1490" t="s">
        <v>319</v>
      </c>
      <c r="E147" s="309" t="s">
        <v>535</v>
      </c>
      <c r="F147" s="399"/>
      <c r="G147" s="1491">
        <v>750.25529735989085</v>
      </c>
      <c r="H147" s="1491"/>
      <c r="I147" s="1542">
        <v>0</v>
      </c>
      <c r="J147" s="1491">
        <v>0</v>
      </c>
      <c r="K147" s="1542">
        <v>0</v>
      </c>
      <c r="L147" s="1491">
        <v>0</v>
      </c>
      <c r="M147" s="1492"/>
    </row>
    <row r="148" spans="1:13" ht="18" thickTop="1" thickBot="1" x14ac:dyDescent="0.35">
      <c r="A148" s="309" t="s">
        <v>273</v>
      </c>
      <c r="B148" s="1490">
        <v>2</v>
      </c>
      <c r="C148" s="1490">
        <v>2</v>
      </c>
      <c r="D148" s="1490" t="s">
        <v>319</v>
      </c>
      <c r="E148" s="309" t="s">
        <v>536</v>
      </c>
      <c r="F148" s="399"/>
      <c r="G148" s="1491">
        <v>503.47832653884342</v>
      </c>
      <c r="H148" s="1491"/>
      <c r="I148" s="1542">
        <v>0</v>
      </c>
      <c r="J148" s="1491">
        <v>0</v>
      </c>
      <c r="K148" s="1542">
        <v>0</v>
      </c>
      <c r="L148" s="1491">
        <v>0</v>
      </c>
      <c r="M148" s="1492"/>
    </row>
    <row r="149" spans="1:13" ht="18" thickTop="1" thickBot="1" x14ac:dyDescent="0.35">
      <c r="A149" s="309" t="s">
        <v>273</v>
      </c>
      <c r="B149" s="1490">
        <v>2</v>
      </c>
      <c r="C149" s="1490">
        <v>2</v>
      </c>
      <c r="D149" s="1490" t="s">
        <v>319</v>
      </c>
      <c r="E149" s="309" t="s">
        <v>537</v>
      </c>
      <c r="F149" s="399"/>
      <c r="G149" s="1491">
        <v>2403.7214752783784</v>
      </c>
      <c r="H149" s="1491"/>
      <c r="I149" s="1542">
        <v>0</v>
      </c>
      <c r="J149" s="1491">
        <v>0</v>
      </c>
      <c r="K149" s="1542">
        <v>0</v>
      </c>
      <c r="L149" s="1491">
        <v>0</v>
      </c>
      <c r="M149" s="1492"/>
    </row>
    <row r="150" spans="1:13" ht="18" thickTop="1" thickBot="1" x14ac:dyDescent="0.35">
      <c r="A150" s="309" t="s">
        <v>273</v>
      </c>
      <c r="B150" s="1490">
        <v>2</v>
      </c>
      <c r="C150" s="1490">
        <v>2</v>
      </c>
      <c r="D150" s="1490" t="s">
        <v>319</v>
      </c>
      <c r="E150" s="309" t="s">
        <v>538</v>
      </c>
      <c r="F150" s="399"/>
      <c r="G150" s="1491">
        <v>502.35988972673982</v>
      </c>
      <c r="H150" s="1491"/>
      <c r="I150" s="1542">
        <v>0</v>
      </c>
      <c r="J150" s="1491">
        <v>0</v>
      </c>
      <c r="K150" s="1542">
        <v>0</v>
      </c>
      <c r="L150" s="1491">
        <v>0</v>
      </c>
      <c r="M150" s="1492"/>
    </row>
    <row r="151" spans="1:13" ht="18" thickTop="1" thickBot="1" x14ac:dyDescent="0.35">
      <c r="A151" s="309" t="s">
        <v>273</v>
      </c>
      <c r="B151" s="1490">
        <v>2</v>
      </c>
      <c r="C151" s="1490">
        <v>2</v>
      </c>
      <c r="D151" s="1490" t="s">
        <v>319</v>
      </c>
      <c r="E151" s="309" t="s">
        <v>539</v>
      </c>
      <c r="F151" s="399"/>
      <c r="G151" s="1491">
        <v>616.04628790936363</v>
      </c>
      <c r="H151" s="1491"/>
      <c r="I151" s="1542">
        <v>0</v>
      </c>
      <c r="J151" s="1491">
        <v>0</v>
      </c>
      <c r="K151" s="1542">
        <v>0</v>
      </c>
      <c r="L151" s="1491">
        <v>0</v>
      </c>
      <c r="M151" s="1492"/>
    </row>
    <row r="152" spans="1:13" ht="18" thickTop="1" thickBot="1" x14ac:dyDescent="0.35">
      <c r="A152" s="309" t="s">
        <v>273</v>
      </c>
      <c r="B152" s="1490">
        <v>2</v>
      </c>
      <c r="C152" s="1490">
        <v>2</v>
      </c>
      <c r="D152" s="1490" t="s">
        <v>319</v>
      </c>
      <c r="E152" s="309" t="s">
        <v>540</v>
      </c>
      <c r="F152" s="399"/>
      <c r="G152" s="1491">
        <v>477.5135637435132</v>
      </c>
      <c r="H152" s="1491"/>
      <c r="I152" s="1542">
        <v>0</v>
      </c>
      <c r="J152" s="1491">
        <v>0</v>
      </c>
      <c r="K152" s="1542">
        <v>0</v>
      </c>
      <c r="L152" s="1491">
        <v>0</v>
      </c>
      <c r="M152" s="1492"/>
    </row>
    <row r="153" spans="1:13" ht="18" thickTop="1" thickBot="1" x14ac:dyDescent="0.35">
      <c r="A153" s="309" t="s">
        <v>273</v>
      </c>
      <c r="B153" s="1490">
        <v>2</v>
      </c>
      <c r="C153" s="1490">
        <v>2</v>
      </c>
      <c r="D153" s="1490" t="s">
        <v>319</v>
      </c>
      <c r="E153" s="309" t="s">
        <v>541</v>
      </c>
      <c r="F153" s="399"/>
      <c r="G153" s="1491">
        <v>1032.2545311888198</v>
      </c>
      <c r="H153" s="1491"/>
      <c r="I153" s="1542">
        <v>0</v>
      </c>
      <c r="J153" s="1491">
        <v>0</v>
      </c>
      <c r="K153" s="1542">
        <v>0</v>
      </c>
      <c r="L153" s="1491">
        <v>0</v>
      </c>
      <c r="M153" s="1492"/>
    </row>
    <row r="154" spans="1:13" ht="18" thickTop="1" thickBot="1" x14ac:dyDescent="0.35">
      <c r="A154" s="309" t="s">
        <v>273</v>
      </c>
      <c r="B154" s="1490">
        <v>2</v>
      </c>
      <c r="C154" s="1490">
        <v>2</v>
      </c>
      <c r="D154" s="1490" t="s">
        <v>319</v>
      </c>
      <c r="E154" s="309" t="s">
        <v>542</v>
      </c>
      <c r="F154" s="399"/>
      <c r="G154" s="1491">
        <v>678.54264063927576</v>
      </c>
      <c r="H154" s="1491"/>
      <c r="I154" s="1542">
        <v>0</v>
      </c>
      <c r="J154" s="1491">
        <v>0</v>
      </c>
      <c r="K154" s="1542">
        <v>0</v>
      </c>
      <c r="L154" s="1491">
        <v>0</v>
      </c>
      <c r="M154" s="1492"/>
    </row>
    <row r="155" spans="1:13" ht="18" thickTop="1" thickBot="1" x14ac:dyDescent="0.35">
      <c r="A155" s="309" t="s">
        <v>273</v>
      </c>
      <c r="B155" s="1490">
        <v>2</v>
      </c>
      <c r="C155" s="1490">
        <v>2</v>
      </c>
      <c r="D155" s="1490" t="s">
        <v>319</v>
      </c>
      <c r="E155" s="309" t="s">
        <v>543</v>
      </c>
      <c r="F155" s="399"/>
      <c r="G155" s="1491">
        <v>501.57821349615944</v>
      </c>
      <c r="H155" s="1491"/>
      <c r="I155" s="1542">
        <v>0</v>
      </c>
      <c r="J155" s="1491">
        <v>0</v>
      </c>
      <c r="K155" s="1542">
        <v>0</v>
      </c>
      <c r="L155" s="1491">
        <v>0</v>
      </c>
      <c r="M155" s="1492"/>
    </row>
    <row r="156" spans="1:13" ht="18" thickTop="1" thickBot="1" x14ac:dyDescent="0.35">
      <c r="A156" s="309" t="s">
        <v>273</v>
      </c>
      <c r="B156" s="1490">
        <v>2</v>
      </c>
      <c r="C156" s="1490">
        <v>2</v>
      </c>
      <c r="D156" s="1490" t="s">
        <v>319</v>
      </c>
      <c r="E156" s="309" t="s">
        <v>544</v>
      </c>
      <c r="F156" s="399"/>
      <c r="G156" s="1491">
        <v>496.33107669892343</v>
      </c>
      <c r="H156" s="1491"/>
      <c r="I156" s="1542">
        <v>0</v>
      </c>
      <c r="J156" s="1491">
        <v>0</v>
      </c>
      <c r="K156" s="1542">
        <v>0</v>
      </c>
      <c r="L156" s="1491">
        <v>0</v>
      </c>
      <c r="M156" s="1492"/>
    </row>
    <row r="157" spans="1:13" ht="18" thickTop="1" thickBot="1" x14ac:dyDescent="0.35">
      <c r="A157" s="309" t="s">
        <v>273</v>
      </c>
      <c r="B157" s="1490">
        <v>2</v>
      </c>
      <c r="C157" s="1490">
        <v>2</v>
      </c>
      <c r="D157" s="1490" t="s">
        <v>284</v>
      </c>
      <c r="E157" s="309" t="s">
        <v>545</v>
      </c>
      <c r="F157" s="399"/>
      <c r="G157" s="1491">
        <v>311.85669510313437</v>
      </c>
      <c r="H157" s="1491"/>
      <c r="I157" s="1542">
        <v>0</v>
      </c>
      <c r="J157" s="1491">
        <v>0</v>
      </c>
      <c r="K157" s="1542">
        <v>0</v>
      </c>
      <c r="L157" s="1491">
        <v>0</v>
      </c>
      <c r="M157" s="1492"/>
    </row>
    <row r="158" spans="1:13" ht="18" thickTop="1" thickBot="1" x14ac:dyDescent="0.35">
      <c r="A158" s="309" t="s">
        <v>273</v>
      </c>
      <c r="B158" s="1490">
        <v>2</v>
      </c>
      <c r="C158" s="1490">
        <v>2</v>
      </c>
      <c r="D158" s="1490" t="s">
        <v>319</v>
      </c>
      <c r="E158" s="309" t="s">
        <v>546</v>
      </c>
      <c r="F158" s="399"/>
      <c r="G158" s="1491">
        <v>679.14298021742195</v>
      </c>
      <c r="H158" s="1491"/>
      <c r="I158" s="1542">
        <v>0</v>
      </c>
      <c r="J158" s="1491">
        <v>0</v>
      </c>
      <c r="K158" s="1542">
        <v>0</v>
      </c>
      <c r="L158" s="1491">
        <v>0</v>
      </c>
      <c r="M158" s="1492"/>
    </row>
    <row r="159" spans="1:13" ht="18" thickTop="1" thickBot="1" x14ac:dyDescent="0.35">
      <c r="A159" s="309" t="s">
        <v>273</v>
      </c>
      <c r="B159" s="1490">
        <v>2</v>
      </c>
      <c r="C159" s="1490">
        <v>2</v>
      </c>
      <c r="D159" s="1490" t="s">
        <v>319</v>
      </c>
      <c r="E159" s="309" t="s">
        <v>547</v>
      </c>
      <c r="F159" s="399"/>
      <c r="G159" s="1491">
        <v>620.15427475681997</v>
      </c>
      <c r="H159" s="1491"/>
      <c r="I159" s="1542">
        <v>0</v>
      </c>
      <c r="J159" s="1491">
        <v>0</v>
      </c>
      <c r="K159" s="1542">
        <v>0</v>
      </c>
      <c r="L159" s="1491">
        <v>0</v>
      </c>
      <c r="M159" s="1492"/>
    </row>
    <row r="160" spans="1:13" ht="18" thickTop="1" thickBot="1" x14ac:dyDescent="0.35">
      <c r="A160" s="309" t="s">
        <v>273</v>
      </c>
      <c r="B160" s="1490">
        <v>2</v>
      </c>
      <c r="C160" s="1490">
        <v>2</v>
      </c>
      <c r="D160" s="1490" t="s">
        <v>274</v>
      </c>
      <c r="E160" s="309" t="s">
        <v>548</v>
      </c>
      <c r="F160" s="399"/>
      <c r="G160" s="1491">
        <v>38.612530926119462</v>
      </c>
      <c r="H160" s="1491"/>
      <c r="I160" s="1542">
        <v>0</v>
      </c>
      <c r="J160" s="1491">
        <v>0</v>
      </c>
      <c r="K160" s="1542">
        <v>0</v>
      </c>
      <c r="L160" s="1491">
        <v>0</v>
      </c>
      <c r="M160" s="1492"/>
    </row>
    <row r="161" spans="1:13" ht="18" thickTop="1" thickBot="1" x14ac:dyDescent="0.35">
      <c r="A161" s="309" t="s">
        <v>273</v>
      </c>
      <c r="B161" s="1490">
        <v>2</v>
      </c>
      <c r="C161" s="1490">
        <v>2</v>
      </c>
      <c r="D161" s="1490" t="s">
        <v>319</v>
      </c>
      <c r="E161" s="309" t="s">
        <v>549</v>
      </c>
      <c r="F161" s="399"/>
      <c r="G161" s="1491">
        <v>1934.342354743653</v>
      </c>
      <c r="H161" s="1491"/>
      <c r="I161" s="1542">
        <v>0</v>
      </c>
      <c r="J161" s="1491">
        <v>0</v>
      </c>
      <c r="K161" s="1542">
        <v>0</v>
      </c>
      <c r="L161" s="1491">
        <v>0</v>
      </c>
      <c r="M161" s="1492"/>
    </row>
    <row r="162" spans="1:13" ht="18" thickTop="1" thickBot="1" x14ac:dyDescent="0.35">
      <c r="A162" s="309" t="s">
        <v>273</v>
      </c>
      <c r="B162" s="1490">
        <v>2</v>
      </c>
      <c r="C162" s="1490">
        <v>2</v>
      </c>
      <c r="D162" s="1490" t="s">
        <v>319</v>
      </c>
      <c r="E162" s="309" t="s">
        <v>550</v>
      </c>
      <c r="F162" s="399"/>
      <c r="G162" s="1491">
        <v>758.90015359949689</v>
      </c>
      <c r="H162" s="1491"/>
      <c r="I162" s="1542">
        <v>0</v>
      </c>
      <c r="J162" s="1491">
        <v>0</v>
      </c>
      <c r="K162" s="1542">
        <v>0</v>
      </c>
      <c r="L162" s="1491">
        <v>0</v>
      </c>
      <c r="M162" s="1492"/>
    </row>
    <row r="163" spans="1:13" ht="18" thickTop="1" thickBot="1" x14ac:dyDescent="0.35">
      <c r="A163" s="309" t="s">
        <v>273</v>
      </c>
      <c r="B163" s="1490">
        <v>2</v>
      </c>
      <c r="C163" s="1490">
        <v>2</v>
      </c>
      <c r="D163" s="1490" t="s">
        <v>319</v>
      </c>
      <c r="E163" s="309" t="s">
        <v>551</v>
      </c>
      <c r="F163" s="399"/>
      <c r="G163" s="1491">
        <v>316.52742343483476</v>
      </c>
      <c r="H163" s="1491"/>
      <c r="I163" s="1542">
        <v>0</v>
      </c>
      <c r="J163" s="1491">
        <v>0</v>
      </c>
      <c r="K163" s="1542">
        <v>0</v>
      </c>
      <c r="L163" s="1491">
        <v>0</v>
      </c>
      <c r="M163" s="1492"/>
    </row>
    <row r="164" spans="1:13" ht="18" thickTop="1" thickBot="1" x14ac:dyDescent="0.35">
      <c r="A164" s="309" t="s">
        <v>273</v>
      </c>
      <c r="B164" s="1490">
        <v>2</v>
      </c>
      <c r="C164" s="1490">
        <v>2</v>
      </c>
      <c r="D164" s="1490" t="s">
        <v>276</v>
      </c>
      <c r="E164" s="309" t="s">
        <v>552</v>
      </c>
      <c r="F164" s="399"/>
      <c r="G164" s="1491">
        <v>640.67393555386275</v>
      </c>
      <c r="H164" s="1491"/>
      <c r="I164" s="1542">
        <v>0</v>
      </c>
      <c r="J164" s="1491">
        <v>0</v>
      </c>
      <c r="K164" s="1542">
        <v>0</v>
      </c>
      <c r="L164" s="1491">
        <v>0</v>
      </c>
      <c r="M164" s="1492"/>
    </row>
    <row r="165" spans="1:13" ht="18" thickTop="1" thickBot="1" x14ac:dyDescent="0.35">
      <c r="A165" s="309" t="s">
        <v>273</v>
      </c>
      <c r="B165" s="1490">
        <v>2</v>
      </c>
      <c r="C165" s="1490">
        <v>2</v>
      </c>
      <c r="D165" s="1490" t="s">
        <v>290</v>
      </c>
      <c r="E165" s="309" t="s">
        <v>553</v>
      </c>
      <c r="F165" s="399"/>
      <c r="G165" s="1491">
        <v>617.75195877965052</v>
      </c>
      <c r="H165" s="1491"/>
      <c r="I165" s="1542">
        <v>0</v>
      </c>
      <c r="J165" s="1491">
        <v>0</v>
      </c>
      <c r="K165" s="1542">
        <v>0</v>
      </c>
      <c r="L165" s="1491">
        <v>0</v>
      </c>
      <c r="M165" s="1492"/>
    </row>
    <row r="166" spans="1:13" ht="18" thickTop="1" thickBot="1" x14ac:dyDescent="0.35">
      <c r="A166" s="309" t="s">
        <v>273</v>
      </c>
      <c r="B166" s="1490">
        <v>2</v>
      </c>
      <c r="C166" s="1490">
        <v>2</v>
      </c>
      <c r="D166" s="1490" t="s">
        <v>288</v>
      </c>
      <c r="E166" s="309" t="s">
        <v>554</v>
      </c>
      <c r="F166" s="399"/>
      <c r="G166" s="1491">
        <v>408.05601788596317</v>
      </c>
      <c r="H166" s="1491"/>
      <c r="I166" s="1542">
        <v>0</v>
      </c>
      <c r="J166" s="1491">
        <v>0</v>
      </c>
      <c r="K166" s="1542">
        <v>0</v>
      </c>
      <c r="L166" s="1491">
        <v>0</v>
      </c>
      <c r="M166" s="1492"/>
    </row>
    <row r="167" spans="1:13" ht="18" thickTop="1" thickBot="1" x14ac:dyDescent="0.35">
      <c r="A167" s="309" t="s">
        <v>273</v>
      </c>
      <c r="B167" s="1490">
        <v>2</v>
      </c>
      <c r="C167" s="1490">
        <v>2</v>
      </c>
      <c r="D167" s="1490" t="s">
        <v>319</v>
      </c>
      <c r="E167" s="309" t="s">
        <v>555</v>
      </c>
      <c r="F167" s="399"/>
      <c r="G167" s="1491">
        <v>720.50682933265125</v>
      </c>
      <c r="H167" s="1491"/>
      <c r="I167" s="1542">
        <v>0</v>
      </c>
      <c r="J167" s="1491">
        <v>0</v>
      </c>
      <c r="K167" s="1542">
        <v>0</v>
      </c>
      <c r="L167" s="1491">
        <v>0</v>
      </c>
      <c r="M167" s="1492"/>
    </row>
    <row r="168" spans="1:13" ht="18" thickTop="1" thickBot="1" x14ac:dyDescent="0.35">
      <c r="A168" s="309" t="s">
        <v>273</v>
      </c>
      <c r="B168" s="1490">
        <v>2</v>
      </c>
      <c r="C168" s="1490">
        <v>2</v>
      </c>
      <c r="D168" s="1490" t="s">
        <v>319</v>
      </c>
      <c r="E168" s="309" t="s">
        <v>556</v>
      </c>
      <c r="F168" s="399"/>
      <c r="G168" s="1491">
        <v>509.04664824520529</v>
      </c>
      <c r="H168" s="1491"/>
      <c r="I168" s="1542">
        <v>0</v>
      </c>
      <c r="J168" s="1491">
        <v>0</v>
      </c>
      <c r="K168" s="1542">
        <v>0</v>
      </c>
      <c r="L168" s="1491">
        <v>0</v>
      </c>
      <c r="M168" s="1492"/>
    </row>
    <row r="169" spans="1:13" ht="18" thickTop="1" thickBot="1" x14ac:dyDescent="0.35">
      <c r="A169" s="309" t="s">
        <v>273</v>
      </c>
      <c r="B169" s="1490">
        <v>2</v>
      </c>
      <c r="C169" s="1490">
        <v>2</v>
      </c>
      <c r="D169" s="1490" t="s">
        <v>319</v>
      </c>
      <c r="E169" s="309" t="s">
        <v>557</v>
      </c>
      <c r="F169" s="399"/>
      <c r="G169" s="1491">
        <v>1081.3346608471438</v>
      </c>
      <c r="H169" s="1491"/>
      <c r="I169" s="1542">
        <v>0</v>
      </c>
      <c r="J169" s="1491">
        <v>0</v>
      </c>
      <c r="K169" s="1542">
        <v>0</v>
      </c>
      <c r="L169" s="1491">
        <v>0</v>
      </c>
      <c r="M169" s="1492"/>
    </row>
    <row r="170" spans="1:13" ht="18" thickTop="1" thickBot="1" x14ac:dyDescent="0.35">
      <c r="A170" s="309" t="s">
        <v>273</v>
      </c>
      <c r="B170" s="1490">
        <v>2</v>
      </c>
      <c r="C170" s="1490">
        <v>2</v>
      </c>
      <c r="D170" s="1490" t="s">
        <v>319</v>
      </c>
      <c r="E170" s="309" t="s">
        <v>558</v>
      </c>
      <c r="F170" s="399"/>
      <c r="G170" s="1491">
        <v>874.35693079807515</v>
      </c>
      <c r="H170" s="1491"/>
      <c r="I170" s="1542">
        <v>0</v>
      </c>
      <c r="J170" s="1491">
        <v>0</v>
      </c>
      <c r="K170" s="1542">
        <v>0</v>
      </c>
      <c r="L170" s="1491">
        <v>0</v>
      </c>
      <c r="M170" s="1492"/>
    </row>
    <row r="171" spans="1:13" ht="18" thickTop="1" thickBot="1" x14ac:dyDescent="0.35">
      <c r="A171" s="309" t="s">
        <v>273</v>
      </c>
      <c r="B171" s="1490">
        <v>2</v>
      </c>
      <c r="C171" s="1490">
        <v>2</v>
      </c>
      <c r="D171" s="1490" t="s">
        <v>319</v>
      </c>
      <c r="E171" s="309" t="s">
        <v>559</v>
      </c>
      <c r="F171" s="399"/>
      <c r="G171" s="1491">
        <v>601.46832000777272</v>
      </c>
      <c r="H171" s="1491"/>
      <c r="I171" s="1542">
        <v>0</v>
      </c>
      <c r="J171" s="1491">
        <v>0</v>
      </c>
      <c r="K171" s="1542">
        <v>0</v>
      </c>
      <c r="L171" s="1491">
        <v>0</v>
      </c>
      <c r="M171" s="1492"/>
    </row>
    <row r="172" spans="1:13" ht="18" thickTop="1" thickBot="1" x14ac:dyDescent="0.35">
      <c r="A172" s="309" t="s">
        <v>273</v>
      </c>
      <c r="B172" s="1490">
        <v>2</v>
      </c>
      <c r="C172" s="1490">
        <v>2</v>
      </c>
      <c r="D172" s="1490" t="s">
        <v>319</v>
      </c>
      <c r="E172" s="309" t="s">
        <v>560</v>
      </c>
      <c r="F172" s="399"/>
      <c r="G172" s="1491">
        <v>774.14585298429267</v>
      </c>
      <c r="H172" s="1491"/>
      <c r="I172" s="1542">
        <v>0</v>
      </c>
      <c r="J172" s="1491">
        <v>0</v>
      </c>
      <c r="K172" s="1542">
        <v>0</v>
      </c>
      <c r="L172" s="1491">
        <v>0</v>
      </c>
      <c r="M172" s="1492"/>
    </row>
    <row r="173" spans="1:13" ht="18" thickTop="1" thickBot="1" x14ac:dyDescent="0.35">
      <c r="A173" s="309" t="s">
        <v>273</v>
      </c>
      <c r="B173" s="1490">
        <v>2</v>
      </c>
      <c r="C173" s="1490">
        <v>2</v>
      </c>
      <c r="D173" s="1490" t="s">
        <v>319</v>
      </c>
      <c r="E173" s="309" t="s">
        <v>561</v>
      </c>
      <c r="F173" s="309"/>
      <c r="G173" s="1491">
        <v>616.43552496323321</v>
      </c>
      <c r="H173" s="1491"/>
      <c r="I173" s="1542">
        <v>0</v>
      </c>
      <c r="J173" s="1491">
        <v>0</v>
      </c>
      <c r="K173" s="1542">
        <v>0</v>
      </c>
      <c r="L173" s="1491">
        <v>0</v>
      </c>
      <c r="M173" s="1492"/>
    </row>
    <row r="174" spans="1:13" ht="18" thickTop="1" thickBot="1" x14ac:dyDescent="0.35">
      <c r="A174" s="309" t="s">
        <v>273</v>
      </c>
      <c r="B174" s="1490">
        <v>2</v>
      </c>
      <c r="C174" s="1490">
        <v>2</v>
      </c>
      <c r="D174" s="1490" t="s">
        <v>319</v>
      </c>
      <c r="E174" s="309" t="s">
        <v>562</v>
      </c>
      <c r="F174" s="399"/>
      <c r="G174" s="1491">
        <v>508.78632388148259</v>
      </c>
      <c r="H174" s="1491"/>
      <c r="I174" s="1542">
        <v>0</v>
      </c>
      <c r="J174" s="1491">
        <v>0</v>
      </c>
      <c r="K174" s="1542">
        <v>0</v>
      </c>
      <c r="L174" s="1491">
        <v>0</v>
      </c>
      <c r="M174" s="1492"/>
    </row>
    <row r="175" spans="1:13" ht="18" thickTop="1" thickBot="1" x14ac:dyDescent="0.35">
      <c r="A175" s="309" t="s">
        <v>273</v>
      </c>
      <c r="B175" s="1490">
        <v>2</v>
      </c>
      <c r="C175" s="1490">
        <v>2</v>
      </c>
      <c r="D175" s="1490" t="s">
        <v>319</v>
      </c>
      <c r="E175" s="309" t="s">
        <v>563</v>
      </c>
      <c r="F175" s="399"/>
      <c r="G175" s="1491">
        <v>424.90479735640207</v>
      </c>
      <c r="H175" s="1491"/>
      <c r="I175" s="1542">
        <v>0</v>
      </c>
      <c r="J175" s="1491">
        <v>0</v>
      </c>
      <c r="K175" s="1542">
        <v>0</v>
      </c>
      <c r="L175" s="1491">
        <v>0</v>
      </c>
      <c r="M175" s="1492"/>
    </row>
    <row r="176" spans="1:13" ht="18" thickTop="1" thickBot="1" x14ac:dyDescent="0.35">
      <c r="A176" s="309" t="s">
        <v>273</v>
      </c>
      <c r="B176" s="1490">
        <v>2</v>
      </c>
      <c r="C176" s="1490">
        <v>2</v>
      </c>
      <c r="D176" s="1490" t="s">
        <v>319</v>
      </c>
      <c r="E176" s="309" t="s">
        <v>564</v>
      </c>
      <c r="F176" s="399"/>
      <c r="G176" s="1491">
        <v>553.12983915283291</v>
      </c>
      <c r="H176" s="1491"/>
      <c r="I176" s="1542">
        <v>0</v>
      </c>
      <c r="J176" s="1491">
        <v>0</v>
      </c>
      <c r="K176" s="1542">
        <v>0</v>
      </c>
      <c r="L176" s="1491">
        <v>0</v>
      </c>
      <c r="M176" s="1492"/>
    </row>
    <row r="177" spans="1:13" ht="18" thickTop="1" thickBot="1" x14ac:dyDescent="0.35">
      <c r="A177" s="309" t="s">
        <v>273</v>
      </c>
      <c r="B177" s="1490">
        <v>2</v>
      </c>
      <c r="C177" s="1490">
        <v>2</v>
      </c>
      <c r="D177" s="1490" t="s">
        <v>319</v>
      </c>
      <c r="E177" s="309" t="s">
        <v>565</v>
      </c>
      <c r="F177" s="399"/>
      <c r="G177" s="1491">
        <v>619.15423514879012</v>
      </c>
      <c r="H177" s="1491"/>
      <c r="I177" s="1542">
        <v>0</v>
      </c>
      <c r="J177" s="1491">
        <v>0</v>
      </c>
      <c r="K177" s="1542">
        <v>0</v>
      </c>
      <c r="L177" s="1491">
        <v>0</v>
      </c>
      <c r="M177" s="1492"/>
    </row>
    <row r="178" spans="1:13" ht="18" thickTop="1" thickBot="1" x14ac:dyDescent="0.35">
      <c r="A178" s="309" t="s">
        <v>273</v>
      </c>
      <c r="B178" s="1490">
        <v>2</v>
      </c>
      <c r="C178" s="1490">
        <v>2</v>
      </c>
      <c r="D178" s="1490" t="s">
        <v>319</v>
      </c>
      <c r="E178" s="309" t="s">
        <v>566</v>
      </c>
      <c r="F178" s="399"/>
      <c r="G178" s="1491">
        <v>29.470517374241322</v>
      </c>
      <c r="H178" s="1491"/>
      <c r="I178" s="1542">
        <v>0</v>
      </c>
      <c r="J178" s="1491">
        <v>0</v>
      </c>
      <c r="K178" s="1542">
        <v>0</v>
      </c>
      <c r="L178" s="1491">
        <v>0</v>
      </c>
      <c r="M178" s="1492"/>
    </row>
    <row r="179" spans="1:13" ht="18" thickTop="1" thickBot="1" x14ac:dyDescent="0.35">
      <c r="A179" s="309" t="s">
        <v>273</v>
      </c>
      <c r="B179" s="1490">
        <v>2</v>
      </c>
      <c r="C179" s="1490">
        <v>2</v>
      </c>
      <c r="D179" s="1490" t="s">
        <v>319</v>
      </c>
      <c r="E179" s="309" t="s">
        <v>567</v>
      </c>
      <c r="F179" s="399"/>
      <c r="G179" s="1491">
        <v>491.45712126196048</v>
      </c>
      <c r="H179" s="1491"/>
      <c r="I179" s="1542">
        <v>0</v>
      </c>
      <c r="J179" s="1491">
        <v>0</v>
      </c>
      <c r="K179" s="1542">
        <v>0</v>
      </c>
      <c r="L179" s="1491">
        <v>0</v>
      </c>
      <c r="M179" s="1492"/>
    </row>
    <row r="180" spans="1:13" ht="18" thickTop="1" thickBot="1" x14ac:dyDescent="0.35">
      <c r="A180" s="309" t="s">
        <v>273</v>
      </c>
      <c r="B180" s="1490">
        <v>2</v>
      </c>
      <c r="C180" s="1490">
        <v>2</v>
      </c>
      <c r="D180" s="1490" t="s">
        <v>319</v>
      </c>
      <c r="E180" s="309" t="s">
        <v>568</v>
      </c>
      <c r="F180" s="399"/>
      <c r="G180" s="1491">
        <v>1494.2087670340479</v>
      </c>
      <c r="H180" s="1491"/>
      <c r="I180" s="1542">
        <v>0</v>
      </c>
      <c r="J180" s="1491">
        <v>0</v>
      </c>
      <c r="K180" s="1542">
        <v>0</v>
      </c>
      <c r="L180" s="1491">
        <v>0</v>
      </c>
      <c r="M180" s="1492"/>
    </row>
    <row r="181" spans="1:13" ht="18" thickTop="1" thickBot="1" x14ac:dyDescent="0.35">
      <c r="A181" s="309" t="s">
        <v>273</v>
      </c>
      <c r="B181" s="1490">
        <v>2</v>
      </c>
      <c r="C181" s="1490">
        <v>2</v>
      </c>
      <c r="D181" s="1490" t="s">
        <v>319</v>
      </c>
      <c r="E181" s="309" t="s">
        <v>569</v>
      </c>
      <c r="F181" s="399"/>
      <c r="G181" s="1491">
        <v>477.30666380731464</v>
      </c>
      <c r="H181" s="1491"/>
      <c r="I181" s="1542">
        <v>0</v>
      </c>
      <c r="J181" s="1491">
        <v>0</v>
      </c>
      <c r="K181" s="1542">
        <v>0</v>
      </c>
      <c r="L181" s="1491">
        <v>0</v>
      </c>
      <c r="M181" s="1492"/>
    </row>
    <row r="182" spans="1:13" ht="18" thickTop="1" thickBot="1" x14ac:dyDescent="0.35">
      <c r="A182" s="309" t="s">
        <v>273</v>
      </c>
      <c r="B182" s="1490">
        <v>2</v>
      </c>
      <c r="C182" s="1490">
        <v>2</v>
      </c>
      <c r="D182" s="1490" t="s">
        <v>319</v>
      </c>
      <c r="E182" s="309" t="s">
        <v>570</v>
      </c>
      <c r="F182" s="399"/>
      <c r="G182" s="1491">
        <v>468.25906403499187</v>
      </c>
      <c r="H182" s="1491"/>
      <c r="I182" s="1542">
        <v>0</v>
      </c>
      <c r="J182" s="1491">
        <v>0</v>
      </c>
      <c r="K182" s="1542">
        <v>0</v>
      </c>
      <c r="L182" s="1491">
        <v>0</v>
      </c>
      <c r="M182" s="1492"/>
    </row>
    <row r="183" spans="1:13" ht="18" thickTop="1" thickBot="1" x14ac:dyDescent="0.35">
      <c r="A183" s="309" t="s">
        <v>273</v>
      </c>
      <c r="B183" s="1490">
        <v>2</v>
      </c>
      <c r="C183" s="1490">
        <v>2</v>
      </c>
      <c r="D183" s="1490" t="s">
        <v>319</v>
      </c>
      <c r="E183" s="309" t="s">
        <v>571</v>
      </c>
      <c r="F183" s="399"/>
      <c r="G183" s="1491">
        <v>1500.9835960178698</v>
      </c>
      <c r="H183" s="1491"/>
      <c r="I183" s="1542">
        <v>0</v>
      </c>
      <c r="J183" s="1491">
        <v>0</v>
      </c>
      <c r="K183" s="1542">
        <v>0</v>
      </c>
      <c r="L183" s="1491">
        <v>0</v>
      </c>
      <c r="M183" s="1492"/>
    </row>
    <row r="184" spans="1:13" ht="18" thickTop="1" thickBot="1" x14ac:dyDescent="0.35">
      <c r="A184" s="309" t="s">
        <v>273</v>
      </c>
      <c r="B184" s="1490">
        <v>2</v>
      </c>
      <c r="C184" s="1490">
        <v>2</v>
      </c>
      <c r="D184" s="1490" t="s">
        <v>319</v>
      </c>
      <c r="E184" s="309" t="s">
        <v>572</v>
      </c>
      <c r="F184" s="399"/>
      <c r="G184" s="1491">
        <v>765.62695856767061</v>
      </c>
      <c r="H184" s="1491"/>
      <c r="I184" s="1542">
        <v>0</v>
      </c>
      <c r="J184" s="1491">
        <v>0</v>
      </c>
      <c r="K184" s="1542">
        <v>0</v>
      </c>
      <c r="L184" s="1491">
        <v>0</v>
      </c>
      <c r="M184" s="1492"/>
    </row>
    <row r="185" spans="1:13" ht="18" thickTop="1" thickBot="1" x14ac:dyDescent="0.35">
      <c r="A185" s="309" t="s">
        <v>273</v>
      </c>
      <c r="B185" s="1490">
        <v>2</v>
      </c>
      <c r="C185" s="1490">
        <v>2</v>
      </c>
      <c r="D185" s="1490" t="s">
        <v>319</v>
      </c>
      <c r="E185" s="309" t="s">
        <v>573</v>
      </c>
      <c r="F185" s="399"/>
      <c r="G185" s="1491">
        <v>2703.2343714397903</v>
      </c>
      <c r="H185" s="1491"/>
      <c r="I185" s="1542">
        <v>0</v>
      </c>
      <c r="J185" s="1491">
        <v>0</v>
      </c>
      <c r="K185" s="1542">
        <v>0</v>
      </c>
      <c r="L185" s="1491">
        <v>0</v>
      </c>
      <c r="M185" s="1492"/>
    </row>
    <row r="186" spans="1:13" ht="18" thickTop="1" thickBot="1" x14ac:dyDescent="0.35">
      <c r="A186" s="309" t="s">
        <v>273</v>
      </c>
      <c r="B186" s="1490">
        <v>2</v>
      </c>
      <c r="C186" s="1490">
        <v>2</v>
      </c>
      <c r="D186" s="1490" t="s">
        <v>319</v>
      </c>
      <c r="E186" s="309" t="s">
        <v>574</v>
      </c>
      <c r="F186" s="399"/>
      <c r="G186" s="1491">
        <v>654.91848518872155</v>
      </c>
      <c r="H186" s="1491"/>
      <c r="I186" s="1542">
        <v>0</v>
      </c>
      <c r="J186" s="1491">
        <v>0</v>
      </c>
      <c r="K186" s="1542">
        <v>0</v>
      </c>
      <c r="L186" s="1491">
        <v>0</v>
      </c>
      <c r="M186" s="1492"/>
    </row>
    <row r="187" spans="1:13" ht="18" thickTop="1" thickBot="1" x14ac:dyDescent="0.35">
      <c r="A187" s="309" t="s">
        <v>273</v>
      </c>
      <c r="B187" s="1490">
        <v>2</v>
      </c>
      <c r="C187" s="1490">
        <v>2</v>
      </c>
      <c r="D187" s="1490" t="s">
        <v>319</v>
      </c>
      <c r="E187" s="309" t="s">
        <v>575</v>
      </c>
      <c r="F187" s="399"/>
      <c r="G187" s="1491">
        <v>509.31148233131324</v>
      </c>
      <c r="H187" s="1491"/>
      <c r="I187" s="1542">
        <v>0</v>
      </c>
      <c r="J187" s="1491">
        <v>0</v>
      </c>
      <c r="K187" s="1542">
        <v>0</v>
      </c>
      <c r="L187" s="1491">
        <v>0</v>
      </c>
      <c r="M187" s="1492"/>
    </row>
    <row r="188" spans="1:13" ht="18" thickTop="1" thickBot="1" x14ac:dyDescent="0.35">
      <c r="A188" s="309" t="s">
        <v>273</v>
      </c>
      <c r="B188" s="1490">
        <v>2</v>
      </c>
      <c r="C188" s="1490">
        <v>2</v>
      </c>
      <c r="D188" s="1490" t="s">
        <v>319</v>
      </c>
      <c r="E188" s="309" t="s">
        <v>576</v>
      </c>
      <c r="F188" s="399"/>
      <c r="G188" s="1491">
        <v>1052.4537925479581</v>
      </c>
      <c r="H188" s="1491"/>
      <c r="I188" s="1542">
        <v>0</v>
      </c>
      <c r="J188" s="1491">
        <v>0</v>
      </c>
      <c r="K188" s="1542">
        <v>0</v>
      </c>
      <c r="L188" s="1491">
        <v>0</v>
      </c>
      <c r="M188" s="1492"/>
    </row>
    <row r="189" spans="1:13" ht="18" thickTop="1" thickBot="1" x14ac:dyDescent="0.35">
      <c r="A189" s="309" t="s">
        <v>273</v>
      </c>
      <c r="B189" s="1490">
        <v>2</v>
      </c>
      <c r="C189" s="1490">
        <v>2</v>
      </c>
      <c r="D189" s="1490" t="s">
        <v>319</v>
      </c>
      <c r="E189" s="309" t="s">
        <v>577</v>
      </c>
      <c r="F189" s="399"/>
      <c r="G189" s="1491">
        <v>2901.5176972529871</v>
      </c>
      <c r="H189" s="1491"/>
      <c r="I189" s="1542">
        <v>0</v>
      </c>
      <c r="J189" s="1491">
        <v>0</v>
      </c>
      <c r="K189" s="1542">
        <v>0</v>
      </c>
      <c r="L189" s="1491">
        <v>0</v>
      </c>
      <c r="M189" s="1492"/>
    </row>
    <row r="190" spans="1:13" ht="18" thickTop="1" thickBot="1" x14ac:dyDescent="0.35">
      <c r="A190" s="309" t="s">
        <v>273</v>
      </c>
      <c r="B190" s="1490">
        <v>2</v>
      </c>
      <c r="C190" s="1490">
        <v>2</v>
      </c>
      <c r="D190" s="1490" t="s">
        <v>319</v>
      </c>
      <c r="E190" s="309" t="s">
        <v>578</v>
      </c>
      <c r="F190" s="399"/>
      <c r="G190" s="1491">
        <v>108.65966245035207</v>
      </c>
      <c r="H190" s="1491"/>
      <c r="I190" s="1542">
        <v>0</v>
      </c>
      <c r="J190" s="1491">
        <v>0</v>
      </c>
      <c r="K190" s="1542">
        <v>0</v>
      </c>
      <c r="L190" s="1491">
        <v>0</v>
      </c>
      <c r="M190" s="1492"/>
    </row>
    <row r="191" spans="1:13" ht="18" thickTop="1" thickBot="1" x14ac:dyDescent="0.35">
      <c r="A191" s="309" t="s">
        <v>273</v>
      </c>
      <c r="B191" s="1490">
        <v>2</v>
      </c>
      <c r="C191" s="1490">
        <v>2</v>
      </c>
      <c r="D191" s="1490" t="s">
        <v>319</v>
      </c>
      <c r="E191" s="309" t="s">
        <v>579</v>
      </c>
      <c r="F191" s="399"/>
      <c r="G191" s="1491">
        <v>2125.0963761474472</v>
      </c>
      <c r="H191" s="1491"/>
      <c r="I191" s="1542">
        <v>0</v>
      </c>
      <c r="J191" s="1491">
        <v>0</v>
      </c>
      <c r="K191" s="1542">
        <v>0</v>
      </c>
      <c r="L191" s="1491">
        <v>0</v>
      </c>
      <c r="M191" s="1492"/>
    </row>
    <row r="192" spans="1:13" ht="18" thickTop="1" thickBot="1" x14ac:dyDescent="0.35">
      <c r="A192" s="309" t="s">
        <v>273</v>
      </c>
      <c r="B192" s="1490">
        <v>2</v>
      </c>
      <c r="C192" s="1490">
        <v>2</v>
      </c>
      <c r="D192" s="1490" t="s">
        <v>319</v>
      </c>
      <c r="E192" s="309" t="s">
        <v>580</v>
      </c>
      <c r="F192" s="399"/>
      <c r="G192" s="1491">
        <v>1891.7192275250604</v>
      </c>
      <c r="H192" s="1491"/>
      <c r="I192" s="1542">
        <v>0</v>
      </c>
      <c r="J192" s="1491">
        <v>0</v>
      </c>
      <c r="K192" s="1542">
        <v>0</v>
      </c>
      <c r="L192" s="1491">
        <v>0</v>
      </c>
      <c r="M192" s="1492"/>
    </row>
    <row r="193" spans="1:13" ht="18" thickTop="1" thickBot="1" x14ac:dyDescent="0.35">
      <c r="A193" s="309" t="s">
        <v>273</v>
      </c>
      <c r="B193" s="1490">
        <v>2</v>
      </c>
      <c r="C193" s="1490">
        <v>2</v>
      </c>
      <c r="D193" s="1490" t="s">
        <v>319</v>
      </c>
      <c r="E193" s="309" t="s">
        <v>581</v>
      </c>
      <c r="F193" s="399"/>
      <c r="G193" s="1491">
        <v>460.43512578378949</v>
      </c>
      <c r="H193" s="1491"/>
      <c r="I193" s="1542">
        <v>0</v>
      </c>
      <c r="J193" s="1491">
        <v>0</v>
      </c>
      <c r="K193" s="1542">
        <v>0</v>
      </c>
      <c r="L193" s="1491">
        <v>0</v>
      </c>
      <c r="M193" s="1492"/>
    </row>
    <row r="194" spans="1:13" ht="18" thickTop="1" thickBot="1" x14ac:dyDescent="0.35">
      <c r="A194" s="309" t="s">
        <v>273</v>
      </c>
      <c r="B194" s="1490">
        <v>2</v>
      </c>
      <c r="C194" s="1490">
        <v>2</v>
      </c>
      <c r="D194" s="1490" t="s">
        <v>319</v>
      </c>
      <c r="E194" s="309" t="s">
        <v>582</v>
      </c>
      <c r="F194" s="399"/>
      <c r="G194" s="1491">
        <v>2420.8852183057875</v>
      </c>
      <c r="H194" s="1491"/>
      <c r="I194" s="1542">
        <v>0</v>
      </c>
      <c r="J194" s="1491">
        <v>0</v>
      </c>
      <c r="K194" s="1542">
        <v>0</v>
      </c>
      <c r="L194" s="1491">
        <v>0</v>
      </c>
      <c r="M194" s="1492"/>
    </row>
    <row r="195" spans="1:13" ht="18" thickTop="1" thickBot="1" x14ac:dyDescent="0.35">
      <c r="A195" s="309" t="s">
        <v>273</v>
      </c>
      <c r="B195" s="1490">
        <v>2</v>
      </c>
      <c r="C195" s="1490">
        <v>2</v>
      </c>
      <c r="D195" s="1490" t="s">
        <v>319</v>
      </c>
      <c r="E195" s="309" t="s">
        <v>583</v>
      </c>
      <c r="F195" s="399"/>
      <c r="G195" s="1491">
        <v>42.573503479044142</v>
      </c>
      <c r="H195" s="1491"/>
      <c r="I195" s="1542">
        <v>0</v>
      </c>
      <c r="J195" s="1491">
        <v>0</v>
      </c>
      <c r="K195" s="1542">
        <v>0</v>
      </c>
      <c r="L195" s="1491">
        <v>0</v>
      </c>
      <c r="M195" s="1492"/>
    </row>
    <row r="196" spans="1:13" ht="18" thickTop="1" thickBot="1" x14ac:dyDescent="0.35">
      <c r="A196" s="1531" t="s">
        <v>273</v>
      </c>
      <c r="B196" s="1532">
        <v>2</v>
      </c>
      <c r="C196" s="1532">
        <v>2</v>
      </c>
      <c r="D196" s="1532" t="s">
        <v>319</v>
      </c>
      <c r="E196" s="1531" t="s">
        <v>584</v>
      </c>
      <c r="F196" s="399"/>
      <c r="G196" s="1491">
        <v>2747.2084467421068</v>
      </c>
      <c r="H196" s="1491"/>
      <c r="I196" s="1542">
        <v>0</v>
      </c>
      <c r="J196" s="1491">
        <v>0</v>
      </c>
      <c r="K196" s="1542">
        <v>0</v>
      </c>
      <c r="L196" s="1491">
        <v>0</v>
      </c>
      <c r="M196" s="1492"/>
    </row>
    <row r="197" spans="1:13" ht="18" thickTop="1" thickBot="1" x14ac:dyDescent="0.35">
      <c r="A197" s="309" t="s">
        <v>273</v>
      </c>
      <c r="B197" s="1490">
        <v>2</v>
      </c>
      <c r="C197" s="1490">
        <v>2</v>
      </c>
      <c r="D197" s="1490" t="s">
        <v>319</v>
      </c>
      <c r="E197" s="309" t="s">
        <v>585</v>
      </c>
      <c r="F197" s="399"/>
      <c r="G197" s="1491">
        <v>158.28208974267861</v>
      </c>
      <c r="H197" s="1491"/>
      <c r="I197" s="1542">
        <v>0</v>
      </c>
      <c r="J197" s="1491">
        <v>0</v>
      </c>
      <c r="K197" s="1542">
        <v>0</v>
      </c>
      <c r="L197" s="1491">
        <v>0</v>
      </c>
      <c r="M197" s="1492"/>
    </row>
    <row r="198" spans="1:13" ht="18" thickTop="1" thickBot="1" x14ac:dyDescent="0.35">
      <c r="A198" s="309" t="s">
        <v>273</v>
      </c>
      <c r="B198" s="1490">
        <v>2</v>
      </c>
      <c r="C198" s="1490">
        <v>2</v>
      </c>
      <c r="D198" s="1490" t="s">
        <v>319</v>
      </c>
      <c r="E198" s="309" t="s">
        <v>586</v>
      </c>
      <c r="F198" s="399"/>
      <c r="G198" s="1491">
        <v>136.04474753872907</v>
      </c>
      <c r="H198" s="1491"/>
      <c r="I198" s="1542">
        <v>0</v>
      </c>
      <c r="J198" s="1491">
        <v>0</v>
      </c>
      <c r="K198" s="1542">
        <v>0</v>
      </c>
      <c r="L198" s="1491">
        <v>0</v>
      </c>
      <c r="M198" s="1492"/>
    </row>
    <row r="199" spans="1:13" ht="18" thickTop="1" thickBot="1" x14ac:dyDescent="0.35">
      <c r="A199" s="309" t="s">
        <v>273</v>
      </c>
      <c r="B199" s="1490">
        <v>2</v>
      </c>
      <c r="C199" s="1490">
        <v>2</v>
      </c>
      <c r="D199" s="1490" t="s">
        <v>319</v>
      </c>
      <c r="E199" s="309" t="s">
        <v>587</v>
      </c>
      <c r="F199" s="399"/>
      <c r="G199" s="1491">
        <v>219.96786787597247</v>
      </c>
      <c r="H199" s="1491"/>
      <c r="I199" s="1542">
        <v>0</v>
      </c>
      <c r="J199" s="1491">
        <v>0</v>
      </c>
      <c r="K199" s="1542">
        <v>0</v>
      </c>
      <c r="L199" s="1491">
        <v>0</v>
      </c>
      <c r="M199" s="1492"/>
    </row>
    <row r="200" spans="1:13" ht="18" thickTop="1" thickBot="1" x14ac:dyDescent="0.35">
      <c r="A200" s="309" t="s">
        <v>273</v>
      </c>
      <c r="B200" s="1490">
        <v>2</v>
      </c>
      <c r="C200" s="1490">
        <v>2</v>
      </c>
      <c r="D200" s="1490" t="s">
        <v>319</v>
      </c>
      <c r="E200" s="309" t="s">
        <v>588</v>
      </c>
      <c r="F200" s="399"/>
      <c r="G200" s="1491">
        <v>556.25133507730482</v>
      </c>
      <c r="H200" s="1491"/>
      <c r="I200" s="1542">
        <v>0</v>
      </c>
      <c r="J200" s="1491">
        <v>0</v>
      </c>
      <c r="K200" s="1542">
        <v>0</v>
      </c>
      <c r="L200" s="1491">
        <v>0</v>
      </c>
      <c r="M200" s="1492"/>
    </row>
    <row r="201" spans="1:13" ht="18" thickTop="1" thickBot="1" x14ac:dyDescent="0.35">
      <c r="A201" s="1531" t="s">
        <v>273</v>
      </c>
      <c r="B201" s="1532">
        <v>2</v>
      </c>
      <c r="C201" s="1532">
        <v>2</v>
      </c>
      <c r="D201" s="1532" t="s">
        <v>319</v>
      </c>
      <c r="E201" s="1531" t="s">
        <v>589</v>
      </c>
      <c r="F201" s="399"/>
      <c r="G201" s="1491">
        <v>3077.0235782477725</v>
      </c>
      <c r="H201" s="1491" t="s">
        <v>532</v>
      </c>
      <c r="I201" s="1542">
        <v>0</v>
      </c>
      <c r="J201" s="1491">
        <v>0</v>
      </c>
      <c r="K201" s="1542">
        <v>0</v>
      </c>
      <c r="L201" s="1491">
        <v>0</v>
      </c>
      <c r="M201" s="1492"/>
    </row>
    <row r="202" spans="1:13" ht="18" thickTop="1" thickBot="1" x14ac:dyDescent="0.35">
      <c r="A202" s="309" t="s">
        <v>273</v>
      </c>
      <c r="B202" s="1490">
        <v>2</v>
      </c>
      <c r="C202" s="1490">
        <v>2</v>
      </c>
      <c r="D202" s="1490" t="s">
        <v>319</v>
      </c>
      <c r="E202" s="309" t="s">
        <v>590</v>
      </c>
      <c r="F202" s="399"/>
      <c r="G202" s="1491">
        <v>562.78609540311345</v>
      </c>
      <c r="H202" s="1491"/>
      <c r="I202" s="1542">
        <v>0</v>
      </c>
      <c r="J202" s="1491">
        <v>0</v>
      </c>
      <c r="K202" s="1542">
        <v>0</v>
      </c>
      <c r="L202" s="1491">
        <v>0</v>
      </c>
      <c r="M202" s="1492"/>
    </row>
    <row r="203" spans="1:13" ht="18" thickTop="1" thickBot="1" x14ac:dyDescent="0.35">
      <c r="A203" s="309" t="s">
        <v>273</v>
      </c>
      <c r="B203" s="1490">
        <v>2</v>
      </c>
      <c r="C203" s="1490">
        <v>2</v>
      </c>
      <c r="D203" s="1490" t="s">
        <v>319</v>
      </c>
      <c r="E203" s="309" t="s">
        <v>591</v>
      </c>
      <c r="F203" s="399"/>
      <c r="G203" s="1491">
        <v>1000.3003234448648</v>
      </c>
      <c r="H203" s="1491"/>
      <c r="I203" s="1542">
        <v>0</v>
      </c>
      <c r="J203" s="1491">
        <v>0</v>
      </c>
      <c r="K203" s="1542">
        <v>0</v>
      </c>
      <c r="L203" s="1491">
        <v>0</v>
      </c>
      <c r="M203" s="1492"/>
    </row>
    <row r="204" spans="1:13" ht="18" thickTop="1" thickBot="1" x14ac:dyDescent="0.35">
      <c r="A204" s="309" t="s">
        <v>273</v>
      </c>
      <c r="B204" s="1490">
        <v>2</v>
      </c>
      <c r="C204" s="1490">
        <v>2</v>
      </c>
      <c r="D204" s="1490" t="s">
        <v>319</v>
      </c>
      <c r="E204" s="309" t="s">
        <v>592</v>
      </c>
      <c r="F204" s="399"/>
      <c r="G204" s="1491">
        <v>159.19169375303568</v>
      </c>
      <c r="H204" s="1491"/>
      <c r="I204" s="1542">
        <v>0</v>
      </c>
      <c r="J204" s="1491">
        <v>0</v>
      </c>
      <c r="K204" s="1542">
        <v>0</v>
      </c>
      <c r="L204" s="1491">
        <v>0</v>
      </c>
      <c r="M204" s="1492"/>
    </row>
    <row r="205" spans="1:13" ht="18" thickTop="1" thickBot="1" x14ac:dyDescent="0.35">
      <c r="A205" s="309" t="s">
        <v>273</v>
      </c>
      <c r="B205" s="1490">
        <v>2</v>
      </c>
      <c r="C205" s="1490">
        <v>2</v>
      </c>
      <c r="D205" s="1490" t="s">
        <v>319</v>
      </c>
      <c r="E205" s="309" t="s">
        <v>593</v>
      </c>
      <c r="F205" s="399"/>
      <c r="G205" s="1491">
        <v>16.018539014594204</v>
      </c>
      <c r="H205" s="1491"/>
      <c r="I205" s="1542">
        <v>0</v>
      </c>
      <c r="J205" s="1491">
        <v>0</v>
      </c>
      <c r="K205" s="1542">
        <v>0</v>
      </c>
      <c r="L205" s="1491">
        <v>0</v>
      </c>
      <c r="M205" s="1492"/>
    </row>
    <row r="206" spans="1:13" ht="18" thickTop="1" thickBot="1" x14ac:dyDescent="0.35">
      <c r="A206" s="309" t="s">
        <v>273</v>
      </c>
      <c r="B206" s="1490">
        <v>2</v>
      </c>
      <c r="C206" s="1490">
        <v>2</v>
      </c>
      <c r="D206" s="1490" t="s">
        <v>319</v>
      </c>
      <c r="E206" s="309" t="s">
        <v>594</v>
      </c>
      <c r="F206" s="399"/>
      <c r="G206" s="1491">
        <v>572.44844757586225</v>
      </c>
      <c r="H206" s="1491"/>
      <c r="I206" s="1542">
        <v>0</v>
      </c>
      <c r="J206" s="1491">
        <v>0</v>
      </c>
      <c r="K206" s="1542">
        <v>0</v>
      </c>
      <c r="L206" s="1491">
        <v>0</v>
      </c>
      <c r="M206" s="1492"/>
    </row>
    <row r="207" spans="1:13" ht="18" thickTop="1" thickBot="1" x14ac:dyDescent="0.35">
      <c r="A207" s="309" t="s">
        <v>273</v>
      </c>
      <c r="B207" s="1490">
        <v>2</v>
      </c>
      <c r="C207" s="1490">
        <v>2</v>
      </c>
      <c r="D207" s="1490" t="s">
        <v>319</v>
      </c>
      <c r="E207" s="309" t="s">
        <v>595</v>
      </c>
      <c r="F207" s="399"/>
      <c r="G207" s="1491">
        <v>440.99504158109698</v>
      </c>
      <c r="H207" s="1491"/>
      <c r="I207" s="1542">
        <v>0</v>
      </c>
      <c r="J207" s="1491">
        <v>0</v>
      </c>
      <c r="K207" s="1542">
        <v>0</v>
      </c>
      <c r="L207" s="1491">
        <v>0</v>
      </c>
      <c r="M207" s="1492"/>
    </row>
    <row r="208" spans="1:13" ht="18" thickTop="1" thickBot="1" x14ac:dyDescent="0.35">
      <c r="A208" s="309" t="s">
        <v>273</v>
      </c>
      <c r="B208" s="1490">
        <v>2</v>
      </c>
      <c r="C208" s="1490">
        <v>2</v>
      </c>
      <c r="D208" s="1490" t="s">
        <v>319</v>
      </c>
      <c r="E208" s="309" t="s">
        <v>596</v>
      </c>
      <c r="F208" s="399"/>
      <c r="G208" s="1491">
        <v>603.92810111104177</v>
      </c>
      <c r="H208" s="1491"/>
      <c r="I208" s="1542">
        <v>0</v>
      </c>
      <c r="J208" s="1491">
        <v>0</v>
      </c>
      <c r="K208" s="1542">
        <v>0</v>
      </c>
      <c r="L208" s="1491">
        <v>0</v>
      </c>
      <c r="M208" s="1492"/>
    </row>
    <row r="209" spans="1:13" ht="18" thickTop="1" thickBot="1" x14ac:dyDescent="0.35">
      <c r="A209" s="309" t="s">
        <v>273</v>
      </c>
      <c r="B209" s="1490">
        <v>2</v>
      </c>
      <c r="C209" s="1490">
        <v>2</v>
      </c>
      <c r="D209" s="1490" t="s">
        <v>319</v>
      </c>
      <c r="E209" s="309" t="s">
        <v>597</v>
      </c>
      <c r="F209" s="399"/>
      <c r="G209" s="1491">
        <v>429.84849903150172</v>
      </c>
      <c r="H209" s="1491"/>
      <c r="I209" s="1542">
        <v>0</v>
      </c>
      <c r="J209" s="1491">
        <v>0</v>
      </c>
      <c r="K209" s="1542">
        <v>0</v>
      </c>
      <c r="L209" s="1491">
        <v>0</v>
      </c>
      <c r="M209" s="1492"/>
    </row>
    <row r="210" spans="1:13" ht="18" thickTop="1" thickBot="1" x14ac:dyDescent="0.35">
      <c r="A210" s="309" t="s">
        <v>273</v>
      </c>
      <c r="B210" s="1490">
        <v>2</v>
      </c>
      <c r="C210" s="1490">
        <v>2</v>
      </c>
      <c r="D210" s="1490" t="s">
        <v>319</v>
      </c>
      <c r="E210" s="309" t="s">
        <v>598</v>
      </c>
      <c r="F210" s="399"/>
      <c r="G210" s="1491">
        <v>1355.6916215128622</v>
      </c>
      <c r="H210" s="1491"/>
      <c r="I210" s="1542">
        <v>0</v>
      </c>
      <c r="J210" s="1491">
        <v>0</v>
      </c>
      <c r="K210" s="1542">
        <v>0</v>
      </c>
      <c r="L210" s="1491">
        <v>0</v>
      </c>
      <c r="M210" s="1492"/>
    </row>
    <row r="211" spans="1:13" ht="18" thickTop="1" thickBot="1" x14ac:dyDescent="0.35">
      <c r="A211" s="309" t="s">
        <v>273</v>
      </c>
      <c r="B211" s="1490">
        <v>2</v>
      </c>
      <c r="C211" s="1490">
        <v>2</v>
      </c>
      <c r="D211" s="1490" t="s">
        <v>319</v>
      </c>
      <c r="E211" s="309" t="s">
        <v>599</v>
      </c>
      <c r="F211" s="399"/>
      <c r="G211" s="1491">
        <v>511.67739863283202</v>
      </c>
      <c r="H211" s="1491"/>
      <c r="I211" s="1542">
        <v>0</v>
      </c>
      <c r="J211" s="1491">
        <v>0</v>
      </c>
      <c r="K211" s="1542">
        <v>0</v>
      </c>
      <c r="L211" s="1491">
        <v>0</v>
      </c>
      <c r="M211" s="1492"/>
    </row>
    <row r="212" spans="1:13" ht="18" thickTop="1" thickBot="1" x14ac:dyDescent="0.35">
      <c r="A212" s="309" t="s">
        <v>273</v>
      </c>
      <c r="B212" s="1490">
        <v>2</v>
      </c>
      <c r="C212" s="1490">
        <v>2</v>
      </c>
      <c r="D212" s="1490" t="s">
        <v>319</v>
      </c>
      <c r="E212" s="309" t="s">
        <v>600</v>
      </c>
      <c r="F212" s="399"/>
      <c r="G212" s="1491">
        <v>550.31106936562549</v>
      </c>
      <c r="H212" s="1491"/>
      <c r="I212" s="1542">
        <v>0</v>
      </c>
      <c r="J212" s="1491">
        <v>0</v>
      </c>
      <c r="K212" s="1542">
        <v>0</v>
      </c>
      <c r="L212" s="1491">
        <v>0</v>
      </c>
      <c r="M212" s="1492"/>
    </row>
    <row r="213" spans="1:13" ht="18" thickTop="1" thickBot="1" x14ac:dyDescent="0.35">
      <c r="A213" s="309" t="s">
        <v>273</v>
      </c>
      <c r="B213" s="1490">
        <v>2</v>
      </c>
      <c r="C213" s="1490">
        <v>2</v>
      </c>
      <c r="D213" s="1490" t="s">
        <v>319</v>
      </c>
      <c r="E213" s="309" t="s">
        <v>601</v>
      </c>
      <c r="F213" s="399"/>
      <c r="G213" s="1491">
        <v>580.01898248726513</v>
      </c>
      <c r="H213" s="1491"/>
      <c r="I213" s="1542">
        <v>0</v>
      </c>
      <c r="J213" s="1491">
        <v>0</v>
      </c>
      <c r="K213" s="1542">
        <v>0</v>
      </c>
      <c r="L213" s="1491">
        <v>0</v>
      </c>
      <c r="M213" s="1492"/>
    </row>
    <row r="214" spans="1:13" ht="18" thickTop="1" thickBot="1" x14ac:dyDescent="0.35">
      <c r="A214" s="309" t="s">
        <v>273</v>
      </c>
      <c r="B214" s="1490">
        <v>2</v>
      </c>
      <c r="C214" s="1490">
        <v>2</v>
      </c>
      <c r="D214" s="1490" t="s">
        <v>319</v>
      </c>
      <c r="E214" s="309" t="s">
        <v>602</v>
      </c>
      <c r="F214" s="399"/>
      <c r="G214" s="1491">
        <v>444.87933904499067</v>
      </c>
      <c r="H214" s="1491"/>
      <c r="I214" s="1542">
        <v>0</v>
      </c>
      <c r="J214" s="1491">
        <v>0</v>
      </c>
      <c r="K214" s="1542">
        <v>0</v>
      </c>
      <c r="L214" s="1491">
        <v>0</v>
      </c>
      <c r="M214" s="1492"/>
    </row>
    <row r="215" spans="1:13" ht="18" thickTop="1" thickBot="1" x14ac:dyDescent="0.35">
      <c r="A215" s="309" t="s">
        <v>273</v>
      </c>
      <c r="B215" s="1490">
        <v>2</v>
      </c>
      <c r="C215" s="1490">
        <v>2</v>
      </c>
      <c r="D215" s="1490" t="s">
        <v>319</v>
      </c>
      <c r="E215" s="309" t="s">
        <v>603</v>
      </c>
      <c r="F215" s="399"/>
      <c r="G215" s="1491">
        <v>573.97715915112121</v>
      </c>
      <c r="H215" s="1491"/>
      <c r="I215" s="1542">
        <v>0</v>
      </c>
      <c r="J215" s="1491">
        <v>0</v>
      </c>
      <c r="K215" s="1542">
        <v>0</v>
      </c>
      <c r="L215" s="1491">
        <v>0</v>
      </c>
      <c r="M215" s="1492"/>
    </row>
    <row r="216" spans="1:13" ht="18" thickTop="1" thickBot="1" x14ac:dyDescent="0.35">
      <c r="A216" s="309" t="s">
        <v>273</v>
      </c>
      <c r="B216" s="1490">
        <v>2</v>
      </c>
      <c r="C216" s="1490">
        <v>2</v>
      </c>
      <c r="D216" s="1490" t="s">
        <v>319</v>
      </c>
      <c r="E216" s="309" t="s">
        <v>604</v>
      </c>
      <c r="F216" s="399"/>
      <c r="G216" s="1491">
        <v>697.62529303174074</v>
      </c>
      <c r="H216" s="1491"/>
      <c r="I216" s="1542">
        <v>0</v>
      </c>
      <c r="J216" s="1491">
        <v>0</v>
      </c>
      <c r="K216" s="1542">
        <v>0</v>
      </c>
      <c r="L216" s="1491">
        <v>0</v>
      </c>
      <c r="M216" s="1492"/>
    </row>
    <row r="217" spans="1:13" ht="18" thickTop="1" thickBot="1" x14ac:dyDescent="0.35">
      <c r="A217" s="309" t="s">
        <v>273</v>
      </c>
      <c r="B217" s="1490">
        <v>2</v>
      </c>
      <c r="C217" s="1490">
        <v>2</v>
      </c>
      <c r="D217" s="1490" t="s">
        <v>319</v>
      </c>
      <c r="E217" s="309" t="s">
        <v>605</v>
      </c>
      <c r="F217" s="399"/>
      <c r="G217" s="1491">
        <v>570.05111034488777</v>
      </c>
      <c r="H217" s="1491"/>
      <c r="I217" s="1542">
        <v>0</v>
      </c>
      <c r="J217" s="1491">
        <v>0</v>
      </c>
      <c r="K217" s="1542">
        <v>0</v>
      </c>
      <c r="L217" s="1491">
        <v>0</v>
      </c>
      <c r="M217" s="1492"/>
    </row>
    <row r="218" spans="1:13" ht="18" thickTop="1" thickBot="1" x14ac:dyDescent="0.35">
      <c r="A218" s="309" t="s">
        <v>273</v>
      </c>
      <c r="B218" s="1490">
        <v>2</v>
      </c>
      <c r="C218" s="1490">
        <v>2</v>
      </c>
      <c r="D218" s="1490" t="s">
        <v>319</v>
      </c>
      <c r="E218" s="309" t="s">
        <v>606</v>
      </c>
      <c r="F218" s="399"/>
      <c r="G218" s="1491">
        <v>2416.3748113083166</v>
      </c>
      <c r="H218" s="1491"/>
      <c r="I218" s="1542">
        <v>0</v>
      </c>
      <c r="J218" s="1491">
        <v>0</v>
      </c>
      <c r="K218" s="1542">
        <v>0</v>
      </c>
      <c r="L218" s="1491">
        <v>0</v>
      </c>
      <c r="M218" s="1492"/>
    </row>
    <row r="219" spans="1:13" ht="18" thickTop="1" thickBot="1" x14ac:dyDescent="0.35">
      <c r="A219" s="309" t="s">
        <v>273</v>
      </c>
      <c r="B219" s="1490">
        <v>2</v>
      </c>
      <c r="C219" s="1490">
        <v>2</v>
      </c>
      <c r="D219" s="1490" t="s">
        <v>319</v>
      </c>
      <c r="E219" s="309" t="s">
        <v>607</v>
      </c>
      <c r="F219" s="399"/>
      <c r="G219" s="1491">
        <v>491.54686996861653</v>
      </c>
      <c r="H219" s="1491"/>
      <c r="I219" s="1542">
        <v>0</v>
      </c>
      <c r="J219" s="1491">
        <v>0</v>
      </c>
      <c r="K219" s="1542">
        <v>0</v>
      </c>
      <c r="L219" s="1491">
        <v>0</v>
      </c>
      <c r="M219" s="1492"/>
    </row>
    <row r="220" spans="1:13" ht="18" thickTop="1" thickBot="1" x14ac:dyDescent="0.35">
      <c r="A220" s="309" t="s">
        <v>273</v>
      </c>
      <c r="B220" s="1490">
        <v>2</v>
      </c>
      <c r="C220" s="1490">
        <v>2</v>
      </c>
      <c r="D220" s="1490" t="s">
        <v>319</v>
      </c>
      <c r="E220" s="309" t="s">
        <v>608</v>
      </c>
      <c r="F220" s="399"/>
      <c r="G220" s="1491">
        <v>3104.0967927207289</v>
      </c>
      <c r="H220" s="1491" t="s">
        <v>532</v>
      </c>
      <c r="I220" s="1542">
        <v>0</v>
      </c>
      <c r="J220" s="1491">
        <v>0</v>
      </c>
      <c r="K220" s="1542">
        <v>0</v>
      </c>
      <c r="L220" s="1491">
        <v>0</v>
      </c>
      <c r="M220" s="1492"/>
    </row>
    <row r="221" spans="1:13" ht="18" thickTop="1" thickBot="1" x14ac:dyDescent="0.35">
      <c r="A221" s="309" t="s">
        <v>273</v>
      </c>
      <c r="B221" s="1490">
        <v>2</v>
      </c>
      <c r="C221" s="1490">
        <v>2</v>
      </c>
      <c r="D221" s="1490" t="s">
        <v>319</v>
      </c>
      <c r="E221" s="309" t="s">
        <v>609</v>
      </c>
      <c r="F221" s="399"/>
      <c r="G221" s="1491">
        <v>2908.6000221698641</v>
      </c>
      <c r="H221" s="1491"/>
      <c r="I221" s="1542">
        <v>0</v>
      </c>
      <c r="J221" s="1491">
        <v>0</v>
      </c>
      <c r="K221" s="1542">
        <v>0</v>
      </c>
      <c r="L221" s="1491">
        <v>0</v>
      </c>
      <c r="M221" s="1492"/>
    </row>
    <row r="222" spans="1:13" ht="18" thickTop="1" thickBot="1" x14ac:dyDescent="0.35">
      <c r="A222" s="309" t="s">
        <v>273</v>
      </c>
      <c r="B222" s="1490">
        <v>2</v>
      </c>
      <c r="C222" s="1490">
        <v>2</v>
      </c>
      <c r="D222" s="1490" t="s">
        <v>319</v>
      </c>
      <c r="E222" s="309" t="s">
        <v>610</v>
      </c>
      <c r="F222" s="399"/>
      <c r="G222" s="1491">
        <v>138.84203645156799</v>
      </c>
      <c r="H222" s="1491"/>
      <c r="I222" s="1542">
        <v>0</v>
      </c>
      <c r="J222" s="1491">
        <v>0</v>
      </c>
      <c r="K222" s="1542">
        <v>0</v>
      </c>
      <c r="L222" s="1491">
        <v>0</v>
      </c>
      <c r="M222" s="1492"/>
    </row>
    <row r="223" spans="1:13" ht="18" thickTop="1" thickBot="1" x14ac:dyDescent="0.35">
      <c r="A223" s="309" t="s">
        <v>273</v>
      </c>
      <c r="B223" s="1490">
        <v>2</v>
      </c>
      <c r="C223" s="1490">
        <v>2</v>
      </c>
      <c r="D223" s="1490" t="s">
        <v>319</v>
      </c>
      <c r="E223" s="309" t="s">
        <v>611</v>
      </c>
      <c r="F223" s="399"/>
      <c r="G223" s="1491">
        <v>3.1561757966156696</v>
      </c>
      <c r="H223" s="1491"/>
      <c r="I223" s="1542"/>
      <c r="J223" s="1491"/>
      <c r="K223" s="1542"/>
      <c r="L223" s="1491"/>
      <c r="M223" s="1492"/>
    </row>
    <row r="224" spans="1:13" ht="18" thickTop="1" thickBot="1" x14ac:dyDescent="0.35">
      <c r="A224" s="309" t="s">
        <v>273</v>
      </c>
      <c r="B224" s="1490">
        <v>2</v>
      </c>
      <c r="C224" s="1490">
        <v>2</v>
      </c>
      <c r="D224" s="1490" t="s">
        <v>319</v>
      </c>
      <c r="E224" s="309" t="s">
        <v>612</v>
      </c>
      <c r="F224" s="399"/>
      <c r="G224" s="1491">
        <v>20.713900558023823</v>
      </c>
      <c r="H224" s="1491"/>
      <c r="I224" s="1542">
        <v>0</v>
      </c>
      <c r="J224" s="1491">
        <v>0</v>
      </c>
      <c r="K224" s="1542">
        <v>0</v>
      </c>
      <c r="L224" s="1491">
        <v>0</v>
      </c>
      <c r="M224" s="1492"/>
    </row>
    <row r="225" spans="1:13" ht="18" thickTop="1" thickBot="1" x14ac:dyDescent="0.35">
      <c r="A225" s="309" t="s">
        <v>273</v>
      </c>
      <c r="B225" s="1490">
        <v>2</v>
      </c>
      <c r="C225" s="1490">
        <v>2</v>
      </c>
      <c r="D225" s="1490" t="s">
        <v>319</v>
      </c>
      <c r="E225" s="309" t="s">
        <v>613</v>
      </c>
      <c r="F225" s="399"/>
      <c r="G225" s="1491">
        <v>486.57097269207804</v>
      </c>
      <c r="H225" s="1491"/>
      <c r="I225" s="1542">
        <v>0</v>
      </c>
      <c r="J225" s="1491">
        <v>0</v>
      </c>
      <c r="K225" s="1542">
        <v>0</v>
      </c>
      <c r="L225" s="1491">
        <v>0</v>
      </c>
      <c r="M225" s="1492"/>
    </row>
    <row r="226" spans="1:13" ht="18" thickTop="1" thickBot="1" x14ac:dyDescent="0.35">
      <c r="A226" s="309" t="s">
        <v>273</v>
      </c>
      <c r="B226" s="1490">
        <v>2</v>
      </c>
      <c r="C226" s="1490">
        <v>2</v>
      </c>
      <c r="D226" s="1490" t="s">
        <v>319</v>
      </c>
      <c r="E226" s="309" t="s">
        <v>614</v>
      </c>
      <c r="F226" s="399"/>
      <c r="G226" s="1491">
        <v>525.55819920014267</v>
      </c>
      <c r="H226" s="1491"/>
      <c r="I226" s="1542">
        <v>0</v>
      </c>
      <c r="J226" s="1491">
        <v>0</v>
      </c>
      <c r="K226" s="1542">
        <v>0</v>
      </c>
      <c r="L226" s="1491">
        <v>0</v>
      </c>
      <c r="M226" s="1492"/>
    </row>
    <row r="227" spans="1:13" ht="18" thickTop="1" thickBot="1" x14ac:dyDescent="0.35">
      <c r="A227" s="309" t="s">
        <v>273</v>
      </c>
      <c r="B227" s="1490">
        <v>2</v>
      </c>
      <c r="C227" s="1490">
        <v>2</v>
      </c>
      <c r="D227" s="1490" t="s">
        <v>319</v>
      </c>
      <c r="E227" s="309" t="s">
        <v>615</v>
      </c>
      <c r="F227" s="399"/>
      <c r="G227" s="1491">
        <v>552.00844037710112</v>
      </c>
      <c r="H227" s="1491"/>
      <c r="I227" s="1542">
        <v>0</v>
      </c>
      <c r="J227" s="1491">
        <v>0</v>
      </c>
      <c r="K227" s="1542">
        <v>0</v>
      </c>
      <c r="L227" s="1491">
        <v>0</v>
      </c>
      <c r="M227" s="1492"/>
    </row>
    <row r="228" spans="1:13" ht="18" thickTop="1" thickBot="1" x14ac:dyDescent="0.35">
      <c r="A228" s="309" t="s">
        <v>273</v>
      </c>
      <c r="B228" s="1490">
        <v>2</v>
      </c>
      <c r="C228" s="1490">
        <v>2</v>
      </c>
      <c r="D228" s="1490" t="s">
        <v>319</v>
      </c>
      <c r="E228" s="309" t="s">
        <v>616</v>
      </c>
      <c r="F228" s="399"/>
      <c r="G228" s="1491">
        <v>715.44102076642503</v>
      </c>
      <c r="H228" s="1491"/>
      <c r="I228" s="1542">
        <v>0</v>
      </c>
      <c r="J228" s="1491">
        <v>0</v>
      </c>
      <c r="K228" s="1542">
        <v>0</v>
      </c>
      <c r="L228" s="1491">
        <v>0</v>
      </c>
      <c r="M228" s="1492"/>
    </row>
    <row r="229" spans="1:13" ht="18" thickTop="1" thickBot="1" x14ac:dyDescent="0.35">
      <c r="A229" s="309" t="s">
        <v>273</v>
      </c>
      <c r="B229" s="1490">
        <v>2</v>
      </c>
      <c r="C229" s="1490">
        <v>2</v>
      </c>
      <c r="D229" s="1490" t="s">
        <v>319</v>
      </c>
      <c r="E229" s="309" t="s">
        <v>617</v>
      </c>
      <c r="F229" s="399"/>
      <c r="G229" s="1491">
        <v>504.67511757295796</v>
      </c>
      <c r="H229" s="1491"/>
      <c r="I229" s="1542">
        <v>0</v>
      </c>
      <c r="J229" s="1491">
        <v>0</v>
      </c>
      <c r="K229" s="1542">
        <v>0</v>
      </c>
      <c r="L229" s="1491">
        <v>0</v>
      </c>
      <c r="M229" s="1492"/>
    </row>
    <row r="230" spans="1:13" ht="18" thickTop="1" thickBot="1" x14ac:dyDescent="0.35">
      <c r="A230" s="309" t="s">
        <v>273</v>
      </c>
      <c r="B230" s="1490">
        <v>2</v>
      </c>
      <c r="C230" s="1490">
        <v>2</v>
      </c>
      <c r="D230" s="1490" t="s">
        <v>319</v>
      </c>
      <c r="E230" s="309" t="s">
        <v>618</v>
      </c>
      <c r="F230" s="399"/>
      <c r="G230" s="1491">
        <v>1045.1468127559629</v>
      </c>
      <c r="H230" s="1491"/>
      <c r="I230" s="1542">
        <v>0</v>
      </c>
      <c r="J230" s="1491">
        <v>0</v>
      </c>
      <c r="K230" s="1542">
        <v>0</v>
      </c>
      <c r="L230" s="1491">
        <v>0</v>
      </c>
      <c r="M230" s="1492"/>
    </row>
    <row r="231" spans="1:13" ht="18" thickTop="1" thickBot="1" x14ac:dyDescent="0.35">
      <c r="A231" s="309" t="s">
        <v>273</v>
      </c>
      <c r="B231" s="1490">
        <v>2</v>
      </c>
      <c r="C231" s="1490">
        <v>2</v>
      </c>
      <c r="D231" s="1490" t="s">
        <v>319</v>
      </c>
      <c r="E231" s="309" t="s">
        <v>619</v>
      </c>
      <c r="F231" s="399"/>
      <c r="G231" s="1491">
        <v>663.72461220386947</v>
      </c>
      <c r="H231" s="1491"/>
      <c r="I231" s="1542">
        <v>0</v>
      </c>
      <c r="J231" s="1491">
        <v>0</v>
      </c>
      <c r="K231" s="1542">
        <v>0</v>
      </c>
      <c r="L231" s="1491">
        <v>0</v>
      </c>
      <c r="M231" s="1492"/>
    </row>
    <row r="232" spans="1:13" ht="18" thickTop="1" thickBot="1" x14ac:dyDescent="0.35">
      <c r="A232" s="309" t="s">
        <v>273</v>
      </c>
      <c r="B232" s="1490">
        <v>2</v>
      </c>
      <c r="C232" s="1490">
        <v>2</v>
      </c>
      <c r="D232" s="1490" t="s">
        <v>319</v>
      </c>
      <c r="E232" s="309" t="s">
        <v>620</v>
      </c>
      <c r="F232" s="399"/>
      <c r="G232" s="1491">
        <v>297.12037697603625</v>
      </c>
      <c r="H232" s="1491"/>
      <c r="I232" s="1542">
        <v>0</v>
      </c>
      <c r="J232" s="1491">
        <v>0</v>
      </c>
      <c r="K232" s="1542">
        <v>0</v>
      </c>
      <c r="L232" s="1491">
        <v>0</v>
      </c>
      <c r="M232" s="1492"/>
    </row>
    <row r="233" spans="1:13" ht="18" thickTop="1" thickBot="1" x14ac:dyDescent="0.35">
      <c r="A233" s="309" t="s">
        <v>273</v>
      </c>
      <c r="B233" s="1490">
        <v>2</v>
      </c>
      <c r="C233" s="1490">
        <v>2</v>
      </c>
      <c r="D233" s="1490" t="s">
        <v>319</v>
      </c>
      <c r="E233" s="309" t="s">
        <v>621</v>
      </c>
      <c r="F233" s="399"/>
      <c r="G233" s="1491">
        <v>637.32911286246178</v>
      </c>
      <c r="H233" s="1491"/>
      <c r="I233" s="1542">
        <v>0</v>
      </c>
      <c r="J233" s="1491">
        <v>0</v>
      </c>
      <c r="K233" s="1542">
        <v>0</v>
      </c>
      <c r="L233" s="1491">
        <v>0</v>
      </c>
      <c r="M233" s="1492"/>
    </row>
    <row r="234" spans="1:13" ht="18" thickTop="1" thickBot="1" x14ac:dyDescent="0.35">
      <c r="A234" s="309" t="s">
        <v>273</v>
      </c>
      <c r="B234" s="1490">
        <v>2</v>
      </c>
      <c r="C234" s="1490">
        <v>2</v>
      </c>
      <c r="D234" s="1490" t="s">
        <v>319</v>
      </c>
      <c r="E234" s="309" t="s">
        <v>622</v>
      </c>
      <c r="F234" s="399"/>
      <c r="G234" s="1491">
        <v>2227.9647438243396</v>
      </c>
      <c r="H234" s="1491"/>
      <c r="I234" s="1542">
        <v>0</v>
      </c>
      <c r="J234" s="1491">
        <v>0</v>
      </c>
      <c r="K234" s="1542">
        <v>0</v>
      </c>
      <c r="L234" s="1491">
        <v>0</v>
      </c>
      <c r="M234" s="1492"/>
    </row>
    <row r="235" spans="1:13" ht="18" thickTop="1" thickBot="1" x14ac:dyDescent="0.35">
      <c r="A235" s="309" t="s">
        <v>273</v>
      </c>
      <c r="B235" s="1490">
        <v>2</v>
      </c>
      <c r="C235" s="1490">
        <v>2</v>
      </c>
      <c r="D235" s="1490" t="s">
        <v>319</v>
      </c>
      <c r="E235" s="309" t="s">
        <v>623</v>
      </c>
      <c r="F235" s="399"/>
      <c r="G235" s="1491">
        <v>579.83072441460524</v>
      </c>
      <c r="H235" s="1491"/>
      <c r="I235" s="1542">
        <v>0</v>
      </c>
      <c r="J235" s="1491">
        <v>0</v>
      </c>
      <c r="K235" s="1542">
        <v>0</v>
      </c>
      <c r="L235" s="1491">
        <v>0</v>
      </c>
      <c r="M235" s="1492"/>
    </row>
    <row r="236" spans="1:13" ht="18" thickTop="1" thickBot="1" x14ac:dyDescent="0.35">
      <c r="A236" s="309" t="s">
        <v>273</v>
      </c>
      <c r="B236" s="1490">
        <v>2</v>
      </c>
      <c r="C236" s="1490">
        <v>2</v>
      </c>
      <c r="D236" s="1490" t="s">
        <v>319</v>
      </c>
      <c r="E236" s="309" t="s">
        <v>624</v>
      </c>
      <c r="F236" s="399"/>
      <c r="G236" s="1491">
        <v>504.30101451253677</v>
      </c>
      <c r="H236" s="1491"/>
      <c r="I236" s="1542">
        <v>0</v>
      </c>
      <c r="J236" s="1491">
        <v>0</v>
      </c>
      <c r="K236" s="1542">
        <v>0</v>
      </c>
      <c r="L236" s="1491">
        <v>0</v>
      </c>
      <c r="M236" s="1492"/>
    </row>
    <row r="237" spans="1:13" ht="18" thickTop="1" thickBot="1" x14ac:dyDescent="0.35">
      <c r="A237" s="309" t="s">
        <v>273</v>
      </c>
      <c r="B237" s="1490">
        <v>2</v>
      </c>
      <c r="C237" s="1490">
        <v>2</v>
      </c>
      <c r="D237" s="1490" t="s">
        <v>319</v>
      </c>
      <c r="E237" s="309" t="s">
        <v>625</v>
      </c>
      <c r="F237" s="399"/>
      <c r="G237" s="1491">
        <v>21.606334968005001</v>
      </c>
      <c r="H237" s="1491"/>
      <c r="I237" s="1542">
        <v>0</v>
      </c>
      <c r="J237" s="1491">
        <v>0</v>
      </c>
      <c r="K237" s="1542">
        <v>0</v>
      </c>
      <c r="L237" s="1491">
        <v>0</v>
      </c>
      <c r="M237" s="1492"/>
    </row>
    <row r="238" spans="1:13" ht="18" thickTop="1" thickBot="1" x14ac:dyDescent="0.35">
      <c r="A238" s="309" t="s">
        <v>273</v>
      </c>
      <c r="B238" s="1490">
        <v>2</v>
      </c>
      <c r="C238" s="1490">
        <v>2</v>
      </c>
      <c r="D238" s="1490" t="s">
        <v>319</v>
      </c>
      <c r="E238" s="309" t="s">
        <v>626</v>
      </c>
      <c r="F238" s="399"/>
      <c r="G238" s="1491">
        <v>1878.1680695530908</v>
      </c>
      <c r="H238" s="1491"/>
      <c r="I238" s="1542">
        <v>0</v>
      </c>
      <c r="J238" s="1491">
        <v>0</v>
      </c>
      <c r="K238" s="1542">
        <v>0</v>
      </c>
      <c r="L238" s="1491">
        <v>0</v>
      </c>
      <c r="M238" s="1492"/>
    </row>
    <row r="239" spans="1:13" ht="18" thickTop="1" thickBot="1" x14ac:dyDescent="0.35">
      <c r="A239" s="309" t="s">
        <v>273</v>
      </c>
      <c r="B239" s="1490">
        <v>2</v>
      </c>
      <c r="C239" s="1490">
        <v>2</v>
      </c>
      <c r="D239" s="1490" t="s">
        <v>319</v>
      </c>
      <c r="E239" s="309" t="s">
        <v>627</v>
      </c>
      <c r="F239" s="399"/>
      <c r="G239" s="1491">
        <v>490.78379121571362</v>
      </c>
      <c r="H239" s="1491"/>
      <c r="I239" s="1542">
        <v>0</v>
      </c>
      <c r="J239" s="1491">
        <v>0</v>
      </c>
      <c r="K239" s="1542">
        <v>0</v>
      </c>
      <c r="L239" s="1491">
        <v>0</v>
      </c>
      <c r="M239" s="1492"/>
    </row>
    <row r="240" spans="1:13" ht="18" thickTop="1" thickBot="1" x14ac:dyDescent="0.35">
      <c r="A240" s="309" t="s">
        <v>273</v>
      </c>
      <c r="B240" s="1490">
        <v>2</v>
      </c>
      <c r="C240" s="1490">
        <v>2</v>
      </c>
      <c r="D240" s="1490" t="s">
        <v>319</v>
      </c>
      <c r="E240" s="309" t="s">
        <v>628</v>
      </c>
      <c r="F240" s="399"/>
      <c r="G240" s="1491">
        <v>447.45750655309496</v>
      </c>
      <c r="H240" s="1491"/>
      <c r="I240" s="1542">
        <v>0</v>
      </c>
      <c r="J240" s="1491">
        <v>0</v>
      </c>
      <c r="K240" s="1542">
        <v>0</v>
      </c>
      <c r="L240" s="1491">
        <v>0</v>
      </c>
      <c r="M240" s="1492"/>
    </row>
    <row r="241" spans="1:13" ht="18" thickTop="1" thickBot="1" x14ac:dyDescent="0.35">
      <c r="A241" s="309" t="s">
        <v>273</v>
      </c>
      <c r="B241" s="1490">
        <v>2</v>
      </c>
      <c r="C241" s="1490">
        <v>2</v>
      </c>
      <c r="D241" s="1490" t="s">
        <v>319</v>
      </c>
      <c r="E241" s="309" t="s">
        <v>629</v>
      </c>
      <c r="F241" s="399"/>
      <c r="G241" s="1491">
        <v>1956.1656888183302</v>
      </c>
      <c r="H241" s="1491"/>
      <c r="I241" s="1542">
        <v>0</v>
      </c>
      <c r="J241" s="1491">
        <v>0</v>
      </c>
      <c r="K241" s="1542">
        <v>0</v>
      </c>
      <c r="L241" s="1491">
        <v>0</v>
      </c>
      <c r="M241" s="1492"/>
    </row>
    <row r="242" spans="1:13" ht="18" thickTop="1" thickBot="1" x14ac:dyDescent="0.35">
      <c r="A242" s="309" t="s">
        <v>273</v>
      </c>
      <c r="B242" s="1490">
        <v>2</v>
      </c>
      <c r="C242" s="1490">
        <v>2</v>
      </c>
      <c r="D242" s="1490" t="s">
        <v>319</v>
      </c>
      <c r="E242" s="309" t="s">
        <v>630</v>
      </c>
      <c r="F242" s="399"/>
      <c r="G242" s="1491">
        <v>554.56038020058179</v>
      </c>
      <c r="H242" s="1491"/>
      <c r="I242" s="1542">
        <v>0</v>
      </c>
      <c r="J242" s="1491">
        <v>0</v>
      </c>
      <c r="K242" s="1542">
        <v>0</v>
      </c>
      <c r="L242" s="1491">
        <v>0</v>
      </c>
      <c r="M242" s="1492"/>
    </row>
    <row r="243" spans="1:13" ht="18" thickTop="1" thickBot="1" x14ac:dyDescent="0.35">
      <c r="A243" s="309" t="s">
        <v>273</v>
      </c>
      <c r="B243" s="1490">
        <v>2</v>
      </c>
      <c r="C243" s="1490">
        <v>2</v>
      </c>
      <c r="D243" s="1490" t="s">
        <v>319</v>
      </c>
      <c r="E243" s="309" t="s">
        <v>631</v>
      </c>
      <c r="F243" s="399"/>
      <c r="G243" s="1491">
        <v>841.52280833017983</v>
      </c>
      <c r="H243" s="1491"/>
      <c r="I243" s="1542">
        <v>0</v>
      </c>
      <c r="J243" s="1491">
        <v>0</v>
      </c>
      <c r="K243" s="1542">
        <v>0</v>
      </c>
      <c r="L243" s="1491">
        <v>0</v>
      </c>
      <c r="M243" s="1492"/>
    </row>
    <row r="244" spans="1:13" ht="18" thickTop="1" thickBot="1" x14ac:dyDescent="0.35">
      <c r="A244" s="309" t="s">
        <v>273</v>
      </c>
      <c r="B244" s="1490">
        <v>2</v>
      </c>
      <c r="C244" s="1490">
        <v>2</v>
      </c>
      <c r="D244" s="1490" t="s">
        <v>319</v>
      </c>
      <c r="E244" s="309" t="s">
        <v>632</v>
      </c>
      <c r="F244" s="399"/>
      <c r="G244" s="1491">
        <v>844.64634085233513</v>
      </c>
      <c r="H244" s="1491"/>
      <c r="I244" s="1542">
        <v>0</v>
      </c>
      <c r="J244" s="1491">
        <v>0</v>
      </c>
      <c r="K244" s="1542">
        <v>0</v>
      </c>
      <c r="L244" s="1491">
        <v>0</v>
      </c>
      <c r="M244" s="1492"/>
    </row>
    <row r="245" spans="1:13" ht="18" thickTop="1" thickBot="1" x14ac:dyDescent="0.35">
      <c r="A245" s="309" t="s">
        <v>273</v>
      </c>
      <c r="B245" s="1490">
        <v>2</v>
      </c>
      <c r="C245" s="1490">
        <v>2</v>
      </c>
      <c r="D245" s="1490" t="s">
        <v>319</v>
      </c>
      <c r="E245" s="309" t="s">
        <v>633</v>
      </c>
      <c r="F245" s="399"/>
      <c r="G245" s="1491">
        <v>1242.6040245618078</v>
      </c>
      <c r="H245" s="1491"/>
      <c r="I245" s="1542">
        <v>0</v>
      </c>
      <c r="J245" s="1491">
        <v>0</v>
      </c>
      <c r="K245" s="1542">
        <v>0</v>
      </c>
      <c r="L245" s="1491">
        <v>0</v>
      </c>
      <c r="M245" s="1492"/>
    </row>
    <row r="246" spans="1:13" ht="18" thickTop="1" thickBot="1" x14ac:dyDescent="0.35">
      <c r="A246" s="309" t="s">
        <v>273</v>
      </c>
      <c r="B246" s="1490">
        <v>2</v>
      </c>
      <c r="C246" s="1490">
        <v>2</v>
      </c>
      <c r="D246" s="1490" t="s">
        <v>319</v>
      </c>
      <c r="E246" s="309" t="s">
        <v>634</v>
      </c>
      <c r="F246" s="399"/>
      <c r="G246" s="1491">
        <v>486.61873861583263</v>
      </c>
      <c r="H246" s="1491"/>
      <c r="I246" s="1542">
        <v>0</v>
      </c>
      <c r="J246" s="1491">
        <v>0</v>
      </c>
      <c r="K246" s="1542">
        <v>0</v>
      </c>
      <c r="L246" s="1491">
        <v>0</v>
      </c>
      <c r="M246" s="1492"/>
    </row>
    <row r="247" spans="1:13" ht="18" thickTop="1" thickBot="1" x14ac:dyDescent="0.35">
      <c r="A247" s="309" t="s">
        <v>273</v>
      </c>
      <c r="B247" s="1490">
        <v>2</v>
      </c>
      <c r="C247" s="1490">
        <v>2</v>
      </c>
      <c r="D247" s="1490" t="s">
        <v>319</v>
      </c>
      <c r="E247" s="309" t="s">
        <v>635</v>
      </c>
      <c r="F247" s="399"/>
      <c r="G247" s="1491">
        <v>1189.0421128234423</v>
      </c>
      <c r="H247" s="1491"/>
      <c r="I247" s="1542">
        <v>0</v>
      </c>
      <c r="J247" s="1491">
        <v>0</v>
      </c>
      <c r="K247" s="1542">
        <v>0</v>
      </c>
      <c r="L247" s="1491">
        <v>0</v>
      </c>
      <c r="M247" s="1492"/>
    </row>
    <row r="248" spans="1:13" ht="18" thickTop="1" thickBot="1" x14ac:dyDescent="0.35">
      <c r="A248" s="309" t="s">
        <v>273</v>
      </c>
      <c r="B248" s="1490">
        <v>2</v>
      </c>
      <c r="C248" s="1490">
        <v>2</v>
      </c>
      <c r="D248" s="1490" t="s">
        <v>319</v>
      </c>
      <c r="E248" s="309" t="s">
        <v>636</v>
      </c>
      <c r="F248" s="399"/>
      <c r="G248" s="1491">
        <v>1201.7784741919015</v>
      </c>
      <c r="H248" s="1491"/>
      <c r="I248" s="1542">
        <v>0</v>
      </c>
      <c r="J248" s="1491">
        <v>0</v>
      </c>
      <c r="K248" s="1542">
        <v>0</v>
      </c>
      <c r="L248" s="1491">
        <v>0</v>
      </c>
      <c r="M248" s="1492"/>
    </row>
    <row r="249" spans="1:13" ht="18" thickTop="1" thickBot="1" x14ac:dyDescent="0.35">
      <c r="A249" s="309" t="s">
        <v>273</v>
      </c>
      <c r="B249" s="1490">
        <v>2</v>
      </c>
      <c r="C249" s="1490">
        <v>2</v>
      </c>
      <c r="D249" s="1490" t="s">
        <v>319</v>
      </c>
      <c r="E249" s="309" t="s">
        <v>637</v>
      </c>
      <c r="F249" s="399"/>
      <c r="G249" s="1491">
        <v>713.5898002359495</v>
      </c>
      <c r="H249" s="1491"/>
      <c r="I249" s="1542">
        <v>0</v>
      </c>
      <c r="J249" s="1491">
        <v>0</v>
      </c>
      <c r="K249" s="1542">
        <v>0</v>
      </c>
      <c r="L249" s="1491">
        <v>0</v>
      </c>
      <c r="M249" s="1492"/>
    </row>
    <row r="250" spans="1:13" ht="18" thickTop="1" thickBot="1" x14ac:dyDescent="0.35">
      <c r="A250" s="309" t="s">
        <v>273</v>
      </c>
      <c r="B250" s="1490">
        <v>2</v>
      </c>
      <c r="C250" s="1490">
        <v>2</v>
      </c>
      <c r="D250" s="1490" t="s">
        <v>319</v>
      </c>
      <c r="E250" s="309" t="s">
        <v>638</v>
      </c>
      <c r="F250" s="399"/>
      <c r="G250" s="1491">
        <v>362.67053521063002</v>
      </c>
      <c r="H250" s="1491"/>
      <c r="I250" s="1542">
        <v>0</v>
      </c>
      <c r="J250" s="1491">
        <v>0</v>
      </c>
      <c r="K250" s="1542">
        <v>0</v>
      </c>
      <c r="L250" s="1491">
        <v>0</v>
      </c>
      <c r="M250" s="1492"/>
    </row>
    <row r="251" spans="1:13" ht="18" thickTop="1" thickBot="1" x14ac:dyDescent="0.35">
      <c r="A251" s="309" t="s">
        <v>273</v>
      </c>
      <c r="B251" s="1490">
        <v>2</v>
      </c>
      <c r="C251" s="1490">
        <v>2</v>
      </c>
      <c r="D251" s="1490" t="s">
        <v>319</v>
      </c>
      <c r="E251" s="309" t="s">
        <v>639</v>
      </c>
      <c r="F251" s="399"/>
      <c r="G251" s="1491">
        <v>580.85670508159728</v>
      </c>
      <c r="H251" s="1491"/>
      <c r="I251" s="1542">
        <v>0</v>
      </c>
      <c r="J251" s="1491">
        <v>0</v>
      </c>
      <c r="K251" s="1542">
        <v>0</v>
      </c>
      <c r="L251" s="1491">
        <v>0</v>
      </c>
      <c r="M251" s="1492"/>
    </row>
    <row r="252" spans="1:13" ht="18" thickTop="1" thickBot="1" x14ac:dyDescent="0.35">
      <c r="A252" s="309" t="s">
        <v>273</v>
      </c>
      <c r="B252" s="1490">
        <v>2</v>
      </c>
      <c r="C252" s="1490">
        <v>2</v>
      </c>
      <c r="D252" s="1490" t="s">
        <v>319</v>
      </c>
      <c r="E252" s="309" t="s">
        <v>640</v>
      </c>
      <c r="F252" s="399"/>
      <c r="G252" s="1491">
        <v>2274.3162259170604</v>
      </c>
      <c r="H252" s="1491"/>
      <c r="I252" s="1542">
        <v>0</v>
      </c>
      <c r="J252" s="1491">
        <v>0</v>
      </c>
      <c r="K252" s="1542">
        <v>0</v>
      </c>
      <c r="L252" s="1491">
        <v>0</v>
      </c>
      <c r="M252" s="1492"/>
    </row>
    <row r="253" spans="1:13" ht="18" thickTop="1" thickBot="1" x14ac:dyDescent="0.35">
      <c r="A253" s="309" t="s">
        <v>273</v>
      </c>
      <c r="B253" s="1490">
        <v>2</v>
      </c>
      <c r="C253" s="1490">
        <v>2</v>
      </c>
      <c r="D253" s="1490" t="s">
        <v>319</v>
      </c>
      <c r="E253" s="309" t="s">
        <v>641</v>
      </c>
      <c r="F253" s="399"/>
      <c r="G253" s="1491">
        <v>582.31909348011084</v>
      </c>
      <c r="H253" s="1491"/>
      <c r="I253" s="1542">
        <v>0</v>
      </c>
      <c r="J253" s="1491">
        <v>0</v>
      </c>
      <c r="K253" s="1542">
        <v>0</v>
      </c>
      <c r="L253" s="1491">
        <v>0</v>
      </c>
      <c r="M253" s="1492"/>
    </row>
    <row r="254" spans="1:13" ht="18" thickTop="1" thickBot="1" x14ac:dyDescent="0.35">
      <c r="A254" s="309" t="s">
        <v>273</v>
      </c>
      <c r="B254" s="1490">
        <v>2</v>
      </c>
      <c r="C254" s="1490">
        <v>2</v>
      </c>
      <c r="D254" s="1490" t="s">
        <v>319</v>
      </c>
      <c r="E254" s="309" t="s">
        <v>642</v>
      </c>
      <c r="F254" s="399"/>
      <c r="G254" s="1491">
        <v>645.64334288433929</v>
      </c>
      <c r="H254" s="1491"/>
      <c r="I254" s="1542">
        <v>0</v>
      </c>
      <c r="J254" s="1491">
        <v>0</v>
      </c>
      <c r="K254" s="1542">
        <v>0</v>
      </c>
      <c r="L254" s="1491">
        <v>0</v>
      </c>
      <c r="M254" s="1492"/>
    </row>
    <row r="255" spans="1:13" ht="18" thickTop="1" thickBot="1" x14ac:dyDescent="0.35">
      <c r="A255" s="309" t="s">
        <v>273</v>
      </c>
      <c r="B255" s="1490">
        <v>2</v>
      </c>
      <c r="C255" s="1490">
        <v>2</v>
      </c>
      <c r="D255" s="1490" t="s">
        <v>319</v>
      </c>
      <c r="E255" s="309" t="s">
        <v>643</v>
      </c>
      <c r="F255" s="399"/>
      <c r="G255" s="1491">
        <v>437.36531436921882</v>
      </c>
      <c r="H255" s="1491"/>
      <c r="I255" s="1542">
        <v>0</v>
      </c>
      <c r="J255" s="1491">
        <v>0</v>
      </c>
      <c r="K255" s="1542">
        <v>0</v>
      </c>
      <c r="L255" s="1491">
        <v>0</v>
      </c>
      <c r="M255" s="1492"/>
    </row>
    <row r="256" spans="1:13" ht="18" thickTop="1" thickBot="1" x14ac:dyDescent="0.35">
      <c r="A256" s="309" t="s">
        <v>273</v>
      </c>
      <c r="B256" s="1490">
        <v>2</v>
      </c>
      <c r="C256" s="1490">
        <v>2</v>
      </c>
      <c r="D256" s="1490" t="s">
        <v>319</v>
      </c>
      <c r="E256" s="309" t="s">
        <v>644</v>
      </c>
      <c r="F256" s="399"/>
      <c r="G256" s="1491">
        <v>612.41824835096565</v>
      </c>
      <c r="H256" s="1491"/>
      <c r="I256" s="1542">
        <v>0</v>
      </c>
      <c r="J256" s="1491">
        <v>0</v>
      </c>
      <c r="K256" s="1542">
        <v>0</v>
      </c>
      <c r="L256" s="1491">
        <v>0</v>
      </c>
      <c r="M256" s="1492"/>
    </row>
    <row r="257" spans="1:13" ht="18" thickTop="1" thickBot="1" x14ac:dyDescent="0.35">
      <c r="A257" s="309" t="s">
        <v>273</v>
      </c>
      <c r="B257" s="1490">
        <v>2</v>
      </c>
      <c r="C257" s="1490">
        <v>2</v>
      </c>
      <c r="D257" s="1490" t="s">
        <v>319</v>
      </c>
      <c r="E257" s="309" t="s">
        <v>645</v>
      </c>
      <c r="F257" s="399"/>
      <c r="G257" s="1491">
        <v>473.56510661637918</v>
      </c>
      <c r="H257" s="1491"/>
      <c r="I257" s="1542">
        <v>0</v>
      </c>
      <c r="J257" s="1491">
        <v>0</v>
      </c>
      <c r="K257" s="1542">
        <v>0</v>
      </c>
      <c r="L257" s="1491">
        <v>0</v>
      </c>
      <c r="M257" s="1492"/>
    </row>
    <row r="258" spans="1:13" ht="18" thickTop="1" thickBot="1" x14ac:dyDescent="0.35">
      <c r="A258" s="309" t="s">
        <v>273</v>
      </c>
      <c r="B258" s="1490">
        <v>2</v>
      </c>
      <c r="C258" s="1490">
        <v>2</v>
      </c>
      <c r="D258" s="1490" t="s">
        <v>319</v>
      </c>
      <c r="E258" s="309" t="s">
        <v>646</v>
      </c>
      <c r="F258" s="399"/>
      <c r="G258" s="1491">
        <v>572.21991795376971</v>
      </c>
      <c r="H258" s="1491"/>
      <c r="I258" s="1542">
        <v>0</v>
      </c>
      <c r="J258" s="1491">
        <v>0</v>
      </c>
      <c r="K258" s="1542">
        <v>0</v>
      </c>
      <c r="L258" s="1491">
        <v>0</v>
      </c>
      <c r="M258" s="1492"/>
    </row>
    <row r="259" spans="1:13" ht="18" thickTop="1" thickBot="1" x14ac:dyDescent="0.35">
      <c r="A259" s="309" t="s">
        <v>273</v>
      </c>
      <c r="B259" s="1490">
        <v>2</v>
      </c>
      <c r="C259" s="1490">
        <v>2</v>
      </c>
      <c r="D259" s="1490" t="s">
        <v>276</v>
      </c>
      <c r="E259" s="309" t="s">
        <v>647</v>
      </c>
      <c r="F259" s="399"/>
      <c r="G259" s="1491">
        <v>404.77962293484092</v>
      </c>
      <c r="H259" s="1491"/>
      <c r="I259" s="1542">
        <v>0</v>
      </c>
      <c r="J259" s="1491">
        <v>0</v>
      </c>
      <c r="K259" s="1542">
        <v>0</v>
      </c>
      <c r="L259" s="1491">
        <v>0</v>
      </c>
      <c r="M259" s="1492"/>
    </row>
    <row r="260" spans="1:13" ht="18" thickTop="1" thickBot="1" x14ac:dyDescent="0.35">
      <c r="A260" s="309" t="s">
        <v>273</v>
      </c>
      <c r="B260" s="1490">
        <v>2</v>
      </c>
      <c r="C260" s="1490">
        <v>2</v>
      </c>
      <c r="D260" s="1490" t="s">
        <v>319</v>
      </c>
      <c r="E260" s="309" t="s">
        <v>648</v>
      </c>
      <c r="F260" s="399"/>
      <c r="G260" s="1491">
        <v>1055.5076071675935</v>
      </c>
      <c r="H260" s="1491"/>
      <c r="I260" s="1542">
        <v>0</v>
      </c>
      <c r="J260" s="1491">
        <v>0</v>
      </c>
      <c r="K260" s="1542">
        <v>0</v>
      </c>
      <c r="L260" s="1491">
        <v>0</v>
      </c>
      <c r="M260" s="1492"/>
    </row>
    <row r="261" spans="1:13" ht="18" thickTop="1" thickBot="1" x14ac:dyDescent="0.35">
      <c r="A261" s="309" t="s">
        <v>273</v>
      </c>
      <c r="B261" s="1490">
        <v>2</v>
      </c>
      <c r="C261" s="1490">
        <v>2</v>
      </c>
      <c r="D261" s="1490" t="s">
        <v>319</v>
      </c>
      <c r="E261" s="309" t="s">
        <v>649</v>
      </c>
      <c r="F261" s="399"/>
      <c r="G261" s="1491">
        <v>608.20566424015942</v>
      </c>
      <c r="H261" s="1491"/>
      <c r="I261" s="1542">
        <v>0</v>
      </c>
      <c r="J261" s="1491">
        <v>0</v>
      </c>
      <c r="K261" s="1542">
        <v>0</v>
      </c>
      <c r="L261" s="1491">
        <v>0</v>
      </c>
      <c r="M261" s="1492"/>
    </row>
    <row r="262" spans="1:13" ht="18" thickTop="1" thickBot="1" x14ac:dyDescent="0.35">
      <c r="A262" s="309" t="s">
        <v>273</v>
      </c>
      <c r="B262" s="1490">
        <v>2</v>
      </c>
      <c r="C262" s="1490">
        <v>2</v>
      </c>
      <c r="D262" s="1490" t="s">
        <v>319</v>
      </c>
      <c r="E262" s="309" t="s">
        <v>650</v>
      </c>
      <c r="F262" s="399"/>
      <c r="G262" s="1491">
        <v>386.53476764154647</v>
      </c>
      <c r="H262" s="1491"/>
      <c r="I262" s="1542">
        <v>0</v>
      </c>
      <c r="J262" s="1491">
        <v>0</v>
      </c>
      <c r="K262" s="1542">
        <v>0</v>
      </c>
      <c r="L262" s="1491">
        <v>0</v>
      </c>
      <c r="M262" s="1492"/>
    </row>
    <row r="263" spans="1:13" ht="18" thickTop="1" thickBot="1" x14ac:dyDescent="0.35">
      <c r="A263" s="309" t="s">
        <v>273</v>
      </c>
      <c r="B263" s="1490">
        <v>2</v>
      </c>
      <c r="C263" s="1490">
        <v>2</v>
      </c>
      <c r="D263" s="1490" t="s">
        <v>319</v>
      </c>
      <c r="E263" s="309" t="s">
        <v>651</v>
      </c>
      <c r="F263" s="399"/>
      <c r="G263" s="1491">
        <v>1130.569278071222</v>
      </c>
      <c r="H263" s="1491"/>
      <c r="I263" s="1542">
        <v>0</v>
      </c>
      <c r="J263" s="1491">
        <v>0</v>
      </c>
      <c r="K263" s="1542">
        <v>0</v>
      </c>
      <c r="L263" s="1491">
        <v>0</v>
      </c>
      <c r="M263" s="1492"/>
    </row>
    <row r="264" spans="1:13" ht="18" thickTop="1" thickBot="1" x14ac:dyDescent="0.35">
      <c r="A264" s="309" t="s">
        <v>273</v>
      </c>
      <c r="B264" s="1490">
        <v>2</v>
      </c>
      <c r="C264" s="1490">
        <v>2</v>
      </c>
      <c r="D264" s="1490" t="s">
        <v>319</v>
      </c>
      <c r="E264" s="309" t="s">
        <v>652</v>
      </c>
      <c r="F264" s="399"/>
      <c r="G264" s="1491">
        <v>459.24262908174279</v>
      </c>
      <c r="H264" s="1491"/>
      <c r="I264" s="1542">
        <v>0</v>
      </c>
      <c r="J264" s="1491">
        <v>0</v>
      </c>
      <c r="K264" s="1542">
        <v>0</v>
      </c>
      <c r="L264" s="1491">
        <v>0</v>
      </c>
      <c r="M264" s="1492"/>
    </row>
    <row r="265" spans="1:13" ht="18" thickTop="1" thickBot="1" x14ac:dyDescent="0.35">
      <c r="A265" s="309" t="s">
        <v>273</v>
      </c>
      <c r="B265" s="1490">
        <v>2</v>
      </c>
      <c r="C265" s="1490">
        <v>2</v>
      </c>
      <c r="D265" s="1490" t="s">
        <v>319</v>
      </c>
      <c r="E265" s="309" t="s">
        <v>653</v>
      </c>
      <c r="F265" s="399"/>
      <c r="G265" s="1491">
        <v>697.24456904733711</v>
      </c>
      <c r="H265" s="1491"/>
      <c r="I265" s="1542">
        <v>0</v>
      </c>
      <c r="J265" s="1491">
        <v>0</v>
      </c>
      <c r="K265" s="1542">
        <v>0</v>
      </c>
      <c r="L265" s="1491">
        <v>0</v>
      </c>
      <c r="M265" s="1492"/>
    </row>
    <row r="266" spans="1:13" ht="18" thickTop="1" thickBot="1" x14ac:dyDescent="0.35">
      <c r="A266" s="309" t="s">
        <v>273</v>
      </c>
      <c r="B266" s="1490">
        <v>2</v>
      </c>
      <c r="C266" s="1490">
        <v>2</v>
      </c>
      <c r="D266" s="1490" t="s">
        <v>319</v>
      </c>
      <c r="E266" s="309" t="s">
        <v>654</v>
      </c>
      <c r="F266" s="399"/>
      <c r="G266" s="1491">
        <v>233.20577659578453</v>
      </c>
      <c r="H266" s="1491"/>
      <c r="I266" s="1542">
        <v>0</v>
      </c>
      <c r="J266" s="1491">
        <v>0</v>
      </c>
      <c r="K266" s="1542">
        <v>0</v>
      </c>
      <c r="L266" s="1491">
        <v>0</v>
      </c>
      <c r="M266" s="1492"/>
    </row>
    <row r="267" spans="1:13" ht="18" thickTop="1" thickBot="1" x14ac:dyDescent="0.35">
      <c r="A267" s="309" t="s">
        <v>273</v>
      </c>
      <c r="B267" s="1490">
        <v>2</v>
      </c>
      <c r="C267" s="1490">
        <v>2</v>
      </c>
      <c r="D267" s="1490" t="s">
        <v>319</v>
      </c>
      <c r="E267" s="309" t="s">
        <v>655</v>
      </c>
      <c r="F267" s="399"/>
      <c r="G267" s="1491">
        <v>559.08078481605287</v>
      </c>
      <c r="H267" s="1491"/>
      <c r="I267" s="1542">
        <v>0</v>
      </c>
      <c r="J267" s="1491">
        <v>0</v>
      </c>
      <c r="K267" s="1542">
        <v>0</v>
      </c>
      <c r="L267" s="1491">
        <v>0</v>
      </c>
      <c r="M267" s="1492"/>
    </row>
    <row r="268" spans="1:13" ht="18" thickTop="1" thickBot="1" x14ac:dyDescent="0.35">
      <c r="A268" s="309" t="s">
        <v>273</v>
      </c>
      <c r="B268" s="1490">
        <v>2</v>
      </c>
      <c r="C268" s="1490">
        <v>2</v>
      </c>
      <c r="D268" s="1490" t="s">
        <v>278</v>
      </c>
      <c r="E268" s="309" t="s">
        <v>656</v>
      </c>
      <c r="F268" s="399"/>
      <c r="G268" s="1491">
        <v>2.9722674888122818</v>
      </c>
      <c r="H268" s="1491"/>
      <c r="I268" s="1542">
        <v>0</v>
      </c>
      <c r="J268" s="1491">
        <v>0</v>
      </c>
      <c r="K268" s="1542">
        <v>0</v>
      </c>
      <c r="L268" s="1491">
        <v>0</v>
      </c>
      <c r="M268" s="1492"/>
    </row>
    <row r="269" spans="1:13" ht="18" thickTop="1" thickBot="1" x14ac:dyDescent="0.35">
      <c r="A269" s="309" t="s">
        <v>273</v>
      </c>
      <c r="B269" s="1490">
        <v>2</v>
      </c>
      <c r="C269" s="1490">
        <v>2</v>
      </c>
      <c r="D269" s="1490" t="s">
        <v>319</v>
      </c>
      <c r="E269" s="309" t="s">
        <v>657</v>
      </c>
      <c r="F269" s="399"/>
      <c r="G269" s="1491">
        <v>674.27596690748135</v>
      </c>
      <c r="H269" s="1491"/>
      <c r="I269" s="1542">
        <v>0</v>
      </c>
      <c r="J269" s="1491">
        <v>0</v>
      </c>
      <c r="K269" s="1542">
        <v>0</v>
      </c>
      <c r="L269" s="1491">
        <v>0</v>
      </c>
      <c r="M269" s="1492"/>
    </row>
    <row r="270" spans="1:13" ht="18" thickTop="1" thickBot="1" x14ac:dyDescent="0.35">
      <c r="A270" s="309" t="s">
        <v>273</v>
      </c>
      <c r="B270" s="1490">
        <v>2</v>
      </c>
      <c r="C270" s="1490">
        <v>2</v>
      </c>
      <c r="D270" s="1490" t="s">
        <v>319</v>
      </c>
      <c r="E270" s="309" t="s">
        <v>658</v>
      </c>
      <c r="F270" s="399"/>
      <c r="G270" s="1491">
        <v>644.5924107253079</v>
      </c>
      <c r="H270" s="1491"/>
      <c r="I270" s="1542">
        <v>0</v>
      </c>
      <c r="J270" s="1491">
        <v>0</v>
      </c>
      <c r="K270" s="1542">
        <v>0</v>
      </c>
      <c r="L270" s="1491">
        <v>0</v>
      </c>
      <c r="M270" s="1492"/>
    </row>
    <row r="271" spans="1:13" ht="18" thickTop="1" thickBot="1" x14ac:dyDescent="0.35">
      <c r="A271" s="309" t="s">
        <v>273</v>
      </c>
      <c r="B271" s="1490">
        <v>2</v>
      </c>
      <c r="C271" s="1490">
        <v>2</v>
      </c>
      <c r="D271" s="1490" t="s">
        <v>319</v>
      </c>
      <c r="E271" s="309" t="s">
        <v>659</v>
      </c>
      <c r="F271" s="399"/>
      <c r="G271" s="1491">
        <v>503.18164143617423</v>
      </c>
      <c r="H271" s="1491"/>
      <c r="I271" s="1542">
        <v>0</v>
      </c>
      <c r="J271" s="1491">
        <v>0</v>
      </c>
      <c r="K271" s="1542">
        <v>0</v>
      </c>
      <c r="L271" s="1491">
        <v>0</v>
      </c>
      <c r="M271" s="1492"/>
    </row>
    <row r="272" spans="1:13" ht="18" thickTop="1" thickBot="1" x14ac:dyDescent="0.35">
      <c r="A272" s="309" t="s">
        <v>273</v>
      </c>
      <c r="B272" s="1490">
        <v>2</v>
      </c>
      <c r="C272" s="1490">
        <v>2</v>
      </c>
      <c r="D272" s="1490" t="s">
        <v>319</v>
      </c>
      <c r="E272" s="309" t="s">
        <v>660</v>
      </c>
      <c r="F272" s="399"/>
      <c r="G272" s="1491">
        <v>340.04323666407868</v>
      </c>
      <c r="H272" s="1491"/>
      <c r="I272" s="1542">
        <v>0</v>
      </c>
      <c r="J272" s="1491">
        <v>0</v>
      </c>
      <c r="K272" s="1542">
        <v>0</v>
      </c>
      <c r="L272" s="1491">
        <v>0</v>
      </c>
      <c r="M272" s="1492"/>
    </row>
    <row r="273" spans="1:13" ht="18" thickTop="1" thickBot="1" x14ac:dyDescent="0.35">
      <c r="A273" s="309" t="s">
        <v>273</v>
      </c>
      <c r="B273" s="1490">
        <v>2</v>
      </c>
      <c r="C273" s="1490">
        <v>2</v>
      </c>
      <c r="D273" s="1490" t="s">
        <v>319</v>
      </c>
      <c r="E273" s="309" t="s">
        <v>661</v>
      </c>
      <c r="F273" s="399"/>
      <c r="G273" s="1491">
        <v>2543.4819936060662</v>
      </c>
      <c r="H273" s="1491"/>
      <c r="I273" s="1542">
        <v>0</v>
      </c>
      <c r="J273" s="1491">
        <v>0</v>
      </c>
      <c r="K273" s="1542">
        <v>0</v>
      </c>
      <c r="L273" s="1491">
        <v>0</v>
      </c>
      <c r="M273" s="1492"/>
    </row>
    <row r="274" spans="1:13" ht="18" thickTop="1" thickBot="1" x14ac:dyDescent="0.35">
      <c r="A274" s="309" t="s">
        <v>273</v>
      </c>
      <c r="B274" s="1490">
        <v>2</v>
      </c>
      <c r="C274" s="1490">
        <v>2</v>
      </c>
      <c r="D274" s="1490" t="s">
        <v>319</v>
      </c>
      <c r="E274" s="309" t="s">
        <v>662</v>
      </c>
      <c r="F274" s="399"/>
      <c r="G274" s="1491">
        <v>1322.1004899595027</v>
      </c>
      <c r="H274" s="1491"/>
      <c r="I274" s="1542">
        <v>0</v>
      </c>
      <c r="J274" s="1491">
        <v>0</v>
      </c>
      <c r="K274" s="1542">
        <v>0</v>
      </c>
      <c r="L274" s="1491">
        <v>0</v>
      </c>
      <c r="M274" s="1492"/>
    </row>
    <row r="275" spans="1:13" ht="18" thickTop="1" thickBot="1" x14ac:dyDescent="0.35">
      <c r="A275" s="309" t="s">
        <v>273</v>
      </c>
      <c r="B275" s="1490">
        <v>2</v>
      </c>
      <c r="C275" s="1490">
        <v>2</v>
      </c>
      <c r="D275" s="1490" t="s">
        <v>319</v>
      </c>
      <c r="E275" s="309" t="s">
        <v>663</v>
      </c>
      <c r="F275" s="399"/>
      <c r="G275" s="1491">
        <v>542.77886749079914</v>
      </c>
      <c r="H275" s="1491"/>
      <c r="I275" s="1542">
        <v>0</v>
      </c>
      <c r="J275" s="1491">
        <v>0</v>
      </c>
      <c r="K275" s="1542">
        <v>0</v>
      </c>
      <c r="L275" s="1491">
        <v>0</v>
      </c>
      <c r="M275" s="1492"/>
    </row>
    <row r="276" spans="1:13" ht="18" thickTop="1" thickBot="1" x14ac:dyDescent="0.35">
      <c r="A276" s="309" t="s">
        <v>273</v>
      </c>
      <c r="B276" s="1490">
        <v>2</v>
      </c>
      <c r="C276" s="1490">
        <v>2</v>
      </c>
      <c r="D276" s="1490" t="s">
        <v>319</v>
      </c>
      <c r="E276" s="309" t="s">
        <v>664</v>
      </c>
      <c r="F276" s="399"/>
      <c r="G276" s="1491">
        <v>1041.6472729406817</v>
      </c>
      <c r="H276" s="1491"/>
      <c r="I276" s="1542">
        <v>0</v>
      </c>
      <c r="J276" s="1491">
        <v>0</v>
      </c>
      <c r="K276" s="1542">
        <v>0</v>
      </c>
      <c r="L276" s="1491">
        <v>0</v>
      </c>
      <c r="M276" s="1492"/>
    </row>
    <row r="277" spans="1:13" ht="18" thickTop="1" thickBot="1" x14ac:dyDescent="0.35">
      <c r="A277" s="309" t="s">
        <v>273</v>
      </c>
      <c r="B277" s="1490">
        <v>2</v>
      </c>
      <c r="C277" s="1490">
        <v>2</v>
      </c>
      <c r="D277" s="1490" t="s">
        <v>319</v>
      </c>
      <c r="E277" s="309" t="s">
        <v>665</v>
      </c>
      <c r="F277" s="309"/>
      <c r="G277" s="1491">
        <v>1419.2208172809444</v>
      </c>
      <c r="H277" s="1491"/>
      <c r="I277" s="1542">
        <v>0</v>
      </c>
      <c r="J277" s="1491">
        <v>0</v>
      </c>
      <c r="K277" s="1542">
        <v>0</v>
      </c>
      <c r="L277" s="1491">
        <v>0</v>
      </c>
      <c r="M277" s="1492"/>
    </row>
    <row r="278" spans="1:13" ht="18" thickTop="1" thickBot="1" x14ac:dyDescent="0.35">
      <c r="A278" s="309" t="s">
        <v>273</v>
      </c>
      <c r="B278" s="1490">
        <v>2</v>
      </c>
      <c r="C278" s="1490">
        <v>2</v>
      </c>
      <c r="D278" s="1490" t="s">
        <v>319</v>
      </c>
      <c r="E278" s="309" t="s">
        <v>666</v>
      </c>
      <c r="F278" s="399"/>
      <c r="G278" s="1491">
        <v>442.29958830907071</v>
      </c>
      <c r="H278" s="1491"/>
      <c r="I278" s="1542">
        <v>0</v>
      </c>
      <c r="J278" s="1491">
        <v>0</v>
      </c>
      <c r="K278" s="1542">
        <v>0</v>
      </c>
      <c r="L278" s="1491">
        <v>0</v>
      </c>
      <c r="M278" s="1492"/>
    </row>
    <row r="279" spans="1:13" ht="18" thickTop="1" thickBot="1" x14ac:dyDescent="0.35">
      <c r="A279" s="309" t="s">
        <v>273</v>
      </c>
      <c r="B279" s="1490">
        <v>2</v>
      </c>
      <c r="C279" s="1490">
        <v>2</v>
      </c>
      <c r="D279" s="1490" t="s">
        <v>319</v>
      </c>
      <c r="E279" s="309" t="s">
        <v>667</v>
      </c>
      <c r="F279" s="399"/>
      <c r="G279" s="1491">
        <v>455.51460729972467</v>
      </c>
      <c r="H279" s="1491"/>
      <c r="I279" s="1542">
        <v>0</v>
      </c>
      <c r="J279" s="1491">
        <v>0</v>
      </c>
      <c r="K279" s="1542">
        <v>0</v>
      </c>
      <c r="L279" s="1491">
        <v>0</v>
      </c>
      <c r="M279" s="1492"/>
    </row>
    <row r="280" spans="1:13" ht="18" thickTop="1" thickBot="1" x14ac:dyDescent="0.35">
      <c r="A280" s="309" t="s">
        <v>273</v>
      </c>
      <c r="B280" s="1490">
        <v>2</v>
      </c>
      <c r="C280" s="1490">
        <v>2</v>
      </c>
      <c r="D280" s="1490" t="s">
        <v>319</v>
      </c>
      <c r="E280" s="309" t="s">
        <v>668</v>
      </c>
      <c r="F280" s="399"/>
      <c r="G280" s="1491">
        <v>565.53664937271401</v>
      </c>
      <c r="H280" s="1491"/>
      <c r="I280" s="1542">
        <v>0</v>
      </c>
      <c r="J280" s="1491">
        <v>0</v>
      </c>
      <c r="K280" s="1542">
        <v>0</v>
      </c>
      <c r="L280" s="1491">
        <v>0</v>
      </c>
      <c r="M280" s="1492"/>
    </row>
    <row r="281" spans="1:13" ht="18" thickTop="1" thickBot="1" x14ac:dyDescent="0.35">
      <c r="A281" s="309" t="s">
        <v>273</v>
      </c>
      <c r="B281" s="1490">
        <v>2</v>
      </c>
      <c r="C281" s="1490">
        <v>2</v>
      </c>
      <c r="D281" s="1490" t="s">
        <v>319</v>
      </c>
      <c r="E281" s="309" t="s">
        <v>669</v>
      </c>
      <c r="F281" s="399"/>
      <c r="G281" s="1491">
        <v>1209.3868805467398</v>
      </c>
      <c r="H281" s="1491"/>
      <c r="I281" s="1542">
        <v>0</v>
      </c>
      <c r="J281" s="1491">
        <v>0</v>
      </c>
      <c r="K281" s="1542">
        <v>0</v>
      </c>
      <c r="L281" s="1491">
        <v>0</v>
      </c>
      <c r="M281" s="1492"/>
    </row>
    <row r="282" spans="1:13" ht="18" thickTop="1" thickBot="1" x14ac:dyDescent="0.35">
      <c r="A282" s="309" t="s">
        <v>273</v>
      </c>
      <c r="B282" s="1490">
        <v>2</v>
      </c>
      <c r="C282" s="1490">
        <v>2</v>
      </c>
      <c r="D282" s="1490" t="s">
        <v>319</v>
      </c>
      <c r="E282" s="309" t="s">
        <v>670</v>
      </c>
      <c r="F282" s="399"/>
      <c r="G282" s="1491">
        <v>613.0797519430256</v>
      </c>
      <c r="H282" s="1491"/>
      <c r="I282" s="1542">
        <v>0</v>
      </c>
      <c r="J282" s="1491">
        <v>0</v>
      </c>
      <c r="K282" s="1542">
        <v>0</v>
      </c>
      <c r="L282" s="1491">
        <v>0</v>
      </c>
      <c r="M282" s="1492"/>
    </row>
    <row r="283" spans="1:13" ht="18" thickTop="1" thickBot="1" x14ac:dyDescent="0.35">
      <c r="A283" s="309" t="s">
        <v>273</v>
      </c>
      <c r="B283" s="1490">
        <v>2</v>
      </c>
      <c r="C283" s="1490">
        <v>2</v>
      </c>
      <c r="D283" s="1490" t="s">
        <v>319</v>
      </c>
      <c r="E283" s="309" t="s">
        <v>671</v>
      </c>
      <c r="F283" s="399"/>
      <c r="G283" s="1491">
        <v>674.13073012798372</v>
      </c>
      <c r="H283" s="1491"/>
      <c r="I283" s="1542">
        <v>0</v>
      </c>
      <c r="J283" s="1491">
        <v>0</v>
      </c>
      <c r="K283" s="1542">
        <v>0</v>
      </c>
      <c r="L283" s="1491">
        <v>0</v>
      </c>
      <c r="M283" s="1492"/>
    </row>
    <row r="284" spans="1:13" ht="18" thickTop="1" thickBot="1" x14ac:dyDescent="0.35">
      <c r="A284" s="309" t="s">
        <v>273</v>
      </c>
      <c r="B284" s="1490">
        <v>2</v>
      </c>
      <c r="C284" s="1490">
        <v>2</v>
      </c>
      <c r="D284" s="1490" t="s">
        <v>319</v>
      </c>
      <c r="E284" s="309" t="s">
        <v>672</v>
      </c>
      <c r="F284" s="399"/>
      <c r="G284" s="1491">
        <v>512.91626359938448</v>
      </c>
      <c r="H284" s="1491"/>
      <c r="I284" s="1542">
        <v>0</v>
      </c>
      <c r="J284" s="1491">
        <v>0</v>
      </c>
      <c r="K284" s="1542">
        <v>0</v>
      </c>
      <c r="L284" s="1491">
        <v>0</v>
      </c>
      <c r="M284" s="1492"/>
    </row>
    <row r="285" spans="1:13" ht="18" thickTop="1" thickBot="1" x14ac:dyDescent="0.35">
      <c r="A285" s="309" t="s">
        <v>273</v>
      </c>
      <c r="B285" s="1490">
        <v>2</v>
      </c>
      <c r="C285" s="1490">
        <v>2</v>
      </c>
      <c r="D285" s="1490" t="s">
        <v>319</v>
      </c>
      <c r="E285" s="309" t="s">
        <v>673</v>
      </c>
      <c r="F285" s="399"/>
      <c r="G285" s="1491">
        <v>655.67299212033799</v>
      </c>
      <c r="H285" s="1491"/>
      <c r="I285" s="1542">
        <v>0</v>
      </c>
      <c r="J285" s="1491">
        <v>0</v>
      </c>
      <c r="K285" s="1542">
        <v>0</v>
      </c>
      <c r="L285" s="1491">
        <v>0</v>
      </c>
      <c r="M285" s="1492"/>
    </row>
    <row r="286" spans="1:13" ht="18" thickTop="1" thickBot="1" x14ac:dyDescent="0.35">
      <c r="A286" s="309" t="s">
        <v>273</v>
      </c>
      <c r="B286" s="1490">
        <v>2</v>
      </c>
      <c r="C286" s="1490">
        <v>2</v>
      </c>
      <c r="D286" s="1490" t="s">
        <v>319</v>
      </c>
      <c r="E286" s="309" t="s">
        <v>674</v>
      </c>
      <c r="F286" s="399"/>
      <c r="G286" s="1491">
        <v>725.46798554950328</v>
      </c>
      <c r="H286" s="1491"/>
      <c r="I286" s="1542">
        <v>0</v>
      </c>
      <c r="J286" s="1491">
        <v>0</v>
      </c>
      <c r="K286" s="1542">
        <v>0</v>
      </c>
      <c r="L286" s="1491">
        <v>0</v>
      </c>
      <c r="M286" s="1492"/>
    </row>
    <row r="287" spans="1:13" ht="18" thickTop="1" thickBot="1" x14ac:dyDescent="0.35">
      <c r="A287" s="309" t="s">
        <v>273</v>
      </c>
      <c r="B287" s="1490">
        <v>2</v>
      </c>
      <c r="C287" s="1490">
        <v>2</v>
      </c>
      <c r="D287" s="1490" t="s">
        <v>319</v>
      </c>
      <c r="E287" s="309" t="s">
        <v>675</v>
      </c>
      <c r="F287" s="399"/>
      <c r="G287" s="1491">
        <v>534.73993324306105</v>
      </c>
      <c r="H287" s="1491"/>
      <c r="I287" s="1542">
        <v>0</v>
      </c>
      <c r="J287" s="1491">
        <v>0</v>
      </c>
      <c r="K287" s="1542">
        <v>0</v>
      </c>
      <c r="L287" s="1491">
        <v>0</v>
      </c>
      <c r="M287" s="1492"/>
    </row>
    <row r="288" spans="1:13" ht="18" thickTop="1" thickBot="1" x14ac:dyDescent="0.35">
      <c r="A288" s="309" t="s">
        <v>273</v>
      </c>
      <c r="B288" s="1490">
        <v>2</v>
      </c>
      <c r="C288" s="1490">
        <v>2</v>
      </c>
      <c r="D288" s="1490" t="s">
        <v>319</v>
      </c>
      <c r="E288" s="309" t="s">
        <v>676</v>
      </c>
      <c r="F288" s="399"/>
      <c r="G288" s="1491">
        <v>537.78090439765049</v>
      </c>
      <c r="H288" s="1491"/>
      <c r="I288" s="1542">
        <v>0</v>
      </c>
      <c r="J288" s="1491">
        <v>0</v>
      </c>
      <c r="K288" s="1542">
        <v>0</v>
      </c>
      <c r="L288" s="1491">
        <v>0</v>
      </c>
      <c r="M288" s="1492"/>
    </row>
    <row r="289" spans="1:13" ht="18" thickTop="1" thickBot="1" x14ac:dyDescent="0.35">
      <c r="A289" s="309" t="s">
        <v>273</v>
      </c>
      <c r="B289" s="1490">
        <v>2</v>
      </c>
      <c r="C289" s="1490">
        <v>2</v>
      </c>
      <c r="D289" s="1490" t="s">
        <v>319</v>
      </c>
      <c r="E289" s="309" t="s">
        <v>677</v>
      </c>
      <c r="F289" s="399"/>
      <c r="G289" s="1491">
        <v>573.17384075112329</v>
      </c>
      <c r="H289" s="1491"/>
      <c r="I289" s="1542">
        <v>0</v>
      </c>
      <c r="J289" s="1491">
        <v>0</v>
      </c>
      <c r="K289" s="1542">
        <v>0</v>
      </c>
      <c r="L289" s="1491">
        <v>0</v>
      </c>
      <c r="M289" s="1492"/>
    </row>
    <row r="290" spans="1:13" ht="18" thickTop="1" thickBot="1" x14ac:dyDescent="0.35">
      <c r="A290" s="309" t="s">
        <v>273</v>
      </c>
      <c r="B290" s="1490">
        <v>2</v>
      </c>
      <c r="C290" s="1490">
        <v>2</v>
      </c>
      <c r="D290" s="1490" t="s">
        <v>319</v>
      </c>
      <c r="E290" s="309" t="s">
        <v>678</v>
      </c>
      <c r="F290" s="399"/>
      <c r="G290" s="1491">
        <v>593.49561045565054</v>
      </c>
      <c r="H290" s="1491"/>
      <c r="I290" s="1542">
        <v>0</v>
      </c>
      <c r="J290" s="1491">
        <v>0</v>
      </c>
      <c r="K290" s="1542">
        <v>0</v>
      </c>
      <c r="L290" s="1491">
        <v>0</v>
      </c>
      <c r="M290" s="1492"/>
    </row>
    <row r="291" spans="1:13" ht="18" thickTop="1" thickBot="1" x14ac:dyDescent="0.35">
      <c r="A291" s="309" t="s">
        <v>273</v>
      </c>
      <c r="B291" s="1490">
        <v>2</v>
      </c>
      <c r="C291" s="1490">
        <v>2</v>
      </c>
      <c r="D291" s="1490" t="s">
        <v>319</v>
      </c>
      <c r="E291" s="309" t="s">
        <v>679</v>
      </c>
      <c r="F291" s="399"/>
      <c r="G291" s="1491">
        <v>463.10315444933656</v>
      </c>
      <c r="H291" s="1491"/>
      <c r="I291" s="1542">
        <v>0</v>
      </c>
      <c r="J291" s="1491">
        <v>0</v>
      </c>
      <c r="K291" s="1542">
        <v>0</v>
      </c>
      <c r="L291" s="1491">
        <v>0</v>
      </c>
      <c r="M291" s="1492"/>
    </row>
    <row r="292" spans="1:13" ht="18" thickTop="1" thickBot="1" x14ac:dyDescent="0.35">
      <c r="A292" s="309" t="s">
        <v>273</v>
      </c>
      <c r="B292" s="1490">
        <v>2</v>
      </c>
      <c r="C292" s="1490">
        <v>2</v>
      </c>
      <c r="D292" s="1490" t="s">
        <v>319</v>
      </c>
      <c r="E292" s="309" t="s">
        <v>680</v>
      </c>
      <c r="F292" s="399"/>
      <c r="G292" s="1491">
        <v>338.32119434631221</v>
      </c>
      <c r="H292" s="1491"/>
      <c r="I292" s="1542">
        <v>0</v>
      </c>
      <c r="J292" s="1491">
        <v>0</v>
      </c>
      <c r="K292" s="1542">
        <v>0</v>
      </c>
      <c r="L292" s="1491">
        <v>0</v>
      </c>
      <c r="M292" s="1492"/>
    </row>
    <row r="293" spans="1:13" ht="18" thickTop="1" thickBot="1" x14ac:dyDescent="0.35">
      <c r="A293" s="309" t="s">
        <v>273</v>
      </c>
      <c r="B293" s="1490">
        <v>2</v>
      </c>
      <c r="C293" s="1490">
        <v>2</v>
      </c>
      <c r="D293" s="1490" t="s">
        <v>319</v>
      </c>
      <c r="E293" s="309" t="s">
        <v>681</v>
      </c>
      <c r="F293" s="399"/>
      <c r="G293" s="1491">
        <v>519.50943789815074</v>
      </c>
      <c r="H293" s="1491"/>
      <c r="I293" s="1542">
        <v>0</v>
      </c>
      <c r="J293" s="1491">
        <v>0</v>
      </c>
      <c r="K293" s="1542">
        <v>0</v>
      </c>
      <c r="L293" s="1491">
        <v>0</v>
      </c>
      <c r="M293" s="1492"/>
    </row>
    <row r="294" spans="1:13" ht="18" thickTop="1" thickBot="1" x14ac:dyDescent="0.35">
      <c r="A294" s="309" t="s">
        <v>273</v>
      </c>
      <c r="B294" s="1490">
        <v>2</v>
      </c>
      <c r="C294" s="1490">
        <v>2</v>
      </c>
      <c r="D294" s="1490" t="s">
        <v>319</v>
      </c>
      <c r="E294" s="309" t="s">
        <v>682</v>
      </c>
      <c r="F294" s="399"/>
      <c r="G294" s="1491">
        <v>451.08319851555473</v>
      </c>
      <c r="H294" s="1491"/>
      <c r="I294" s="1542">
        <v>0</v>
      </c>
      <c r="J294" s="1491">
        <v>0</v>
      </c>
      <c r="K294" s="1542">
        <v>0</v>
      </c>
      <c r="L294" s="1491">
        <v>0</v>
      </c>
      <c r="M294" s="1492"/>
    </row>
    <row r="295" spans="1:13" ht="18" thickTop="1" thickBot="1" x14ac:dyDescent="0.35">
      <c r="A295" s="309" t="s">
        <v>273</v>
      </c>
      <c r="B295" s="1490">
        <v>2</v>
      </c>
      <c r="C295" s="1490">
        <v>2</v>
      </c>
      <c r="D295" s="1490" t="s">
        <v>288</v>
      </c>
      <c r="E295" s="309" t="s">
        <v>683</v>
      </c>
      <c r="F295" s="399"/>
      <c r="G295" s="1491">
        <v>541.10899926669993</v>
      </c>
      <c r="H295" s="1491"/>
      <c r="I295" s="1542">
        <v>0</v>
      </c>
      <c r="J295" s="1491">
        <v>0</v>
      </c>
      <c r="K295" s="1542">
        <v>0</v>
      </c>
      <c r="L295" s="1491">
        <v>0</v>
      </c>
      <c r="M295" s="1492"/>
    </row>
    <row r="296" spans="1:13" ht="18" thickTop="1" thickBot="1" x14ac:dyDescent="0.35">
      <c r="A296" s="309" t="s">
        <v>273</v>
      </c>
      <c r="B296" s="1490">
        <v>2</v>
      </c>
      <c r="C296" s="1490">
        <v>2</v>
      </c>
      <c r="D296" s="1490" t="s">
        <v>319</v>
      </c>
      <c r="E296" s="309" t="s">
        <v>684</v>
      </c>
      <c r="F296" s="399"/>
      <c r="G296" s="1491">
        <v>583.54641584402168</v>
      </c>
      <c r="H296" s="1491"/>
      <c r="I296" s="1542">
        <v>0</v>
      </c>
      <c r="J296" s="1491">
        <v>0</v>
      </c>
      <c r="K296" s="1542">
        <v>0</v>
      </c>
      <c r="L296" s="1491">
        <v>0</v>
      </c>
      <c r="M296" s="1492"/>
    </row>
    <row r="297" spans="1:13" ht="18" thickTop="1" thickBot="1" x14ac:dyDescent="0.35">
      <c r="A297" s="309" t="s">
        <v>273</v>
      </c>
      <c r="B297" s="1490">
        <v>2</v>
      </c>
      <c r="C297" s="1490">
        <v>2</v>
      </c>
      <c r="D297" s="1490" t="s">
        <v>319</v>
      </c>
      <c r="E297" s="309" t="s">
        <v>685</v>
      </c>
      <c r="F297" s="399"/>
      <c r="G297" s="1491">
        <v>1312.1189737222935</v>
      </c>
      <c r="H297" s="1491"/>
      <c r="I297" s="1542">
        <v>0</v>
      </c>
      <c r="J297" s="1491">
        <v>0</v>
      </c>
      <c r="K297" s="1542">
        <v>0</v>
      </c>
      <c r="L297" s="1491">
        <v>0</v>
      </c>
      <c r="M297" s="1492"/>
    </row>
    <row r="298" spans="1:13" ht="18" thickTop="1" thickBot="1" x14ac:dyDescent="0.35">
      <c r="A298" s="309" t="s">
        <v>273</v>
      </c>
      <c r="B298" s="1490">
        <v>2</v>
      </c>
      <c r="C298" s="1490">
        <v>2</v>
      </c>
      <c r="D298" s="1490" t="s">
        <v>280</v>
      </c>
      <c r="E298" s="309" t="s">
        <v>686</v>
      </c>
      <c r="F298" s="399"/>
      <c r="G298" s="1491">
        <v>132.69522034234691</v>
      </c>
      <c r="H298" s="1491"/>
      <c r="I298" s="1542">
        <v>0</v>
      </c>
      <c r="J298" s="1491">
        <v>0</v>
      </c>
      <c r="K298" s="1542">
        <v>0</v>
      </c>
      <c r="L298" s="1491">
        <v>0</v>
      </c>
      <c r="M298" s="1492"/>
    </row>
    <row r="299" spans="1:13" ht="18" thickTop="1" thickBot="1" x14ac:dyDescent="0.35">
      <c r="A299" s="309" t="s">
        <v>273</v>
      </c>
      <c r="B299" s="1490">
        <v>2</v>
      </c>
      <c r="C299" s="1490">
        <v>2</v>
      </c>
      <c r="D299" s="1490" t="s">
        <v>280</v>
      </c>
      <c r="E299" s="309" t="s">
        <v>687</v>
      </c>
      <c r="F299" s="399"/>
      <c r="G299" s="1491">
        <v>120.32688285561417</v>
      </c>
      <c r="H299" s="1491"/>
      <c r="I299" s="1542">
        <v>0</v>
      </c>
      <c r="J299" s="1491">
        <v>0</v>
      </c>
      <c r="K299" s="1542">
        <v>0</v>
      </c>
      <c r="L299" s="1491">
        <v>0</v>
      </c>
      <c r="M299" s="1492"/>
    </row>
    <row r="300" spans="1:13" ht="18" thickTop="1" thickBot="1" x14ac:dyDescent="0.35">
      <c r="A300" s="309" t="s">
        <v>273</v>
      </c>
      <c r="B300" s="1490">
        <v>2</v>
      </c>
      <c r="C300" s="1490">
        <v>2</v>
      </c>
      <c r="D300" s="1490" t="s">
        <v>280</v>
      </c>
      <c r="E300" s="309" t="s">
        <v>688</v>
      </c>
      <c r="F300" s="399"/>
      <c r="G300" s="1491">
        <v>80.024790897610572</v>
      </c>
      <c r="H300" s="1491"/>
      <c r="I300" s="1542">
        <v>0</v>
      </c>
      <c r="J300" s="1491">
        <v>0</v>
      </c>
      <c r="K300" s="1542">
        <v>0</v>
      </c>
      <c r="L300" s="1491">
        <v>0</v>
      </c>
      <c r="M300" s="1492"/>
    </row>
    <row r="301" spans="1:13" ht="18" thickTop="1" thickBot="1" x14ac:dyDescent="0.35">
      <c r="A301" s="309" t="s">
        <v>273</v>
      </c>
      <c r="B301" s="1490">
        <v>2</v>
      </c>
      <c r="C301" s="1490">
        <v>2</v>
      </c>
      <c r="D301" s="1490" t="s">
        <v>319</v>
      </c>
      <c r="E301" s="309" t="s">
        <v>689</v>
      </c>
      <c r="F301" s="399"/>
      <c r="G301" s="1491">
        <v>527.49313067217327</v>
      </c>
      <c r="H301" s="1491"/>
      <c r="I301" s="1542">
        <v>0</v>
      </c>
      <c r="J301" s="1491">
        <v>0</v>
      </c>
      <c r="K301" s="1542">
        <v>0</v>
      </c>
      <c r="L301" s="1491">
        <v>0</v>
      </c>
      <c r="M301" s="1492"/>
    </row>
    <row r="302" spans="1:13" ht="18" thickTop="1" thickBot="1" x14ac:dyDescent="0.35">
      <c r="A302" s="309" t="s">
        <v>273</v>
      </c>
      <c r="B302" s="1490">
        <v>2</v>
      </c>
      <c r="C302" s="1490">
        <v>2</v>
      </c>
      <c r="D302" s="1490" t="s">
        <v>319</v>
      </c>
      <c r="E302" s="309" t="s">
        <v>690</v>
      </c>
      <c r="F302" s="399"/>
      <c r="G302" s="1491">
        <v>483.38327892147328</v>
      </c>
      <c r="H302" s="1491"/>
      <c r="I302" s="1542">
        <v>0</v>
      </c>
      <c r="J302" s="1491">
        <v>0</v>
      </c>
      <c r="K302" s="1542">
        <v>0</v>
      </c>
      <c r="L302" s="1491">
        <v>0</v>
      </c>
      <c r="M302" s="1492"/>
    </row>
    <row r="303" spans="1:13" ht="18" thickTop="1" thickBot="1" x14ac:dyDescent="0.35">
      <c r="A303" s="309" t="s">
        <v>273</v>
      </c>
      <c r="B303" s="1490">
        <v>2</v>
      </c>
      <c r="C303" s="1490">
        <v>2</v>
      </c>
      <c r="D303" s="1490" t="s">
        <v>319</v>
      </c>
      <c r="E303" s="309" t="s">
        <v>691</v>
      </c>
      <c r="F303" s="399"/>
      <c r="G303" s="1491">
        <v>489.85593995986483</v>
      </c>
      <c r="H303" s="1491"/>
      <c r="I303" s="1542">
        <v>0</v>
      </c>
      <c r="J303" s="1491">
        <v>0</v>
      </c>
      <c r="K303" s="1542">
        <v>0</v>
      </c>
      <c r="L303" s="1491">
        <v>0</v>
      </c>
      <c r="M303" s="1492"/>
    </row>
    <row r="304" spans="1:13" ht="18" thickTop="1" thickBot="1" x14ac:dyDescent="0.35">
      <c r="A304" s="309" t="s">
        <v>273</v>
      </c>
      <c r="B304" s="1490">
        <v>2</v>
      </c>
      <c r="C304" s="1490">
        <v>2</v>
      </c>
      <c r="D304" s="1490" t="s">
        <v>319</v>
      </c>
      <c r="E304" s="309" t="s">
        <v>692</v>
      </c>
      <c r="F304" s="399"/>
      <c r="G304" s="1491">
        <v>600.46622745458842</v>
      </c>
      <c r="H304" s="1491"/>
      <c r="I304" s="1542">
        <v>0</v>
      </c>
      <c r="J304" s="1491">
        <v>0</v>
      </c>
      <c r="K304" s="1542">
        <v>0</v>
      </c>
      <c r="L304" s="1491">
        <v>0</v>
      </c>
      <c r="M304" s="1492"/>
    </row>
    <row r="305" spans="1:13" ht="18" thickTop="1" thickBot="1" x14ac:dyDescent="0.35">
      <c r="A305" s="309" t="s">
        <v>273</v>
      </c>
      <c r="B305" s="1490">
        <v>2</v>
      </c>
      <c r="C305" s="1490">
        <v>2</v>
      </c>
      <c r="D305" s="1490" t="s">
        <v>319</v>
      </c>
      <c r="E305" s="309" t="s">
        <v>693</v>
      </c>
      <c r="F305" s="399"/>
      <c r="G305" s="1491">
        <v>1293.7043251718112</v>
      </c>
      <c r="H305" s="1491"/>
      <c r="I305" s="1542">
        <v>0</v>
      </c>
      <c r="J305" s="1491">
        <v>0</v>
      </c>
      <c r="K305" s="1542">
        <v>0</v>
      </c>
      <c r="L305" s="1491">
        <v>0</v>
      </c>
      <c r="M305" s="1492"/>
    </row>
    <row r="306" spans="1:13" ht="18" thickTop="1" thickBot="1" x14ac:dyDescent="0.35">
      <c r="A306" s="309" t="s">
        <v>273</v>
      </c>
      <c r="B306" s="1490">
        <v>2</v>
      </c>
      <c r="C306" s="1490">
        <v>2</v>
      </c>
      <c r="D306" s="1490" t="s">
        <v>319</v>
      </c>
      <c r="E306" s="309" t="s">
        <v>694</v>
      </c>
      <c r="F306" s="399"/>
      <c r="G306" s="1491">
        <v>1217.1281987776313</v>
      </c>
      <c r="H306" s="1491"/>
      <c r="I306" s="1542">
        <v>0</v>
      </c>
      <c r="J306" s="1491">
        <v>0</v>
      </c>
      <c r="K306" s="1542">
        <v>0</v>
      </c>
      <c r="L306" s="1491">
        <v>0</v>
      </c>
      <c r="M306" s="1492"/>
    </row>
    <row r="307" spans="1:13" ht="18" thickTop="1" thickBot="1" x14ac:dyDescent="0.35">
      <c r="A307" s="309" t="s">
        <v>273</v>
      </c>
      <c r="B307" s="1490">
        <v>2</v>
      </c>
      <c r="C307" s="1490">
        <v>2</v>
      </c>
      <c r="D307" s="1490" t="s">
        <v>319</v>
      </c>
      <c r="E307" s="309" t="s">
        <v>695</v>
      </c>
      <c r="F307" s="399"/>
      <c r="G307" s="1491">
        <v>798.58942285220371</v>
      </c>
      <c r="H307" s="1491"/>
      <c r="I307" s="1542">
        <v>0</v>
      </c>
      <c r="J307" s="1491">
        <v>0</v>
      </c>
      <c r="K307" s="1542">
        <v>0</v>
      </c>
      <c r="L307" s="1491">
        <v>0</v>
      </c>
      <c r="M307" s="1492"/>
    </row>
    <row r="308" spans="1:13" ht="18" thickTop="1" thickBot="1" x14ac:dyDescent="0.35">
      <c r="A308" s="309" t="s">
        <v>273</v>
      </c>
      <c r="B308" s="1490">
        <v>2</v>
      </c>
      <c r="C308" s="1490">
        <v>2</v>
      </c>
      <c r="D308" s="1490" t="s">
        <v>319</v>
      </c>
      <c r="E308" s="309" t="s">
        <v>696</v>
      </c>
      <c r="F308" s="399"/>
      <c r="G308" s="1491">
        <v>87.305948372730072</v>
      </c>
      <c r="H308" s="1491"/>
      <c r="I308" s="1542">
        <v>0</v>
      </c>
      <c r="J308" s="1491">
        <v>0</v>
      </c>
      <c r="K308" s="1542">
        <v>0</v>
      </c>
      <c r="L308" s="1491">
        <v>0</v>
      </c>
      <c r="M308" s="1492"/>
    </row>
    <row r="309" spans="1:13" ht="18" thickTop="1" thickBot="1" x14ac:dyDescent="0.35">
      <c r="A309" s="309" t="s">
        <v>273</v>
      </c>
      <c r="B309" s="1490">
        <v>2</v>
      </c>
      <c r="C309" s="1490">
        <v>2</v>
      </c>
      <c r="D309" s="1490" t="s">
        <v>319</v>
      </c>
      <c r="E309" s="309" t="s">
        <v>697</v>
      </c>
      <c r="F309" s="399"/>
      <c r="G309" s="1491">
        <v>540.81874823146381</v>
      </c>
      <c r="H309" s="1491"/>
      <c r="I309" s="1542">
        <v>0</v>
      </c>
      <c r="J309" s="1491">
        <v>0</v>
      </c>
      <c r="K309" s="1542">
        <v>0</v>
      </c>
      <c r="L309" s="1491">
        <v>0</v>
      </c>
      <c r="M309" s="1492"/>
    </row>
    <row r="310" spans="1:13" ht="18" thickTop="1" thickBot="1" x14ac:dyDescent="0.35">
      <c r="A310" s="309" t="s">
        <v>273</v>
      </c>
      <c r="B310" s="1490">
        <v>2</v>
      </c>
      <c r="C310" s="1490">
        <v>2</v>
      </c>
      <c r="D310" s="1490" t="s">
        <v>319</v>
      </c>
      <c r="E310" s="309" t="s">
        <v>698</v>
      </c>
      <c r="F310" s="399"/>
      <c r="G310" s="1491">
        <v>343.73327841582238</v>
      </c>
      <c r="H310" s="1491"/>
      <c r="I310" s="1542">
        <v>0</v>
      </c>
      <c r="J310" s="1491">
        <v>0</v>
      </c>
      <c r="K310" s="1542">
        <v>0</v>
      </c>
      <c r="L310" s="1491">
        <v>0</v>
      </c>
      <c r="M310" s="1492"/>
    </row>
    <row r="311" spans="1:13" ht="18" thickTop="1" thickBot="1" x14ac:dyDescent="0.35">
      <c r="A311" s="309" t="s">
        <v>273</v>
      </c>
      <c r="B311" s="1490">
        <v>2</v>
      </c>
      <c r="C311" s="1490">
        <v>2</v>
      </c>
      <c r="D311" s="1490" t="s">
        <v>319</v>
      </c>
      <c r="E311" s="309" t="s">
        <v>699</v>
      </c>
      <c r="F311" s="399"/>
      <c r="G311" s="1491">
        <v>519.02083417725794</v>
      </c>
      <c r="H311" s="1491"/>
      <c r="I311" s="1542">
        <v>0</v>
      </c>
      <c r="J311" s="1491">
        <v>0</v>
      </c>
      <c r="K311" s="1542">
        <v>0</v>
      </c>
      <c r="L311" s="1491">
        <v>0</v>
      </c>
      <c r="M311" s="1492"/>
    </row>
    <row r="312" spans="1:13" ht="18" thickTop="1" thickBot="1" x14ac:dyDescent="0.35">
      <c r="A312" s="309" t="s">
        <v>273</v>
      </c>
      <c r="B312" s="1490">
        <v>2</v>
      </c>
      <c r="C312" s="1490">
        <v>2</v>
      </c>
      <c r="D312" s="1490" t="s">
        <v>319</v>
      </c>
      <c r="E312" s="309" t="s">
        <v>700</v>
      </c>
      <c r="F312" s="399"/>
      <c r="G312" s="1491">
        <v>454.42811186111402</v>
      </c>
      <c r="H312" s="1491"/>
      <c r="I312" s="1542">
        <v>0</v>
      </c>
      <c r="J312" s="1491">
        <v>0</v>
      </c>
      <c r="K312" s="1542">
        <v>0</v>
      </c>
      <c r="L312" s="1491">
        <v>0</v>
      </c>
      <c r="M312" s="1492"/>
    </row>
    <row r="313" spans="1:13" ht="18" thickTop="1" thickBot="1" x14ac:dyDescent="0.35">
      <c r="A313" s="309" t="s">
        <v>273</v>
      </c>
      <c r="B313" s="1490">
        <v>2</v>
      </c>
      <c r="C313" s="1490">
        <v>2</v>
      </c>
      <c r="D313" s="1490" t="s">
        <v>319</v>
      </c>
      <c r="E313" s="309" t="s">
        <v>701</v>
      </c>
      <c r="F313" s="399"/>
      <c r="G313" s="1491">
        <v>1062.5806278964747</v>
      </c>
      <c r="H313" s="1491"/>
      <c r="I313" s="1542">
        <v>0</v>
      </c>
      <c r="J313" s="1491">
        <v>0</v>
      </c>
      <c r="K313" s="1542">
        <v>0</v>
      </c>
      <c r="L313" s="1491">
        <v>0</v>
      </c>
      <c r="M313" s="1492"/>
    </row>
    <row r="314" spans="1:13" ht="18" thickTop="1" thickBot="1" x14ac:dyDescent="0.35">
      <c r="A314" s="309" t="s">
        <v>273</v>
      </c>
      <c r="B314" s="1490">
        <v>2</v>
      </c>
      <c r="C314" s="1490">
        <v>2</v>
      </c>
      <c r="D314" s="1490" t="s">
        <v>319</v>
      </c>
      <c r="E314" s="309" t="s">
        <v>702</v>
      </c>
      <c r="F314" s="399"/>
      <c r="G314" s="1491">
        <v>282.85675489515512</v>
      </c>
      <c r="H314" s="1491"/>
      <c r="I314" s="1542">
        <v>0</v>
      </c>
      <c r="J314" s="1491">
        <v>0</v>
      </c>
      <c r="K314" s="1542">
        <v>0</v>
      </c>
      <c r="L314" s="1491">
        <v>0</v>
      </c>
      <c r="M314" s="1492"/>
    </row>
    <row r="315" spans="1:13" ht="18" thickTop="1" thickBot="1" x14ac:dyDescent="0.35">
      <c r="A315" s="309" t="s">
        <v>273</v>
      </c>
      <c r="B315" s="1490">
        <v>2</v>
      </c>
      <c r="C315" s="1490">
        <v>2</v>
      </c>
      <c r="D315" s="1490" t="s">
        <v>319</v>
      </c>
      <c r="E315" s="309" t="s">
        <v>703</v>
      </c>
      <c r="F315" s="399"/>
      <c r="G315" s="1491">
        <v>502.23883739611824</v>
      </c>
      <c r="H315" s="1491"/>
      <c r="I315" s="1542">
        <v>0</v>
      </c>
      <c r="J315" s="1491">
        <v>0</v>
      </c>
      <c r="K315" s="1542">
        <v>0</v>
      </c>
      <c r="L315" s="1491">
        <v>0</v>
      </c>
      <c r="M315" s="1492"/>
    </row>
    <row r="316" spans="1:13" ht="18" thickTop="1" thickBot="1" x14ac:dyDescent="0.35">
      <c r="A316" s="309" t="s">
        <v>273</v>
      </c>
      <c r="B316" s="1490">
        <v>2</v>
      </c>
      <c r="C316" s="1490">
        <v>2</v>
      </c>
      <c r="D316" s="1490" t="s">
        <v>319</v>
      </c>
      <c r="E316" s="309" t="s">
        <v>704</v>
      </c>
      <c r="F316" s="399"/>
      <c r="G316" s="1491">
        <v>391.42949050960493</v>
      </c>
      <c r="H316" s="1491"/>
      <c r="I316" s="1542">
        <v>0</v>
      </c>
      <c r="J316" s="1491">
        <v>0</v>
      </c>
      <c r="K316" s="1542">
        <v>0</v>
      </c>
      <c r="L316" s="1491">
        <v>0</v>
      </c>
      <c r="M316" s="1492"/>
    </row>
    <row r="317" spans="1:13" ht="18" thickTop="1" thickBot="1" x14ac:dyDescent="0.35">
      <c r="A317" s="309" t="s">
        <v>273</v>
      </c>
      <c r="B317" s="1490">
        <v>2</v>
      </c>
      <c r="C317" s="1490">
        <v>2</v>
      </c>
      <c r="D317" s="1490" t="s">
        <v>319</v>
      </c>
      <c r="E317" s="309" t="s">
        <v>705</v>
      </c>
      <c r="F317" s="399"/>
      <c r="G317" s="1491">
        <v>345.33286678069516</v>
      </c>
      <c r="H317" s="1491"/>
      <c r="I317" s="1542">
        <v>0</v>
      </c>
      <c r="J317" s="1491">
        <v>0</v>
      </c>
      <c r="K317" s="1542">
        <v>0</v>
      </c>
      <c r="L317" s="1491">
        <v>0</v>
      </c>
      <c r="M317" s="1492"/>
    </row>
    <row r="318" spans="1:13" ht="18" thickTop="1" thickBot="1" x14ac:dyDescent="0.35">
      <c r="A318" s="309" t="s">
        <v>273</v>
      </c>
      <c r="B318" s="1490">
        <v>2</v>
      </c>
      <c r="C318" s="1490">
        <v>2</v>
      </c>
      <c r="D318" s="1490" t="s">
        <v>276</v>
      </c>
      <c r="E318" s="309" t="s">
        <v>706</v>
      </c>
      <c r="F318" s="399"/>
      <c r="G318" s="1491">
        <v>364.67450710634421</v>
      </c>
      <c r="H318" s="1491"/>
      <c r="I318" s="1542">
        <v>0</v>
      </c>
      <c r="J318" s="1491">
        <v>0</v>
      </c>
      <c r="K318" s="1542">
        <v>0</v>
      </c>
      <c r="L318" s="1491">
        <v>0</v>
      </c>
      <c r="M318" s="1492"/>
    </row>
    <row r="319" spans="1:13" ht="18" thickTop="1" thickBot="1" x14ac:dyDescent="0.35">
      <c r="A319" s="309" t="s">
        <v>273</v>
      </c>
      <c r="B319" s="1490">
        <v>2</v>
      </c>
      <c r="C319" s="1490">
        <v>2</v>
      </c>
      <c r="D319" s="1490" t="s">
        <v>319</v>
      </c>
      <c r="E319" s="309" t="s">
        <v>707</v>
      </c>
      <c r="F319" s="399"/>
      <c r="G319" s="1491">
        <v>1157.3676905627444</v>
      </c>
      <c r="H319" s="1491"/>
      <c r="I319" s="1542">
        <v>0</v>
      </c>
      <c r="J319" s="1491">
        <v>0</v>
      </c>
      <c r="K319" s="1542">
        <v>0</v>
      </c>
      <c r="L319" s="1491">
        <v>0</v>
      </c>
      <c r="M319" s="1492"/>
    </row>
    <row r="320" spans="1:13" ht="18" thickTop="1" thickBot="1" x14ac:dyDescent="0.35">
      <c r="A320" s="309" t="s">
        <v>273</v>
      </c>
      <c r="B320" s="1490">
        <v>2</v>
      </c>
      <c r="C320" s="1490">
        <v>2</v>
      </c>
      <c r="D320" s="1490" t="s">
        <v>319</v>
      </c>
      <c r="E320" s="309" t="s">
        <v>708</v>
      </c>
      <c r="F320" s="399"/>
      <c r="G320" s="1491">
        <v>562.48519770573228</v>
      </c>
      <c r="H320" s="1491"/>
      <c r="I320" s="1542">
        <v>0</v>
      </c>
      <c r="J320" s="1491">
        <v>0</v>
      </c>
      <c r="K320" s="1542">
        <v>0</v>
      </c>
      <c r="L320" s="1491">
        <v>0</v>
      </c>
      <c r="M320" s="1492"/>
    </row>
    <row r="321" spans="1:13" ht="18" thickTop="1" thickBot="1" x14ac:dyDescent="0.35">
      <c r="A321" s="309" t="s">
        <v>273</v>
      </c>
      <c r="B321" s="1490">
        <v>2</v>
      </c>
      <c r="C321" s="1490">
        <v>2</v>
      </c>
      <c r="D321" s="1490" t="s">
        <v>319</v>
      </c>
      <c r="E321" s="309" t="s">
        <v>709</v>
      </c>
      <c r="F321" s="399"/>
      <c r="G321" s="1491">
        <v>577.1534033510568</v>
      </c>
      <c r="H321" s="1491"/>
      <c r="I321" s="1542">
        <v>0</v>
      </c>
      <c r="J321" s="1491">
        <v>0</v>
      </c>
      <c r="K321" s="1542">
        <v>0</v>
      </c>
      <c r="L321" s="1491">
        <v>0</v>
      </c>
      <c r="M321" s="1492"/>
    </row>
    <row r="322" spans="1:13" ht="18" thickTop="1" thickBot="1" x14ac:dyDescent="0.35">
      <c r="A322" s="309" t="s">
        <v>273</v>
      </c>
      <c r="B322" s="1490">
        <v>2</v>
      </c>
      <c r="C322" s="1490">
        <v>2</v>
      </c>
      <c r="D322" s="1490" t="s">
        <v>319</v>
      </c>
      <c r="E322" s="309" t="s">
        <v>710</v>
      </c>
      <c r="F322" s="399"/>
      <c r="G322" s="1491">
        <v>1723.5603132275533</v>
      </c>
      <c r="H322" s="1491"/>
      <c r="I322" s="1542">
        <v>0</v>
      </c>
      <c r="J322" s="1491">
        <v>0</v>
      </c>
      <c r="K322" s="1542">
        <v>0</v>
      </c>
      <c r="L322" s="1491">
        <v>0</v>
      </c>
      <c r="M322" s="1492"/>
    </row>
    <row r="323" spans="1:13" ht="18" thickTop="1" thickBot="1" x14ac:dyDescent="0.35">
      <c r="A323" s="309" t="s">
        <v>273</v>
      </c>
      <c r="B323" s="1490">
        <v>2</v>
      </c>
      <c r="C323" s="1490">
        <v>2</v>
      </c>
      <c r="D323" s="1490" t="s">
        <v>319</v>
      </c>
      <c r="E323" s="309" t="s">
        <v>711</v>
      </c>
      <c r="F323" s="399"/>
      <c r="G323" s="1491">
        <v>2463.0114804850773</v>
      </c>
      <c r="H323" s="1491"/>
      <c r="I323" s="1542">
        <v>0</v>
      </c>
      <c r="J323" s="1491">
        <v>0</v>
      </c>
      <c r="K323" s="1542">
        <v>0</v>
      </c>
      <c r="L323" s="1491">
        <v>0</v>
      </c>
      <c r="M323" s="1492"/>
    </row>
    <row r="324" spans="1:13" ht="18" thickTop="1" thickBot="1" x14ac:dyDescent="0.35">
      <c r="A324" s="309" t="s">
        <v>273</v>
      </c>
      <c r="B324" s="1490">
        <v>2</v>
      </c>
      <c r="C324" s="1490">
        <v>2</v>
      </c>
      <c r="D324" s="1490" t="s">
        <v>284</v>
      </c>
      <c r="E324" s="309" t="s">
        <v>712</v>
      </c>
      <c r="F324" s="399"/>
      <c r="G324" s="1491">
        <v>317.07915058744555</v>
      </c>
      <c r="H324" s="1491"/>
      <c r="I324" s="1542">
        <v>0</v>
      </c>
      <c r="J324" s="1491">
        <v>0</v>
      </c>
      <c r="K324" s="1542">
        <v>0</v>
      </c>
      <c r="L324" s="1491">
        <v>0</v>
      </c>
      <c r="M324" s="1492"/>
    </row>
    <row r="325" spans="1:13" ht="18" thickTop="1" thickBot="1" x14ac:dyDescent="0.35">
      <c r="A325" s="309" t="s">
        <v>273</v>
      </c>
      <c r="B325" s="1490">
        <v>2</v>
      </c>
      <c r="C325" s="1490">
        <v>2</v>
      </c>
      <c r="D325" s="1490" t="s">
        <v>319</v>
      </c>
      <c r="E325" s="309" t="s">
        <v>713</v>
      </c>
      <c r="F325" s="399"/>
      <c r="G325" s="1491">
        <v>1238.9309152234941</v>
      </c>
      <c r="H325" s="1491"/>
      <c r="I325" s="1542">
        <v>0</v>
      </c>
      <c r="J325" s="1491">
        <v>0</v>
      </c>
      <c r="K325" s="1542">
        <v>0</v>
      </c>
      <c r="L325" s="1491">
        <v>0</v>
      </c>
      <c r="M325" s="1492"/>
    </row>
    <row r="326" spans="1:13" ht="18" thickTop="1" thickBot="1" x14ac:dyDescent="0.35">
      <c r="A326" s="309" t="s">
        <v>273</v>
      </c>
      <c r="B326" s="1490">
        <v>2</v>
      </c>
      <c r="C326" s="1490">
        <v>2</v>
      </c>
      <c r="D326" s="1490" t="s">
        <v>319</v>
      </c>
      <c r="E326" s="309" t="s">
        <v>714</v>
      </c>
      <c r="F326" s="399"/>
      <c r="G326" s="1491">
        <v>1386.1868451944097</v>
      </c>
      <c r="H326" s="1491"/>
      <c r="I326" s="1542">
        <v>0</v>
      </c>
      <c r="J326" s="1491">
        <v>0</v>
      </c>
      <c r="K326" s="1542">
        <v>0</v>
      </c>
      <c r="L326" s="1491">
        <v>0</v>
      </c>
      <c r="M326" s="1492"/>
    </row>
    <row r="327" spans="1:13" ht="18" thickTop="1" thickBot="1" x14ac:dyDescent="0.35">
      <c r="A327" s="309" t="s">
        <v>273</v>
      </c>
      <c r="B327" s="1490">
        <v>2</v>
      </c>
      <c r="C327" s="1490">
        <v>2</v>
      </c>
      <c r="D327" s="1490" t="s">
        <v>319</v>
      </c>
      <c r="E327" s="309" t="s">
        <v>715</v>
      </c>
      <c r="F327" s="399"/>
      <c r="G327" s="1491">
        <v>2539.124332425602</v>
      </c>
      <c r="H327" s="1491"/>
      <c r="I327" s="1542">
        <v>0</v>
      </c>
      <c r="J327" s="1491">
        <v>0</v>
      </c>
      <c r="K327" s="1542">
        <v>0</v>
      </c>
      <c r="L327" s="1491">
        <v>0</v>
      </c>
      <c r="M327" s="1492"/>
    </row>
    <row r="328" spans="1:13" ht="18" thickTop="1" thickBot="1" x14ac:dyDescent="0.35">
      <c r="A328" s="309" t="s">
        <v>273</v>
      </c>
      <c r="B328" s="1490">
        <v>2</v>
      </c>
      <c r="C328" s="1490">
        <v>2</v>
      </c>
      <c r="D328" s="1490" t="s">
        <v>319</v>
      </c>
      <c r="E328" s="309" t="s">
        <v>716</v>
      </c>
      <c r="F328" s="399"/>
      <c r="G328" s="1491">
        <v>3194.1150889918431</v>
      </c>
      <c r="H328" s="1491"/>
      <c r="I328" s="1542">
        <v>0</v>
      </c>
      <c r="J328" s="1491">
        <v>0</v>
      </c>
      <c r="K328" s="1542">
        <v>0</v>
      </c>
      <c r="L328" s="1491">
        <v>0</v>
      </c>
      <c r="M328" s="1492"/>
    </row>
    <row r="329" spans="1:13" ht="18" thickTop="1" thickBot="1" x14ac:dyDescent="0.35">
      <c r="A329" s="309" t="s">
        <v>273</v>
      </c>
      <c r="B329" s="1490">
        <v>2</v>
      </c>
      <c r="C329" s="1490">
        <v>2</v>
      </c>
      <c r="D329" s="1490" t="s">
        <v>319</v>
      </c>
      <c r="E329" s="309" t="s">
        <v>717</v>
      </c>
      <c r="F329" s="399"/>
      <c r="G329" s="1491">
        <v>1539.8915067753906</v>
      </c>
      <c r="H329" s="1491"/>
      <c r="I329" s="1542">
        <v>0</v>
      </c>
      <c r="J329" s="1491">
        <v>0</v>
      </c>
      <c r="K329" s="1542">
        <v>0</v>
      </c>
      <c r="L329" s="1491">
        <v>0</v>
      </c>
      <c r="M329" s="1492"/>
    </row>
    <row r="330" spans="1:13" ht="18" thickTop="1" thickBot="1" x14ac:dyDescent="0.35">
      <c r="A330" s="309" t="s">
        <v>273</v>
      </c>
      <c r="B330" s="1490">
        <v>2</v>
      </c>
      <c r="C330" s="1490">
        <v>2</v>
      </c>
      <c r="D330" s="1490" t="s">
        <v>319</v>
      </c>
      <c r="E330" s="309" t="s">
        <v>718</v>
      </c>
      <c r="F330" s="399"/>
      <c r="G330" s="1491">
        <v>565.45058865555802</v>
      </c>
      <c r="H330" s="1491"/>
      <c r="I330" s="1542">
        <v>0</v>
      </c>
      <c r="J330" s="1491">
        <v>0</v>
      </c>
      <c r="K330" s="1542">
        <v>0</v>
      </c>
      <c r="L330" s="1491">
        <v>0</v>
      </c>
      <c r="M330" s="1492"/>
    </row>
    <row r="331" spans="1:13" ht="18" thickTop="1" thickBot="1" x14ac:dyDescent="0.35">
      <c r="A331" s="309" t="s">
        <v>273</v>
      </c>
      <c r="B331" s="1490">
        <v>2</v>
      </c>
      <c r="C331" s="1490">
        <v>2</v>
      </c>
      <c r="D331" s="1490" t="s">
        <v>319</v>
      </c>
      <c r="E331" s="309" t="s">
        <v>719</v>
      </c>
      <c r="F331" s="399"/>
      <c r="G331" s="1491">
        <v>697.52957591289146</v>
      </c>
      <c r="H331" s="1491"/>
      <c r="I331" s="1542">
        <v>0</v>
      </c>
      <c r="J331" s="1491">
        <v>0</v>
      </c>
      <c r="K331" s="1542">
        <v>0</v>
      </c>
      <c r="L331" s="1491">
        <v>0</v>
      </c>
      <c r="M331" s="1492"/>
    </row>
    <row r="332" spans="1:13" ht="18" thickTop="1" thickBot="1" x14ac:dyDescent="0.35">
      <c r="A332" s="309" t="s">
        <v>273</v>
      </c>
      <c r="B332" s="1490">
        <v>2</v>
      </c>
      <c r="C332" s="1490">
        <v>2</v>
      </c>
      <c r="D332" s="1490" t="s">
        <v>319</v>
      </c>
      <c r="E332" s="309" t="s">
        <v>720</v>
      </c>
      <c r="F332" s="399"/>
      <c r="G332" s="1491">
        <v>638.30394714680858</v>
      </c>
      <c r="H332" s="1491"/>
      <c r="I332" s="1542">
        <v>0</v>
      </c>
      <c r="J332" s="1491">
        <v>0</v>
      </c>
      <c r="K332" s="1542">
        <v>0</v>
      </c>
      <c r="L332" s="1491">
        <v>0</v>
      </c>
      <c r="M332" s="1492"/>
    </row>
    <row r="333" spans="1:13" ht="18" thickTop="1" thickBot="1" x14ac:dyDescent="0.35">
      <c r="A333" s="309" t="s">
        <v>273</v>
      </c>
      <c r="B333" s="1490">
        <v>2</v>
      </c>
      <c r="C333" s="1490">
        <v>2</v>
      </c>
      <c r="D333" s="1490" t="s">
        <v>319</v>
      </c>
      <c r="E333" s="309" t="s">
        <v>721</v>
      </c>
      <c r="F333" s="399"/>
      <c r="G333" s="1491">
        <v>452.17838446800033</v>
      </c>
      <c r="H333" s="1491"/>
      <c r="I333" s="1542">
        <v>0</v>
      </c>
      <c r="J333" s="1491">
        <v>0</v>
      </c>
      <c r="K333" s="1542">
        <v>0</v>
      </c>
      <c r="L333" s="1491">
        <v>0</v>
      </c>
      <c r="M333" s="1492"/>
    </row>
    <row r="334" spans="1:13" ht="18" thickTop="1" thickBot="1" x14ac:dyDescent="0.35">
      <c r="A334" s="309" t="s">
        <v>273</v>
      </c>
      <c r="B334" s="1490">
        <v>2</v>
      </c>
      <c r="C334" s="1490">
        <v>2</v>
      </c>
      <c r="D334" s="1490" t="s">
        <v>286</v>
      </c>
      <c r="E334" s="309" t="s">
        <v>722</v>
      </c>
      <c r="F334" s="399"/>
      <c r="G334" s="1491">
        <v>1.016159552142015</v>
      </c>
      <c r="H334" s="1491"/>
      <c r="I334" s="1542">
        <v>0</v>
      </c>
      <c r="J334" s="1491">
        <v>0</v>
      </c>
      <c r="K334" s="1542">
        <v>0</v>
      </c>
      <c r="L334" s="1491">
        <v>0</v>
      </c>
      <c r="M334" s="1492"/>
    </row>
    <row r="335" spans="1:13" ht="18" thickTop="1" thickBot="1" x14ac:dyDescent="0.35">
      <c r="A335" s="309" t="s">
        <v>273</v>
      </c>
      <c r="B335" s="1490">
        <v>2</v>
      </c>
      <c r="C335" s="1490">
        <v>2</v>
      </c>
      <c r="D335" s="1490" t="s">
        <v>319</v>
      </c>
      <c r="E335" s="309" t="s">
        <v>723</v>
      </c>
      <c r="F335" s="399"/>
      <c r="G335" s="1491">
        <v>411.86030260258718</v>
      </c>
      <c r="H335" s="1491"/>
      <c r="I335" s="1542">
        <v>0</v>
      </c>
      <c r="J335" s="1491">
        <v>0</v>
      </c>
      <c r="K335" s="1542">
        <v>0</v>
      </c>
      <c r="L335" s="1491">
        <v>0</v>
      </c>
      <c r="M335" s="1492"/>
    </row>
    <row r="336" spans="1:13" ht="18" thickTop="1" thickBot="1" x14ac:dyDescent="0.35">
      <c r="A336" s="309" t="s">
        <v>273</v>
      </c>
      <c r="B336" s="1490">
        <v>2</v>
      </c>
      <c r="C336" s="1490">
        <v>2</v>
      </c>
      <c r="D336" s="1490" t="s">
        <v>319</v>
      </c>
      <c r="E336" s="309" t="s">
        <v>724</v>
      </c>
      <c r="F336" s="399"/>
      <c r="G336" s="1491">
        <v>396.14849292372492</v>
      </c>
      <c r="H336" s="1491"/>
      <c r="I336" s="1542">
        <v>0</v>
      </c>
      <c r="J336" s="1491">
        <v>0</v>
      </c>
      <c r="K336" s="1542">
        <v>0</v>
      </c>
      <c r="L336" s="1491">
        <v>0</v>
      </c>
      <c r="M336" s="1492"/>
    </row>
    <row r="337" spans="1:13" ht="18" thickTop="1" thickBot="1" x14ac:dyDescent="0.35">
      <c r="A337" s="309" t="s">
        <v>273</v>
      </c>
      <c r="B337" s="1490">
        <v>2</v>
      </c>
      <c r="C337" s="1490">
        <v>2</v>
      </c>
      <c r="D337" s="1490" t="s">
        <v>290</v>
      </c>
      <c r="E337" s="309" t="s">
        <v>725</v>
      </c>
      <c r="F337" s="399"/>
      <c r="G337" s="1491">
        <v>404.88660474932152</v>
      </c>
      <c r="H337" s="1491"/>
      <c r="I337" s="1542">
        <v>0</v>
      </c>
      <c r="J337" s="1491">
        <v>0</v>
      </c>
      <c r="K337" s="1542">
        <v>0</v>
      </c>
      <c r="L337" s="1491">
        <v>0</v>
      </c>
      <c r="M337" s="1492"/>
    </row>
    <row r="338" spans="1:13" ht="18" thickTop="1" thickBot="1" x14ac:dyDescent="0.35">
      <c r="A338" s="309" t="s">
        <v>273</v>
      </c>
      <c r="B338" s="1490">
        <v>2</v>
      </c>
      <c r="C338" s="1490">
        <v>2</v>
      </c>
      <c r="D338" s="1490" t="s">
        <v>319</v>
      </c>
      <c r="E338" s="309" t="s">
        <v>726</v>
      </c>
      <c r="F338" s="399"/>
      <c r="G338" s="1491">
        <v>938.59107906159556</v>
      </c>
      <c r="H338" s="1491"/>
      <c r="I338" s="1542">
        <v>0</v>
      </c>
      <c r="J338" s="1491">
        <v>0</v>
      </c>
      <c r="K338" s="1542">
        <v>0</v>
      </c>
      <c r="L338" s="1491">
        <v>0</v>
      </c>
      <c r="M338" s="1492"/>
    </row>
    <row r="339" spans="1:13" ht="18" thickTop="1" thickBot="1" x14ac:dyDescent="0.35">
      <c r="A339" s="309" t="s">
        <v>273</v>
      </c>
      <c r="B339" s="1490">
        <v>2</v>
      </c>
      <c r="C339" s="1490">
        <v>2</v>
      </c>
      <c r="D339" s="1490" t="s">
        <v>319</v>
      </c>
      <c r="E339" s="309" t="s">
        <v>727</v>
      </c>
      <c r="F339" s="399"/>
      <c r="G339" s="1491">
        <v>495.33382141200156</v>
      </c>
      <c r="H339" s="1491"/>
      <c r="I339" s="1542">
        <v>0</v>
      </c>
      <c r="J339" s="1491">
        <v>0</v>
      </c>
      <c r="K339" s="1542">
        <v>0</v>
      </c>
      <c r="L339" s="1491">
        <v>0</v>
      </c>
      <c r="M339" s="1492"/>
    </row>
    <row r="340" spans="1:13" ht="18" thickTop="1" thickBot="1" x14ac:dyDescent="0.35">
      <c r="A340" s="309" t="s">
        <v>273</v>
      </c>
      <c r="B340" s="1490">
        <v>2</v>
      </c>
      <c r="C340" s="1490">
        <v>2</v>
      </c>
      <c r="D340" s="1490" t="s">
        <v>319</v>
      </c>
      <c r="E340" s="309" t="s">
        <v>728</v>
      </c>
      <c r="F340" s="399"/>
      <c r="G340" s="1491">
        <v>490.88870482740003</v>
      </c>
      <c r="H340" s="1491"/>
      <c r="I340" s="1542">
        <v>0</v>
      </c>
      <c r="J340" s="1491">
        <v>0</v>
      </c>
      <c r="K340" s="1542">
        <v>0</v>
      </c>
      <c r="L340" s="1491">
        <v>0</v>
      </c>
      <c r="M340" s="1492"/>
    </row>
    <row r="341" spans="1:13" ht="18" thickTop="1" thickBot="1" x14ac:dyDescent="0.35">
      <c r="A341" s="309" t="s">
        <v>273</v>
      </c>
      <c r="B341" s="1490">
        <v>2</v>
      </c>
      <c r="C341" s="1490">
        <v>2</v>
      </c>
      <c r="D341" s="1490" t="s">
        <v>319</v>
      </c>
      <c r="E341" s="309" t="s">
        <v>729</v>
      </c>
      <c r="F341" s="399"/>
      <c r="G341" s="1491">
        <v>247.11480429205847</v>
      </c>
      <c r="H341" s="1491"/>
      <c r="I341" s="1542">
        <v>0</v>
      </c>
      <c r="J341" s="1491">
        <v>0</v>
      </c>
      <c r="K341" s="1542">
        <v>0</v>
      </c>
      <c r="L341" s="1491">
        <v>0</v>
      </c>
      <c r="M341" s="1492"/>
    </row>
    <row r="342" spans="1:13" ht="18" thickTop="1" thickBot="1" x14ac:dyDescent="0.35">
      <c r="A342" s="309" t="s">
        <v>273</v>
      </c>
      <c r="B342" s="1490">
        <v>2</v>
      </c>
      <c r="C342" s="1490">
        <v>2</v>
      </c>
      <c r="D342" s="1490" t="s">
        <v>319</v>
      </c>
      <c r="E342" s="309" t="s">
        <v>730</v>
      </c>
      <c r="F342" s="399"/>
      <c r="G342" s="1491">
        <v>630.89348924924832</v>
      </c>
      <c r="H342" s="1491"/>
      <c r="I342" s="1542">
        <v>0</v>
      </c>
      <c r="J342" s="1491">
        <v>0</v>
      </c>
      <c r="K342" s="1542">
        <v>0</v>
      </c>
      <c r="L342" s="1491">
        <v>0</v>
      </c>
      <c r="M342" s="1492"/>
    </row>
    <row r="343" spans="1:13" ht="18" thickTop="1" thickBot="1" x14ac:dyDescent="0.35">
      <c r="A343" s="309" t="s">
        <v>273</v>
      </c>
      <c r="B343" s="1490">
        <v>2</v>
      </c>
      <c r="C343" s="1490">
        <v>2</v>
      </c>
      <c r="D343" s="1490" t="s">
        <v>319</v>
      </c>
      <c r="E343" s="309" t="s">
        <v>731</v>
      </c>
      <c r="F343" s="399"/>
      <c r="G343" s="1491">
        <v>1368.5511060897777</v>
      </c>
      <c r="H343" s="1491"/>
      <c r="I343" s="1542">
        <v>0</v>
      </c>
      <c r="J343" s="1491">
        <v>0</v>
      </c>
      <c r="K343" s="1542">
        <v>0</v>
      </c>
      <c r="L343" s="1491">
        <v>0</v>
      </c>
      <c r="M343" s="1492"/>
    </row>
    <row r="344" spans="1:13" ht="18" thickTop="1" thickBot="1" x14ac:dyDescent="0.35">
      <c r="A344" s="309" t="s">
        <v>273</v>
      </c>
      <c r="B344" s="1490">
        <v>2</v>
      </c>
      <c r="C344" s="1490">
        <v>2</v>
      </c>
      <c r="D344" s="1490" t="s">
        <v>319</v>
      </c>
      <c r="E344" s="309" t="s">
        <v>732</v>
      </c>
      <c r="F344" s="399"/>
      <c r="G344" s="1491">
        <v>1182.5979129305413</v>
      </c>
      <c r="H344" s="1491"/>
      <c r="I344" s="1542">
        <v>0</v>
      </c>
      <c r="J344" s="1491">
        <v>0</v>
      </c>
      <c r="K344" s="1542">
        <v>0</v>
      </c>
      <c r="L344" s="1491">
        <v>0</v>
      </c>
      <c r="M344" s="1492"/>
    </row>
    <row r="345" spans="1:13" ht="18" thickTop="1" thickBot="1" x14ac:dyDescent="0.35">
      <c r="A345" s="309" t="s">
        <v>273</v>
      </c>
      <c r="B345" s="1490">
        <v>2</v>
      </c>
      <c r="C345" s="1490">
        <v>2</v>
      </c>
      <c r="D345" s="1490" t="s">
        <v>319</v>
      </c>
      <c r="E345" s="309" t="s">
        <v>733</v>
      </c>
      <c r="F345" s="399"/>
      <c r="G345" s="1491">
        <v>394.38327039556123</v>
      </c>
      <c r="H345" s="1491"/>
      <c r="I345" s="1542">
        <v>0</v>
      </c>
      <c r="J345" s="1491">
        <v>0</v>
      </c>
      <c r="K345" s="1542">
        <v>0</v>
      </c>
      <c r="L345" s="1491">
        <v>0</v>
      </c>
      <c r="M345" s="1492"/>
    </row>
    <row r="346" spans="1:13" ht="18" thickTop="1" thickBot="1" x14ac:dyDescent="0.35">
      <c r="A346" s="309" t="s">
        <v>273</v>
      </c>
      <c r="B346" s="1490">
        <v>2</v>
      </c>
      <c r="C346" s="1490">
        <v>2</v>
      </c>
      <c r="D346" s="1490" t="s">
        <v>319</v>
      </c>
      <c r="E346" s="309" t="s">
        <v>734</v>
      </c>
      <c r="F346" s="399"/>
      <c r="G346" s="1491">
        <v>837.35547580298373</v>
      </c>
      <c r="H346" s="1491"/>
      <c r="I346" s="1542">
        <v>0</v>
      </c>
      <c r="J346" s="1491">
        <v>0</v>
      </c>
      <c r="K346" s="1542">
        <v>0</v>
      </c>
      <c r="L346" s="1491">
        <v>0</v>
      </c>
      <c r="M346" s="1492"/>
    </row>
    <row r="347" spans="1:13" ht="18" thickTop="1" thickBot="1" x14ac:dyDescent="0.35">
      <c r="A347" s="309" t="s">
        <v>273</v>
      </c>
      <c r="B347" s="1490">
        <v>2</v>
      </c>
      <c r="C347" s="1490">
        <v>2</v>
      </c>
      <c r="D347" s="1490" t="s">
        <v>319</v>
      </c>
      <c r="E347" s="309" t="s">
        <v>735</v>
      </c>
      <c r="F347" s="399"/>
      <c r="G347" s="1491">
        <v>551.29316450314525</v>
      </c>
      <c r="H347" s="1491"/>
      <c r="I347" s="1542">
        <v>0</v>
      </c>
      <c r="J347" s="1491">
        <v>0</v>
      </c>
      <c r="K347" s="1542">
        <v>0</v>
      </c>
      <c r="L347" s="1491">
        <v>0</v>
      </c>
      <c r="M347" s="1492"/>
    </row>
    <row r="348" spans="1:13" ht="18" thickTop="1" thickBot="1" x14ac:dyDescent="0.35">
      <c r="A348" s="309" t="s">
        <v>273</v>
      </c>
      <c r="B348" s="1490">
        <v>2</v>
      </c>
      <c r="C348" s="1490">
        <v>2</v>
      </c>
      <c r="D348" s="1490" t="s">
        <v>319</v>
      </c>
      <c r="E348" s="309" t="s">
        <v>736</v>
      </c>
      <c r="F348" s="399"/>
      <c r="G348" s="1491">
        <v>245.47986149893535</v>
      </c>
      <c r="H348" s="1491"/>
      <c r="I348" s="1542">
        <v>0</v>
      </c>
      <c r="J348" s="1491">
        <v>0</v>
      </c>
      <c r="K348" s="1542">
        <v>0</v>
      </c>
      <c r="L348" s="1491">
        <v>0</v>
      </c>
      <c r="M348" s="1492"/>
    </row>
    <row r="349" spans="1:13" ht="18" thickTop="1" thickBot="1" x14ac:dyDescent="0.35">
      <c r="A349" s="309" t="s">
        <v>273</v>
      </c>
      <c r="B349" s="1490">
        <v>2</v>
      </c>
      <c r="C349" s="1490">
        <v>2</v>
      </c>
      <c r="D349" s="1490" t="s">
        <v>319</v>
      </c>
      <c r="E349" s="309" t="s">
        <v>737</v>
      </c>
      <c r="F349" s="399"/>
      <c r="G349" s="1491">
        <v>673.14347909712683</v>
      </c>
      <c r="H349" s="1491"/>
      <c r="I349" s="1542">
        <v>0</v>
      </c>
      <c r="J349" s="1491">
        <v>0</v>
      </c>
      <c r="K349" s="1542">
        <v>0</v>
      </c>
      <c r="L349" s="1491">
        <v>0</v>
      </c>
      <c r="M349" s="1492"/>
    </row>
    <row r="350" spans="1:13" ht="18" thickTop="1" thickBot="1" x14ac:dyDescent="0.35">
      <c r="A350" s="309" t="s">
        <v>273</v>
      </c>
      <c r="B350" s="1490">
        <v>2</v>
      </c>
      <c r="C350" s="1490">
        <v>2</v>
      </c>
      <c r="D350" s="1490" t="s">
        <v>319</v>
      </c>
      <c r="E350" s="309" t="s">
        <v>738</v>
      </c>
      <c r="F350" s="399"/>
      <c r="G350" s="1491">
        <v>384.20084244946315</v>
      </c>
      <c r="H350" s="1491"/>
      <c r="I350" s="1542">
        <v>0</v>
      </c>
      <c r="J350" s="1491">
        <v>0</v>
      </c>
      <c r="K350" s="1542">
        <v>0</v>
      </c>
      <c r="L350" s="1491">
        <v>0</v>
      </c>
      <c r="M350" s="1492"/>
    </row>
    <row r="351" spans="1:13" ht="18" thickTop="1" thickBot="1" x14ac:dyDescent="0.35">
      <c r="A351" s="309" t="s">
        <v>273</v>
      </c>
      <c r="B351" s="1490">
        <v>2</v>
      </c>
      <c r="C351" s="1490">
        <v>2</v>
      </c>
      <c r="D351" s="1490" t="s">
        <v>319</v>
      </c>
      <c r="E351" s="309" t="s">
        <v>739</v>
      </c>
      <c r="F351" s="399"/>
      <c r="G351" s="1491">
        <v>454.61354003789779</v>
      </c>
      <c r="H351" s="1491"/>
      <c r="I351" s="1542">
        <v>0</v>
      </c>
      <c r="J351" s="1491">
        <v>0</v>
      </c>
      <c r="K351" s="1542">
        <v>0</v>
      </c>
      <c r="L351" s="1491">
        <v>0</v>
      </c>
      <c r="M351" s="1492"/>
    </row>
    <row r="352" spans="1:13" ht="18" thickTop="1" thickBot="1" x14ac:dyDescent="0.35">
      <c r="A352" s="309" t="s">
        <v>273</v>
      </c>
      <c r="B352" s="1490">
        <v>2</v>
      </c>
      <c r="C352" s="1490">
        <v>2</v>
      </c>
      <c r="D352" s="1490" t="s">
        <v>319</v>
      </c>
      <c r="E352" s="309" t="s">
        <v>740</v>
      </c>
      <c r="F352" s="399"/>
      <c r="G352" s="1491">
        <v>584.48453142934079</v>
      </c>
      <c r="H352" s="1491"/>
      <c r="I352" s="1542">
        <v>0</v>
      </c>
      <c r="J352" s="1491">
        <v>0</v>
      </c>
      <c r="K352" s="1542">
        <v>0</v>
      </c>
      <c r="L352" s="1491">
        <v>0</v>
      </c>
      <c r="M352" s="1492"/>
    </row>
    <row r="353" spans="1:13" ht="18" thickTop="1" thickBot="1" x14ac:dyDescent="0.35">
      <c r="A353" s="309" t="s">
        <v>273</v>
      </c>
      <c r="B353" s="1490">
        <v>2</v>
      </c>
      <c r="C353" s="1490">
        <v>2</v>
      </c>
      <c r="D353" s="1490" t="s">
        <v>319</v>
      </c>
      <c r="E353" s="309" t="s">
        <v>741</v>
      </c>
      <c r="F353" s="399"/>
      <c r="G353" s="1491">
        <v>598.77660157773516</v>
      </c>
      <c r="H353" s="1491"/>
      <c r="I353" s="1542">
        <v>0</v>
      </c>
      <c r="J353" s="1491">
        <v>0</v>
      </c>
      <c r="K353" s="1542">
        <v>0</v>
      </c>
      <c r="L353" s="1491">
        <v>0</v>
      </c>
      <c r="M353" s="1492"/>
    </row>
    <row r="354" spans="1:13" ht="18" thickTop="1" thickBot="1" x14ac:dyDescent="0.35">
      <c r="A354" s="309" t="s">
        <v>273</v>
      </c>
      <c r="B354" s="1490">
        <v>2</v>
      </c>
      <c r="C354" s="1490">
        <v>2</v>
      </c>
      <c r="D354" s="1490" t="s">
        <v>319</v>
      </c>
      <c r="E354" s="309" t="s">
        <v>742</v>
      </c>
      <c r="F354" s="399"/>
      <c r="G354" s="1491">
        <v>17.713480742313344</v>
      </c>
      <c r="H354" s="1491"/>
      <c r="I354" s="1542">
        <v>0</v>
      </c>
      <c r="J354" s="1491">
        <v>0</v>
      </c>
      <c r="K354" s="1542">
        <v>0</v>
      </c>
      <c r="L354" s="1491">
        <v>0</v>
      </c>
      <c r="M354" s="1492"/>
    </row>
    <row r="355" spans="1:13" ht="18" thickTop="1" thickBot="1" x14ac:dyDescent="0.35">
      <c r="A355" s="309" t="s">
        <v>273</v>
      </c>
      <c r="B355" s="1490">
        <v>2</v>
      </c>
      <c r="C355" s="1490">
        <v>2</v>
      </c>
      <c r="D355" s="1490" t="s">
        <v>319</v>
      </c>
      <c r="E355" s="309" t="s">
        <v>743</v>
      </c>
      <c r="F355" s="399"/>
      <c r="G355" s="1491">
        <v>49.347084853587518</v>
      </c>
      <c r="H355" s="1491"/>
      <c r="I355" s="1542">
        <v>0</v>
      </c>
      <c r="J355" s="1491">
        <v>0</v>
      </c>
      <c r="K355" s="1542">
        <v>0</v>
      </c>
      <c r="L355" s="1491">
        <v>0</v>
      </c>
      <c r="M355" s="1492"/>
    </row>
    <row r="356" spans="1:13" ht="18" thickTop="1" thickBot="1" x14ac:dyDescent="0.35">
      <c r="A356" s="309" t="s">
        <v>273</v>
      </c>
      <c r="B356" s="1490">
        <v>2</v>
      </c>
      <c r="C356" s="1490">
        <v>2</v>
      </c>
      <c r="D356" s="1490" t="s">
        <v>319</v>
      </c>
      <c r="E356" s="309" t="s">
        <v>744</v>
      </c>
      <c r="F356" s="399"/>
      <c r="G356" s="1491">
        <v>1429.6171491134271</v>
      </c>
      <c r="H356" s="1491"/>
      <c r="I356" s="1542">
        <v>0</v>
      </c>
      <c r="J356" s="1491">
        <v>0</v>
      </c>
      <c r="K356" s="1542">
        <v>0</v>
      </c>
      <c r="L356" s="1491">
        <v>0</v>
      </c>
      <c r="M356" s="1492"/>
    </row>
    <row r="357" spans="1:13" ht="18" thickTop="1" thickBot="1" x14ac:dyDescent="0.35">
      <c r="A357" s="309" t="s">
        <v>273</v>
      </c>
      <c r="B357" s="1490">
        <v>2</v>
      </c>
      <c r="C357" s="1490">
        <v>2</v>
      </c>
      <c r="D357" s="1490" t="s">
        <v>319</v>
      </c>
      <c r="E357" s="309" t="s">
        <v>745</v>
      </c>
      <c r="F357" s="399"/>
      <c r="G357" s="1491">
        <v>106.70318857801615</v>
      </c>
      <c r="H357" s="1491"/>
      <c r="I357" s="1542">
        <v>0</v>
      </c>
      <c r="J357" s="1491">
        <v>0</v>
      </c>
      <c r="K357" s="1542">
        <v>0</v>
      </c>
      <c r="L357" s="1491">
        <v>0</v>
      </c>
      <c r="M357" s="1492"/>
    </row>
    <row r="358" spans="1:13" ht="18" thickTop="1" thickBot="1" x14ac:dyDescent="0.35">
      <c r="A358" s="309" t="s">
        <v>273</v>
      </c>
      <c r="B358" s="1490">
        <v>2</v>
      </c>
      <c r="C358" s="1490">
        <v>2</v>
      </c>
      <c r="D358" s="1490" t="s">
        <v>319</v>
      </c>
      <c r="E358" s="309" t="s">
        <v>746</v>
      </c>
      <c r="F358" s="399"/>
      <c r="G358" s="1491">
        <v>557.05357781369844</v>
      </c>
      <c r="H358" s="1491"/>
      <c r="I358" s="1542">
        <v>0</v>
      </c>
      <c r="J358" s="1491">
        <v>0</v>
      </c>
      <c r="K358" s="1542">
        <v>0</v>
      </c>
      <c r="L358" s="1491">
        <v>0</v>
      </c>
      <c r="M358" s="1492"/>
    </row>
    <row r="359" spans="1:13" ht="18" thickTop="1" thickBot="1" x14ac:dyDescent="0.35">
      <c r="A359" s="309" t="s">
        <v>273</v>
      </c>
      <c r="B359" s="1490">
        <v>2</v>
      </c>
      <c r="C359" s="1490">
        <v>2</v>
      </c>
      <c r="D359" s="1490" t="s">
        <v>319</v>
      </c>
      <c r="E359" s="309" t="s">
        <v>747</v>
      </c>
      <c r="F359" s="399"/>
      <c r="G359" s="1491">
        <v>17.126389551120674</v>
      </c>
      <c r="H359" s="1491"/>
      <c r="I359" s="1542">
        <v>0</v>
      </c>
      <c r="J359" s="1491">
        <v>0</v>
      </c>
      <c r="K359" s="1542">
        <v>0</v>
      </c>
      <c r="L359" s="1491">
        <v>0</v>
      </c>
      <c r="M359" s="1492"/>
    </row>
    <row r="360" spans="1:13" ht="18" thickTop="1" thickBot="1" x14ac:dyDescent="0.35">
      <c r="A360" s="309" t="s">
        <v>273</v>
      </c>
      <c r="B360" s="1490">
        <v>2</v>
      </c>
      <c r="C360" s="1490">
        <v>2</v>
      </c>
      <c r="D360" s="1490" t="s">
        <v>276</v>
      </c>
      <c r="E360" s="309" t="s">
        <v>748</v>
      </c>
      <c r="F360" s="399"/>
      <c r="G360" s="1491">
        <v>339.38786624690624</v>
      </c>
      <c r="H360" s="1491"/>
      <c r="I360" s="1542">
        <v>0</v>
      </c>
      <c r="J360" s="1491">
        <v>0</v>
      </c>
      <c r="K360" s="1542">
        <v>0</v>
      </c>
      <c r="L360" s="1491">
        <v>0</v>
      </c>
      <c r="M360" s="1492"/>
    </row>
    <row r="361" spans="1:13" ht="18" thickTop="1" thickBot="1" x14ac:dyDescent="0.35">
      <c r="A361" s="309" t="s">
        <v>273</v>
      </c>
      <c r="B361" s="1490">
        <v>2</v>
      </c>
      <c r="C361" s="1490">
        <v>2</v>
      </c>
      <c r="D361" s="1490" t="s">
        <v>290</v>
      </c>
      <c r="E361" s="309" t="s">
        <v>749</v>
      </c>
      <c r="F361" s="399"/>
      <c r="G361" s="1491">
        <v>573.82576650842748</v>
      </c>
      <c r="H361" s="1491"/>
      <c r="I361" s="1542">
        <v>0</v>
      </c>
      <c r="J361" s="1491">
        <v>0</v>
      </c>
      <c r="K361" s="1542">
        <v>0</v>
      </c>
      <c r="L361" s="1491">
        <v>0</v>
      </c>
      <c r="M361" s="1492"/>
    </row>
    <row r="362" spans="1:13" ht="18" thickTop="1" thickBot="1" x14ac:dyDescent="0.35">
      <c r="A362" s="309" t="s">
        <v>273</v>
      </c>
      <c r="B362" s="1490">
        <v>2</v>
      </c>
      <c r="C362" s="1490">
        <v>2</v>
      </c>
      <c r="D362" s="1490" t="s">
        <v>319</v>
      </c>
      <c r="E362" s="309" t="s">
        <v>750</v>
      </c>
      <c r="F362" s="399"/>
      <c r="G362" s="1491">
        <v>2356.0295887254729</v>
      </c>
      <c r="H362" s="1491"/>
      <c r="I362" s="1542">
        <v>0</v>
      </c>
      <c r="J362" s="1491">
        <v>0</v>
      </c>
      <c r="K362" s="1542">
        <v>0</v>
      </c>
      <c r="L362" s="1491">
        <v>0</v>
      </c>
      <c r="M362" s="1492"/>
    </row>
    <row r="363" spans="1:13" ht="18" thickTop="1" thickBot="1" x14ac:dyDescent="0.35">
      <c r="A363" s="309" t="s">
        <v>273</v>
      </c>
      <c r="B363" s="1490">
        <v>2</v>
      </c>
      <c r="C363" s="1490">
        <v>2</v>
      </c>
      <c r="D363" s="1490" t="s">
        <v>319</v>
      </c>
      <c r="E363" s="309" t="s">
        <v>751</v>
      </c>
      <c r="F363" s="399"/>
      <c r="G363" s="1491">
        <v>881.01453355213823</v>
      </c>
      <c r="H363" s="1491"/>
      <c r="I363" s="1542">
        <v>0</v>
      </c>
      <c r="J363" s="1491">
        <v>0</v>
      </c>
      <c r="K363" s="1542">
        <v>0</v>
      </c>
      <c r="L363" s="1491">
        <v>0</v>
      </c>
      <c r="M363" s="1492"/>
    </row>
    <row r="364" spans="1:13" ht="18" thickTop="1" thickBot="1" x14ac:dyDescent="0.35">
      <c r="A364" s="309" t="s">
        <v>273</v>
      </c>
      <c r="B364" s="1490">
        <v>2</v>
      </c>
      <c r="C364" s="1490">
        <v>2</v>
      </c>
      <c r="D364" s="1490" t="s">
        <v>319</v>
      </c>
      <c r="E364" s="309" t="s">
        <v>752</v>
      </c>
      <c r="F364" s="399"/>
      <c r="G364" s="1491">
        <v>994.71996851357437</v>
      </c>
      <c r="H364" s="1491"/>
      <c r="I364" s="1542">
        <v>0</v>
      </c>
      <c r="J364" s="1491">
        <v>0</v>
      </c>
      <c r="K364" s="1542">
        <v>0</v>
      </c>
      <c r="L364" s="1491">
        <v>0</v>
      </c>
      <c r="M364" s="1492"/>
    </row>
    <row r="365" spans="1:13" ht="18" thickTop="1" thickBot="1" x14ac:dyDescent="0.35">
      <c r="A365" s="309" t="s">
        <v>273</v>
      </c>
      <c r="B365" s="1490">
        <v>2</v>
      </c>
      <c r="C365" s="1490">
        <v>2</v>
      </c>
      <c r="D365" s="1490" t="s">
        <v>319</v>
      </c>
      <c r="E365" s="309" t="s">
        <v>753</v>
      </c>
      <c r="F365" s="399"/>
      <c r="G365" s="1491">
        <v>476.82039509976107</v>
      </c>
      <c r="H365" s="1491"/>
      <c r="I365" s="1542">
        <v>0</v>
      </c>
      <c r="J365" s="1491">
        <v>0</v>
      </c>
      <c r="K365" s="1542">
        <v>0</v>
      </c>
      <c r="L365" s="1491">
        <v>0</v>
      </c>
      <c r="M365" s="1492"/>
    </row>
    <row r="366" spans="1:13" ht="18" thickTop="1" thickBot="1" x14ac:dyDescent="0.35">
      <c r="A366" s="309" t="s">
        <v>273</v>
      </c>
      <c r="B366" s="1490">
        <v>2</v>
      </c>
      <c r="C366" s="1490">
        <v>2</v>
      </c>
      <c r="D366" s="1490" t="s">
        <v>319</v>
      </c>
      <c r="E366" s="309" t="s">
        <v>754</v>
      </c>
      <c r="F366" s="399"/>
      <c r="G366" s="1491">
        <v>45.993285716219262</v>
      </c>
      <c r="H366" s="1491"/>
      <c r="I366" s="1542">
        <v>0</v>
      </c>
      <c r="J366" s="1491">
        <v>0</v>
      </c>
      <c r="K366" s="1542">
        <v>0</v>
      </c>
      <c r="L366" s="1491">
        <v>0</v>
      </c>
      <c r="M366" s="1492"/>
    </row>
    <row r="367" spans="1:13" ht="18" thickTop="1" thickBot="1" x14ac:dyDescent="0.35">
      <c r="A367" s="309" t="s">
        <v>273</v>
      </c>
      <c r="B367" s="1490">
        <v>2</v>
      </c>
      <c r="C367" s="1490">
        <v>2</v>
      </c>
      <c r="D367" s="1490" t="s">
        <v>319</v>
      </c>
      <c r="E367" s="309" t="s">
        <v>755</v>
      </c>
      <c r="F367" s="399"/>
      <c r="G367" s="1491">
        <v>421.99836331372859</v>
      </c>
      <c r="H367" s="1491"/>
      <c r="I367" s="1542">
        <v>0</v>
      </c>
      <c r="J367" s="1491">
        <v>0</v>
      </c>
      <c r="K367" s="1542">
        <v>0</v>
      </c>
      <c r="L367" s="1491">
        <v>0</v>
      </c>
      <c r="M367" s="1492"/>
    </row>
    <row r="368" spans="1:13" ht="18" thickTop="1" thickBot="1" x14ac:dyDescent="0.35">
      <c r="A368" s="309" t="s">
        <v>273</v>
      </c>
      <c r="B368" s="1490">
        <v>2</v>
      </c>
      <c r="C368" s="1490">
        <v>2</v>
      </c>
      <c r="D368" s="1490" t="s">
        <v>319</v>
      </c>
      <c r="E368" s="309" t="s">
        <v>756</v>
      </c>
      <c r="F368" s="399"/>
      <c r="G368" s="1491">
        <v>338.62649248571051</v>
      </c>
      <c r="H368" s="1491"/>
      <c r="I368" s="1542">
        <v>0</v>
      </c>
      <c r="J368" s="1491">
        <v>0</v>
      </c>
      <c r="K368" s="1542">
        <v>0</v>
      </c>
      <c r="L368" s="1491">
        <v>0</v>
      </c>
      <c r="M368" s="1492"/>
    </row>
    <row r="369" spans="1:13" ht="18" thickTop="1" thickBot="1" x14ac:dyDescent="0.35">
      <c r="A369" s="309" t="s">
        <v>273</v>
      </c>
      <c r="B369" s="1490">
        <v>2</v>
      </c>
      <c r="C369" s="1490">
        <v>2</v>
      </c>
      <c r="D369" s="1490" t="s">
        <v>319</v>
      </c>
      <c r="E369" s="309" t="s">
        <v>757</v>
      </c>
      <c r="F369" s="399"/>
      <c r="G369" s="1491">
        <v>520.15187389889206</v>
      </c>
      <c r="H369" s="1491"/>
      <c r="I369" s="1542">
        <v>0</v>
      </c>
      <c r="J369" s="1491">
        <v>0</v>
      </c>
      <c r="K369" s="1542">
        <v>0</v>
      </c>
      <c r="L369" s="1491">
        <v>0</v>
      </c>
      <c r="M369" s="1492"/>
    </row>
    <row r="370" spans="1:13" ht="18" thickTop="1" thickBot="1" x14ac:dyDescent="0.35">
      <c r="A370" s="309" t="s">
        <v>273</v>
      </c>
      <c r="B370" s="1490">
        <v>2</v>
      </c>
      <c r="C370" s="1490">
        <v>2</v>
      </c>
      <c r="D370" s="1490" t="s">
        <v>319</v>
      </c>
      <c r="E370" s="309" t="s">
        <v>758</v>
      </c>
      <c r="F370" s="399"/>
      <c r="G370" s="1491">
        <v>530.80301257588258</v>
      </c>
      <c r="H370" s="1491"/>
      <c r="I370" s="1542">
        <v>0</v>
      </c>
      <c r="J370" s="1491">
        <v>0</v>
      </c>
      <c r="K370" s="1542">
        <v>0</v>
      </c>
      <c r="L370" s="1491">
        <v>0</v>
      </c>
      <c r="M370" s="1492"/>
    </row>
    <row r="371" spans="1:13" ht="18" thickTop="1" thickBot="1" x14ac:dyDescent="0.35">
      <c r="A371" s="309" t="s">
        <v>273</v>
      </c>
      <c r="B371" s="1490">
        <v>2</v>
      </c>
      <c r="C371" s="1490">
        <v>2</v>
      </c>
      <c r="D371" s="1490" t="s">
        <v>319</v>
      </c>
      <c r="E371" s="309" t="s">
        <v>759</v>
      </c>
      <c r="F371" s="399"/>
      <c r="G371" s="1491">
        <v>667.05974163746032</v>
      </c>
      <c r="H371" s="1491"/>
      <c r="I371" s="1542">
        <v>0</v>
      </c>
      <c r="J371" s="1491">
        <v>0</v>
      </c>
      <c r="K371" s="1542">
        <v>0</v>
      </c>
      <c r="L371" s="1491">
        <v>0</v>
      </c>
      <c r="M371" s="1492"/>
    </row>
    <row r="372" spans="1:13" ht="18" thickTop="1" thickBot="1" x14ac:dyDescent="0.35">
      <c r="A372" s="1531" t="s">
        <v>273</v>
      </c>
      <c r="B372" s="1532">
        <v>2</v>
      </c>
      <c r="C372" s="1532">
        <v>2</v>
      </c>
      <c r="D372" s="1532" t="s">
        <v>319</v>
      </c>
      <c r="E372" s="1531" t="s">
        <v>760</v>
      </c>
      <c r="F372" s="399"/>
      <c r="G372" s="1491">
        <v>1855.4262176378577</v>
      </c>
      <c r="H372" s="1491"/>
      <c r="I372" s="1542">
        <v>0</v>
      </c>
      <c r="J372" s="1491">
        <v>0</v>
      </c>
      <c r="K372" s="1542">
        <v>0</v>
      </c>
      <c r="L372" s="1491">
        <v>0</v>
      </c>
      <c r="M372" s="1492"/>
    </row>
    <row r="373" spans="1:13" ht="18" thickTop="1" thickBot="1" x14ac:dyDescent="0.35">
      <c r="A373" s="1550" t="s">
        <v>273</v>
      </c>
      <c r="B373" s="1551">
        <v>2</v>
      </c>
      <c r="C373" s="1551">
        <v>2</v>
      </c>
      <c r="D373" s="1551" t="s">
        <v>319</v>
      </c>
      <c r="E373" s="1550" t="s">
        <v>761</v>
      </c>
      <c r="F373" s="399"/>
      <c r="G373" s="1491">
        <v>1189.9969636617816</v>
      </c>
      <c r="H373" s="1552"/>
      <c r="I373" s="1552">
        <v>0</v>
      </c>
      <c r="J373" s="1552">
        <v>0</v>
      </c>
      <c r="K373" s="1552">
        <v>0</v>
      </c>
      <c r="L373" s="1552">
        <f>G373</f>
        <v>1189.9969636617816</v>
      </c>
      <c r="M373" s="1492"/>
    </row>
    <row r="374" spans="1:13" ht="18" thickTop="1" thickBot="1" x14ac:dyDescent="0.35">
      <c r="A374" s="1550" t="s">
        <v>273</v>
      </c>
      <c r="B374" s="1551">
        <v>2</v>
      </c>
      <c r="C374" s="1551">
        <v>2</v>
      </c>
      <c r="D374" s="1551" t="s">
        <v>319</v>
      </c>
      <c r="E374" s="1550" t="s">
        <v>762</v>
      </c>
      <c r="F374" s="399"/>
      <c r="G374" s="1491">
        <v>3080.5082388920046</v>
      </c>
      <c r="H374" s="1552"/>
      <c r="I374" s="1552">
        <v>0</v>
      </c>
      <c r="J374" s="1552">
        <v>0</v>
      </c>
      <c r="K374" s="1552">
        <v>0</v>
      </c>
      <c r="L374" s="1552">
        <f>G374</f>
        <v>3080.5082388920046</v>
      </c>
      <c r="M374" s="1492"/>
    </row>
    <row r="375" spans="1:13" ht="18" thickTop="1" thickBot="1" x14ac:dyDescent="0.35">
      <c r="A375" s="309" t="s">
        <v>273</v>
      </c>
      <c r="B375" s="1490">
        <v>2</v>
      </c>
      <c r="C375" s="1490">
        <v>2</v>
      </c>
      <c r="D375" s="1490" t="s">
        <v>319</v>
      </c>
      <c r="E375" s="309" t="s">
        <v>763</v>
      </c>
      <c r="F375" s="399"/>
      <c r="G375" s="1491">
        <v>16.50477175771109</v>
      </c>
      <c r="H375" s="1491"/>
      <c r="I375" s="1542">
        <v>0</v>
      </c>
      <c r="J375" s="1491">
        <v>0</v>
      </c>
      <c r="K375" s="1542">
        <v>0</v>
      </c>
      <c r="L375" s="1491">
        <v>0</v>
      </c>
      <c r="M375" s="1492"/>
    </row>
    <row r="376" spans="1:13" ht="18" thickTop="1" thickBot="1" x14ac:dyDescent="0.35">
      <c r="A376" s="309" t="s">
        <v>273</v>
      </c>
      <c r="B376" s="1490">
        <v>2</v>
      </c>
      <c r="C376" s="1490">
        <v>2</v>
      </c>
      <c r="D376" s="1490" t="s">
        <v>319</v>
      </c>
      <c r="E376" s="309" t="s">
        <v>764</v>
      </c>
      <c r="F376" s="399"/>
      <c r="G376" s="1491">
        <v>599.49423416258298</v>
      </c>
      <c r="H376" s="1491"/>
      <c r="I376" s="1542">
        <v>0</v>
      </c>
      <c r="J376" s="1491">
        <v>0</v>
      </c>
      <c r="K376" s="1542">
        <v>0</v>
      </c>
      <c r="L376" s="1491">
        <v>0</v>
      </c>
      <c r="M376" s="1492"/>
    </row>
    <row r="377" spans="1:13" ht="18" thickTop="1" thickBot="1" x14ac:dyDescent="0.35">
      <c r="A377" s="309" t="s">
        <v>273</v>
      </c>
      <c r="B377" s="1490">
        <v>2</v>
      </c>
      <c r="C377" s="1490">
        <v>2</v>
      </c>
      <c r="D377" s="1490" t="s">
        <v>319</v>
      </c>
      <c r="E377" s="309" t="s">
        <v>765</v>
      </c>
      <c r="F377" s="399"/>
      <c r="G377" s="1491">
        <v>545.70403870772202</v>
      </c>
      <c r="H377" s="1491"/>
      <c r="I377" s="1542">
        <v>0</v>
      </c>
      <c r="J377" s="1491">
        <v>0</v>
      </c>
      <c r="K377" s="1542">
        <v>0</v>
      </c>
      <c r="L377" s="1491">
        <v>0</v>
      </c>
      <c r="M377" s="1492"/>
    </row>
    <row r="378" spans="1:13" ht="18" thickTop="1" thickBot="1" x14ac:dyDescent="0.35">
      <c r="A378" s="309" t="s">
        <v>273</v>
      </c>
      <c r="B378" s="1490">
        <v>2</v>
      </c>
      <c r="C378" s="1490">
        <v>2</v>
      </c>
      <c r="D378" s="1490" t="s">
        <v>319</v>
      </c>
      <c r="E378" s="309" t="s">
        <v>766</v>
      </c>
      <c r="F378" s="399"/>
      <c r="G378" s="1491">
        <v>1402.8279417343176</v>
      </c>
      <c r="H378" s="1491"/>
      <c r="I378" s="1542">
        <v>0</v>
      </c>
      <c r="J378" s="1491">
        <v>0</v>
      </c>
      <c r="K378" s="1542">
        <v>0</v>
      </c>
      <c r="L378" s="1491">
        <v>0</v>
      </c>
      <c r="M378" s="1492"/>
    </row>
    <row r="379" spans="1:13" ht="18" thickTop="1" thickBot="1" x14ac:dyDescent="0.35">
      <c r="A379" s="309" t="s">
        <v>273</v>
      </c>
      <c r="B379" s="1490">
        <v>2</v>
      </c>
      <c r="C379" s="1490">
        <v>2</v>
      </c>
      <c r="D379" s="1490" t="s">
        <v>319</v>
      </c>
      <c r="E379" s="309" t="s">
        <v>767</v>
      </c>
      <c r="F379" s="399"/>
      <c r="G379" s="1491">
        <v>849.20183516609882</v>
      </c>
      <c r="H379" s="1491"/>
      <c r="I379" s="1542">
        <v>0</v>
      </c>
      <c r="J379" s="1491">
        <v>0</v>
      </c>
      <c r="K379" s="1542">
        <v>0</v>
      </c>
      <c r="L379" s="1491">
        <v>0</v>
      </c>
      <c r="M379" s="1492"/>
    </row>
    <row r="380" spans="1:13" ht="18" thickTop="1" thickBot="1" x14ac:dyDescent="0.35">
      <c r="A380" s="309" t="s">
        <v>273</v>
      </c>
      <c r="B380" s="1490">
        <v>2</v>
      </c>
      <c r="C380" s="1490">
        <v>2</v>
      </c>
      <c r="D380" s="1490" t="s">
        <v>319</v>
      </c>
      <c r="E380" s="309" t="s">
        <v>768</v>
      </c>
      <c r="F380" s="399"/>
      <c r="G380" s="1491">
        <v>732.9897755713165</v>
      </c>
      <c r="H380" s="1491"/>
      <c r="I380" s="1542">
        <v>0</v>
      </c>
      <c r="J380" s="1491">
        <v>0</v>
      </c>
      <c r="K380" s="1542">
        <v>0</v>
      </c>
      <c r="L380" s="1491">
        <v>0</v>
      </c>
      <c r="M380" s="1492"/>
    </row>
    <row r="381" spans="1:13" ht="18" thickTop="1" thickBot="1" x14ac:dyDescent="0.35">
      <c r="A381" s="309" t="s">
        <v>273</v>
      </c>
      <c r="B381" s="1490">
        <v>2</v>
      </c>
      <c r="C381" s="1490">
        <v>2</v>
      </c>
      <c r="D381" s="1490" t="s">
        <v>319</v>
      </c>
      <c r="E381" s="309" t="s">
        <v>769</v>
      </c>
      <c r="F381" s="399"/>
      <c r="G381" s="1491">
        <v>3052.9514454154214</v>
      </c>
      <c r="H381" s="1491"/>
      <c r="I381" s="1542">
        <v>0</v>
      </c>
      <c r="J381" s="1491">
        <v>0</v>
      </c>
      <c r="K381" s="1542">
        <v>0</v>
      </c>
      <c r="L381" s="1491">
        <v>0</v>
      </c>
      <c r="M381" s="1492"/>
    </row>
    <row r="382" spans="1:13" ht="18" thickTop="1" thickBot="1" x14ac:dyDescent="0.35">
      <c r="A382" s="309" t="s">
        <v>273</v>
      </c>
      <c r="B382" s="1490">
        <v>2</v>
      </c>
      <c r="C382" s="1490">
        <v>2</v>
      </c>
      <c r="D382" s="1490" t="s">
        <v>319</v>
      </c>
      <c r="E382" s="309" t="s">
        <v>770</v>
      </c>
      <c r="F382" s="399"/>
      <c r="G382" s="1491">
        <v>364.31457482655389</v>
      </c>
      <c r="H382" s="1491"/>
      <c r="I382" s="1542">
        <v>0</v>
      </c>
      <c r="J382" s="1491">
        <v>0</v>
      </c>
      <c r="K382" s="1542">
        <v>0</v>
      </c>
      <c r="L382" s="1491">
        <v>0</v>
      </c>
      <c r="M382" s="1492"/>
    </row>
    <row r="383" spans="1:13" ht="18" thickTop="1" thickBot="1" x14ac:dyDescent="0.35">
      <c r="A383" s="309" t="s">
        <v>273</v>
      </c>
      <c r="B383" s="1490">
        <v>2</v>
      </c>
      <c r="C383" s="1490">
        <v>2</v>
      </c>
      <c r="D383" s="1490" t="s">
        <v>319</v>
      </c>
      <c r="E383" s="309" t="s">
        <v>771</v>
      </c>
      <c r="F383" s="399"/>
      <c r="G383" s="1491">
        <v>532.05582371871924</v>
      </c>
      <c r="H383" s="1491"/>
      <c r="I383" s="1542">
        <v>0</v>
      </c>
      <c r="J383" s="1491">
        <v>0</v>
      </c>
      <c r="K383" s="1542">
        <v>0</v>
      </c>
      <c r="L383" s="1491">
        <v>0</v>
      </c>
      <c r="M383" s="1492"/>
    </row>
    <row r="384" spans="1:13" ht="18" thickTop="1" thickBot="1" x14ac:dyDescent="0.35">
      <c r="A384" s="309" t="s">
        <v>273</v>
      </c>
      <c r="B384" s="1490">
        <v>2</v>
      </c>
      <c r="C384" s="1490">
        <v>2</v>
      </c>
      <c r="D384" s="1490" t="s">
        <v>319</v>
      </c>
      <c r="E384" s="309" t="s">
        <v>772</v>
      </c>
      <c r="F384" s="399"/>
      <c r="G384" s="1491">
        <v>284.96611655980729</v>
      </c>
      <c r="H384" s="1491"/>
      <c r="I384" s="1542">
        <v>0</v>
      </c>
      <c r="J384" s="1491">
        <v>0</v>
      </c>
      <c r="K384" s="1542">
        <v>0</v>
      </c>
      <c r="L384" s="1491">
        <v>0</v>
      </c>
      <c r="M384" s="1492"/>
    </row>
    <row r="385" spans="1:13" ht="18" thickTop="1" thickBot="1" x14ac:dyDescent="0.35">
      <c r="A385" s="309" t="s">
        <v>273</v>
      </c>
      <c r="B385" s="1490">
        <v>2</v>
      </c>
      <c r="C385" s="1490">
        <v>2</v>
      </c>
      <c r="D385" s="1490" t="s">
        <v>319</v>
      </c>
      <c r="E385" s="309" t="s">
        <v>773</v>
      </c>
      <c r="F385" s="399"/>
      <c r="G385" s="1491">
        <v>521.63779007331811</v>
      </c>
      <c r="H385" s="1491"/>
      <c r="I385" s="1542">
        <v>0</v>
      </c>
      <c r="J385" s="1491">
        <v>0</v>
      </c>
      <c r="K385" s="1542">
        <v>0</v>
      </c>
      <c r="L385" s="1491">
        <v>0</v>
      </c>
      <c r="M385" s="1492"/>
    </row>
    <row r="386" spans="1:13" ht="18" thickTop="1" thickBot="1" x14ac:dyDescent="0.35">
      <c r="A386" s="309" t="s">
        <v>273</v>
      </c>
      <c r="B386" s="1490">
        <v>2</v>
      </c>
      <c r="C386" s="1490">
        <v>2</v>
      </c>
      <c r="D386" s="1490" t="s">
        <v>290</v>
      </c>
      <c r="E386" s="309" t="s">
        <v>774</v>
      </c>
      <c r="F386" s="399"/>
      <c r="G386" s="1491">
        <v>134.18129830719985</v>
      </c>
      <c r="H386" s="1491"/>
      <c r="I386" s="1542">
        <v>0</v>
      </c>
      <c r="J386" s="1491">
        <v>0</v>
      </c>
      <c r="K386" s="1542">
        <v>0</v>
      </c>
      <c r="L386" s="1491">
        <v>0</v>
      </c>
      <c r="M386" s="1492"/>
    </row>
    <row r="387" spans="1:13" ht="18" thickTop="1" thickBot="1" x14ac:dyDescent="0.35">
      <c r="A387" s="309" t="s">
        <v>273</v>
      </c>
      <c r="B387" s="1490">
        <v>2</v>
      </c>
      <c r="C387" s="1490">
        <v>2</v>
      </c>
      <c r="D387" s="1490" t="s">
        <v>319</v>
      </c>
      <c r="E387" s="309" t="s">
        <v>775</v>
      </c>
      <c r="F387" s="399"/>
      <c r="G387" s="1491">
        <v>664.10260536798</v>
      </c>
      <c r="H387" s="1491"/>
      <c r="I387" s="1542">
        <v>0</v>
      </c>
      <c r="J387" s="1491">
        <v>0</v>
      </c>
      <c r="K387" s="1542">
        <v>0</v>
      </c>
      <c r="L387" s="1491">
        <v>0</v>
      </c>
      <c r="M387" s="1492"/>
    </row>
    <row r="388" spans="1:13" ht="18" thickTop="1" thickBot="1" x14ac:dyDescent="0.35">
      <c r="A388" s="309" t="s">
        <v>273</v>
      </c>
      <c r="B388" s="1490">
        <v>2</v>
      </c>
      <c r="C388" s="1490">
        <v>2</v>
      </c>
      <c r="D388" s="1490" t="s">
        <v>319</v>
      </c>
      <c r="E388" s="309" t="s">
        <v>776</v>
      </c>
      <c r="F388" s="399"/>
      <c r="G388" s="1491">
        <v>163.08062785513633</v>
      </c>
      <c r="H388" s="1491"/>
      <c r="I388" s="1542">
        <v>0</v>
      </c>
      <c r="J388" s="1491">
        <v>0</v>
      </c>
      <c r="K388" s="1542">
        <v>0</v>
      </c>
      <c r="L388" s="1491">
        <v>0</v>
      </c>
      <c r="M388" s="1492"/>
    </row>
    <row r="389" spans="1:13" ht="18" thickTop="1" thickBot="1" x14ac:dyDescent="0.35">
      <c r="A389" s="309" t="s">
        <v>273</v>
      </c>
      <c r="B389" s="1490">
        <v>2</v>
      </c>
      <c r="C389" s="1490">
        <v>2</v>
      </c>
      <c r="D389" s="1490" t="s">
        <v>319</v>
      </c>
      <c r="E389" s="309" t="s">
        <v>777</v>
      </c>
      <c r="F389" s="399"/>
      <c r="G389" s="1491">
        <v>680.83158611114857</v>
      </c>
      <c r="H389" s="1491"/>
      <c r="I389" s="1542">
        <v>0</v>
      </c>
      <c r="J389" s="1491">
        <v>0</v>
      </c>
      <c r="K389" s="1542">
        <v>0</v>
      </c>
      <c r="L389" s="1491">
        <v>0</v>
      </c>
      <c r="M389" s="1492"/>
    </row>
    <row r="390" spans="1:13" ht="18" thickTop="1" thickBot="1" x14ac:dyDescent="0.35">
      <c r="A390" s="309" t="s">
        <v>273</v>
      </c>
      <c r="B390" s="1490">
        <v>2</v>
      </c>
      <c r="C390" s="1490">
        <v>2</v>
      </c>
      <c r="D390" s="1490" t="s">
        <v>319</v>
      </c>
      <c r="E390" s="309" t="s">
        <v>778</v>
      </c>
      <c r="F390" s="399"/>
      <c r="G390" s="1491">
        <v>457.54981287204271</v>
      </c>
      <c r="H390" s="1491"/>
      <c r="I390" s="1542">
        <v>0</v>
      </c>
      <c r="J390" s="1491">
        <v>0</v>
      </c>
      <c r="K390" s="1542">
        <v>0</v>
      </c>
      <c r="L390" s="1491">
        <v>0</v>
      </c>
      <c r="M390" s="1492"/>
    </row>
    <row r="391" spans="1:13" ht="18" thickTop="1" thickBot="1" x14ac:dyDescent="0.35">
      <c r="A391" s="309" t="s">
        <v>273</v>
      </c>
      <c r="B391" s="1490">
        <v>2</v>
      </c>
      <c r="C391" s="1490">
        <v>2</v>
      </c>
      <c r="D391" s="1490" t="s">
        <v>319</v>
      </c>
      <c r="E391" s="309" t="s">
        <v>779</v>
      </c>
      <c r="F391" s="399"/>
      <c r="G391" s="1491">
        <v>641.00356071190106</v>
      </c>
      <c r="H391" s="1491"/>
      <c r="I391" s="1542">
        <v>0</v>
      </c>
      <c r="J391" s="1491">
        <v>0</v>
      </c>
      <c r="K391" s="1542">
        <v>0</v>
      </c>
      <c r="L391" s="1491">
        <v>0</v>
      </c>
      <c r="M391" s="1492"/>
    </row>
    <row r="392" spans="1:13" ht="18" thickTop="1" thickBot="1" x14ac:dyDescent="0.35">
      <c r="A392" s="309" t="s">
        <v>273</v>
      </c>
      <c r="B392" s="1490">
        <v>2</v>
      </c>
      <c r="C392" s="1490">
        <v>2</v>
      </c>
      <c r="D392" s="1490" t="s">
        <v>319</v>
      </c>
      <c r="E392" s="309" t="s">
        <v>780</v>
      </c>
      <c r="F392" s="399"/>
      <c r="G392" s="1491">
        <v>11.143862059698282</v>
      </c>
      <c r="H392" s="1491"/>
      <c r="I392" s="1542">
        <v>0</v>
      </c>
      <c r="J392" s="1491">
        <v>0</v>
      </c>
      <c r="K392" s="1542">
        <v>0</v>
      </c>
      <c r="L392" s="1491">
        <v>0</v>
      </c>
      <c r="M392" s="1492"/>
    </row>
    <row r="393" spans="1:13" ht="18" thickTop="1" thickBot="1" x14ac:dyDescent="0.35">
      <c r="A393" s="309" t="s">
        <v>273</v>
      </c>
      <c r="B393" s="1490">
        <v>2</v>
      </c>
      <c r="C393" s="1490">
        <v>2</v>
      </c>
      <c r="D393" s="1490" t="s">
        <v>319</v>
      </c>
      <c r="E393" s="309" t="s">
        <v>781</v>
      </c>
      <c r="F393" s="399"/>
      <c r="G393" s="1491">
        <v>2884.3782019837527</v>
      </c>
      <c r="H393" s="1491"/>
      <c r="I393" s="1542">
        <v>0</v>
      </c>
      <c r="J393" s="1491">
        <v>0</v>
      </c>
      <c r="K393" s="1542">
        <v>0</v>
      </c>
      <c r="L393" s="1491">
        <v>0</v>
      </c>
      <c r="M393" s="1492"/>
    </row>
    <row r="394" spans="1:13" ht="18" thickTop="1" thickBot="1" x14ac:dyDescent="0.35">
      <c r="A394" s="309" t="s">
        <v>273</v>
      </c>
      <c r="B394" s="1490">
        <v>2</v>
      </c>
      <c r="C394" s="1490">
        <v>2</v>
      </c>
      <c r="D394" s="1490" t="s">
        <v>319</v>
      </c>
      <c r="E394" s="309" t="s">
        <v>782</v>
      </c>
      <c r="F394" s="399"/>
      <c r="G394" s="1491">
        <v>410.48536574426316</v>
      </c>
      <c r="H394" s="1491"/>
      <c r="I394" s="1542">
        <v>0</v>
      </c>
      <c r="J394" s="1491">
        <v>0</v>
      </c>
      <c r="K394" s="1542">
        <v>0</v>
      </c>
      <c r="L394" s="1491">
        <v>0</v>
      </c>
      <c r="M394" s="1492"/>
    </row>
    <row r="395" spans="1:13" ht="18" thickTop="1" thickBot="1" x14ac:dyDescent="0.35">
      <c r="A395" s="309" t="s">
        <v>273</v>
      </c>
      <c r="B395" s="1490">
        <v>2</v>
      </c>
      <c r="C395" s="1490">
        <v>2</v>
      </c>
      <c r="D395" s="1490" t="s">
        <v>319</v>
      </c>
      <c r="E395" s="309" t="s">
        <v>783</v>
      </c>
      <c r="F395" s="399"/>
      <c r="G395" s="1491">
        <v>551.86646169814901</v>
      </c>
      <c r="H395" s="1491"/>
      <c r="I395" s="1542">
        <v>0</v>
      </c>
      <c r="J395" s="1491">
        <v>0</v>
      </c>
      <c r="K395" s="1542">
        <v>0</v>
      </c>
      <c r="L395" s="1491">
        <v>0</v>
      </c>
      <c r="M395" s="1492"/>
    </row>
    <row r="396" spans="1:13" ht="18" thickTop="1" thickBot="1" x14ac:dyDescent="0.35">
      <c r="A396" s="309" t="s">
        <v>273</v>
      </c>
      <c r="B396" s="1490">
        <v>2</v>
      </c>
      <c r="C396" s="1490">
        <v>2</v>
      </c>
      <c r="D396" s="1490" t="s">
        <v>319</v>
      </c>
      <c r="E396" s="309" t="s">
        <v>784</v>
      </c>
      <c r="F396" s="399"/>
      <c r="G396" s="1491">
        <v>485.86664615617303</v>
      </c>
      <c r="H396" s="1491"/>
      <c r="I396" s="1542">
        <v>0</v>
      </c>
      <c r="J396" s="1491">
        <v>0</v>
      </c>
      <c r="K396" s="1542">
        <v>0</v>
      </c>
      <c r="L396" s="1491">
        <v>0</v>
      </c>
      <c r="M396" s="1492"/>
    </row>
    <row r="397" spans="1:13" ht="18" thickTop="1" thickBot="1" x14ac:dyDescent="0.35">
      <c r="A397" s="309" t="s">
        <v>273</v>
      </c>
      <c r="B397" s="1490">
        <v>2</v>
      </c>
      <c r="C397" s="1490">
        <v>2</v>
      </c>
      <c r="D397" s="1490" t="s">
        <v>294</v>
      </c>
      <c r="E397" s="309" t="s">
        <v>785</v>
      </c>
      <c r="F397" s="399"/>
      <c r="G397" s="1491">
        <v>10.505686011797483</v>
      </c>
      <c r="H397" s="1491"/>
      <c r="I397" s="1542">
        <v>0</v>
      </c>
      <c r="J397" s="1491">
        <v>0</v>
      </c>
      <c r="K397" s="1542">
        <v>0</v>
      </c>
      <c r="L397" s="1491">
        <v>0</v>
      </c>
      <c r="M397" s="1492"/>
    </row>
    <row r="398" spans="1:13" ht="18" thickTop="1" thickBot="1" x14ac:dyDescent="0.35">
      <c r="A398" s="309" t="s">
        <v>273</v>
      </c>
      <c r="B398" s="1490">
        <v>2</v>
      </c>
      <c r="C398" s="1490">
        <v>2</v>
      </c>
      <c r="D398" s="1490" t="s">
        <v>319</v>
      </c>
      <c r="E398" s="309" t="s">
        <v>786</v>
      </c>
      <c r="F398" s="399"/>
      <c r="G398" s="1491">
        <v>560.22085666413193</v>
      </c>
      <c r="H398" s="1491"/>
      <c r="I398" s="1542">
        <v>0</v>
      </c>
      <c r="J398" s="1491">
        <v>0</v>
      </c>
      <c r="K398" s="1542">
        <v>0</v>
      </c>
      <c r="L398" s="1491">
        <v>0</v>
      </c>
      <c r="M398" s="1492"/>
    </row>
    <row r="399" spans="1:13" ht="18" thickTop="1" thickBot="1" x14ac:dyDescent="0.35">
      <c r="A399" s="309" t="s">
        <v>273</v>
      </c>
      <c r="B399" s="1490">
        <v>2</v>
      </c>
      <c r="C399" s="1490">
        <v>2</v>
      </c>
      <c r="D399" s="1490" t="s">
        <v>319</v>
      </c>
      <c r="E399" s="309" t="s">
        <v>787</v>
      </c>
      <c r="F399" s="399"/>
      <c r="G399" s="1491">
        <v>750.22114630367105</v>
      </c>
      <c r="H399" s="1491"/>
      <c r="I399" s="1542">
        <v>0</v>
      </c>
      <c r="J399" s="1491">
        <v>0</v>
      </c>
      <c r="K399" s="1542">
        <v>0</v>
      </c>
      <c r="L399" s="1491">
        <v>0</v>
      </c>
      <c r="M399" s="1492"/>
    </row>
    <row r="400" spans="1:13" ht="18" thickTop="1" thickBot="1" x14ac:dyDescent="0.35">
      <c r="A400" s="309" t="s">
        <v>273</v>
      </c>
      <c r="B400" s="1490">
        <v>2</v>
      </c>
      <c r="C400" s="1490">
        <v>2</v>
      </c>
      <c r="D400" s="1490" t="s">
        <v>319</v>
      </c>
      <c r="E400" s="309" t="s">
        <v>788</v>
      </c>
      <c r="F400" s="399"/>
      <c r="G400" s="1491">
        <v>453.14256822625441</v>
      </c>
      <c r="H400" s="1491"/>
      <c r="I400" s="1542">
        <v>0</v>
      </c>
      <c r="J400" s="1491">
        <v>0</v>
      </c>
      <c r="K400" s="1542">
        <v>0</v>
      </c>
      <c r="L400" s="1491">
        <v>0</v>
      </c>
      <c r="M400" s="1492"/>
    </row>
    <row r="401" spans="1:13" ht="18" thickTop="1" thickBot="1" x14ac:dyDescent="0.35">
      <c r="A401" s="309" t="s">
        <v>273</v>
      </c>
      <c r="B401" s="1490">
        <v>2</v>
      </c>
      <c r="C401" s="1490">
        <v>2</v>
      </c>
      <c r="D401" s="1490" t="s">
        <v>319</v>
      </c>
      <c r="E401" s="309" t="s">
        <v>789</v>
      </c>
      <c r="F401" s="399"/>
      <c r="G401" s="1491">
        <v>709.65893982402952</v>
      </c>
      <c r="H401" s="1491"/>
      <c r="I401" s="1542">
        <v>0</v>
      </c>
      <c r="J401" s="1491">
        <v>0</v>
      </c>
      <c r="K401" s="1542">
        <v>0</v>
      </c>
      <c r="L401" s="1491">
        <v>0</v>
      </c>
      <c r="M401" s="1492"/>
    </row>
    <row r="402" spans="1:13" ht="18" thickTop="1" thickBot="1" x14ac:dyDescent="0.35">
      <c r="A402" s="309" t="s">
        <v>273</v>
      </c>
      <c r="B402" s="1490">
        <v>2</v>
      </c>
      <c r="C402" s="1490">
        <v>2</v>
      </c>
      <c r="D402" s="1490" t="s">
        <v>319</v>
      </c>
      <c r="E402" s="309" t="s">
        <v>790</v>
      </c>
      <c r="F402" s="399"/>
      <c r="G402" s="1491">
        <v>688.94953957621044</v>
      </c>
      <c r="H402" s="1491"/>
      <c r="I402" s="1542">
        <v>0</v>
      </c>
      <c r="J402" s="1491">
        <v>0</v>
      </c>
      <c r="K402" s="1542">
        <v>0</v>
      </c>
      <c r="L402" s="1491">
        <v>0</v>
      </c>
      <c r="M402" s="1492"/>
    </row>
    <row r="403" spans="1:13" ht="18" thickTop="1" thickBot="1" x14ac:dyDescent="0.35">
      <c r="A403" s="309" t="s">
        <v>273</v>
      </c>
      <c r="B403" s="1490">
        <v>2</v>
      </c>
      <c r="C403" s="1490">
        <v>2</v>
      </c>
      <c r="D403" s="1490" t="s">
        <v>319</v>
      </c>
      <c r="E403" s="309" t="s">
        <v>791</v>
      </c>
      <c r="F403" s="399"/>
      <c r="G403" s="1491">
        <v>1640.2860928793102</v>
      </c>
      <c r="H403" s="1491"/>
      <c r="I403" s="1542">
        <v>0</v>
      </c>
      <c r="J403" s="1491">
        <v>0</v>
      </c>
      <c r="K403" s="1542">
        <v>0</v>
      </c>
      <c r="L403" s="1491">
        <v>0</v>
      </c>
      <c r="M403" s="1492"/>
    </row>
    <row r="404" spans="1:13" ht="18" thickTop="1" thickBot="1" x14ac:dyDescent="0.35">
      <c r="A404" s="309" t="s">
        <v>273</v>
      </c>
      <c r="B404" s="1490">
        <v>2</v>
      </c>
      <c r="C404" s="1490">
        <v>2</v>
      </c>
      <c r="D404" s="1490" t="s">
        <v>319</v>
      </c>
      <c r="E404" s="309" t="s">
        <v>792</v>
      </c>
      <c r="F404" s="399"/>
      <c r="G404" s="1491">
        <v>467.05410600242266</v>
      </c>
      <c r="H404" s="1491"/>
      <c r="I404" s="1542">
        <v>0</v>
      </c>
      <c r="J404" s="1491">
        <v>0</v>
      </c>
      <c r="K404" s="1542">
        <v>0</v>
      </c>
      <c r="L404" s="1491">
        <v>0</v>
      </c>
      <c r="M404" s="1492"/>
    </row>
    <row r="405" spans="1:13" ht="18" thickTop="1" thickBot="1" x14ac:dyDescent="0.35">
      <c r="A405" s="309" t="s">
        <v>273</v>
      </c>
      <c r="B405" s="1490">
        <v>2</v>
      </c>
      <c r="C405" s="1490">
        <v>2</v>
      </c>
      <c r="D405" s="1490" t="s">
        <v>319</v>
      </c>
      <c r="E405" s="309" t="s">
        <v>793</v>
      </c>
      <c r="F405" s="399"/>
      <c r="G405" s="1491">
        <v>652.54204497970511</v>
      </c>
      <c r="H405" s="1491"/>
      <c r="I405" s="1542">
        <v>0</v>
      </c>
      <c r="J405" s="1491">
        <v>0</v>
      </c>
      <c r="K405" s="1542">
        <v>0</v>
      </c>
      <c r="L405" s="1491">
        <v>0</v>
      </c>
      <c r="M405" s="1492"/>
    </row>
    <row r="406" spans="1:13" ht="18" thickTop="1" thickBot="1" x14ac:dyDescent="0.35">
      <c r="A406" s="309" t="s">
        <v>273</v>
      </c>
      <c r="B406" s="1490">
        <v>2</v>
      </c>
      <c r="C406" s="1490">
        <v>2</v>
      </c>
      <c r="D406" s="1490" t="s">
        <v>319</v>
      </c>
      <c r="E406" s="309" t="s">
        <v>794</v>
      </c>
      <c r="F406" s="399"/>
      <c r="G406" s="1491">
        <v>590.12719925500494</v>
      </c>
      <c r="H406" s="1491"/>
      <c r="I406" s="1542">
        <v>0</v>
      </c>
      <c r="J406" s="1491">
        <v>0</v>
      </c>
      <c r="K406" s="1542">
        <v>0</v>
      </c>
      <c r="L406" s="1491">
        <v>0</v>
      </c>
      <c r="M406" s="1492"/>
    </row>
    <row r="407" spans="1:13" ht="18" thickTop="1" thickBot="1" x14ac:dyDescent="0.35">
      <c r="A407" s="309" t="s">
        <v>273</v>
      </c>
      <c r="B407" s="1490">
        <v>2</v>
      </c>
      <c r="C407" s="1490">
        <v>2</v>
      </c>
      <c r="D407" s="1490" t="s">
        <v>319</v>
      </c>
      <c r="E407" s="309" t="s">
        <v>795</v>
      </c>
      <c r="F407" s="399"/>
      <c r="G407" s="1491">
        <v>534.26507982602504</v>
      </c>
      <c r="H407" s="1491"/>
      <c r="I407" s="1542">
        <v>0</v>
      </c>
      <c r="J407" s="1491">
        <v>0</v>
      </c>
      <c r="K407" s="1542">
        <v>0</v>
      </c>
      <c r="L407" s="1491">
        <v>0</v>
      </c>
      <c r="M407" s="1492"/>
    </row>
    <row r="408" spans="1:13" ht="18" thickTop="1" thickBot="1" x14ac:dyDescent="0.35">
      <c r="A408" s="309" t="s">
        <v>273</v>
      </c>
      <c r="B408" s="1490">
        <v>2</v>
      </c>
      <c r="C408" s="1490">
        <v>2</v>
      </c>
      <c r="D408" s="1490" t="s">
        <v>319</v>
      </c>
      <c r="E408" s="309" t="s">
        <v>796</v>
      </c>
      <c r="F408" s="399"/>
      <c r="G408" s="1491">
        <v>568.10379174994648</v>
      </c>
      <c r="H408" s="1491"/>
      <c r="I408" s="1542">
        <v>0</v>
      </c>
      <c r="J408" s="1491">
        <v>0</v>
      </c>
      <c r="K408" s="1542">
        <v>0</v>
      </c>
      <c r="L408" s="1491">
        <v>0</v>
      </c>
      <c r="M408" s="1492"/>
    </row>
    <row r="409" spans="1:13" ht="18" thickTop="1" thickBot="1" x14ac:dyDescent="0.35">
      <c r="A409" s="309" t="s">
        <v>273</v>
      </c>
      <c r="B409" s="1490">
        <v>2</v>
      </c>
      <c r="C409" s="1490">
        <v>2</v>
      </c>
      <c r="D409" s="1490" t="s">
        <v>292</v>
      </c>
      <c r="E409" s="309" t="s">
        <v>797</v>
      </c>
      <c r="F409" s="399"/>
      <c r="G409" s="1491">
        <v>102.21061161875787</v>
      </c>
      <c r="H409" s="1491"/>
      <c r="I409" s="1542">
        <v>0</v>
      </c>
      <c r="J409" s="1491">
        <v>0</v>
      </c>
      <c r="K409" s="1542">
        <v>0</v>
      </c>
      <c r="L409" s="1491">
        <v>0</v>
      </c>
      <c r="M409" s="1492"/>
    </row>
    <row r="410" spans="1:13" ht="18" thickTop="1" thickBot="1" x14ac:dyDescent="0.35">
      <c r="A410" s="309" t="s">
        <v>273</v>
      </c>
      <c r="B410" s="1490">
        <v>2</v>
      </c>
      <c r="C410" s="1490">
        <v>2</v>
      </c>
      <c r="D410" s="1490" t="s">
        <v>292</v>
      </c>
      <c r="E410" s="309" t="s">
        <v>798</v>
      </c>
      <c r="F410" s="399"/>
      <c r="G410" s="1491">
        <v>191.7110870767907</v>
      </c>
      <c r="H410" s="1491"/>
      <c r="I410" s="1542">
        <v>0</v>
      </c>
      <c r="J410" s="1491">
        <v>0</v>
      </c>
      <c r="K410" s="1542">
        <v>0</v>
      </c>
      <c r="L410" s="1491">
        <v>0</v>
      </c>
      <c r="M410" s="1492"/>
    </row>
    <row r="411" spans="1:13" ht="18" thickTop="1" thickBot="1" x14ac:dyDescent="0.35">
      <c r="A411" s="309" t="s">
        <v>273</v>
      </c>
      <c r="B411" s="1490">
        <v>2</v>
      </c>
      <c r="C411" s="1490">
        <v>2</v>
      </c>
      <c r="D411" s="1490" t="s">
        <v>319</v>
      </c>
      <c r="E411" s="309" t="s">
        <v>799</v>
      </c>
      <c r="F411" s="399"/>
      <c r="G411" s="1491">
        <v>1393.3998290085829</v>
      </c>
      <c r="H411" s="1491"/>
      <c r="I411" s="1542">
        <v>0</v>
      </c>
      <c r="J411" s="1491">
        <v>0</v>
      </c>
      <c r="K411" s="1542">
        <v>0</v>
      </c>
      <c r="L411" s="1491">
        <v>0</v>
      </c>
      <c r="M411" s="1492"/>
    </row>
    <row r="412" spans="1:13" ht="18" thickTop="1" thickBot="1" x14ac:dyDescent="0.35">
      <c r="A412" s="309" t="s">
        <v>273</v>
      </c>
      <c r="B412" s="1490">
        <v>2</v>
      </c>
      <c r="C412" s="1490">
        <v>2</v>
      </c>
      <c r="D412" s="1490" t="s">
        <v>319</v>
      </c>
      <c r="E412" s="309" t="s">
        <v>800</v>
      </c>
      <c r="F412" s="399"/>
      <c r="G412" s="1491">
        <v>1158.3044214677161</v>
      </c>
      <c r="H412" s="1491"/>
      <c r="I412" s="1542">
        <v>0</v>
      </c>
      <c r="J412" s="1491">
        <v>0</v>
      </c>
      <c r="K412" s="1542">
        <v>0</v>
      </c>
      <c r="L412" s="1491">
        <v>0</v>
      </c>
      <c r="M412" s="1492"/>
    </row>
    <row r="413" spans="1:13" ht="18" thickTop="1" thickBot="1" x14ac:dyDescent="0.35">
      <c r="A413" s="309" t="s">
        <v>273</v>
      </c>
      <c r="B413" s="1490">
        <v>2</v>
      </c>
      <c r="C413" s="1490">
        <v>2</v>
      </c>
      <c r="D413" s="1490" t="s">
        <v>319</v>
      </c>
      <c r="E413" s="309" t="s">
        <v>801</v>
      </c>
      <c r="F413" s="399"/>
      <c r="G413" s="1491">
        <v>513.1227946771877</v>
      </c>
      <c r="H413" s="1491"/>
      <c r="I413" s="1542">
        <v>0</v>
      </c>
      <c r="J413" s="1491">
        <v>0</v>
      </c>
      <c r="K413" s="1542">
        <v>0</v>
      </c>
      <c r="L413" s="1491">
        <v>0</v>
      </c>
      <c r="M413" s="1492"/>
    </row>
    <row r="414" spans="1:13" ht="18" thickTop="1" thickBot="1" x14ac:dyDescent="0.35">
      <c r="A414" s="309" t="s">
        <v>273</v>
      </c>
      <c r="B414" s="1490">
        <v>2</v>
      </c>
      <c r="C414" s="1490">
        <v>2</v>
      </c>
      <c r="D414" s="1490" t="s">
        <v>319</v>
      </c>
      <c r="E414" s="309" t="s">
        <v>802</v>
      </c>
      <c r="F414" s="399"/>
      <c r="G414" s="1491">
        <v>979.84591600642261</v>
      </c>
      <c r="H414" s="1491"/>
      <c r="I414" s="1542">
        <v>0</v>
      </c>
      <c r="J414" s="1491">
        <v>0</v>
      </c>
      <c r="K414" s="1542">
        <v>0</v>
      </c>
      <c r="L414" s="1491">
        <v>0</v>
      </c>
      <c r="M414" s="1492"/>
    </row>
    <row r="415" spans="1:13" ht="18" thickTop="1" thickBot="1" x14ac:dyDescent="0.35">
      <c r="A415" s="309" t="s">
        <v>273</v>
      </c>
      <c r="B415" s="1490">
        <v>2</v>
      </c>
      <c r="C415" s="1490">
        <v>2</v>
      </c>
      <c r="D415" s="1490" t="s">
        <v>319</v>
      </c>
      <c r="E415" s="309" t="s">
        <v>803</v>
      </c>
      <c r="F415" s="399"/>
      <c r="G415" s="1491">
        <v>645.34006806649631</v>
      </c>
      <c r="H415" s="1491"/>
      <c r="I415" s="1542">
        <v>0</v>
      </c>
      <c r="J415" s="1491">
        <v>0</v>
      </c>
      <c r="K415" s="1542">
        <v>0</v>
      </c>
      <c r="L415" s="1491">
        <v>0</v>
      </c>
      <c r="M415" s="1492"/>
    </row>
    <row r="416" spans="1:13" ht="18" thickTop="1" thickBot="1" x14ac:dyDescent="0.35">
      <c r="A416" s="309" t="s">
        <v>273</v>
      </c>
      <c r="B416" s="1490">
        <v>2</v>
      </c>
      <c r="C416" s="1490">
        <v>2</v>
      </c>
      <c r="D416" s="1490" t="s">
        <v>319</v>
      </c>
      <c r="E416" s="309" t="s">
        <v>804</v>
      </c>
      <c r="F416" s="399"/>
      <c r="G416" s="1491">
        <v>653.36203938552455</v>
      </c>
      <c r="H416" s="1491"/>
      <c r="I416" s="1542">
        <v>0</v>
      </c>
      <c r="J416" s="1491">
        <v>0</v>
      </c>
      <c r="K416" s="1542">
        <v>0</v>
      </c>
      <c r="L416" s="1491">
        <v>0</v>
      </c>
      <c r="M416" s="1492"/>
    </row>
    <row r="417" spans="1:13" ht="18" thickTop="1" thickBot="1" x14ac:dyDescent="0.35">
      <c r="A417" s="1531" t="s">
        <v>273</v>
      </c>
      <c r="B417" s="1532">
        <v>2</v>
      </c>
      <c r="C417" s="1532">
        <v>2</v>
      </c>
      <c r="D417" s="1532" t="s">
        <v>319</v>
      </c>
      <c r="E417" s="1531" t="s">
        <v>805</v>
      </c>
      <c r="F417" s="399"/>
      <c r="G417" s="1491">
        <v>999.0445552921791</v>
      </c>
      <c r="H417" s="1491"/>
      <c r="I417" s="1542">
        <v>0</v>
      </c>
      <c r="J417" s="1491">
        <v>0</v>
      </c>
      <c r="K417" s="1542">
        <v>0</v>
      </c>
      <c r="L417" s="1491">
        <v>0</v>
      </c>
      <c r="M417" s="1492"/>
    </row>
    <row r="418" spans="1:13" ht="18" thickTop="1" thickBot="1" x14ac:dyDescent="0.35">
      <c r="A418" s="309" t="s">
        <v>273</v>
      </c>
      <c r="B418" s="1490">
        <v>2</v>
      </c>
      <c r="C418" s="1490">
        <v>2</v>
      </c>
      <c r="D418" s="1490" t="s">
        <v>319</v>
      </c>
      <c r="E418" s="309" t="s">
        <v>806</v>
      </c>
      <c r="F418" s="399"/>
      <c r="G418" s="1491">
        <v>508.16921585999603</v>
      </c>
      <c r="H418" s="1491"/>
      <c r="I418" s="1542">
        <v>0</v>
      </c>
      <c r="J418" s="1491">
        <v>0</v>
      </c>
      <c r="K418" s="1542">
        <v>0</v>
      </c>
      <c r="L418" s="1491">
        <v>0</v>
      </c>
      <c r="M418" s="1492"/>
    </row>
    <row r="419" spans="1:13" ht="18" thickTop="1" thickBot="1" x14ac:dyDescent="0.35">
      <c r="A419" s="309" t="s">
        <v>273</v>
      </c>
      <c r="B419" s="1490">
        <v>2</v>
      </c>
      <c r="C419" s="1490">
        <v>2</v>
      </c>
      <c r="D419" s="1490" t="s">
        <v>319</v>
      </c>
      <c r="E419" s="309" t="s">
        <v>807</v>
      </c>
      <c r="F419" s="399"/>
      <c r="G419" s="1491">
        <v>3015.9942526351683</v>
      </c>
      <c r="H419" s="1491"/>
      <c r="I419" s="1542">
        <v>0</v>
      </c>
      <c r="J419" s="1491">
        <v>0</v>
      </c>
      <c r="K419" s="1542">
        <v>0</v>
      </c>
      <c r="L419" s="1491">
        <v>0</v>
      </c>
      <c r="M419" s="1492"/>
    </row>
    <row r="420" spans="1:13" ht="18" thickTop="1" thickBot="1" x14ac:dyDescent="0.35">
      <c r="A420" s="309" t="s">
        <v>273</v>
      </c>
      <c r="B420" s="1490">
        <v>2</v>
      </c>
      <c r="C420" s="1490">
        <v>2</v>
      </c>
      <c r="D420" s="1490" t="s">
        <v>319</v>
      </c>
      <c r="E420" s="309" t="s">
        <v>808</v>
      </c>
      <c r="F420" s="399"/>
      <c r="G420" s="1491">
        <v>3067.089784737364</v>
      </c>
      <c r="H420" s="1491"/>
      <c r="I420" s="1542">
        <v>0</v>
      </c>
      <c r="J420" s="1491">
        <v>0</v>
      </c>
      <c r="K420" s="1542">
        <v>0</v>
      </c>
      <c r="L420" s="1491">
        <v>0</v>
      </c>
      <c r="M420" s="1492"/>
    </row>
    <row r="421" spans="1:13" ht="18" thickTop="1" thickBot="1" x14ac:dyDescent="0.35">
      <c r="A421" s="309" t="s">
        <v>273</v>
      </c>
      <c r="B421" s="1490">
        <v>2</v>
      </c>
      <c r="C421" s="1490">
        <v>2</v>
      </c>
      <c r="D421" s="1490" t="s">
        <v>319</v>
      </c>
      <c r="E421" s="309" t="s">
        <v>809</v>
      </c>
      <c r="F421" s="399"/>
      <c r="G421" s="1491">
        <v>1958.4377227817206</v>
      </c>
      <c r="H421" s="1491"/>
      <c r="I421" s="1542">
        <v>0</v>
      </c>
      <c r="J421" s="1491">
        <v>0</v>
      </c>
      <c r="K421" s="1542">
        <v>0</v>
      </c>
      <c r="L421" s="1491">
        <v>0</v>
      </c>
      <c r="M421" s="1492"/>
    </row>
    <row r="422" spans="1:13" ht="18" thickTop="1" thickBot="1" x14ac:dyDescent="0.35">
      <c r="A422" s="309" t="s">
        <v>273</v>
      </c>
      <c r="B422" s="1490">
        <v>2</v>
      </c>
      <c r="C422" s="1490">
        <v>2</v>
      </c>
      <c r="D422" s="1490" t="s">
        <v>319</v>
      </c>
      <c r="E422" s="309" t="s">
        <v>810</v>
      </c>
      <c r="F422" s="399"/>
      <c r="G422" s="1491">
        <v>1094.9417350966244</v>
      </c>
      <c r="H422" s="1491"/>
      <c r="I422" s="1542">
        <v>0</v>
      </c>
      <c r="J422" s="1491">
        <v>0</v>
      </c>
      <c r="K422" s="1542">
        <v>0</v>
      </c>
      <c r="L422" s="1491">
        <v>0</v>
      </c>
      <c r="M422" s="1492"/>
    </row>
    <row r="423" spans="1:13" ht="18" thickTop="1" thickBot="1" x14ac:dyDescent="0.35">
      <c r="A423" s="309" t="s">
        <v>273</v>
      </c>
      <c r="B423" s="1490">
        <v>2</v>
      </c>
      <c r="C423" s="1490">
        <v>2</v>
      </c>
      <c r="D423" s="1490" t="s">
        <v>319</v>
      </c>
      <c r="E423" s="309" t="s">
        <v>811</v>
      </c>
      <c r="F423" s="399"/>
      <c r="G423" s="1491">
        <v>572.64147950641154</v>
      </c>
      <c r="H423" s="1491"/>
      <c r="I423" s="1542">
        <v>0</v>
      </c>
      <c r="J423" s="1491">
        <v>0</v>
      </c>
      <c r="K423" s="1542">
        <v>0</v>
      </c>
      <c r="L423" s="1491">
        <v>0</v>
      </c>
      <c r="M423" s="1492"/>
    </row>
    <row r="424" spans="1:13" ht="18" thickTop="1" thickBot="1" x14ac:dyDescent="0.35">
      <c r="A424" s="309" t="s">
        <v>273</v>
      </c>
      <c r="B424" s="1490">
        <v>2</v>
      </c>
      <c r="C424" s="1490">
        <v>2</v>
      </c>
      <c r="D424" s="1490" t="s">
        <v>319</v>
      </c>
      <c r="E424" s="309" t="s">
        <v>812</v>
      </c>
      <c r="F424" s="399"/>
      <c r="G424" s="1491">
        <v>666.67201776496927</v>
      </c>
      <c r="H424" s="1491"/>
      <c r="I424" s="1542">
        <v>0</v>
      </c>
      <c r="J424" s="1491">
        <v>0</v>
      </c>
      <c r="K424" s="1542">
        <v>0</v>
      </c>
      <c r="L424" s="1491">
        <v>0</v>
      </c>
      <c r="M424" s="1492"/>
    </row>
    <row r="425" spans="1:13" ht="18" thickTop="1" thickBot="1" x14ac:dyDescent="0.35">
      <c r="A425" s="309" t="s">
        <v>273</v>
      </c>
      <c r="B425" s="1490">
        <v>2</v>
      </c>
      <c r="C425" s="1490">
        <v>2</v>
      </c>
      <c r="D425" s="1490" t="s">
        <v>319</v>
      </c>
      <c r="E425" s="309" t="s">
        <v>813</v>
      </c>
      <c r="F425" s="399"/>
      <c r="G425" s="1491">
        <v>671.90552423887937</v>
      </c>
      <c r="H425" s="1491"/>
      <c r="I425" s="1542">
        <v>0</v>
      </c>
      <c r="J425" s="1491">
        <v>0</v>
      </c>
      <c r="K425" s="1542">
        <v>0</v>
      </c>
      <c r="L425" s="1491">
        <v>0</v>
      </c>
      <c r="M425" s="1492"/>
    </row>
    <row r="426" spans="1:13" ht="18" thickTop="1" thickBot="1" x14ac:dyDescent="0.35">
      <c r="A426" s="309" t="s">
        <v>273</v>
      </c>
      <c r="B426" s="1490">
        <v>2</v>
      </c>
      <c r="C426" s="1490">
        <v>2</v>
      </c>
      <c r="D426" s="1490" t="s">
        <v>319</v>
      </c>
      <c r="E426" s="309" t="s">
        <v>814</v>
      </c>
      <c r="F426" s="399"/>
      <c r="G426" s="1491">
        <v>432.88610488576472</v>
      </c>
      <c r="H426" s="1491"/>
      <c r="I426" s="1542">
        <v>0</v>
      </c>
      <c r="J426" s="1491">
        <v>0</v>
      </c>
      <c r="K426" s="1542">
        <v>0</v>
      </c>
      <c r="L426" s="1491">
        <v>0</v>
      </c>
      <c r="M426" s="1492"/>
    </row>
    <row r="427" spans="1:13" ht="18" thickTop="1" thickBot="1" x14ac:dyDescent="0.35">
      <c r="A427" s="309" t="s">
        <v>273</v>
      </c>
      <c r="B427" s="1490">
        <v>2</v>
      </c>
      <c r="C427" s="1490">
        <v>2</v>
      </c>
      <c r="D427" s="1490" t="s">
        <v>319</v>
      </c>
      <c r="E427" s="309" t="s">
        <v>815</v>
      </c>
      <c r="F427" s="399"/>
      <c r="G427" s="1491">
        <v>1199.2267795804887</v>
      </c>
      <c r="H427" s="1491"/>
      <c r="I427" s="1542">
        <v>0</v>
      </c>
      <c r="J427" s="1491">
        <v>0</v>
      </c>
      <c r="K427" s="1542">
        <v>0</v>
      </c>
      <c r="L427" s="1491">
        <v>0</v>
      </c>
      <c r="M427" s="1492"/>
    </row>
    <row r="428" spans="1:13" ht="18" thickTop="1" thickBot="1" x14ac:dyDescent="0.35">
      <c r="A428" s="309" t="s">
        <v>273</v>
      </c>
      <c r="B428" s="1490">
        <v>2</v>
      </c>
      <c r="C428" s="1490">
        <v>2</v>
      </c>
      <c r="D428" s="1490" t="s">
        <v>319</v>
      </c>
      <c r="E428" s="309" t="s">
        <v>816</v>
      </c>
      <c r="F428" s="399"/>
      <c r="G428" s="1491">
        <v>649.33769749528483</v>
      </c>
      <c r="H428" s="1491"/>
      <c r="I428" s="1542">
        <v>0</v>
      </c>
      <c r="J428" s="1491">
        <v>0</v>
      </c>
      <c r="K428" s="1542">
        <v>0</v>
      </c>
      <c r="L428" s="1491">
        <v>0</v>
      </c>
      <c r="M428" s="1492"/>
    </row>
    <row r="429" spans="1:13" ht="18" thickTop="1" thickBot="1" x14ac:dyDescent="0.35">
      <c r="A429" s="309" t="s">
        <v>273</v>
      </c>
      <c r="B429" s="1490">
        <v>2</v>
      </c>
      <c r="C429" s="1490">
        <v>2</v>
      </c>
      <c r="D429" s="1490" t="s">
        <v>319</v>
      </c>
      <c r="E429" s="309" t="s">
        <v>817</v>
      </c>
      <c r="F429" s="399"/>
      <c r="G429" s="1491">
        <v>625.86911726223479</v>
      </c>
      <c r="H429" s="1491"/>
      <c r="I429" s="1542">
        <v>0</v>
      </c>
      <c r="J429" s="1491">
        <v>0</v>
      </c>
      <c r="K429" s="1542">
        <v>0</v>
      </c>
      <c r="L429" s="1491">
        <v>0</v>
      </c>
      <c r="M429" s="1492"/>
    </row>
    <row r="430" spans="1:13" ht="18" thickTop="1" thickBot="1" x14ac:dyDescent="0.35">
      <c r="A430" s="309" t="s">
        <v>273</v>
      </c>
      <c r="B430" s="1490">
        <v>2</v>
      </c>
      <c r="C430" s="1490">
        <v>2</v>
      </c>
      <c r="D430" s="1490" t="s">
        <v>319</v>
      </c>
      <c r="E430" s="309" t="s">
        <v>818</v>
      </c>
      <c r="F430" s="399"/>
      <c r="G430" s="1491">
        <v>140.52561316962797</v>
      </c>
      <c r="H430" s="1491"/>
      <c r="I430" s="1542">
        <v>0</v>
      </c>
      <c r="J430" s="1491">
        <v>0</v>
      </c>
      <c r="K430" s="1542">
        <v>0</v>
      </c>
      <c r="L430" s="1491">
        <v>0</v>
      </c>
      <c r="M430" s="1492"/>
    </row>
    <row r="431" spans="1:13" ht="18" thickTop="1" thickBot="1" x14ac:dyDescent="0.35">
      <c r="A431" s="309" t="s">
        <v>273</v>
      </c>
      <c r="B431" s="1490">
        <v>2</v>
      </c>
      <c r="C431" s="1490">
        <v>2</v>
      </c>
      <c r="D431" s="1490" t="s">
        <v>319</v>
      </c>
      <c r="E431" s="309" t="s">
        <v>819</v>
      </c>
      <c r="F431" s="399"/>
      <c r="G431" s="1491">
        <v>2001.9332867964786</v>
      </c>
      <c r="H431" s="1491"/>
      <c r="I431" s="1542">
        <v>0</v>
      </c>
      <c r="J431" s="1491">
        <v>0</v>
      </c>
      <c r="K431" s="1542">
        <v>0</v>
      </c>
      <c r="L431" s="1491">
        <v>0</v>
      </c>
      <c r="M431" s="1492"/>
    </row>
    <row r="432" spans="1:13" ht="18" thickTop="1" thickBot="1" x14ac:dyDescent="0.35">
      <c r="A432" s="309" t="s">
        <v>273</v>
      </c>
      <c r="B432" s="1490">
        <v>2</v>
      </c>
      <c r="C432" s="1490">
        <v>2</v>
      </c>
      <c r="D432" s="1490" t="s">
        <v>319</v>
      </c>
      <c r="E432" s="309" t="s">
        <v>820</v>
      </c>
      <c r="F432" s="399"/>
      <c r="G432" s="1491">
        <v>2.8722719395262937</v>
      </c>
      <c r="H432" s="1491"/>
      <c r="I432" s="1542">
        <v>0</v>
      </c>
      <c r="J432" s="1491">
        <v>0</v>
      </c>
      <c r="K432" s="1542">
        <v>0</v>
      </c>
      <c r="L432" s="1491">
        <v>0</v>
      </c>
      <c r="M432" s="1492"/>
    </row>
    <row r="433" spans="1:13" ht="18" thickTop="1" thickBot="1" x14ac:dyDescent="0.35">
      <c r="A433" s="309" t="s">
        <v>273</v>
      </c>
      <c r="B433" s="1490">
        <v>2</v>
      </c>
      <c r="C433" s="1490">
        <v>2</v>
      </c>
      <c r="D433" s="1490" t="s">
        <v>319</v>
      </c>
      <c r="E433" s="309" t="s">
        <v>821</v>
      </c>
      <c r="F433" s="399"/>
      <c r="G433" s="1491">
        <v>1556.5765106413994</v>
      </c>
      <c r="H433" s="1491"/>
      <c r="I433" s="1542">
        <v>0</v>
      </c>
      <c r="J433" s="1491">
        <v>0</v>
      </c>
      <c r="K433" s="1542">
        <v>0</v>
      </c>
      <c r="L433" s="1491">
        <v>0</v>
      </c>
      <c r="M433" s="1492"/>
    </row>
    <row r="434" spans="1:13" ht="18" thickTop="1" thickBot="1" x14ac:dyDescent="0.35">
      <c r="A434" s="309" t="s">
        <v>273</v>
      </c>
      <c r="B434" s="1490">
        <v>2</v>
      </c>
      <c r="C434" s="1490">
        <v>2</v>
      </c>
      <c r="D434" s="1490" t="s">
        <v>319</v>
      </c>
      <c r="E434" s="309" t="s">
        <v>822</v>
      </c>
      <c r="F434" s="399"/>
      <c r="G434" s="1491">
        <v>85.832734827408842</v>
      </c>
      <c r="H434" s="1491"/>
      <c r="I434" s="1542">
        <v>0</v>
      </c>
      <c r="J434" s="1491">
        <v>0</v>
      </c>
      <c r="K434" s="1542">
        <v>0</v>
      </c>
      <c r="L434" s="1491">
        <v>0</v>
      </c>
      <c r="M434" s="1492"/>
    </row>
    <row r="435" spans="1:13" ht="18" thickTop="1" thickBot="1" x14ac:dyDescent="0.35">
      <c r="A435" s="309" t="s">
        <v>273</v>
      </c>
      <c r="B435" s="1490">
        <v>2</v>
      </c>
      <c r="C435" s="1490">
        <v>2</v>
      </c>
      <c r="D435" s="1490" t="s">
        <v>319</v>
      </c>
      <c r="E435" s="309" t="s">
        <v>823</v>
      </c>
      <c r="F435" s="399"/>
      <c r="G435" s="1491">
        <v>2560.1710803768487</v>
      </c>
      <c r="H435" s="1491"/>
      <c r="I435" s="1542">
        <v>0</v>
      </c>
      <c r="J435" s="1491">
        <v>0</v>
      </c>
      <c r="K435" s="1542">
        <v>0</v>
      </c>
      <c r="L435" s="1491">
        <v>0</v>
      </c>
      <c r="M435" s="1492"/>
    </row>
    <row r="436" spans="1:13" ht="18" thickTop="1" thickBot="1" x14ac:dyDescent="0.35">
      <c r="A436" s="309" t="s">
        <v>273</v>
      </c>
      <c r="B436" s="1490">
        <v>2</v>
      </c>
      <c r="C436" s="1490">
        <v>2</v>
      </c>
      <c r="D436" s="1490" t="s">
        <v>319</v>
      </c>
      <c r="E436" s="309" t="s">
        <v>824</v>
      </c>
      <c r="F436" s="399"/>
      <c r="G436" s="1491">
        <v>492.55135995275742</v>
      </c>
      <c r="H436" s="1491"/>
      <c r="I436" s="1542">
        <v>0</v>
      </c>
      <c r="J436" s="1491">
        <v>0</v>
      </c>
      <c r="K436" s="1542">
        <v>0</v>
      </c>
      <c r="L436" s="1491">
        <v>0</v>
      </c>
      <c r="M436" s="1492"/>
    </row>
    <row r="437" spans="1:13" ht="18" thickTop="1" thickBot="1" x14ac:dyDescent="0.35">
      <c r="A437" s="309" t="s">
        <v>273</v>
      </c>
      <c r="B437" s="1490">
        <v>2</v>
      </c>
      <c r="C437" s="1490">
        <v>2</v>
      </c>
      <c r="D437" s="1490" t="s">
        <v>319</v>
      </c>
      <c r="E437" s="309" t="s">
        <v>825</v>
      </c>
      <c r="F437" s="399"/>
      <c r="G437" s="1491">
        <v>428.87570253374525</v>
      </c>
      <c r="H437" s="1491"/>
      <c r="I437" s="1542">
        <v>0</v>
      </c>
      <c r="J437" s="1491">
        <v>0</v>
      </c>
      <c r="K437" s="1542">
        <v>0</v>
      </c>
      <c r="L437" s="1491">
        <v>0</v>
      </c>
      <c r="M437" s="1492"/>
    </row>
    <row r="438" spans="1:13" ht="18" thickTop="1" thickBot="1" x14ac:dyDescent="0.35">
      <c r="A438" s="309" t="s">
        <v>273</v>
      </c>
      <c r="B438" s="1490">
        <v>2</v>
      </c>
      <c r="C438" s="1490">
        <v>2</v>
      </c>
      <c r="D438" s="1490" t="s">
        <v>319</v>
      </c>
      <c r="E438" s="309" t="s">
        <v>826</v>
      </c>
      <c r="F438" s="399"/>
      <c r="G438" s="1491">
        <v>616.75068706767104</v>
      </c>
      <c r="H438" s="1491"/>
      <c r="I438" s="1542">
        <v>0</v>
      </c>
      <c r="J438" s="1491">
        <v>0</v>
      </c>
      <c r="K438" s="1542">
        <v>0</v>
      </c>
      <c r="L438" s="1491">
        <v>0</v>
      </c>
      <c r="M438" s="1492"/>
    </row>
    <row r="439" spans="1:13" ht="18" thickTop="1" thickBot="1" x14ac:dyDescent="0.35">
      <c r="A439" s="309" t="s">
        <v>273</v>
      </c>
      <c r="B439" s="1490">
        <v>2</v>
      </c>
      <c r="C439" s="1490">
        <v>2</v>
      </c>
      <c r="D439" s="1490" t="s">
        <v>319</v>
      </c>
      <c r="E439" s="309" t="s">
        <v>827</v>
      </c>
      <c r="F439" s="399"/>
      <c r="G439" s="1491">
        <v>725.42578054006924</v>
      </c>
      <c r="H439" s="1491"/>
      <c r="I439" s="1542">
        <v>0</v>
      </c>
      <c r="J439" s="1491">
        <v>0</v>
      </c>
      <c r="K439" s="1542">
        <v>0</v>
      </c>
      <c r="L439" s="1491">
        <v>0</v>
      </c>
      <c r="M439" s="1492"/>
    </row>
    <row r="440" spans="1:13" ht="18" thickTop="1" thickBot="1" x14ac:dyDescent="0.35">
      <c r="A440" s="309" t="s">
        <v>273</v>
      </c>
      <c r="B440" s="1490">
        <v>2</v>
      </c>
      <c r="C440" s="1490">
        <v>2</v>
      </c>
      <c r="D440" s="1490" t="s">
        <v>319</v>
      </c>
      <c r="E440" s="309" t="s">
        <v>828</v>
      </c>
      <c r="F440" s="399"/>
      <c r="G440" s="1491">
        <v>758.31162908184558</v>
      </c>
      <c r="H440" s="1491"/>
      <c r="I440" s="1542">
        <v>0</v>
      </c>
      <c r="J440" s="1491">
        <v>0</v>
      </c>
      <c r="K440" s="1542">
        <v>0</v>
      </c>
      <c r="L440" s="1491">
        <v>0</v>
      </c>
      <c r="M440" s="1492"/>
    </row>
    <row r="441" spans="1:13" ht="18" thickTop="1" thickBot="1" x14ac:dyDescent="0.35">
      <c r="A441" s="309" t="s">
        <v>273</v>
      </c>
      <c r="B441" s="1490">
        <v>2</v>
      </c>
      <c r="C441" s="1490">
        <v>2</v>
      </c>
      <c r="D441" s="1490" t="s">
        <v>319</v>
      </c>
      <c r="E441" s="309" t="s">
        <v>829</v>
      </c>
      <c r="F441" s="399"/>
      <c r="G441" s="1491">
        <v>119.30445830852145</v>
      </c>
      <c r="H441" s="1491"/>
      <c r="I441" s="1542">
        <v>0</v>
      </c>
      <c r="J441" s="1491">
        <v>0</v>
      </c>
      <c r="K441" s="1542">
        <v>0</v>
      </c>
      <c r="L441" s="1491">
        <v>0</v>
      </c>
      <c r="M441" s="1492"/>
    </row>
    <row r="442" spans="1:13" ht="18" thickTop="1" thickBot="1" x14ac:dyDescent="0.35">
      <c r="A442" s="309" t="s">
        <v>273</v>
      </c>
      <c r="B442" s="1490">
        <v>2</v>
      </c>
      <c r="C442" s="1490">
        <v>2</v>
      </c>
      <c r="D442" s="1490" t="s">
        <v>319</v>
      </c>
      <c r="E442" s="309" t="s">
        <v>830</v>
      </c>
      <c r="F442" s="399"/>
      <c r="G442" s="1491">
        <v>577.03456981811564</v>
      </c>
      <c r="H442" s="1491"/>
      <c r="I442" s="1542">
        <v>0</v>
      </c>
      <c r="J442" s="1491">
        <v>0</v>
      </c>
      <c r="K442" s="1542">
        <v>0</v>
      </c>
      <c r="L442" s="1491">
        <v>0</v>
      </c>
      <c r="M442" s="1492"/>
    </row>
    <row r="443" spans="1:13" ht="18" thickTop="1" thickBot="1" x14ac:dyDescent="0.35">
      <c r="A443" s="309" t="s">
        <v>273</v>
      </c>
      <c r="B443" s="1490">
        <v>2</v>
      </c>
      <c r="C443" s="1490">
        <v>2</v>
      </c>
      <c r="D443" s="1490" t="s">
        <v>319</v>
      </c>
      <c r="E443" s="309" t="s">
        <v>831</v>
      </c>
      <c r="F443" s="399"/>
      <c r="G443" s="1491">
        <v>33.456274328234841</v>
      </c>
      <c r="H443" s="1491"/>
      <c r="I443" s="1542">
        <v>0</v>
      </c>
      <c r="J443" s="1491">
        <v>0</v>
      </c>
      <c r="K443" s="1542">
        <v>0</v>
      </c>
      <c r="L443" s="1491">
        <v>0</v>
      </c>
      <c r="M443" s="1492"/>
    </row>
    <row r="444" spans="1:13" ht="18" thickTop="1" thickBot="1" x14ac:dyDescent="0.35">
      <c r="A444" s="309" t="s">
        <v>273</v>
      </c>
      <c r="B444" s="1490">
        <v>2</v>
      </c>
      <c r="C444" s="1490">
        <v>2</v>
      </c>
      <c r="D444" s="1490" t="s">
        <v>319</v>
      </c>
      <c r="E444" s="309" t="s">
        <v>832</v>
      </c>
      <c r="F444" s="399"/>
      <c r="G444" s="1491">
        <v>485.62809731760245</v>
      </c>
      <c r="H444" s="1491"/>
      <c r="I444" s="1542">
        <v>0</v>
      </c>
      <c r="J444" s="1491">
        <v>0</v>
      </c>
      <c r="K444" s="1542">
        <v>0</v>
      </c>
      <c r="L444" s="1491">
        <v>0</v>
      </c>
      <c r="M444" s="1492"/>
    </row>
    <row r="445" spans="1:13" ht="18" thickTop="1" thickBot="1" x14ac:dyDescent="0.35">
      <c r="A445" s="309" t="s">
        <v>273</v>
      </c>
      <c r="B445" s="1490">
        <v>2</v>
      </c>
      <c r="C445" s="1490">
        <v>2</v>
      </c>
      <c r="D445" s="1490" t="s">
        <v>319</v>
      </c>
      <c r="E445" s="309" t="s">
        <v>833</v>
      </c>
      <c r="F445" s="399"/>
      <c r="G445" s="1491">
        <v>2407.6200182258931</v>
      </c>
      <c r="H445" s="1491"/>
      <c r="I445" s="1542">
        <v>0</v>
      </c>
      <c r="J445" s="1491">
        <v>0</v>
      </c>
      <c r="K445" s="1542">
        <v>0</v>
      </c>
      <c r="L445" s="1491">
        <v>0</v>
      </c>
      <c r="M445" s="1492"/>
    </row>
    <row r="446" spans="1:13" ht="18" thickTop="1" thickBot="1" x14ac:dyDescent="0.35">
      <c r="A446" s="309" t="s">
        <v>273</v>
      </c>
      <c r="B446" s="1490">
        <v>2</v>
      </c>
      <c r="C446" s="1490">
        <v>2</v>
      </c>
      <c r="D446" s="1490" t="s">
        <v>319</v>
      </c>
      <c r="E446" s="309" t="s">
        <v>834</v>
      </c>
      <c r="F446" s="399"/>
      <c r="G446" s="1491">
        <v>1035.563197930504</v>
      </c>
      <c r="H446" s="1491"/>
      <c r="I446" s="1542">
        <v>0</v>
      </c>
      <c r="J446" s="1491">
        <v>0</v>
      </c>
      <c r="K446" s="1542">
        <v>0</v>
      </c>
      <c r="L446" s="1491">
        <v>0</v>
      </c>
      <c r="M446" s="1492"/>
    </row>
    <row r="447" spans="1:13" ht="18" thickTop="1" thickBot="1" x14ac:dyDescent="0.35">
      <c r="A447" s="309" t="s">
        <v>273</v>
      </c>
      <c r="B447" s="1490">
        <v>2</v>
      </c>
      <c r="C447" s="1490">
        <v>2</v>
      </c>
      <c r="D447" s="1490" t="s">
        <v>319</v>
      </c>
      <c r="E447" s="309" t="s">
        <v>835</v>
      </c>
      <c r="F447" s="399"/>
      <c r="G447" s="1491">
        <v>706.77878171578857</v>
      </c>
      <c r="H447" s="1491"/>
      <c r="I447" s="1542">
        <v>0</v>
      </c>
      <c r="J447" s="1491">
        <v>0</v>
      </c>
      <c r="K447" s="1542">
        <v>0</v>
      </c>
      <c r="L447" s="1491">
        <v>0</v>
      </c>
      <c r="M447" s="1492"/>
    </row>
    <row r="448" spans="1:13" ht="18" thickTop="1" thickBot="1" x14ac:dyDescent="0.35">
      <c r="A448" s="309" t="s">
        <v>273</v>
      </c>
      <c r="B448" s="1490">
        <v>2</v>
      </c>
      <c r="C448" s="1490">
        <v>2</v>
      </c>
      <c r="D448" s="1490" t="s">
        <v>319</v>
      </c>
      <c r="E448" s="309" t="s">
        <v>836</v>
      </c>
      <c r="F448" s="399"/>
      <c r="G448" s="1491">
        <v>1264.1601002699374</v>
      </c>
      <c r="H448" s="1491"/>
      <c r="I448" s="1542">
        <v>0</v>
      </c>
      <c r="J448" s="1491">
        <v>0</v>
      </c>
      <c r="K448" s="1542">
        <v>0</v>
      </c>
      <c r="L448" s="1491">
        <v>0</v>
      </c>
      <c r="M448" s="1492"/>
    </row>
    <row r="449" spans="1:13" ht="18" thickTop="1" thickBot="1" x14ac:dyDescent="0.35">
      <c r="A449" s="309" t="s">
        <v>273</v>
      </c>
      <c r="B449" s="1490">
        <v>2</v>
      </c>
      <c r="C449" s="1490">
        <v>2</v>
      </c>
      <c r="D449" s="1490" t="s">
        <v>319</v>
      </c>
      <c r="E449" s="309" t="s">
        <v>837</v>
      </c>
      <c r="F449" s="399"/>
      <c r="G449" s="1491">
        <v>717.69448588498142</v>
      </c>
      <c r="H449" s="1491"/>
      <c r="I449" s="1542">
        <v>0</v>
      </c>
      <c r="J449" s="1491">
        <v>0</v>
      </c>
      <c r="K449" s="1542">
        <v>0</v>
      </c>
      <c r="L449" s="1491">
        <v>0</v>
      </c>
      <c r="M449" s="1492"/>
    </row>
    <row r="450" spans="1:13" ht="18" thickTop="1" thickBot="1" x14ac:dyDescent="0.35">
      <c r="A450" s="309" t="s">
        <v>273</v>
      </c>
      <c r="B450" s="1490">
        <v>2</v>
      </c>
      <c r="C450" s="1490">
        <v>2</v>
      </c>
      <c r="D450" s="1490" t="s">
        <v>319</v>
      </c>
      <c r="E450" s="309" t="s">
        <v>838</v>
      </c>
      <c r="F450" s="399"/>
      <c r="G450" s="1491">
        <v>451.95737438542773</v>
      </c>
      <c r="H450" s="1491"/>
      <c r="I450" s="1542">
        <v>0</v>
      </c>
      <c r="J450" s="1491">
        <v>0</v>
      </c>
      <c r="K450" s="1542">
        <v>0</v>
      </c>
      <c r="L450" s="1491">
        <v>0</v>
      </c>
      <c r="M450" s="1492"/>
    </row>
    <row r="451" spans="1:13" ht="18" thickTop="1" thickBot="1" x14ac:dyDescent="0.35">
      <c r="A451" s="309" t="s">
        <v>273</v>
      </c>
      <c r="B451" s="1490">
        <v>2</v>
      </c>
      <c r="C451" s="1490">
        <v>2</v>
      </c>
      <c r="D451" s="1490" t="s">
        <v>319</v>
      </c>
      <c r="E451" s="309" t="s">
        <v>839</v>
      </c>
      <c r="F451" s="399"/>
      <c r="G451" s="1491">
        <v>577.39088326316289</v>
      </c>
      <c r="H451" s="1491"/>
      <c r="I451" s="1542">
        <v>0</v>
      </c>
      <c r="J451" s="1491">
        <v>0</v>
      </c>
      <c r="K451" s="1542">
        <v>0</v>
      </c>
      <c r="L451" s="1491">
        <v>0</v>
      </c>
      <c r="M451" s="1492"/>
    </row>
    <row r="452" spans="1:13" ht="18" thickTop="1" thickBot="1" x14ac:dyDescent="0.35">
      <c r="A452" s="309" t="s">
        <v>273</v>
      </c>
      <c r="B452" s="1490">
        <v>2</v>
      </c>
      <c r="C452" s="1490">
        <v>2</v>
      </c>
      <c r="D452" s="1490" t="s">
        <v>319</v>
      </c>
      <c r="E452" s="309" t="s">
        <v>840</v>
      </c>
      <c r="F452" s="399"/>
      <c r="G452" s="1491">
        <v>591.34238396832279</v>
      </c>
      <c r="H452" s="1491"/>
      <c r="I452" s="1542">
        <v>0</v>
      </c>
      <c r="J452" s="1491">
        <v>0</v>
      </c>
      <c r="K452" s="1542">
        <v>0</v>
      </c>
      <c r="L452" s="1491">
        <v>0</v>
      </c>
      <c r="M452" s="1492"/>
    </row>
    <row r="453" spans="1:13" ht="18" thickTop="1" thickBot="1" x14ac:dyDescent="0.35">
      <c r="A453" s="309" t="s">
        <v>273</v>
      </c>
      <c r="B453" s="1490">
        <v>2</v>
      </c>
      <c r="C453" s="1490">
        <v>2</v>
      </c>
      <c r="D453" s="1490" t="s">
        <v>319</v>
      </c>
      <c r="E453" s="309" t="s">
        <v>841</v>
      </c>
      <c r="F453" s="399"/>
      <c r="G453" s="1491">
        <v>399.98881251970295</v>
      </c>
      <c r="H453" s="1491"/>
      <c r="I453" s="1542">
        <v>0</v>
      </c>
      <c r="J453" s="1491">
        <v>0</v>
      </c>
      <c r="K453" s="1542">
        <v>0</v>
      </c>
      <c r="L453" s="1491">
        <v>0</v>
      </c>
      <c r="M453" s="1492"/>
    </row>
    <row r="454" spans="1:13" ht="18" thickTop="1" thickBot="1" x14ac:dyDescent="0.35">
      <c r="A454" s="309" t="s">
        <v>273</v>
      </c>
      <c r="B454" s="1490">
        <v>2</v>
      </c>
      <c r="C454" s="1490">
        <v>2</v>
      </c>
      <c r="D454" s="1490" t="s">
        <v>319</v>
      </c>
      <c r="E454" s="309" t="s">
        <v>842</v>
      </c>
      <c r="F454" s="399"/>
      <c r="G454" s="1491">
        <v>566.04400522826927</v>
      </c>
      <c r="H454" s="1491"/>
      <c r="I454" s="1542">
        <v>0</v>
      </c>
      <c r="J454" s="1491">
        <v>0</v>
      </c>
      <c r="K454" s="1542">
        <v>0</v>
      </c>
      <c r="L454" s="1491">
        <v>0</v>
      </c>
      <c r="M454" s="1492"/>
    </row>
    <row r="455" spans="1:13" ht="18" thickTop="1" thickBot="1" x14ac:dyDescent="0.35">
      <c r="A455" s="309" t="s">
        <v>273</v>
      </c>
      <c r="B455" s="1490">
        <v>2</v>
      </c>
      <c r="C455" s="1490">
        <v>2</v>
      </c>
      <c r="D455" s="1490" t="s">
        <v>319</v>
      </c>
      <c r="E455" s="309" t="s">
        <v>843</v>
      </c>
      <c r="F455" s="399"/>
      <c r="G455" s="1491">
        <v>579.4283633136389</v>
      </c>
      <c r="H455" s="1491"/>
      <c r="I455" s="1542"/>
      <c r="J455" s="1491"/>
      <c r="K455" s="1542"/>
      <c r="L455" s="1491"/>
      <c r="M455" s="1492"/>
    </row>
    <row r="456" spans="1:13" ht="18" thickTop="1" thickBot="1" x14ac:dyDescent="0.35">
      <c r="A456" s="309" t="s">
        <v>273</v>
      </c>
      <c r="B456" s="1490">
        <v>2</v>
      </c>
      <c r="C456" s="1490">
        <v>2</v>
      </c>
      <c r="D456" s="1490" t="s">
        <v>319</v>
      </c>
      <c r="E456" s="309" t="s">
        <v>844</v>
      </c>
      <c r="F456" s="399"/>
      <c r="G456" s="1491">
        <v>580.83971352004392</v>
      </c>
      <c r="H456" s="1491"/>
      <c r="I456" s="1542">
        <v>0</v>
      </c>
      <c r="J456" s="1491">
        <v>0</v>
      </c>
      <c r="K456" s="1542">
        <v>0</v>
      </c>
      <c r="L456" s="1491">
        <v>0</v>
      </c>
      <c r="M456" s="1492"/>
    </row>
    <row r="457" spans="1:13" ht="18" thickTop="1" thickBot="1" x14ac:dyDescent="0.35">
      <c r="A457" s="309" t="s">
        <v>273</v>
      </c>
      <c r="B457" s="1490">
        <v>2</v>
      </c>
      <c r="C457" s="1490">
        <v>2</v>
      </c>
      <c r="D457" s="1490" t="s">
        <v>319</v>
      </c>
      <c r="E457" s="309" t="s">
        <v>845</v>
      </c>
      <c r="F457" s="399"/>
      <c r="G457" s="1491">
        <v>824.88971026115962</v>
      </c>
      <c r="H457" s="1491"/>
      <c r="I457" s="1542">
        <v>0</v>
      </c>
      <c r="J457" s="1491">
        <v>0</v>
      </c>
      <c r="K457" s="1542">
        <v>0</v>
      </c>
      <c r="L457" s="1491">
        <v>0</v>
      </c>
      <c r="M457" s="1492"/>
    </row>
    <row r="458" spans="1:13" ht="18" thickTop="1" thickBot="1" x14ac:dyDescent="0.35">
      <c r="A458" s="309" t="s">
        <v>273</v>
      </c>
      <c r="B458" s="1490">
        <v>2</v>
      </c>
      <c r="C458" s="1490">
        <v>2</v>
      </c>
      <c r="D458" s="1490" t="s">
        <v>319</v>
      </c>
      <c r="E458" s="309" t="s">
        <v>846</v>
      </c>
      <c r="F458" s="309"/>
      <c r="G458" s="1491">
        <v>380.87549464910251</v>
      </c>
      <c r="H458" s="1491"/>
      <c r="I458" s="1542">
        <v>0</v>
      </c>
      <c r="J458" s="1491">
        <v>0</v>
      </c>
      <c r="K458" s="1542"/>
      <c r="L458" s="1491">
        <v>0</v>
      </c>
      <c r="M458" s="1492"/>
    </row>
    <row r="459" spans="1:13" ht="18" thickTop="1" thickBot="1" x14ac:dyDescent="0.35">
      <c r="A459" s="309" t="s">
        <v>273</v>
      </c>
      <c r="B459" s="1490">
        <v>2</v>
      </c>
      <c r="C459" s="1490">
        <v>2</v>
      </c>
      <c r="D459" s="1490" t="s">
        <v>319</v>
      </c>
      <c r="E459" s="309" t="s">
        <v>847</v>
      </c>
      <c r="F459" s="399"/>
      <c r="G459" s="1491">
        <v>474.00295312351665</v>
      </c>
      <c r="H459" s="1491"/>
      <c r="I459" s="1542">
        <v>0</v>
      </c>
      <c r="J459" s="1491">
        <v>0</v>
      </c>
      <c r="K459" s="1542">
        <v>0</v>
      </c>
      <c r="L459" s="1491">
        <v>0</v>
      </c>
      <c r="M459" s="1492"/>
    </row>
    <row r="460" spans="1:13" ht="18" thickTop="1" thickBot="1" x14ac:dyDescent="0.35">
      <c r="A460" s="309" t="s">
        <v>273</v>
      </c>
      <c r="B460" s="1490">
        <v>2</v>
      </c>
      <c r="C460" s="1490">
        <v>2</v>
      </c>
      <c r="D460" s="1490" t="s">
        <v>319</v>
      </c>
      <c r="E460" s="309" t="s">
        <v>848</v>
      </c>
      <c r="F460" s="399"/>
      <c r="G460" s="1491">
        <v>238.06231305912934</v>
      </c>
      <c r="H460" s="1491"/>
      <c r="I460" s="1542">
        <v>0</v>
      </c>
      <c r="J460" s="1491">
        <v>0</v>
      </c>
      <c r="K460" s="1542">
        <v>0</v>
      </c>
      <c r="L460" s="1491">
        <v>0</v>
      </c>
      <c r="M460" s="1492"/>
    </row>
    <row r="461" spans="1:13" ht="18" thickTop="1" thickBot="1" x14ac:dyDescent="0.35">
      <c r="A461" s="309" t="s">
        <v>273</v>
      </c>
      <c r="B461" s="1490">
        <v>2</v>
      </c>
      <c r="C461" s="1490">
        <v>2</v>
      </c>
      <c r="D461" s="1490" t="s">
        <v>319</v>
      </c>
      <c r="E461" s="309" t="s">
        <v>849</v>
      </c>
      <c r="F461" s="399"/>
      <c r="G461" s="1491">
        <v>391.46337079225646</v>
      </c>
      <c r="H461" s="1491"/>
      <c r="I461" s="1542">
        <v>0</v>
      </c>
      <c r="J461" s="1491">
        <v>0</v>
      </c>
      <c r="K461" s="1542">
        <v>0</v>
      </c>
      <c r="L461" s="1491">
        <v>0</v>
      </c>
      <c r="M461" s="1492"/>
    </row>
    <row r="462" spans="1:13" ht="18" thickTop="1" thickBot="1" x14ac:dyDescent="0.35">
      <c r="A462" s="309" t="s">
        <v>273</v>
      </c>
      <c r="B462" s="1490">
        <v>2</v>
      </c>
      <c r="C462" s="1490">
        <v>2</v>
      </c>
      <c r="D462" s="1490" t="s">
        <v>319</v>
      </c>
      <c r="E462" s="309" t="s">
        <v>850</v>
      </c>
      <c r="F462" s="399"/>
      <c r="G462" s="1491">
        <v>469.444159890067</v>
      </c>
      <c r="H462" s="1491"/>
      <c r="I462" s="1542">
        <v>0</v>
      </c>
      <c r="J462" s="1491">
        <v>0</v>
      </c>
      <c r="K462" s="1542">
        <v>0</v>
      </c>
      <c r="L462" s="1491">
        <v>0</v>
      </c>
      <c r="M462" s="1492"/>
    </row>
    <row r="463" spans="1:13" ht="18" thickTop="1" thickBot="1" x14ac:dyDescent="0.35">
      <c r="A463" s="309" t="s">
        <v>273</v>
      </c>
      <c r="B463" s="1490">
        <v>2</v>
      </c>
      <c r="C463" s="1490">
        <v>2</v>
      </c>
      <c r="D463" s="1490" t="s">
        <v>319</v>
      </c>
      <c r="E463" s="309" t="s">
        <v>851</v>
      </c>
      <c r="F463" s="399"/>
      <c r="G463" s="1491">
        <v>728.6862185759511</v>
      </c>
      <c r="H463" s="1491"/>
      <c r="I463" s="1542">
        <v>0</v>
      </c>
      <c r="J463" s="1491">
        <v>0</v>
      </c>
      <c r="K463" s="1542">
        <v>0</v>
      </c>
      <c r="L463" s="1491">
        <v>0</v>
      </c>
      <c r="M463" s="1492"/>
    </row>
    <row r="464" spans="1:13" ht="18" thickTop="1" thickBot="1" x14ac:dyDescent="0.35">
      <c r="A464" s="309" t="s">
        <v>273</v>
      </c>
      <c r="B464" s="1490">
        <v>2</v>
      </c>
      <c r="C464" s="1490">
        <v>2</v>
      </c>
      <c r="D464" s="1490" t="s">
        <v>319</v>
      </c>
      <c r="E464" s="309" t="s">
        <v>852</v>
      </c>
      <c r="F464" s="399"/>
      <c r="G464" s="1491">
        <v>483.96995003219422</v>
      </c>
      <c r="H464" s="1491"/>
      <c r="I464" s="1542">
        <v>0</v>
      </c>
      <c r="J464" s="1491">
        <v>0</v>
      </c>
      <c r="K464" s="1542">
        <v>0</v>
      </c>
      <c r="L464" s="1491">
        <v>0</v>
      </c>
      <c r="M464" s="1492"/>
    </row>
    <row r="465" spans="1:13" ht="18" thickTop="1" thickBot="1" x14ac:dyDescent="0.35">
      <c r="A465" s="309" t="s">
        <v>273</v>
      </c>
      <c r="B465" s="1490">
        <v>2</v>
      </c>
      <c r="C465" s="1490">
        <v>2</v>
      </c>
      <c r="D465" s="1490" t="s">
        <v>319</v>
      </c>
      <c r="E465" s="309" t="s">
        <v>853</v>
      </c>
      <c r="F465" s="399"/>
      <c r="G465" s="1491">
        <v>503.88035870887438</v>
      </c>
      <c r="H465" s="1491"/>
      <c r="I465" s="1542">
        <v>0</v>
      </c>
      <c r="J465" s="1491">
        <v>0</v>
      </c>
      <c r="K465" s="1542">
        <v>0</v>
      </c>
      <c r="L465" s="1491">
        <v>0</v>
      </c>
      <c r="M465" s="1492"/>
    </row>
    <row r="466" spans="1:13" ht="18" thickTop="1" thickBot="1" x14ac:dyDescent="0.35">
      <c r="A466" s="309" t="s">
        <v>273</v>
      </c>
      <c r="B466" s="1490">
        <v>2</v>
      </c>
      <c r="C466" s="1490">
        <v>2</v>
      </c>
      <c r="D466" s="1490" t="s">
        <v>319</v>
      </c>
      <c r="E466" s="309" t="s">
        <v>854</v>
      </c>
      <c r="F466" s="399"/>
      <c r="G466" s="1491">
        <v>532.97664556195707</v>
      </c>
      <c r="H466" s="1491"/>
      <c r="I466" s="1542">
        <v>0</v>
      </c>
      <c r="J466" s="1491">
        <v>0</v>
      </c>
      <c r="K466" s="1542">
        <v>0</v>
      </c>
      <c r="L466" s="1491">
        <v>0</v>
      </c>
      <c r="M466" s="1492"/>
    </row>
    <row r="467" spans="1:13" ht="18" thickTop="1" thickBot="1" x14ac:dyDescent="0.35">
      <c r="A467" s="309" t="s">
        <v>273</v>
      </c>
      <c r="B467" s="1490">
        <v>2</v>
      </c>
      <c r="C467" s="1490">
        <v>2</v>
      </c>
      <c r="D467" s="1490" t="s">
        <v>319</v>
      </c>
      <c r="E467" s="309" t="s">
        <v>855</v>
      </c>
      <c r="F467" s="399"/>
      <c r="G467" s="1491">
        <v>2377.1555010397719</v>
      </c>
      <c r="H467" s="1491"/>
      <c r="I467" s="1542">
        <v>0</v>
      </c>
      <c r="J467" s="1491">
        <v>0</v>
      </c>
      <c r="K467" s="1542">
        <v>0</v>
      </c>
      <c r="L467" s="1491">
        <v>0</v>
      </c>
      <c r="M467" s="1492"/>
    </row>
    <row r="468" spans="1:13" ht="18" thickTop="1" thickBot="1" x14ac:dyDescent="0.35">
      <c r="A468" s="309" t="s">
        <v>273</v>
      </c>
      <c r="B468" s="1490">
        <v>2</v>
      </c>
      <c r="C468" s="1490">
        <v>2</v>
      </c>
      <c r="D468" s="1490" t="s">
        <v>319</v>
      </c>
      <c r="E468" s="309" t="s">
        <v>856</v>
      </c>
      <c r="F468" s="399"/>
      <c r="G468" s="1491">
        <v>524.25746222556052</v>
      </c>
      <c r="H468" s="1491"/>
      <c r="I468" s="1542">
        <v>0</v>
      </c>
      <c r="J468" s="1491">
        <v>0</v>
      </c>
      <c r="K468" s="1542">
        <v>0</v>
      </c>
      <c r="L468" s="1491">
        <v>0</v>
      </c>
      <c r="M468" s="1492"/>
    </row>
    <row r="469" spans="1:13" ht="18" thickTop="1" thickBot="1" x14ac:dyDescent="0.35">
      <c r="A469" s="309" t="s">
        <v>273</v>
      </c>
      <c r="B469" s="1490">
        <v>2</v>
      </c>
      <c r="C469" s="1490">
        <v>2</v>
      </c>
      <c r="D469" s="1490" t="s">
        <v>319</v>
      </c>
      <c r="E469" s="309" t="s">
        <v>857</v>
      </c>
      <c r="F469" s="399"/>
      <c r="G469" s="1491">
        <v>28.630547894301124</v>
      </c>
      <c r="H469" s="1491"/>
      <c r="I469" s="1542">
        <v>0</v>
      </c>
      <c r="J469" s="1491">
        <v>0</v>
      </c>
      <c r="K469" s="1542">
        <v>0</v>
      </c>
      <c r="L469" s="1491">
        <v>0</v>
      </c>
      <c r="M469" s="1492"/>
    </row>
    <row r="470" spans="1:13" ht="18" thickTop="1" thickBot="1" x14ac:dyDescent="0.35">
      <c r="A470" s="309" t="s">
        <v>273</v>
      </c>
      <c r="B470" s="1490">
        <v>2</v>
      </c>
      <c r="C470" s="1490">
        <v>2</v>
      </c>
      <c r="D470" s="1490" t="s">
        <v>319</v>
      </c>
      <c r="E470" s="309" t="s">
        <v>858</v>
      </c>
      <c r="F470" s="399"/>
      <c r="G470" s="1491">
        <v>104.52438166684834</v>
      </c>
      <c r="H470" s="1491"/>
      <c r="I470" s="1542">
        <v>0</v>
      </c>
      <c r="J470" s="1491">
        <v>0</v>
      </c>
      <c r="K470" s="1542">
        <v>0</v>
      </c>
      <c r="L470" s="1491">
        <v>0</v>
      </c>
      <c r="M470" s="1492"/>
    </row>
    <row r="471" spans="1:13" ht="18" thickTop="1" thickBot="1" x14ac:dyDescent="0.35">
      <c r="A471" s="309" t="s">
        <v>273</v>
      </c>
      <c r="B471" s="1490">
        <v>2</v>
      </c>
      <c r="C471" s="1490">
        <v>2</v>
      </c>
      <c r="D471" s="1490" t="s">
        <v>319</v>
      </c>
      <c r="E471" s="309" t="s">
        <v>859</v>
      </c>
      <c r="F471" s="399"/>
      <c r="G471" s="1491">
        <v>1051.4271337086009</v>
      </c>
      <c r="H471" s="1491"/>
      <c r="I471" s="1542">
        <v>0</v>
      </c>
      <c r="J471" s="1491">
        <v>0</v>
      </c>
      <c r="K471" s="1542">
        <v>0</v>
      </c>
      <c r="L471" s="1491">
        <v>0</v>
      </c>
      <c r="M471" s="1492"/>
    </row>
    <row r="472" spans="1:13" ht="18" thickTop="1" thickBot="1" x14ac:dyDescent="0.35">
      <c r="A472" s="309" t="s">
        <v>273</v>
      </c>
      <c r="B472" s="1490">
        <v>2</v>
      </c>
      <c r="C472" s="1490">
        <v>2</v>
      </c>
      <c r="D472" s="1490" t="s">
        <v>319</v>
      </c>
      <c r="E472" s="309" t="s">
        <v>860</v>
      </c>
      <c r="F472" s="399"/>
      <c r="G472" s="1491">
        <v>656.3690060166814</v>
      </c>
      <c r="H472" s="1491"/>
      <c r="I472" s="1542">
        <v>0</v>
      </c>
      <c r="J472" s="1491">
        <v>0</v>
      </c>
      <c r="K472" s="1542">
        <v>0</v>
      </c>
      <c r="L472" s="1491">
        <v>0</v>
      </c>
      <c r="M472" s="1492"/>
    </row>
    <row r="473" spans="1:13" ht="18" thickTop="1" thickBot="1" x14ac:dyDescent="0.35">
      <c r="A473" s="309" t="s">
        <v>273</v>
      </c>
      <c r="B473" s="1490">
        <v>2</v>
      </c>
      <c r="C473" s="1490">
        <v>2</v>
      </c>
      <c r="D473" s="1490" t="s">
        <v>319</v>
      </c>
      <c r="E473" s="309" t="s">
        <v>861</v>
      </c>
      <c r="F473" s="399"/>
      <c r="G473" s="1491">
        <v>814.07764519535385</v>
      </c>
      <c r="H473" s="1491"/>
      <c r="I473" s="1542">
        <v>0</v>
      </c>
      <c r="J473" s="1491">
        <v>0</v>
      </c>
      <c r="K473" s="1542">
        <v>0</v>
      </c>
      <c r="L473" s="1491">
        <v>0</v>
      </c>
      <c r="M473" s="1492"/>
    </row>
    <row r="474" spans="1:13" ht="18" thickTop="1" thickBot="1" x14ac:dyDescent="0.35">
      <c r="A474" s="309" t="s">
        <v>273</v>
      </c>
      <c r="B474" s="1490">
        <v>2</v>
      </c>
      <c r="C474" s="1490">
        <v>2</v>
      </c>
      <c r="D474" s="1490" t="s">
        <v>288</v>
      </c>
      <c r="E474" s="309" t="s">
        <v>862</v>
      </c>
      <c r="F474" s="399"/>
      <c r="G474" s="1491">
        <v>570.97493279123103</v>
      </c>
      <c r="H474" s="1491"/>
      <c r="I474" s="1542">
        <v>0</v>
      </c>
      <c r="J474" s="1491">
        <v>0</v>
      </c>
      <c r="K474" s="1542">
        <v>0</v>
      </c>
      <c r="L474" s="1491">
        <v>0</v>
      </c>
      <c r="M474" s="1492"/>
    </row>
    <row r="475" spans="1:13" ht="18" thickTop="1" thickBot="1" x14ac:dyDescent="0.35">
      <c r="A475" s="309" t="s">
        <v>273</v>
      </c>
      <c r="B475" s="1490">
        <v>2</v>
      </c>
      <c r="C475" s="1490">
        <v>2</v>
      </c>
      <c r="D475" s="1490" t="s">
        <v>288</v>
      </c>
      <c r="E475" s="309" t="s">
        <v>863</v>
      </c>
      <c r="F475" s="399"/>
      <c r="G475" s="1491">
        <v>761.78347023732272</v>
      </c>
      <c r="H475" s="1491"/>
      <c r="I475" s="1542">
        <v>0</v>
      </c>
      <c r="J475" s="1491">
        <v>0</v>
      </c>
      <c r="K475" s="1542">
        <v>0</v>
      </c>
      <c r="L475" s="1491">
        <v>0</v>
      </c>
      <c r="M475" s="1492"/>
    </row>
    <row r="476" spans="1:13" ht="18" thickTop="1" thickBot="1" x14ac:dyDescent="0.35">
      <c r="A476" s="309" t="s">
        <v>273</v>
      </c>
      <c r="B476" s="1490">
        <v>2</v>
      </c>
      <c r="C476" s="1490">
        <v>2</v>
      </c>
      <c r="D476" s="1490" t="s">
        <v>319</v>
      </c>
      <c r="E476" s="309" t="s">
        <v>864</v>
      </c>
      <c r="F476" s="399"/>
      <c r="G476" s="1491">
        <v>859.05477953316665</v>
      </c>
      <c r="H476" s="1491"/>
      <c r="I476" s="1542">
        <v>0</v>
      </c>
      <c r="J476" s="1491">
        <v>0</v>
      </c>
      <c r="K476" s="1542">
        <v>0</v>
      </c>
      <c r="L476" s="1491">
        <v>0</v>
      </c>
      <c r="M476" s="1492"/>
    </row>
    <row r="477" spans="1:13" ht="18" thickTop="1" thickBot="1" x14ac:dyDescent="0.35">
      <c r="A477" s="309" t="s">
        <v>273</v>
      </c>
      <c r="B477" s="1490">
        <v>2</v>
      </c>
      <c r="C477" s="1490">
        <v>2</v>
      </c>
      <c r="D477" s="1490" t="s">
        <v>319</v>
      </c>
      <c r="E477" s="309" t="s">
        <v>865</v>
      </c>
      <c r="F477" s="399"/>
      <c r="G477" s="1491">
        <v>514.57493053622534</v>
      </c>
      <c r="H477" s="1491"/>
      <c r="I477" s="1542">
        <v>0</v>
      </c>
      <c r="J477" s="1491">
        <v>0</v>
      </c>
      <c r="K477" s="1542">
        <v>0</v>
      </c>
      <c r="L477" s="1491">
        <v>0</v>
      </c>
      <c r="M477" s="1492"/>
    </row>
    <row r="478" spans="1:13" ht="18" thickTop="1" thickBot="1" x14ac:dyDescent="0.35">
      <c r="A478" s="309" t="s">
        <v>273</v>
      </c>
      <c r="B478" s="1490">
        <v>2</v>
      </c>
      <c r="C478" s="1490">
        <v>2</v>
      </c>
      <c r="D478" s="1490" t="s">
        <v>319</v>
      </c>
      <c r="E478" s="309" t="s">
        <v>866</v>
      </c>
      <c r="F478" s="399"/>
      <c r="G478" s="1491">
        <v>658.17050635752867</v>
      </c>
      <c r="H478" s="1491"/>
      <c r="I478" s="1542">
        <v>0</v>
      </c>
      <c r="J478" s="1491">
        <v>0</v>
      </c>
      <c r="K478" s="1542">
        <v>0</v>
      </c>
      <c r="L478" s="1491">
        <v>0</v>
      </c>
      <c r="M478" s="1492"/>
    </row>
    <row r="479" spans="1:13" ht="18" thickTop="1" thickBot="1" x14ac:dyDescent="0.35">
      <c r="A479" s="309" t="s">
        <v>273</v>
      </c>
      <c r="B479" s="1490">
        <v>2</v>
      </c>
      <c r="C479" s="1490">
        <v>2</v>
      </c>
      <c r="D479" s="1490" t="s">
        <v>319</v>
      </c>
      <c r="E479" s="309" t="s">
        <v>867</v>
      </c>
      <c r="F479" s="399"/>
      <c r="G479" s="1491">
        <v>556.03075755872737</v>
      </c>
      <c r="H479" s="1491"/>
      <c r="I479" s="1542">
        <v>0</v>
      </c>
      <c r="J479" s="1491">
        <v>0</v>
      </c>
      <c r="K479" s="1542">
        <v>0</v>
      </c>
      <c r="L479" s="1491">
        <v>0</v>
      </c>
      <c r="M479" s="1492"/>
    </row>
    <row r="480" spans="1:13" ht="18" thickTop="1" thickBot="1" x14ac:dyDescent="0.35">
      <c r="A480" s="309" t="s">
        <v>273</v>
      </c>
      <c r="B480" s="1490">
        <v>2</v>
      </c>
      <c r="C480" s="1490">
        <v>2</v>
      </c>
      <c r="D480" s="1490" t="s">
        <v>319</v>
      </c>
      <c r="E480" s="309" t="s">
        <v>868</v>
      </c>
      <c r="F480" s="399"/>
      <c r="G480" s="1491">
        <v>655.40517110355495</v>
      </c>
      <c r="H480" s="1491"/>
      <c r="I480" s="1542">
        <v>0</v>
      </c>
      <c r="J480" s="1491">
        <v>0</v>
      </c>
      <c r="K480" s="1542">
        <v>0</v>
      </c>
      <c r="L480" s="1491">
        <v>0</v>
      </c>
      <c r="M480" s="1492"/>
    </row>
    <row r="481" spans="1:13" ht="18" thickTop="1" thickBot="1" x14ac:dyDescent="0.35">
      <c r="A481" s="309" t="s">
        <v>273</v>
      </c>
      <c r="B481" s="1490">
        <v>2</v>
      </c>
      <c r="C481" s="1490">
        <v>2</v>
      </c>
      <c r="D481" s="1490" t="s">
        <v>319</v>
      </c>
      <c r="E481" s="309" t="s">
        <v>869</v>
      </c>
      <c r="F481" s="399"/>
      <c r="G481" s="1491">
        <v>509.11291415626368</v>
      </c>
      <c r="H481" s="1491"/>
      <c r="I481" s="1542">
        <v>0</v>
      </c>
      <c r="J481" s="1491">
        <v>0</v>
      </c>
      <c r="K481" s="1542">
        <v>0</v>
      </c>
      <c r="L481" s="1491">
        <v>0</v>
      </c>
      <c r="M481" s="1492"/>
    </row>
    <row r="482" spans="1:13" ht="18" thickTop="1" thickBot="1" x14ac:dyDescent="0.35">
      <c r="A482" s="309" t="s">
        <v>273</v>
      </c>
      <c r="B482" s="1490">
        <v>2</v>
      </c>
      <c r="C482" s="1490">
        <v>2</v>
      </c>
      <c r="D482" s="1490" t="s">
        <v>319</v>
      </c>
      <c r="E482" s="309" t="s">
        <v>870</v>
      </c>
      <c r="F482" s="399"/>
      <c r="G482" s="1491">
        <v>418.79676547396224</v>
      </c>
      <c r="H482" s="1491"/>
      <c r="I482" s="1542">
        <v>0</v>
      </c>
      <c r="J482" s="1491">
        <v>0</v>
      </c>
      <c r="K482" s="1542">
        <v>0</v>
      </c>
      <c r="L482" s="1491">
        <v>0</v>
      </c>
      <c r="M482" s="1492"/>
    </row>
    <row r="483" spans="1:13" ht="18" thickTop="1" thickBot="1" x14ac:dyDescent="0.35">
      <c r="A483" s="309" t="s">
        <v>273</v>
      </c>
      <c r="B483" s="1490">
        <v>2</v>
      </c>
      <c r="C483" s="1490">
        <v>2</v>
      </c>
      <c r="D483" s="1490" t="s">
        <v>319</v>
      </c>
      <c r="E483" s="309" t="s">
        <v>871</v>
      </c>
      <c r="F483" s="399"/>
      <c r="G483" s="1491">
        <v>640.58882219743089</v>
      </c>
      <c r="H483" s="1491"/>
      <c r="I483" s="1542">
        <v>0</v>
      </c>
      <c r="J483" s="1491">
        <v>0</v>
      </c>
      <c r="K483" s="1542">
        <v>0</v>
      </c>
      <c r="L483" s="1491">
        <v>0</v>
      </c>
      <c r="M483" s="1492"/>
    </row>
    <row r="484" spans="1:13" ht="18" thickTop="1" thickBot="1" x14ac:dyDescent="0.35">
      <c r="A484" s="309" t="s">
        <v>273</v>
      </c>
      <c r="B484" s="1490">
        <v>2</v>
      </c>
      <c r="C484" s="1490">
        <v>2</v>
      </c>
      <c r="D484" s="1490" t="s">
        <v>319</v>
      </c>
      <c r="E484" s="309" t="s">
        <v>872</v>
      </c>
      <c r="F484" s="399"/>
      <c r="G484" s="1491">
        <v>1632.0678683853041</v>
      </c>
      <c r="H484" s="1491"/>
      <c r="I484" s="1542">
        <v>0</v>
      </c>
      <c r="J484" s="1491">
        <v>0</v>
      </c>
      <c r="K484" s="1542">
        <v>0</v>
      </c>
      <c r="L484" s="1491">
        <v>0</v>
      </c>
      <c r="M484" s="1492"/>
    </row>
    <row r="485" spans="1:13" ht="18" thickTop="1" thickBot="1" x14ac:dyDescent="0.35">
      <c r="A485" s="309" t="s">
        <v>273</v>
      </c>
      <c r="B485" s="1490">
        <v>2</v>
      </c>
      <c r="C485" s="1490">
        <v>2</v>
      </c>
      <c r="D485" s="1490" t="s">
        <v>319</v>
      </c>
      <c r="E485" s="309" t="s">
        <v>873</v>
      </c>
      <c r="F485" s="399"/>
      <c r="G485" s="1491">
        <v>482.32028847139088</v>
      </c>
      <c r="H485" s="1491"/>
      <c r="I485" s="1542">
        <v>0</v>
      </c>
      <c r="J485" s="1491">
        <v>0</v>
      </c>
      <c r="K485" s="1542">
        <v>0</v>
      </c>
      <c r="L485" s="1491">
        <v>0</v>
      </c>
      <c r="M485" s="1492"/>
    </row>
    <row r="486" spans="1:13" ht="18" thickTop="1" thickBot="1" x14ac:dyDescent="0.35">
      <c r="A486" s="309" t="s">
        <v>273</v>
      </c>
      <c r="B486" s="1490">
        <v>2</v>
      </c>
      <c r="C486" s="1490">
        <v>2</v>
      </c>
      <c r="D486" s="1490" t="s">
        <v>319</v>
      </c>
      <c r="E486" s="309" t="s">
        <v>874</v>
      </c>
      <c r="F486" s="399"/>
      <c r="G486" s="1491">
        <v>1493.3821308983736</v>
      </c>
      <c r="H486" s="1491"/>
      <c r="I486" s="1542">
        <v>0</v>
      </c>
      <c r="J486" s="1491">
        <v>0</v>
      </c>
      <c r="K486" s="1542">
        <v>0</v>
      </c>
      <c r="L486" s="1491">
        <v>0</v>
      </c>
      <c r="M486" s="1492"/>
    </row>
    <row r="487" spans="1:13" ht="18" thickTop="1" thickBot="1" x14ac:dyDescent="0.35">
      <c r="A487" s="309" t="s">
        <v>273</v>
      </c>
      <c r="B487" s="1490">
        <v>2</v>
      </c>
      <c r="C487" s="1490">
        <v>2</v>
      </c>
      <c r="D487" s="1490" t="s">
        <v>319</v>
      </c>
      <c r="E487" s="309" t="s">
        <v>875</v>
      </c>
      <c r="F487" s="399"/>
      <c r="G487" s="1491">
        <v>316.99361150323386</v>
      </c>
      <c r="H487" s="1491"/>
      <c r="I487" s="1542">
        <v>0</v>
      </c>
      <c r="J487" s="1491">
        <v>0</v>
      </c>
      <c r="K487" s="1542">
        <v>0</v>
      </c>
      <c r="L487" s="1491">
        <v>0</v>
      </c>
      <c r="M487" s="1492"/>
    </row>
    <row r="488" spans="1:13" ht="18" thickTop="1" thickBot="1" x14ac:dyDescent="0.35">
      <c r="A488" s="309" t="s">
        <v>273</v>
      </c>
      <c r="B488" s="1490">
        <v>2</v>
      </c>
      <c r="C488" s="1490">
        <v>2</v>
      </c>
      <c r="D488" s="1490" t="s">
        <v>319</v>
      </c>
      <c r="E488" s="309" t="s">
        <v>876</v>
      </c>
      <c r="F488" s="399"/>
      <c r="G488" s="1491">
        <v>1189.5237182414571</v>
      </c>
      <c r="H488" s="1491"/>
      <c r="I488" s="1542">
        <v>0</v>
      </c>
      <c r="J488" s="1491">
        <v>0</v>
      </c>
      <c r="K488" s="1542">
        <v>0</v>
      </c>
      <c r="L488" s="1491">
        <v>0</v>
      </c>
      <c r="M488" s="1492"/>
    </row>
    <row r="489" spans="1:13" ht="18" thickTop="1" thickBot="1" x14ac:dyDescent="0.35">
      <c r="A489" s="309" t="s">
        <v>273</v>
      </c>
      <c r="B489" s="1490">
        <v>2</v>
      </c>
      <c r="C489" s="1490">
        <v>2</v>
      </c>
      <c r="D489" s="1490" t="s">
        <v>319</v>
      </c>
      <c r="E489" s="309" t="s">
        <v>877</v>
      </c>
      <c r="F489" s="399"/>
      <c r="G489" s="1491">
        <v>2618.6644059411369</v>
      </c>
      <c r="H489" s="1491"/>
      <c r="I489" s="1542">
        <v>0</v>
      </c>
      <c r="J489" s="1491">
        <v>0</v>
      </c>
      <c r="K489" s="1542">
        <v>0</v>
      </c>
      <c r="L489" s="1491">
        <v>0</v>
      </c>
      <c r="M489" s="1492"/>
    </row>
    <row r="490" spans="1:13" ht="18" thickTop="1" thickBot="1" x14ac:dyDescent="0.35">
      <c r="A490" s="309" t="s">
        <v>273</v>
      </c>
      <c r="B490" s="1490">
        <v>2</v>
      </c>
      <c r="C490" s="1490">
        <v>2</v>
      </c>
      <c r="D490" s="1490" t="s">
        <v>319</v>
      </c>
      <c r="E490" s="309" t="s">
        <v>878</v>
      </c>
      <c r="F490" s="399"/>
      <c r="G490" s="1491">
        <v>1491.2791971584682</v>
      </c>
      <c r="H490" s="1491"/>
      <c r="I490" s="1542">
        <v>0</v>
      </c>
      <c r="J490" s="1491">
        <v>0</v>
      </c>
      <c r="K490" s="1542">
        <v>0</v>
      </c>
      <c r="L490" s="1491">
        <v>0</v>
      </c>
      <c r="M490" s="1492"/>
    </row>
    <row r="491" spans="1:13" ht="18" thickTop="1" thickBot="1" x14ac:dyDescent="0.35">
      <c r="A491" s="309" t="s">
        <v>273</v>
      </c>
      <c r="B491" s="1490">
        <v>2</v>
      </c>
      <c r="C491" s="1490">
        <v>2</v>
      </c>
      <c r="D491" s="1490" t="s">
        <v>319</v>
      </c>
      <c r="E491" s="309" t="s">
        <v>879</v>
      </c>
      <c r="F491" s="399"/>
      <c r="G491" s="1491">
        <v>345.76227422782722</v>
      </c>
      <c r="H491" s="1491"/>
      <c r="I491" s="1542">
        <v>0</v>
      </c>
      <c r="J491" s="1491">
        <v>0</v>
      </c>
      <c r="K491" s="1542">
        <v>0</v>
      </c>
      <c r="L491" s="1491">
        <v>0</v>
      </c>
      <c r="M491" s="1492"/>
    </row>
    <row r="492" spans="1:13" ht="18" thickTop="1" thickBot="1" x14ac:dyDescent="0.35">
      <c r="A492" s="309" t="s">
        <v>273</v>
      </c>
      <c r="B492" s="1490">
        <v>2</v>
      </c>
      <c r="C492" s="1490">
        <v>2</v>
      </c>
      <c r="D492" s="1490" t="s">
        <v>319</v>
      </c>
      <c r="E492" s="309" t="s">
        <v>880</v>
      </c>
      <c r="F492" s="399"/>
      <c r="G492" s="1491">
        <v>407.36496519943643</v>
      </c>
      <c r="H492" s="1491"/>
      <c r="I492" s="1542">
        <v>0</v>
      </c>
      <c r="J492" s="1491">
        <v>0</v>
      </c>
      <c r="K492" s="1542">
        <v>0</v>
      </c>
      <c r="L492" s="1491">
        <v>0</v>
      </c>
      <c r="M492" s="1492"/>
    </row>
    <row r="493" spans="1:13" ht="18" thickTop="1" thickBot="1" x14ac:dyDescent="0.35">
      <c r="A493" s="309" t="s">
        <v>273</v>
      </c>
      <c r="B493" s="1490">
        <v>2</v>
      </c>
      <c r="C493" s="1490">
        <v>2</v>
      </c>
      <c r="D493" s="1490" t="s">
        <v>319</v>
      </c>
      <c r="E493" s="309" t="s">
        <v>881</v>
      </c>
      <c r="F493" s="399"/>
      <c r="G493" s="1491">
        <v>446.50318943492113</v>
      </c>
      <c r="H493" s="1491"/>
      <c r="I493" s="1542">
        <v>0</v>
      </c>
      <c r="J493" s="1491">
        <v>0</v>
      </c>
      <c r="K493" s="1542">
        <v>0</v>
      </c>
      <c r="L493" s="1491">
        <v>0</v>
      </c>
      <c r="M493" s="1492"/>
    </row>
    <row r="494" spans="1:13" ht="18" thickTop="1" thickBot="1" x14ac:dyDescent="0.35">
      <c r="A494" s="309" t="s">
        <v>273</v>
      </c>
      <c r="B494" s="1490">
        <v>2</v>
      </c>
      <c r="C494" s="1490">
        <v>2</v>
      </c>
      <c r="D494" s="1490" t="s">
        <v>319</v>
      </c>
      <c r="E494" s="309" t="s">
        <v>882</v>
      </c>
      <c r="F494" s="399"/>
      <c r="G494" s="1491">
        <v>532.80476884433494</v>
      </c>
      <c r="H494" s="1491"/>
      <c r="I494" s="1542">
        <v>0</v>
      </c>
      <c r="J494" s="1491">
        <v>0</v>
      </c>
      <c r="K494" s="1542">
        <v>0</v>
      </c>
      <c r="L494" s="1491">
        <v>0</v>
      </c>
      <c r="M494" s="1492"/>
    </row>
    <row r="495" spans="1:13" ht="18" thickTop="1" thickBot="1" x14ac:dyDescent="0.35">
      <c r="A495" s="309" t="s">
        <v>273</v>
      </c>
      <c r="B495" s="1490">
        <v>2</v>
      </c>
      <c r="C495" s="1490">
        <v>2</v>
      </c>
      <c r="D495" s="1490" t="s">
        <v>319</v>
      </c>
      <c r="E495" s="309" t="s">
        <v>883</v>
      </c>
      <c r="F495" s="399"/>
      <c r="G495" s="1491">
        <v>282.02874180702878</v>
      </c>
      <c r="H495" s="1491"/>
      <c r="I495" s="1542">
        <v>0</v>
      </c>
      <c r="J495" s="1491">
        <v>0</v>
      </c>
      <c r="K495" s="1542">
        <v>0</v>
      </c>
      <c r="L495" s="1491">
        <v>0</v>
      </c>
      <c r="M495" s="1492"/>
    </row>
    <row r="496" spans="1:13" ht="18" thickTop="1" thickBot="1" x14ac:dyDescent="0.35">
      <c r="A496" s="309" t="s">
        <v>273</v>
      </c>
      <c r="B496" s="1490">
        <v>2</v>
      </c>
      <c r="C496" s="1490">
        <v>2</v>
      </c>
      <c r="D496" s="1490" t="s">
        <v>319</v>
      </c>
      <c r="E496" s="309" t="s">
        <v>884</v>
      </c>
      <c r="F496" s="399"/>
      <c r="G496" s="1491">
        <v>406.75674713093326</v>
      </c>
      <c r="H496" s="1491"/>
      <c r="I496" s="1542">
        <v>0</v>
      </c>
      <c r="J496" s="1491">
        <v>0</v>
      </c>
      <c r="K496" s="1542">
        <v>0</v>
      </c>
      <c r="L496" s="1491">
        <v>0</v>
      </c>
      <c r="M496" s="1492"/>
    </row>
    <row r="497" spans="1:13" ht="18" thickTop="1" thickBot="1" x14ac:dyDescent="0.35">
      <c r="A497" s="309" t="s">
        <v>273</v>
      </c>
      <c r="B497" s="1490">
        <v>2</v>
      </c>
      <c r="C497" s="1490">
        <v>2</v>
      </c>
      <c r="D497" s="1490" t="s">
        <v>319</v>
      </c>
      <c r="E497" s="309" t="s">
        <v>885</v>
      </c>
      <c r="F497" s="399"/>
      <c r="G497" s="1491">
        <v>716.33241617076771</v>
      </c>
      <c r="H497" s="1491"/>
      <c r="I497" s="1542">
        <v>0</v>
      </c>
      <c r="J497" s="1491">
        <v>0</v>
      </c>
      <c r="K497" s="1542">
        <v>0</v>
      </c>
      <c r="L497" s="1491">
        <v>0</v>
      </c>
      <c r="M497" s="1492"/>
    </row>
    <row r="498" spans="1:13" ht="18" thickTop="1" thickBot="1" x14ac:dyDescent="0.35">
      <c r="A498" s="309" t="s">
        <v>273</v>
      </c>
      <c r="B498" s="1490">
        <v>2</v>
      </c>
      <c r="C498" s="1490">
        <v>2</v>
      </c>
      <c r="D498" s="1490" t="s">
        <v>319</v>
      </c>
      <c r="E498" s="309" t="s">
        <v>886</v>
      </c>
      <c r="F498" s="399"/>
      <c r="G498" s="1491">
        <v>761.46817477715024</v>
      </c>
      <c r="H498" s="1491"/>
      <c r="I498" s="1542">
        <v>0</v>
      </c>
      <c r="J498" s="1491">
        <v>0</v>
      </c>
      <c r="K498" s="1542">
        <v>0</v>
      </c>
      <c r="L498" s="1491">
        <v>0</v>
      </c>
      <c r="M498" s="1492"/>
    </row>
    <row r="499" spans="1:13" ht="18" thickTop="1" thickBot="1" x14ac:dyDescent="0.35">
      <c r="A499" s="309" t="s">
        <v>273</v>
      </c>
      <c r="B499" s="1490">
        <v>2</v>
      </c>
      <c r="C499" s="1490">
        <v>2</v>
      </c>
      <c r="D499" s="1490" t="s">
        <v>319</v>
      </c>
      <c r="E499" s="309" t="s">
        <v>887</v>
      </c>
      <c r="F499" s="399"/>
      <c r="G499" s="1491">
        <v>640.62695629023688</v>
      </c>
      <c r="H499" s="1491"/>
      <c r="I499" s="1542">
        <v>0</v>
      </c>
      <c r="J499" s="1491">
        <v>0</v>
      </c>
      <c r="K499" s="1542">
        <v>0</v>
      </c>
      <c r="L499" s="1491">
        <v>0</v>
      </c>
      <c r="M499" s="1492"/>
    </row>
    <row r="500" spans="1:13" ht="18" thickTop="1" thickBot="1" x14ac:dyDescent="0.35">
      <c r="A500" s="309" t="s">
        <v>273</v>
      </c>
      <c r="B500" s="1490">
        <v>2</v>
      </c>
      <c r="C500" s="1490">
        <v>2</v>
      </c>
      <c r="D500" s="1490" t="s">
        <v>319</v>
      </c>
      <c r="E500" s="309" t="s">
        <v>888</v>
      </c>
      <c r="F500" s="399"/>
      <c r="G500" s="1491">
        <v>527.1044842078536</v>
      </c>
      <c r="H500" s="1491"/>
      <c r="I500" s="1542"/>
      <c r="J500" s="1491"/>
      <c r="K500" s="1542"/>
      <c r="L500" s="1491"/>
      <c r="M500" s="1492"/>
    </row>
    <row r="501" spans="1:13" ht="18" thickTop="1" thickBot="1" x14ac:dyDescent="0.35">
      <c r="A501" s="309" t="s">
        <v>273</v>
      </c>
      <c r="B501" s="1490">
        <v>2</v>
      </c>
      <c r="C501" s="1490">
        <v>2</v>
      </c>
      <c r="D501" s="1490" t="s">
        <v>319</v>
      </c>
      <c r="E501" s="309" t="s">
        <v>889</v>
      </c>
      <c r="F501" s="399"/>
      <c r="G501" s="1491">
        <v>663.72461319462525</v>
      </c>
      <c r="H501" s="1491"/>
      <c r="I501" s="1542"/>
      <c r="J501" s="1491"/>
      <c r="K501" s="1542"/>
      <c r="L501" s="1491"/>
      <c r="M501" s="1492"/>
    </row>
    <row r="502" spans="1:13" ht="18" thickTop="1" thickBot="1" x14ac:dyDescent="0.35">
      <c r="A502" s="309" t="s">
        <v>275</v>
      </c>
      <c r="B502" s="1490">
        <v>3</v>
      </c>
      <c r="C502" s="1490">
        <v>3</v>
      </c>
      <c r="D502" s="1553" t="s">
        <v>296</v>
      </c>
      <c r="E502" s="309" t="s">
        <v>890</v>
      </c>
      <c r="F502" s="399"/>
      <c r="G502" s="1491">
        <v>2.4355304061114125</v>
      </c>
      <c r="H502" s="1491"/>
      <c r="I502" s="1542">
        <v>0</v>
      </c>
      <c r="J502" s="1491">
        <v>0</v>
      </c>
      <c r="K502" s="1542">
        <v>0</v>
      </c>
      <c r="L502" s="1491">
        <v>0</v>
      </c>
      <c r="M502" s="1492"/>
    </row>
    <row r="503" spans="1:13" ht="18" thickTop="1" thickBot="1" x14ac:dyDescent="0.35">
      <c r="A503" s="309" t="s">
        <v>275</v>
      </c>
      <c r="B503" s="1490">
        <v>3</v>
      </c>
      <c r="C503" s="1490">
        <v>3</v>
      </c>
      <c r="D503" s="1553" t="s">
        <v>296</v>
      </c>
      <c r="E503" s="309" t="s">
        <v>891</v>
      </c>
      <c r="F503" s="399"/>
      <c r="G503" s="1491">
        <v>74.339629936002794</v>
      </c>
      <c r="H503" s="1491"/>
      <c r="I503" s="1542">
        <v>0</v>
      </c>
      <c r="J503" s="1491">
        <v>0</v>
      </c>
      <c r="K503" s="1542">
        <v>0</v>
      </c>
      <c r="L503" s="1491">
        <v>0</v>
      </c>
      <c r="M503" s="1492"/>
    </row>
    <row r="504" spans="1:13" ht="18" thickTop="1" thickBot="1" x14ac:dyDescent="0.35">
      <c r="A504" s="309" t="s">
        <v>275</v>
      </c>
      <c r="B504" s="1490">
        <v>3</v>
      </c>
      <c r="C504" s="1490">
        <v>3</v>
      </c>
      <c r="D504" s="1553" t="s">
        <v>296</v>
      </c>
      <c r="E504" s="309" t="s">
        <v>892</v>
      </c>
      <c r="F504" s="399"/>
      <c r="G504" s="1491">
        <v>343.99017279869355</v>
      </c>
      <c r="H504" s="1491"/>
      <c r="I504" s="1542">
        <v>0</v>
      </c>
      <c r="J504" s="1491">
        <v>0</v>
      </c>
      <c r="K504" s="1542">
        <v>0</v>
      </c>
      <c r="L504" s="1491">
        <v>0</v>
      </c>
      <c r="M504" s="1492"/>
    </row>
    <row r="505" spans="1:13" ht="18" thickTop="1" thickBot="1" x14ac:dyDescent="0.35">
      <c r="A505" s="309" t="s">
        <v>275</v>
      </c>
      <c r="B505" s="1490">
        <v>3</v>
      </c>
      <c r="C505" s="1490">
        <v>3</v>
      </c>
      <c r="D505" s="1553" t="s">
        <v>296</v>
      </c>
      <c r="E505" s="309" t="s">
        <v>893</v>
      </c>
      <c r="F505" s="399"/>
      <c r="G505" s="1491">
        <v>582.3669757811731</v>
      </c>
      <c r="H505" s="1491"/>
      <c r="I505" s="1542">
        <v>0</v>
      </c>
      <c r="J505" s="1491">
        <v>0</v>
      </c>
      <c r="K505" s="1542">
        <v>0</v>
      </c>
      <c r="L505" s="1491">
        <v>0</v>
      </c>
      <c r="M505" s="1492"/>
    </row>
    <row r="506" spans="1:13" ht="18" thickTop="1" thickBot="1" x14ac:dyDescent="0.35">
      <c r="A506" s="309" t="s">
        <v>275</v>
      </c>
      <c r="B506" s="1490">
        <v>3</v>
      </c>
      <c r="C506" s="1490">
        <v>3</v>
      </c>
      <c r="D506" s="1553" t="s">
        <v>296</v>
      </c>
      <c r="E506" s="309" t="s">
        <v>894</v>
      </c>
      <c r="F506" s="399"/>
      <c r="G506" s="1491">
        <v>1501.3829215628386</v>
      </c>
      <c r="H506" s="1491"/>
      <c r="I506" s="1542">
        <v>0</v>
      </c>
      <c r="J506" s="1491">
        <v>0</v>
      </c>
      <c r="K506" s="1542">
        <v>0</v>
      </c>
      <c r="L506" s="1491">
        <v>0</v>
      </c>
      <c r="M506" s="1492"/>
    </row>
    <row r="507" spans="1:13" ht="18" thickTop="1" thickBot="1" x14ac:dyDescent="0.35">
      <c r="A507" s="1550" t="s">
        <v>275</v>
      </c>
      <c r="B507" s="1551">
        <v>3</v>
      </c>
      <c r="C507" s="1551">
        <v>3</v>
      </c>
      <c r="D507" s="1554" t="s">
        <v>296</v>
      </c>
      <c r="E507" s="1550" t="s">
        <v>895</v>
      </c>
      <c r="F507" s="1555"/>
      <c r="G507" s="1491">
        <v>15.264272057143687</v>
      </c>
      <c r="H507" s="1552"/>
      <c r="I507" s="1552">
        <v>0</v>
      </c>
      <c r="J507" s="1552">
        <v>0</v>
      </c>
      <c r="K507" s="1552">
        <v>0</v>
      </c>
      <c r="L507" s="1552">
        <f>G507</f>
        <v>15.264272057143687</v>
      </c>
      <c r="M507" s="1492"/>
    </row>
    <row r="508" spans="1:13" ht="18" thickTop="1" thickBot="1" x14ac:dyDescent="0.35">
      <c r="A508" s="309" t="s">
        <v>275</v>
      </c>
      <c r="B508" s="1490">
        <v>3</v>
      </c>
      <c r="C508" s="1490">
        <v>3</v>
      </c>
      <c r="D508" s="1553" t="s">
        <v>296</v>
      </c>
      <c r="E508" s="309" t="s">
        <v>896</v>
      </c>
      <c r="F508" s="399"/>
      <c r="G508" s="1491">
        <v>320.13521695336215</v>
      </c>
      <c r="H508" s="1491"/>
      <c r="I508" s="1542">
        <v>0</v>
      </c>
      <c r="J508" s="1491">
        <v>0</v>
      </c>
      <c r="K508" s="1542">
        <v>0</v>
      </c>
      <c r="L508" s="1491">
        <v>0</v>
      </c>
      <c r="M508" s="1492"/>
    </row>
    <row r="509" spans="1:13" ht="18" thickTop="1" thickBot="1" x14ac:dyDescent="0.35">
      <c r="A509" s="309" t="s">
        <v>275</v>
      </c>
      <c r="B509" s="1490">
        <v>3</v>
      </c>
      <c r="C509" s="1490">
        <v>3</v>
      </c>
      <c r="D509" s="1553" t="s">
        <v>296</v>
      </c>
      <c r="E509" s="309" t="s">
        <v>897</v>
      </c>
      <c r="F509" s="399"/>
      <c r="G509" s="1491">
        <v>310.28399141966781</v>
      </c>
      <c r="H509" s="1491"/>
      <c r="I509" s="1542">
        <v>0</v>
      </c>
      <c r="J509" s="1491">
        <v>0</v>
      </c>
      <c r="K509" s="1542">
        <v>0</v>
      </c>
      <c r="L509" s="1491">
        <v>0</v>
      </c>
      <c r="M509" s="1492"/>
    </row>
    <row r="510" spans="1:13" ht="18" thickTop="1" thickBot="1" x14ac:dyDescent="0.35">
      <c r="A510" s="309" t="s">
        <v>275</v>
      </c>
      <c r="B510" s="1490">
        <v>3</v>
      </c>
      <c r="C510" s="1490">
        <v>3</v>
      </c>
      <c r="D510" s="1553" t="s">
        <v>300</v>
      </c>
      <c r="E510" s="309" t="s">
        <v>898</v>
      </c>
      <c r="F510" s="399"/>
      <c r="G510" s="1491">
        <v>129.49450997830334</v>
      </c>
      <c r="H510" s="1491"/>
      <c r="I510" s="1542">
        <v>0</v>
      </c>
      <c r="J510" s="1491">
        <v>0</v>
      </c>
      <c r="K510" s="1542">
        <v>0</v>
      </c>
      <c r="L510" s="1491">
        <v>0</v>
      </c>
      <c r="M510" s="1492"/>
    </row>
    <row r="511" spans="1:13" ht="18" thickTop="1" thickBot="1" x14ac:dyDescent="0.35">
      <c r="A511" s="309" t="s">
        <v>275</v>
      </c>
      <c r="B511" s="1490">
        <v>3</v>
      </c>
      <c r="C511" s="1490">
        <v>3</v>
      </c>
      <c r="D511" s="1553" t="s">
        <v>296</v>
      </c>
      <c r="E511" s="309" t="s">
        <v>899</v>
      </c>
      <c r="F511" s="399"/>
      <c r="G511" s="1491">
        <v>300.88549935876489</v>
      </c>
      <c r="H511" s="1491"/>
      <c r="I511" s="1542">
        <v>0</v>
      </c>
      <c r="J511" s="1491">
        <v>0</v>
      </c>
      <c r="K511" s="1542">
        <v>0</v>
      </c>
      <c r="L511" s="1491">
        <v>0</v>
      </c>
      <c r="M511" s="1492"/>
    </row>
    <row r="512" spans="1:13" ht="18" thickTop="1" thickBot="1" x14ac:dyDescent="0.35">
      <c r="A512" s="309" t="s">
        <v>275</v>
      </c>
      <c r="B512" s="1490">
        <v>3</v>
      </c>
      <c r="C512" s="1490">
        <v>3</v>
      </c>
      <c r="D512" s="1553" t="s">
        <v>298</v>
      </c>
      <c r="E512" s="309" t="s">
        <v>900</v>
      </c>
      <c r="F512" s="399"/>
      <c r="G512" s="1491">
        <v>21.757778987325345</v>
      </c>
      <c r="H512" s="1491"/>
      <c r="I512" s="1542">
        <v>0</v>
      </c>
      <c r="J512" s="1491">
        <v>0</v>
      </c>
      <c r="K512" s="1542">
        <v>0</v>
      </c>
      <c r="L512" s="1491">
        <v>0</v>
      </c>
      <c r="M512" s="1492"/>
    </row>
    <row r="513" spans="1:13" ht="18" thickTop="1" thickBot="1" x14ac:dyDescent="0.35">
      <c r="A513" s="309" t="s">
        <v>275</v>
      </c>
      <c r="B513" s="1490">
        <v>3</v>
      </c>
      <c r="C513" s="1490">
        <v>3</v>
      </c>
      <c r="D513" s="1553" t="s">
        <v>296</v>
      </c>
      <c r="E513" s="309" t="s">
        <v>901</v>
      </c>
      <c r="F513" s="399"/>
      <c r="G513" s="1491">
        <v>354.68478174188056</v>
      </c>
      <c r="H513" s="1491"/>
      <c r="I513" s="1542">
        <v>0</v>
      </c>
      <c r="J513" s="1491">
        <v>0</v>
      </c>
      <c r="K513" s="1542">
        <v>0</v>
      </c>
      <c r="L513" s="1491">
        <v>0</v>
      </c>
      <c r="M513" s="1492"/>
    </row>
    <row r="514" spans="1:13" ht="18" thickTop="1" thickBot="1" x14ac:dyDescent="0.35">
      <c r="A514" s="309" t="s">
        <v>275</v>
      </c>
      <c r="B514" s="1490">
        <v>3</v>
      </c>
      <c r="C514" s="1490">
        <v>3</v>
      </c>
      <c r="D514" s="1553" t="s">
        <v>296</v>
      </c>
      <c r="E514" s="309" t="s">
        <v>902</v>
      </c>
      <c r="F514" s="399"/>
      <c r="G514" s="1491">
        <v>445.48743063281358</v>
      </c>
      <c r="H514" s="1491"/>
      <c r="I514" s="1542">
        <v>0</v>
      </c>
      <c r="J514" s="1491">
        <v>0</v>
      </c>
      <c r="K514" s="1542">
        <v>0</v>
      </c>
      <c r="L514" s="1491">
        <v>0</v>
      </c>
      <c r="M514" s="1492"/>
    </row>
    <row r="515" spans="1:13" ht="18" thickTop="1" thickBot="1" x14ac:dyDescent="0.35">
      <c r="A515" s="309" t="s">
        <v>275</v>
      </c>
      <c r="B515" s="1490">
        <v>3</v>
      </c>
      <c r="C515" s="1490">
        <v>3</v>
      </c>
      <c r="D515" s="1553" t="s">
        <v>296</v>
      </c>
      <c r="E515" s="309" t="s">
        <v>903</v>
      </c>
      <c r="F515" s="399"/>
      <c r="G515" s="1491">
        <v>244.80304707610753</v>
      </c>
      <c r="H515" s="1491"/>
      <c r="I515" s="1542">
        <v>0</v>
      </c>
      <c r="J515" s="1491">
        <v>0</v>
      </c>
      <c r="K515" s="1542">
        <v>0</v>
      </c>
      <c r="L515" s="1491">
        <v>0</v>
      </c>
      <c r="M515" s="1492"/>
    </row>
    <row r="516" spans="1:13" ht="18" thickTop="1" thickBot="1" x14ac:dyDescent="0.35">
      <c r="A516" s="309" t="s">
        <v>275</v>
      </c>
      <c r="B516" s="1490">
        <v>3</v>
      </c>
      <c r="C516" s="1490">
        <v>3</v>
      </c>
      <c r="D516" s="1553" t="s">
        <v>300</v>
      </c>
      <c r="E516" s="309" t="s">
        <v>904</v>
      </c>
      <c r="F516" s="399"/>
      <c r="G516" s="1491">
        <v>143.27418762436386</v>
      </c>
      <c r="H516" s="1491"/>
      <c r="I516" s="1542">
        <v>0</v>
      </c>
      <c r="J516" s="1491">
        <v>0</v>
      </c>
      <c r="K516" s="1542">
        <v>0</v>
      </c>
      <c r="L516" s="1491">
        <v>0</v>
      </c>
      <c r="M516" s="1492"/>
    </row>
    <row r="517" spans="1:13" ht="18" thickTop="1" thickBot="1" x14ac:dyDescent="0.35">
      <c r="A517" s="309" t="s">
        <v>277</v>
      </c>
      <c r="B517" s="1490">
        <v>4</v>
      </c>
      <c r="C517" s="1490">
        <v>4</v>
      </c>
      <c r="D517" s="1490" t="s">
        <v>277</v>
      </c>
      <c r="E517" s="309" t="s">
        <v>905</v>
      </c>
      <c r="F517" s="399"/>
      <c r="G517" s="1491">
        <v>657.43885259849651</v>
      </c>
      <c r="H517" s="1491"/>
      <c r="I517" s="1542">
        <v>0</v>
      </c>
      <c r="J517" s="1491">
        <v>0</v>
      </c>
      <c r="K517" s="1542">
        <v>0</v>
      </c>
      <c r="L517" s="1491">
        <v>0</v>
      </c>
      <c r="M517" s="1492"/>
    </row>
    <row r="518" spans="1:13" ht="18" thickTop="1" thickBot="1" x14ac:dyDescent="0.35">
      <c r="A518" s="309" t="s">
        <v>277</v>
      </c>
      <c r="B518" s="1490">
        <v>4</v>
      </c>
      <c r="C518" s="1490">
        <v>4</v>
      </c>
      <c r="D518" s="1490" t="s">
        <v>302</v>
      </c>
      <c r="E518" s="309" t="s">
        <v>906</v>
      </c>
      <c r="F518" s="399"/>
      <c r="G518" s="1491">
        <v>43.365013137137588</v>
      </c>
      <c r="H518" s="1491"/>
      <c r="I518" s="1542"/>
      <c r="J518" s="1491"/>
      <c r="K518" s="1542"/>
      <c r="L518" s="1491"/>
      <c r="M518" s="1492"/>
    </row>
    <row r="519" spans="1:13" ht="18" thickTop="1" thickBot="1" x14ac:dyDescent="0.35">
      <c r="A519" s="309" t="s">
        <v>277</v>
      </c>
      <c r="B519" s="1490">
        <v>4</v>
      </c>
      <c r="C519" s="1490">
        <v>4</v>
      </c>
      <c r="D519" s="1490" t="s">
        <v>302</v>
      </c>
      <c r="E519" s="309" t="s">
        <v>907</v>
      </c>
      <c r="F519" s="399"/>
      <c r="G519" s="1491">
        <v>177.56171064899075</v>
      </c>
      <c r="H519" s="1491"/>
      <c r="I519" s="1542">
        <v>0</v>
      </c>
      <c r="J519" s="1491">
        <v>0</v>
      </c>
      <c r="K519" s="1542">
        <v>0</v>
      </c>
      <c r="L519" s="1491">
        <v>0</v>
      </c>
      <c r="M519" s="1492"/>
    </row>
    <row r="520" spans="1:13" ht="18" thickTop="1" thickBot="1" x14ac:dyDescent="0.35">
      <c r="A520" s="309" t="s">
        <v>277</v>
      </c>
      <c r="B520" s="1490">
        <v>4</v>
      </c>
      <c r="C520" s="1490">
        <v>4</v>
      </c>
      <c r="D520" s="1490" t="s">
        <v>302</v>
      </c>
      <c r="E520" s="309" t="s">
        <v>908</v>
      </c>
      <c r="F520" s="399"/>
      <c r="G520" s="1491">
        <v>93.408463912776909</v>
      </c>
      <c r="H520" s="1491"/>
      <c r="I520" s="1542">
        <v>0</v>
      </c>
      <c r="J520" s="1491">
        <v>0</v>
      </c>
      <c r="K520" s="1542">
        <v>0</v>
      </c>
      <c r="L520" s="1491">
        <v>0</v>
      </c>
      <c r="M520" s="1492"/>
    </row>
    <row r="521" spans="1:13" ht="18" thickTop="1" thickBot="1" x14ac:dyDescent="0.35">
      <c r="A521" s="309" t="s">
        <v>277</v>
      </c>
      <c r="B521" s="1490">
        <v>4</v>
      </c>
      <c r="C521" s="1490">
        <v>4</v>
      </c>
      <c r="D521" s="1490" t="s">
        <v>302</v>
      </c>
      <c r="E521" s="309" t="s">
        <v>909</v>
      </c>
      <c r="F521" s="399"/>
      <c r="G521" s="1491">
        <v>52.952725530899862</v>
      </c>
      <c r="H521" s="1491"/>
      <c r="I521" s="1542">
        <v>0</v>
      </c>
      <c r="J521" s="1491">
        <v>0</v>
      </c>
      <c r="K521" s="1542">
        <v>0</v>
      </c>
      <c r="L521" s="1491">
        <v>0</v>
      </c>
      <c r="M521" s="1492"/>
    </row>
    <row r="522" spans="1:13" ht="18" thickTop="1" thickBot="1" x14ac:dyDescent="0.35">
      <c r="A522" s="309" t="s">
        <v>277</v>
      </c>
      <c r="B522" s="1490">
        <v>4</v>
      </c>
      <c r="C522" s="1490">
        <v>4</v>
      </c>
      <c r="D522" s="1490" t="s">
        <v>277</v>
      </c>
      <c r="E522" s="309" t="s">
        <v>910</v>
      </c>
      <c r="F522" s="399"/>
      <c r="G522" s="1491">
        <v>1.7296167631369446</v>
      </c>
      <c r="H522" s="1491"/>
      <c r="I522" s="1542">
        <v>0</v>
      </c>
      <c r="J522" s="1491">
        <v>0</v>
      </c>
      <c r="K522" s="1542">
        <v>0</v>
      </c>
      <c r="L522" s="1491">
        <v>0</v>
      </c>
      <c r="M522" s="1492"/>
    </row>
    <row r="523" spans="1:13" ht="18" thickTop="1" thickBot="1" x14ac:dyDescent="0.35">
      <c r="A523" s="309" t="s">
        <v>277</v>
      </c>
      <c r="B523" s="1490">
        <v>4</v>
      </c>
      <c r="C523" s="1490">
        <v>4</v>
      </c>
      <c r="D523" s="1490" t="s">
        <v>277</v>
      </c>
      <c r="E523" s="309" t="s">
        <v>911</v>
      </c>
      <c r="F523" s="399"/>
      <c r="G523" s="1491">
        <v>1348.6779616039514</v>
      </c>
      <c r="H523" s="1491"/>
      <c r="I523" s="1542">
        <v>0</v>
      </c>
      <c r="J523" s="1491">
        <v>0</v>
      </c>
      <c r="K523" s="1542">
        <v>0</v>
      </c>
      <c r="L523" s="1491">
        <v>0</v>
      </c>
      <c r="M523" s="1492"/>
    </row>
    <row r="524" spans="1:13" ht="18" thickTop="1" thickBot="1" x14ac:dyDescent="0.35">
      <c r="A524" s="309" t="s">
        <v>277</v>
      </c>
      <c r="B524" s="1490">
        <v>4</v>
      </c>
      <c r="C524" s="1490">
        <v>4</v>
      </c>
      <c r="D524" s="1490" t="s">
        <v>277</v>
      </c>
      <c r="E524" s="309" t="s">
        <v>912</v>
      </c>
      <c r="F524" s="399"/>
      <c r="G524" s="1491">
        <v>659.45217549576819</v>
      </c>
      <c r="H524" s="1491"/>
      <c r="I524" s="1542">
        <v>0</v>
      </c>
      <c r="J524" s="1491">
        <v>0</v>
      </c>
      <c r="K524" s="1542">
        <v>0</v>
      </c>
      <c r="L524" s="1491">
        <v>0</v>
      </c>
      <c r="M524" s="1492"/>
    </row>
    <row r="525" spans="1:13" ht="18" thickTop="1" thickBot="1" x14ac:dyDescent="0.35">
      <c r="A525" s="309" t="s">
        <v>277</v>
      </c>
      <c r="B525" s="1490">
        <v>4</v>
      </c>
      <c r="C525" s="1490">
        <v>4</v>
      </c>
      <c r="D525" s="1490" t="s">
        <v>277</v>
      </c>
      <c r="E525" s="309" t="s">
        <v>913</v>
      </c>
      <c r="F525" s="399"/>
      <c r="G525" s="1491">
        <v>306.34012637864873</v>
      </c>
      <c r="H525" s="1491"/>
      <c r="I525" s="1542">
        <v>0</v>
      </c>
      <c r="J525" s="1491">
        <v>0</v>
      </c>
      <c r="K525" s="1542">
        <v>0</v>
      </c>
      <c r="L525" s="1491">
        <v>0</v>
      </c>
      <c r="M525" s="1492"/>
    </row>
    <row r="526" spans="1:13" ht="18" thickTop="1" thickBot="1" x14ac:dyDescent="0.35">
      <c r="A526" s="309" t="s">
        <v>277</v>
      </c>
      <c r="B526" s="1490">
        <v>4</v>
      </c>
      <c r="C526" s="1490">
        <v>4</v>
      </c>
      <c r="D526" s="1490" t="s">
        <v>307</v>
      </c>
      <c r="E526" s="309" t="s">
        <v>914</v>
      </c>
      <c r="F526" s="399"/>
      <c r="G526" s="1491">
        <v>7.7698438022583343</v>
      </c>
      <c r="H526" s="1491"/>
      <c r="I526" s="1542">
        <v>0</v>
      </c>
      <c r="J526" s="1491">
        <v>0</v>
      </c>
      <c r="K526" s="1542">
        <v>0</v>
      </c>
      <c r="L526" s="1491">
        <v>0</v>
      </c>
      <c r="M526" s="1492"/>
    </row>
    <row r="527" spans="1:13" ht="18" thickTop="1" thickBot="1" x14ac:dyDescent="0.35">
      <c r="A527" s="309" t="s">
        <v>277</v>
      </c>
      <c r="B527" s="1490">
        <v>4</v>
      </c>
      <c r="C527" s="1490">
        <v>4</v>
      </c>
      <c r="D527" s="1490" t="s">
        <v>308</v>
      </c>
      <c r="E527" s="309" t="s">
        <v>915</v>
      </c>
      <c r="F527" s="399"/>
      <c r="G527" s="1491">
        <v>68.814404203656395</v>
      </c>
      <c r="H527" s="1491"/>
      <c r="I527" s="1542">
        <v>0</v>
      </c>
      <c r="J527" s="1491">
        <v>0</v>
      </c>
      <c r="K527" s="1542">
        <v>0</v>
      </c>
      <c r="L527" s="1491">
        <v>0</v>
      </c>
      <c r="M527" s="1492"/>
    </row>
    <row r="528" spans="1:13" ht="18" thickTop="1" thickBot="1" x14ac:dyDescent="0.35">
      <c r="A528" s="309" t="s">
        <v>277</v>
      </c>
      <c r="B528" s="1490">
        <v>4</v>
      </c>
      <c r="C528" s="1490">
        <v>4</v>
      </c>
      <c r="D528" s="1490" t="s">
        <v>308</v>
      </c>
      <c r="E528" s="309" t="s">
        <v>916</v>
      </c>
      <c r="F528" s="399"/>
      <c r="G528" s="1491">
        <v>42.182400904715813</v>
      </c>
      <c r="H528" s="1491"/>
      <c r="I528" s="1542">
        <v>0</v>
      </c>
      <c r="J528" s="1491">
        <v>0</v>
      </c>
      <c r="K528" s="1542">
        <v>0</v>
      </c>
      <c r="L528" s="1491">
        <v>0</v>
      </c>
      <c r="M528" s="1492"/>
    </row>
    <row r="529" spans="1:13" ht="18" thickTop="1" thickBot="1" x14ac:dyDescent="0.35">
      <c r="A529" s="309" t="s">
        <v>277</v>
      </c>
      <c r="B529" s="1490">
        <v>4</v>
      </c>
      <c r="C529" s="1490">
        <v>4</v>
      </c>
      <c r="D529" s="1490" t="s">
        <v>308</v>
      </c>
      <c r="E529" s="309" t="s">
        <v>917</v>
      </c>
      <c r="F529" s="399"/>
      <c r="G529" s="1491">
        <v>14.557203481717281</v>
      </c>
      <c r="H529" s="1491"/>
      <c r="I529" s="1542">
        <v>0</v>
      </c>
      <c r="J529" s="1491">
        <v>0</v>
      </c>
      <c r="K529" s="1542">
        <v>0</v>
      </c>
      <c r="L529" s="1491">
        <v>0</v>
      </c>
      <c r="M529" s="1492"/>
    </row>
    <row r="530" spans="1:13" ht="18" thickTop="1" thickBot="1" x14ac:dyDescent="0.35">
      <c r="A530" s="309" t="s">
        <v>277</v>
      </c>
      <c r="B530" s="1490">
        <v>4</v>
      </c>
      <c r="C530" s="1490">
        <v>4</v>
      </c>
      <c r="D530" s="1490" t="s">
        <v>322</v>
      </c>
      <c r="E530" s="309" t="s">
        <v>918</v>
      </c>
      <c r="F530" s="399"/>
      <c r="G530" s="1491">
        <v>602.26512639484918</v>
      </c>
      <c r="H530" s="1491"/>
      <c r="I530" s="1542">
        <v>0</v>
      </c>
      <c r="J530" s="1491">
        <v>0</v>
      </c>
      <c r="K530" s="1542">
        <v>0</v>
      </c>
      <c r="L530" s="1491">
        <v>0</v>
      </c>
      <c r="M530" s="1492"/>
    </row>
    <row r="531" spans="1:13" ht="18" thickTop="1" thickBot="1" x14ac:dyDescent="0.35">
      <c r="A531" s="309" t="s">
        <v>277</v>
      </c>
      <c r="B531" s="1490">
        <v>4</v>
      </c>
      <c r="C531" s="1490">
        <v>4</v>
      </c>
      <c r="D531" s="1490" t="s">
        <v>309</v>
      </c>
      <c r="E531" s="309" t="s">
        <v>919</v>
      </c>
      <c r="F531" s="309"/>
      <c r="G531" s="1491">
        <v>9.0420294649163502</v>
      </c>
      <c r="H531" s="1491"/>
      <c r="I531" s="1542"/>
      <c r="J531" s="1491"/>
      <c r="K531" s="1542"/>
      <c r="L531" s="1491"/>
      <c r="M531" s="1492"/>
    </row>
    <row r="532" spans="1:13" ht="18" thickTop="1" thickBot="1" x14ac:dyDescent="0.35">
      <c r="A532" s="309" t="s">
        <v>277</v>
      </c>
      <c r="B532" s="1490">
        <v>4</v>
      </c>
      <c r="C532" s="1490">
        <v>4</v>
      </c>
      <c r="D532" s="1490" t="s">
        <v>311</v>
      </c>
      <c r="E532" s="309" t="s">
        <v>920</v>
      </c>
      <c r="F532" s="399"/>
      <c r="G532" s="1491">
        <v>9.345510337143045</v>
      </c>
      <c r="H532" s="1491"/>
      <c r="I532" s="1542">
        <v>0</v>
      </c>
      <c r="J532" s="1491">
        <v>0</v>
      </c>
      <c r="K532" s="1542">
        <v>0</v>
      </c>
      <c r="L532" s="1491">
        <v>0</v>
      </c>
      <c r="M532" s="1492"/>
    </row>
    <row r="533" spans="1:13" ht="18" thickTop="1" thickBot="1" x14ac:dyDescent="0.35">
      <c r="A533" s="309" t="s">
        <v>277</v>
      </c>
      <c r="B533" s="1490">
        <v>4</v>
      </c>
      <c r="C533" s="1490">
        <v>4</v>
      </c>
      <c r="D533" s="1490" t="s">
        <v>277</v>
      </c>
      <c r="E533" s="309" t="s">
        <v>921</v>
      </c>
      <c r="F533" s="399"/>
      <c r="G533" s="1491">
        <v>533.43321338236115</v>
      </c>
      <c r="H533" s="1491"/>
      <c r="I533" s="1542">
        <v>0</v>
      </c>
      <c r="J533" s="1491">
        <v>0</v>
      </c>
      <c r="K533" s="1542">
        <v>0</v>
      </c>
      <c r="L533" s="1491">
        <v>0</v>
      </c>
      <c r="M533" s="1492"/>
    </row>
    <row r="534" spans="1:13" ht="18" thickTop="1" thickBot="1" x14ac:dyDescent="0.35">
      <c r="A534" s="1550" t="s">
        <v>277</v>
      </c>
      <c r="B534" s="1551">
        <v>4</v>
      </c>
      <c r="C534" s="1551">
        <v>4</v>
      </c>
      <c r="D534" s="1551" t="s">
        <v>277</v>
      </c>
      <c r="E534" s="1550" t="s">
        <v>922</v>
      </c>
      <c r="F534" s="1555"/>
      <c r="G534" s="1491">
        <v>66.516314588571021</v>
      </c>
      <c r="H534" s="1552"/>
      <c r="I534" s="1552">
        <v>0</v>
      </c>
      <c r="J534" s="1552">
        <v>0</v>
      </c>
      <c r="K534" s="1552">
        <v>0</v>
      </c>
      <c r="L534" s="1552">
        <f>G534</f>
        <v>66.516314588571021</v>
      </c>
      <c r="M534" s="1492"/>
    </row>
    <row r="535" spans="1:13" ht="18" thickTop="1" thickBot="1" x14ac:dyDescent="0.35">
      <c r="A535" s="309" t="s">
        <v>277</v>
      </c>
      <c r="B535" s="1490">
        <v>4</v>
      </c>
      <c r="C535" s="1490">
        <v>4</v>
      </c>
      <c r="D535" s="1490" t="s">
        <v>277</v>
      </c>
      <c r="E535" s="309" t="s">
        <v>923</v>
      </c>
      <c r="F535" s="399"/>
      <c r="G535" s="1491">
        <v>312.06538065519078</v>
      </c>
      <c r="H535" s="1491"/>
      <c r="I535" s="1542">
        <v>0</v>
      </c>
      <c r="J535" s="1491">
        <v>0</v>
      </c>
      <c r="K535" s="1542">
        <v>0</v>
      </c>
      <c r="L535" s="1491">
        <v>0</v>
      </c>
      <c r="M535" s="1492"/>
    </row>
    <row r="536" spans="1:13" ht="18" thickTop="1" thickBot="1" x14ac:dyDescent="0.35">
      <c r="A536" s="309" t="s">
        <v>277</v>
      </c>
      <c r="B536" s="1490">
        <v>4</v>
      </c>
      <c r="C536" s="1490">
        <v>4</v>
      </c>
      <c r="D536" s="1490" t="s">
        <v>314</v>
      </c>
      <c r="E536" s="309" t="s">
        <v>924</v>
      </c>
      <c r="F536" s="399"/>
      <c r="G536" s="1491">
        <v>119.89877561171666</v>
      </c>
      <c r="H536" s="1491"/>
      <c r="I536" s="1542">
        <v>0</v>
      </c>
      <c r="J536" s="1491">
        <v>0</v>
      </c>
      <c r="K536" s="1542">
        <v>0</v>
      </c>
      <c r="L536" s="1491">
        <v>0</v>
      </c>
      <c r="M536" s="1492"/>
    </row>
    <row r="537" spans="1:13" ht="18" thickTop="1" thickBot="1" x14ac:dyDescent="0.35">
      <c r="A537" s="309" t="s">
        <v>277</v>
      </c>
      <c r="B537" s="1490">
        <v>4</v>
      </c>
      <c r="C537" s="1490">
        <v>4</v>
      </c>
      <c r="D537" s="1490" t="s">
        <v>314</v>
      </c>
      <c r="E537" s="309" t="s">
        <v>925</v>
      </c>
      <c r="F537" s="399"/>
      <c r="G537" s="1491">
        <v>64.171441772721778</v>
      </c>
      <c r="H537" s="1491"/>
      <c r="I537" s="1542">
        <v>0</v>
      </c>
      <c r="J537" s="1491">
        <v>0</v>
      </c>
      <c r="K537" s="1542">
        <v>0</v>
      </c>
      <c r="L537" s="1491">
        <v>0</v>
      </c>
      <c r="M537" s="1492"/>
    </row>
    <row r="538" spans="1:13" ht="18" thickTop="1" thickBot="1" x14ac:dyDescent="0.35">
      <c r="A538" s="309" t="s">
        <v>277</v>
      </c>
      <c r="B538" s="1490">
        <v>4</v>
      </c>
      <c r="C538" s="1490">
        <v>4</v>
      </c>
      <c r="D538" s="1490" t="s">
        <v>314</v>
      </c>
      <c r="E538" s="309" t="s">
        <v>926</v>
      </c>
      <c r="F538" s="399"/>
      <c r="G538" s="1491">
        <v>38.761136662642606</v>
      </c>
      <c r="H538" s="1491"/>
      <c r="I538" s="1542">
        <v>0</v>
      </c>
      <c r="J538" s="1491">
        <v>0</v>
      </c>
      <c r="K538" s="1542">
        <v>0</v>
      </c>
      <c r="L538" s="1491">
        <v>0</v>
      </c>
      <c r="M538" s="1492"/>
    </row>
    <row r="539" spans="1:13" ht="18" thickTop="1" thickBot="1" x14ac:dyDescent="0.35">
      <c r="A539" s="309" t="s">
        <v>277</v>
      </c>
      <c r="B539" s="1490">
        <v>4</v>
      </c>
      <c r="C539" s="1490">
        <v>4</v>
      </c>
      <c r="D539" s="1490" t="s">
        <v>318</v>
      </c>
      <c r="E539" s="309" t="s">
        <v>927</v>
      </c>
      <c r="F539" s="399"/>
      <c r="G539" s="1491">
        <v>7.8777581915974242</v>
      </c>
      <c r="H539" s="1491"/>
      <c r="I539" s="1542">
        <v>0</v>
      </c>
      <c r="J539" s="1491">
        <v>0</v>
      </c>
      <c r="K539" s="1542">
        <v>0</v>
      </c>
      <c r="L539" s="1491">
        <v>0</v>
      </c>
      <c r="M539" s="1492"/>
    </row>
    <row r="540" spans="1:13" ht="18" thickTop="1" thickBot="1" x14ac:dyDescent="0.35">
      <c r="A540" s="309" t="s">
        <v>277</v>
      </c>
      <c r="B540" s="1490">
        <v>4</v>
      </c>
      <c r="C540" s="1490">
        <v>4</v>
      </c>
      <c r="D540" s="1490" t="s">
        <v>322</v>
      </c>
      <c r="E540" s="309" t="s">
        <v>928</v>
      </c>
      <c r="F540" s="399"/>
      <c r="G540" s="1491">
        <v>406.10857738526215</v>
      </c>
      <c r="H540" s="1491"/>
      <c r="I540" s="1542">
        <v>0</v>
      </c>
      <c r="J540" s="1491">
        <v>0</v>
      </c>
      <c r="K540" s="1542">
        <v>0</v>
      </c>
      <c r="L540" s="1491">
        <v>0</v>
      </c>
      <c r="M540" s="1492"/>
    </row>
    <row r="541" spans="1:13" ht="18" thickTop="1" thickBot="1" x14ac:dyDescent="0.35">
      <c r="A541" s="309" t="s">
        <v>277</v>
      </c>
      <c r="B541" s="1490">
        <v>4</v>
      </c>
      <c r="C541" s="1490">
        <v>4</v>
      </c>
      <c r="D541" s="1490" t="s">
        <v>277</v>
      </c>
      <c r="E541" s="309" t="s">
        <v>929</v>
      </c>
      <c r="F541" s="399"/>
      <c r="G541" s="1491">
        <v>495.15525222640576</v>
      </c>
      <c r="H541" s="1491"/>
      <c r="I541" s="1542">
        <v>0</v>
      </c>
      <c r="J541" s="1491">
        <v>0</v>
      </c>
      <c r="K541" s="1542">
        <v>0</v>
      </c>
      <c r="L541" s="1491">
        <v>0</v>
      </c>
      <c r="M541" s="1492"/>
    </row>
    <row r="542" spans="1:13" ht="18" thickTop="1" thickBot="1" x14ac:dyDescent="0.35">
      <c r="A542" s="309" t="s">
        <v>277</v>
      </c>
      <c r="B542" s="1490">
        <v>4</v>
      </c>
      <c r="C542" s="1490">
        <v>4</v>
      </c>
      <c r="D542" s="1490" t="s">
        <v>322</v>
      </c>
      <c r="E542" s="309" t="s">
        <v>930</v>
      </c>
      <c r="F542" s="399"/>
      <c r="G542" s="1491">
        <v>380.31120900790683</v>
      </c>
      <c r="H542" s="1491"/>
      <c r="I542" s="1542">
        <v>0</v>
      </c>
      <c r="J542" s="1491">
        <v>0</v>
      </c>
      <c r="K542" s="1542">
        <v>0</v>
      </c>
      <c r="L542" s="1491">
        <v>0</v>
      </c>
      <c r="M542" s="1492"/>
    </row>
    <row r="543" spans="1:13" ht="18" thickTop="1" thickBot="1" x14ac:dyDescent="0.35">
      <c r="A543" s="309" t="s">
        <v>277</v>
      </c>
      <c r="B543" s="1490">
        <v>4</v>
      </c>
      <c r="C543" s="1490">
        <v>4</v>
      </c>
      <c r="D543" s="1490" t="s">
        <v>322</v>
      </c>
      <c r="E543" s="309" t="s">
        <v>931</v>
      </c>
      <c r="F543" s="399"/>
      <c r="G543" s="1491">
        <v>837.28846455776386</v>
      </c>
      <c r="H543" s="1491"/>
      <c r="I543" s="1542">
        <v>0</v>
      </c>
      <c r="J543" s="1491">
        <v>0</v>
      </c>
      <c r="K543" s="1542">
        <v>0</v>
      </c>
      <c r="L543" s="1491">
        <v>0</v>
      </c>
      <c r="M543" s="1492"/>
    </row>
    <row r="544" spans="1:13" ht="18" thickTop="1" thickBot="1" x14ac:dyDescent="0.35">
      <c r="A544" s="309" t="s">
        <v>277</v>
      </c>
      <c r="B544" s="1490">
        <v>4</v>
      </c>
      <c r="C544" s="1490">
        <v>4</v>
      </c>
      <c r="D544" s="1490" t="s">
        <v>322</v>
      </c>
      <c r="E544" s="309" t="s">
        <v>932</v>
      </c>
      <c r="F544" s="399"/>
      <c r="G544" s="1491">
        <v>698.11776755465098</v>
      </c>
      <c r="H544" s="1491"/>
      <c r="I544" s="1542">
        <v>0</v>
      </c>
      <c r="J544" s="1491">
        <v>0</v>
      </c>
      <c r="K544" s="1542">
        <v>0</v>
      </c>
      <c r="L544" s="1491">
        <v>0</v>
      </c>
      <c r="M544" s="1492"/>
    </row>
    <row r="545" spans="1:13" ht="18" thickTop="1" thickBot="1" x14ac:dyDescent="0.35">
      <c r="A545" s="309" t="s">
        <v>277</v>
      </c>
      <c r="B545" s="1490">
        <v>4</v>
      </c>
      <c r="C545" s="1490">
        <v>4</v>
      </c>
      <c r="D545" s="1490" t="s">
        <v>326</v>
      </c>
      <c r="E545" s="309" t="s">
        <v>933</v>
      </c>
      <c r="F545" s="399"/>
      <c r="G545" s="1491">
        <v>144.37564961394258</v>
      </c>
      <c r="H545" s="1491"/>
      <c r="I545" s="1542">
        <v>0</v>
      </c>
      <c r="J545" s="1491">
        <v>0</v>
      </c>
      <c r="K545" s="1542">
        <v>0</v>
      </c>
      <c r="L545" s="1491">
        <v>0</v>
      </c>
      <c r="M545" s="1492"/>
    </row>
    <row r="546" spans="1:13" ht="18" thickTop="1" thickBot="1" x14ac:dyDescent="0.35">
      <c r="A546" s="309" t="s">
        <v>277</v>
      </c>
      <c r="B546" s="1490">
        <v>4</v>
      </c>
      <c r="C546" s="1490">
        <v>4</v>
      </c>
      <c r="D546" s="1490" t="s">
        <v>326</v>
      </c>
      <c r="E546" s="309" t="s">
        <v>934</v>
      </c>
      <c r="F546" s="399"/>
      <c r="G546" s="1491">
        <v>92.473912927624141</v>
      </c>
      <c r="H546" s="1491"/>
      <c r="I546" s="1542">
        <v>0</v>
      </c>
      <c r="J546" s="1491">
        <v>0</v>
      </c>
      <c r="K546" s="1542">
        <v>0</v>
      </c>
      <c r="L546" s="1491">
        <v>0</v>
      </c>
      <c r="M546" s="1492"/>
    </row>
    <row r="547" spans="1:13" ht="18" thickTop="1" thickBot="1" x14ac:dyDescent="0.35">
      <c r="A547" s="309" t="s">
        <v>277</v>
      </c>
      <c r="B547" s="1490">
        <v>4</v>
      </c>
      <c r="C547" s="1490">
        <v>4</v>
      </c>
      <c r="D547" s="1490" t="s">
        <v>326</v>
      </c>
      <c r="E547" s="309" t="s">
        <v>935</v>
      </c>
      <c r="F547" s="399"/>
      <c r="G547" s="1491">
        <v>48.773334805124151</v>
      </c>
      <c r="H547" s="1491"/>
      <c r="I547" s="1542">
        <v>0</v>
      </c>
      <c r="J547" s="1491">
        <v>0</v>
      </c>
      <c r="K547" s="1542">
        <v>0</v>
      </c>
      <c r="L547" s="1491">
        <v>0</v>
      </c>
      <c r="M547" s="1492"/>
    </row>
    <row r="548" spans="1:13" ht="18" thickTop="1" thickBot="1" x14ac:dyDescent="0.35">
      <c r="A548" s="309" t="s">
        <v>277</v>
      </c>
      <c r="B548" s="1490">
        <v>4</v>
      </c>
      <c r="C548" s="1490">
        <v>4</v>
      </c>
      <c r="D548" s="1490" t="s">
        <v>329</v>
      </c>
      <c r="E548" s="309" t="s">
        <v>936</v>
      </c>
      <c r="F548" s="399"/>
      <c r="G548" s="1491">
        <v>397.66973274372691</v>
      </c>
      <c r="H548" s="1491"/>
      <c r="I548" s="1542">
        <v>0</v>
      </c>
      <c r="J548" s="1491">
        <v>0</v>
      </c>
      <c r="K548" s="1542">
        <v>0</v>
      </c>
      <c r="L548" s="1491">
        <v>0</v>
      </c>
      <c r="M548" s="1492"/>
    </row>
    <row r="549" spans="1:13" ht="18" thickTop="1" thickBot="1" x14ac:dyDescent="0.35">
      <c r="A549" s="309" t="s">
        <v>277</v>
      </c>
      <c r="B549" s="1490">
        <v>4</v>
      </c>
      <c r="C549" s="1490">
        <v>4</v>
      </c>
      <c r="D549" s="1490" t="s">
        <v>329</v>
      </c>
      <c r="E549" s="309" t="s">
        <v>937</v>
      </c>
      <c r="F549" s="399"/>
      <c r="G549" s="1491">
        <v>295.77546985784119</v>
      </c>
      <c r="H549" s="1491"/>
      <c r="I549" s="1542">
        <v>0</v>
      </c>
      <c r="J549" s="1491">
        <v>0</v>
      </c>
      <c r="K549" s="1542">
        <v>0</v>
      </c>
      <c r="L549" s="1491">
        <v>0</v>
      </c>
      <c r="M549" s="1492"/>
    </row>
    <row r="550" spans="1:13" ht="18" thickTop="1" thickBot="1" x14ac:dyDescent="0.35">
      <c r="A550" s="309" t="s">
        <v>277</v>
      </c>
      <c r="B550" s="1490">
        <v>4</v>
      </c>
      <c r="C550" s="1490">
        <v>4</v>
      </c>
      <c r="D550" s="1490" t="s">
        <v>329</v>
      </c>
      <c r="E550" s="309" t="s">
        <v>938</v>
      </c>
      <c r="F550" s="399"/>
      <c r="G550" s="1491">
        <v>200.7717938824797</v>
      </c>
      <c r="H550" s="1491"/>
      <c r="I550" s="1542">
        <v>0</v>
      </c>
      <c r="J550" s="1491">
        <v>0</v>
      </c>
      <c r="K550" s="1542">
        <v>0</v>
      </c>
      <c r="L550" s="1491">
        <v>0</v>
      </c>
      <c r="M550" s="1492"/>
    </row>
    <row r="551" spans="1:13" ht="18" thickTop="1" thickBot="1" x14ac:dyDescent="0.35">
      <c r="A551" s="309" t="s">
        <v>279</v>
      </c>
      <c r="B551" s="1490">
        <v>5</v>
      </c>
      <c r="C551" s="1490">
        <v>5</v>
      </c>
      <c r="D551" s="1490" t="s">
        <v>333</v>
      </c>
      <c r="E551" s="309" t="s">
        <v>939</v>
      </c>
      <c r="F551" s="399"/>
      <c r="G551" s="1491">
        <v>34.318719767425726</v>
      </c>
      <c r="H551" s="1491"/>
      <c r="I551" s="1542">
        <v>0</v>
      </c>
      <c r="J551" s="1491">
        <v>0</v>
      </c>
      <c r="K551" s="1542">
        <v>0</v>
      </c>
      <c r="L551" s="1491">
        <v>0</v>
      </c>
      <c r="M551" s="1492"/>
    </row>
    <row r="552" spans="1:13" ht="18" thickTop="1" thickBot="1" x14ac:dyDescent="0.35">
      <c r="A552" s="1550" t="s">
        <v>279</v>
      </c>
      <c r="B552" s="1551">
        <v>5</v>
      </c>
      <c r="C552" s="1551">
        <v>5</v>
      </c>
      <c r="D552" s="1551" t="s">
        <v>333</v>
      </c>
      <c r="E552" s="1550" t="s">
        <v>940</v>
      </c>
      <c r="F552" s="1555"/>
      <c r="G552" s="1491">
        <v>11.270292041752496</v>
      </c>
      <c r="H552" s="1552"/>
      <c r="I552" s="1552">
        <v>0</v>
      </c>
      <c r="J552" s="1552">
        <v>0</v>
      </c>
      <c r="K552" s="1552">
        <v>0</v>
      </c>
      <c r="L552" s="1552">
        <f>G552</f>
        <v>11.270292041752496</v>
      </c>
      <c r="M552" s="1492"/>
    </row>
    <row r="553" spans="1:13" ht="18" thickTop="1" thickBot="1" x14ac:dyDescent="0.35">
      <c r="A553" s="309" t="s">
        <v>279</v>
      </c>
      <c r="B553" s="1490">
        <v>5</v>
      </c>
      <c r="C553" s="1490">
        <v>5</v>
      </c>
      <c r="D553" s="1490" t="s">
        <v>336</v>
      </c>
      <c r="E553" s="309" t="s">
        <v>941</v>
      </c>
      <c r="F553" s="399"/>
      <c r="G553" s="1491">
        <v>19.954931868606803</v>
      </c>
      <c r="H553" s="1491"/>
      <c r="I553" s="1542">
        <v>0</v>
      </c>
      <c r="J553" s="1491">
        <v>0</v>
      </c>
      <c r="K553" s="1542">
        <v>0</v>
      </c>
      <c r="L553" s="1491">
        <v>0</v>
      </c>
      <c r="M553" s="1492"/>
    </row>
    <row r="554" spans="1:13" ht="18" thickTop="1" thickBot="1" x14ac:dyDescent="0.35">
      <c r="A554" s="309" t="s">
        <v>279</v>
      </c>
      <c r="B554" s="1490">
        <v>5</v>
      </c>
      <c r="C554" s="1490">
        <v>5</v>
      </c>
      <c r="D554" s="1490" t="s">
        <v>336</v>
      </c>
      <c r="E554" s="309" t="s">
        <v>942</v>
      </c>
      <c r="F554" s="399"/>
      <c r="G554" s="1491">
        <v>6.8223520640916453</v>
      </c>
      <c r="H554" s="1491"/>
      <c r="I554" s="1542">
        <v>0</v>
      </c>
      <c r="J554" s="1491">
        <v>0</v>
      </c>
      <c r="K554" s="1542">
        <v>0</v>
      </c>
      <c r="L554" s="1491">
        <v>0</v>
      </c>
      <c r="M554" s="1492"/>
    </row>
    <row r="555" spans="1:13" ht="18" thickTop="1" thickBot="1" x14ac:dyDescent="0.35">
      <c r="A555" s="309" t="s">
        <v>279</v>
      </c>
      <c r="B555" s="1490">
        <v>5</v>
      </c>
      <c r="C555" s="1490">
        <v>5</v>
      </c>
      <c r="D555" s="1490" t="s">
        <v>339</v>
      </c>
      <c r="E555" s="309" t="s">
        <v>943</v>
      </c>
      <c r="F555" s="399"/>
      <c r="G555" s="1491">
        <v>8.2695998182410762</v>
      </c>
      <c r="H555" s="1491"/>
      <c r="I555" s="1542">
        <v>0</v>
      </c>
      <c r="J555" s="1491">
        <v>0</v>
      </c>
      <c r="K555" s="1542">
        <v>0</v>
      </c>
      <c r="L555" s="1491">
        <v>0</v>
      </c>
      <c r="M555" s="1492"/>
    </row>
    <row r="556" spans="1:13" ht="18" thickTop="1" thickBot="1" x14ac:dyDescent="0.35">
      <c r="A556" s="309" t="s">
        <v>281</v>
      </c>
      <c r="B556" s="1490">
        <v>6</v>
      </c>
      <c r="C556" s="1490">
        <v>6</v>
      </c>
      <c r="D556" s="1556" t="s">
        <v>342</v>
      </c>
      <c r="E556" s="309" t="s">
        <v>944</v>
      </c>
      <c r="F556" s="399"/>
      <c r="G556" s="1491">
        <v>26.400500304391105</v>
      </c>
      <c r="H556" s="1491"/>
      <c r="I556" s="1542">
        <v>0</v>
      </c>
      <c r="J556" s="1491">
        <v>0</v>
      </c>
      <c r="K556" s="1542">
        <v>0</v>
      </c>
      <c r="L556" s="1491">
        <v>0</v>
      </c>
      <c r="M556" s="1492"/>
    </row>
    <row r="557" spans="1:13" ht="18" thickTop="1" thickBot="1" x14ac:dyDescent="0.35">
      <c r="A557" s="309" t="s">
        <v>281</v>
      </c>
      <c r="B557" s="1490">
        <v>6</v>
      </c>
      <c r="C557" s="1490">
        <v>6</v>
      </c>
      <c r="D557" s="1490" t="s">
        <v>281</v>
      </c>
      <c r="E557" s="309" t="s">
        <v>945</v>
      </c>
      <c r="F557" s="399"/>
      <c r="G557" s="1491">
        <v>162.86404987582264</v>
      </c>
      <c r="H557" s="1491"/>
      <c r="I557" s="1542">
        <v>0</v>
      </c>
      <c r="J557" s="1491">
        <v>0</v>
      </c>
      <c r="K557" s="1542">
        <v>0</v>
      </c>
      <c r="L557" s="1491">
        <v>0</v>
      </c>
      <c r="M557" s="1492"/>
    </row>
    <row r="558" spans="1:13" ht="18" thickTop="1" thickBot="1" x14ac:dyDescent="0.35">
      <c r="A558" s="309" t="s">
        <v>281</v>
      </c>
      <c r="B558" s="1490">
        <v>6</v>
      </c>
      <c r="C558" s="1490">
        <v>6</v>
      </c>
      <c r="D558" s="1490" t="s">
        <v>281</v>
      </c>
      <c r="E558" s="309" t="s">
        <v>946</v>
      </c>
      <c r="F558" s="399"/>
      <c r="G558" s="1491">
        <v>108.31746971481685</v>
      </c>
      <c r="H558" s="1491"/>
      <c r="I558" s="1542">
        <v>0</v>
      </c>
      <c r="J558" s="1491">
        <v>0</v>
      </c>
      <c r="K558" s="1542">
        <v>0</v>
      </c>
      <c r="L558" s="1491">
        <v>0</v>
      </c>
      <c r="M558" s="1492"/>
    </row>
    <row r="559" spans="1:13" ht="18" thickTop="1" thickBot="1" x14ac:dyDescent="0.35">
      <c r="A559" s="309" t="s">
        <v>283</v>
      </c>
      <c r="B559" s="1490">
        <v>7</v>
      </c>
      <c r="C559" s="1490">
        <v>7</v>
      </c>
      <c r="D559" s="1490" t="s">
        <v>362</v>
      </c>
      <c r="E559" s="309" t="s">
        <v>947</v>
      </c>
      <c r="F559" s="399"/>
      <c r="G559" s="1491">
        <v>946.26377911584734</v>
      </c>
      <c r="H559" s="1491"/>
      <c r="I559" s="1542">
        <v>0</v>
      </c>
      <c r="J559" s="1491">
        <v>0</v>
      </c>
      <c r="K559" s="1542">
        <v>0</v>
      </c>
      <c r="L559" s="1491">
        <v>0</v>
      </c>
      <c r="M559" s="1492"/>
    </row>
    <row r="560" spans="1:13" ht="18" thickTop="1" thickBot="1" x14ac:dyDescent="0.35">
      <c r="A560" s="309" t="s">
        <v>283</v>
      </c>
      <c r="B560" s="1490">
        <v>7</v>
      </c>
      <c r="C560" s="1490">
        <v>7</v>
      </c>
      <c r="D560" s="1490" t="s">
        <v>347</v>
      </c>
      <c r="E560" s="309" t="s">
        <v>948</v>
      </c>
      <c r="F560" s="399"/>
      <c r="G560" s="1491">
        <v>6.1532279571726054</v>
      </c>
      <c r="H560" s="1491"/>
      <c r="I560" s="1542">
        <v>0</v>
      </c>
      <c r="J560" s="1491">
        <v>0</v>
      </c>
      <c r="K560" s="1542">
        <v>0</v>
      </c>
      <c r="L560" s="1491">
        <v>0</v>
      </c>
      <c r="M560" s="1492"/>
    </row>
    <row r="561" spans="1:13" ht="18" thickTop="1" thickBot="1" x14ac:dyDescent="0.35">
      <c r="A561" s="309" t="s">
        <v>283</v>
      </c>
      <c r="B561" s="1490">
        <v>7</v>
      </c>
      <c r="C561" s="1490">
        <v>7</v>
      </c>
      <c r="D561" s="1490" t="s">
        <v>362</v>
      </c>
      <c r="E561" s="309" t="s">
        <v>949</v>
      </c>
      <c r="F561" s="399"/>
      <c r="G561" s="1491">
        <v>452.75383354737471</v>
      </c>
      <c r="H561" s="1491"/>
      <c r="I561" s="1542">
        <v>0</v>
      </c>
      <c r="J561" s="1491">
        <v>0</v>
      </c>
      <c r="K561" s="1542">
        <v>0</v>
      </c>
      <c r="L561" s="1491">
        <v>0</v>
      </c>
      <c r="M561" s="1492"/>
    </row>
    <row r="562" spans="1:13" ht="18" thickTop="1" thickBot="1" x14ac:dyDescent="0.35">
      <c r="A562" s="309" t="s">
        <v>283</v>
      </c>
      <c r="B562" s="1490">
        <v>7</v>
      </c>
      <c r="C562" s="1490">
        <v>7</v>
      </c>
      <c r="D562" s="1490" t="s">
        <v>362</v>
      </c>
      <c r="E562" s="309" t="s">
        <v>950</v>
      </c>
      <c r="F562" s="399"/>
      <c r="G562" s="1491">
        <v>342.4172295559195</v>
      </c>
      <c r="H562" s="1491"/>
      <c r="I562" s="1542">
        <v>0</v>
      </c>
      <c r="J562" s="1491">
        <v>0</v>
      </c>
      <c r="K562" s="1542">
        <v>0</v>
      </c>
      <c r="L562" s="1491">
        <v>0</v>
      </c>
      <c r="M562" s="1492"/>
    </row>
    <row r="563" spans="1:13" ht="18" thickTop="1" thickBot="1" x14ac:dyDescent="0.35">
      <c r="A563" s="309" t="s">
        <v>283</v>
      </c>
      <c r="B563" s="1490">
        <v>7</v>
      </c>
      <c r="C563" s="1490">
        <v>7</v>
      </c>
      <c r="D563" s="1490" t="s">
        <v>350</v>
      </c>
      <c r="E563" s="309" t="s">
        <v>350</v>
      </c>
      <c r="F563" s="399"/>
      <c r="G563" s="1491">
        <v>7.8578728185988655</v>
      </c>
      <c r="H563" s="1491"/>
      <c r="I563" s="1542">
        <v>0</v>
      </c>
      <c r="J563" s="1491">
        <v>0</v>
      </c>
      <c r="K563" s="1542">
        <v>0</v>
      </c>
      <c r="L563" s="1491">
        <v>0</v>
      </c>
      <c r="M563" s="1492"/>
    </row>
    <row r="564" spans="1:13" ht="18" thickTop="1" thickBot="1" x14ac:dyDescent="0.35">
      <c r="A564" s="309" t="s">
        <v>283</v>
      </c>
      <c r="B564" s="1490">
        <v>7</v>
      </c>
      <c r="C564" s="1490">
        <v>7</v>
      </c>
      <c r="D564" s="1490" t="s">
        <v>353</v>
      </c>
      <c r="E564" s="309" t="s">
        <v>951</v>
      </c>
      <c r="F564" s="399"/>
      <c r="G564" s="1491">
        <v>52.355109446838746</v>
      </c>
      <c r="H564" s="1491"/>
      <c r="I564" s="1542">
        <v>0</v>
      </c>
      <c r="J564" s="1491">
        <v>0</v>
      </c>
      <c r="K564" s="1542">
        <v>0</v>
      </c>
      <c r="L564" s="1491">
        <v>0</v>
      </c>
      <c r="M564" s="1492"/>
    </row>
    <row r="565" spans="1:13" ht="18" thickTop="1" thickBot="1" x14ac:dyDescent="0.35">
      <c r="A565" s="309" t="s">
        <v>283</v>
      </c>
      <c r="B565" s="1490">
        <v>7</v>
      </c>
      <c r="C565" s="1490">
        <v>7</v>
      </c>
      <c r="D565" s="1490" t="s">
        <v>353</v>
      </c>
      <c r="E565" s="309" t="s">
        <v>952</v>
      </c>
      <c r="F565" s="399"/>
      <c r="G565" s="1491">
        <v>34.352072183544088</v>
      </c>
      <c r="H565" s="1491"/>
      <c r="I565" s="1542">
        <v>0</v>
      </c>
      <c r="J565" s="1491">
        <v>0</v>
      </c>
      <c r="K565" s="1542">
        <v>0</v>
      </c>
      <c r="L565" s="1491">
        <v>0</v>
      </c>
      <c r="M565" s="1492"/>
    </row>
    <row r="566" spans="1:13" ht="18" thickTop="1" thickBot="1" x14ac:dyDescent="0.35">
      <c r="A566" s="309" t="s">
        <v>283</v>
      </c>
      <c r="B566" s="1490">
        <v>7</v>
      </c>
      <c r="C566" s="1490">
        <v>7</v>
      </c>
      <c r="D566" s="1490" t="s">
        <v>353</v>
      </c>
      <c r="E566" s="309" t="s">
        <v>953</v>
      </c>
      <c r="F566" s="399"/>
      <c r="G566" s="1491">
        <v>25.216693536079557</v>
      </c>
      <c r="H566" s="1491"/>
      <c r="I566" s="1542">
        <v>0</v>
      </c>
      <c r="J566" s="1491">
        <v>0</v>
      </c>
      <c r="K566" s="1542">
        <v>0</v>
      </c>
      <c r="L566" s="1491">
        <v>0</v>
      </c>
      <c r="M566" s="1492"/>
    </row>
    <row r="567" spans="1:13" ht="18" thickTop="1" thickBot="1" x14ac:dyDescent="0.35">
      <c r="A567" s="309" t="s">
        <v>283</v>
      </c>
      <c r="B567" s="1490">
        <v>7</v>
      </c>
      <c r="C567" s="1490">
        <v>7</v>
      </c>
      <c r="D567" s="1490" t="s">
        <v>356</v>
      </c>
      <c r="E567" s="309" t="s">
        <v>954</v>
      </c>
      <c r="F567" s="399"/>
      <c r="G567" s="1491">
        <v>34.73744067827058</v>
      </c>
      <c r="H567" s="1491"/>
      <c r="I567" s="1542">
        <v>0</v>
      </c>
      <c r="J567" s="1491">
        <v>0</v>
      </c>
      <c r="K567" s="1542">
        <v>0</v>
      </c>
      <c r="L567" s="1491">
        <v>0</v>
      </c>
      <c r="M567" s="1492"/>
    </row>
    <row r="568" spans="1:13" ht="18" thickTop="1" thickBot="1" x14ac:dyDescent="0.35">
      <c r="A568" s="309" t="s">
        <v>283</v>
      </c>
      <c r="B568" s="1490">
        <v>7</v>
      </c>
      <c r="C568" s="1490">
        <v>7</v>
      </c>
      <c r="D568" s="1490" t="s">
        <v>359</v>
      </c>
      <c r="E568" s="309" t="s">
        <v>955</v>
      </c>
      <c r="F568" s="399"/>
      <c r="G568" s="1491">
        <v>26.182486735596299</v>
      </c>
      <c r="H568" s="1491"/>
      <c r="I568" s="1542">
        <v>0</v>
      </c>
      <c r="J568" s="1491">
        <v>0</v>
      </c>
      <c r="K568" s="1542">
        <v>0</v>
      </c>
      <c r="L568" s="1491">
        <v>0</v>
      </c>
      <c r="M568" s="1492"/>
    </row>
    <row r="569" spans="1:13" ht="18" thickTop="1" thickBot="1" x14ac:dyDescent="0.35">
      <c r="A569" s="309" t="s">
        <v>283</v>
      </c>
      <c r="B569" s="1490">
        <v>7</v>
      </c>
      <c r="C569" s="1490">
        <v>7</v>
      </c>
      <c r="D569" s="1490" t="s">
        <v>362</v>
      </c>
      <c r="E569" s="309" t="s">
        <v>956</v>
      </c>
      <c r="F569" s="399"/>
      <c r="G569" s="1491">
        <v>457.99026812499761</v>
      </c>
      <c r="H569" s="1491"/>
      <c r="I569" s="1542">
        <v>0</v>
      </c>
      <c r="J569" s="1491">
        <v>0</v>
      </c>
      <c r="K569" s="1542">
        <v>0</v>
      </c>
      <c r="L569" s="1491">
        <v>0</v>
      </c>
      <c r="M569" s="1492"/>
    </row>
    <row r="570" spans="1:13" ht="18" thickTop="1" thickBot="1" x14ac:dyDescent="0.35">
      <c r="A570" s="309" t="s">
        <v>283</v>
      </c>
      <c r="B570" s="1490">
        <v>7</v>
      </c>
      <c r="C570" s="1490">
        <v>7</v>
      </c>
      <c r="D570" s="1490" t="s">
        <v>362</v>
      </c>
      <c r="E570" s="309" t="s">
        <v>957</v>
      </c>
      <c r="F570" s="399"/>
      <c r="G570" s="1491">
        <v>275.38960463525638</v>
      </c>
      <c r="H570" s="1491"/>
      <c r="I570" s="1542">
        <v>0</v>
      </c>
      <c r="J570" s="1491">
        <v>0</v>
      </c>
      <c r="K570" s="1542">
        <v>0</v>
      </c>
      <c r="L570" s="1491">
        <v>0</v>
      </c>
      <c r="M570" s="1492"/>
    </row>
    <row r="571" spans="1:13" ht="18" thickTop="1" thickBot="1" x14ac:dyDescent="0.35">
      <c r="A571" s="309" t="s">
        <v>283</v>
      </c>
      <c r="B571" s="1490">
        <v>7</v>
      </c>
      <c r="C571" s="1490">
        <v>7</v>
      </c>
      <c r="D571" s="1490" t="s">
        <v>362</v>
      </c>
      <c r="E571" s="309" t="s">
        <v>958</v>
      </c>
      <c r="F571" s="399"/>
      <c r="G571" s="1491">
        <v>474.21616175852375</v>
      </c>
      <c r="H571" s="1491"/>
      <c r="I571" s="1542">
        <v>0</v>
      </c>
      <c r="J571" s="1491">
        <v>0</v>
      </c>
      <c r="K571" s="1542">
        <v>0</v>
      </c>
      <c r="L571" s="1491">
        <v>0</v>
      </c>
      <c r="M571" s="1492"/>
    </row>
    <row r="572" spans="1:13" ht="18" thickTop="1" thickBot="1" x14ac:dyDescent="0.35">
      <c r="A572" s="309" t="s">
        <v>285</v>
      </c>
      <c r="B572" s="1490">
        <v>8</v>
      </c>
      <c r="C572" s="1490">
        <v>8</v>
      </c>
      <c r="D572" s="1490" t="s">
        <v>367</v>
      </c>
      <c r="E572" s="309" t="s">
        <v>959</v>
      </c>
      <c r="F572" s="399"/>
      <c r="G572" s="1491">
        <v>7.596048896613067</v>
      </c>
      <c r="H572" s="1491"/>
      <c r="I572" s="1542">
        <v>0</v>
      </c>
      <c r="J572" s="1491">
        <v>0</v>
      </c>
      <c r="K572" s="1542">
        <v>0</v>
      </c>
      <c r="L572" s="1491">
        <v>0</v>
      </c>
      <c r="M572" s="1492"/>
    </row>
    <row r="573" spans="1:13" ht="18" thickTop="1" thickBot="1" x14ac:dyDescent="0.35">
      <c r="A573" s="309" t="s">
        <v>285</v>
      </c>
      <c r="B573" s="1490">
        <v>8</v>
      </c>
      <c r="C573" s="1490">
        <v>8</v>
      </c>
      <c r="D573" s="1490" t="s">
        <v>371</v>
      </c>
      <c r="E573" s="309" t="s">
        <v>960</v>
      </c>
      <c r="F573" s="399"/>
      <c r="G573" s="1491">
        <v>368.03219413260092</v>
      </c>
      <c r="H573" s="1491"/>
      <c r="I573" s="1542">
        <v>0</v>
      </c>
      <c r="J573" s="1491">
        <v>0</v>
      </c>
      <c r="K573" s="1542">
        <v>0</v>
      </c>
      <c r="L573" s="1491">
        <v>0</v>
      </c>
      <c r="M573" s="1492"/>
    </row>
    <row r="574" spans="1:13" ht="18" thickTop="1" thickBot="1" x14ac:dyDescent="0.35">
      <c r="A574" s="309" t="s">
        <v>285</v>
      </c>
      <c r="B574" s="1490">
        <v>8</v>
      </c>
      <c r="C574" s="1490">
        <v>8</v>
      </c>
      <c r="D574" s="1490" t="s">
        <v>371</v>
      </c>
      <c r="E574" s="309" t="s">
        <v>961</v>
      </c>
      <c r="F574" s="399"/>
      <c r="G574" s="1491">
        <v>287.67711417038373</v>
      </c>
      <c r="H574" s="1491"/>
      <c r="I574" s="1542">
        <v>0</v>
      </c>
      <c r="J574" s="1491">
        <v>0</v>
      </c>
      <c r="K574" s="1542">
        <v>0</v>
      </c>
      <c r="L574" s="1491">
        <v>0</v>
      </c>
      <c r="M574" s="1492"/>
    </row>
    <row r="575" spans="1:13" ht="18" thickTop="1" thickBot="1" x14ac:dyDescent="0.35">
      <c r="A575" s="309" t="s">
        <v>285</v>
      </c>
      <c r="B575" s="1490">
        <v>8</v>
      </c>
      <c r="C575" s="1490">
        <v>8</v>
      </c>
      <c r="D575" s="1490" t="s">
        <v>371</v>
      </c>
      <c r="E575" s="309" t="s">
        <v>962</v>
      </c>
      <c r="F575" s="399"/>
      <c r="G575" s="1491">
        <v>306.97633999089635</v>
      </c>
      <c r="H575" s="1491"/>
      <c r="I575" s="1542">
        <v>0</v>
      </c>
      <c r="J575" s="1491">
        <v>0</v>
      </c>
      <c r="K575" s="1542">
        <v>0</v>
      </c>
      <c r="L575" s="1491">
        <v>0</v>
      </c>
      <c r="M575" s="1492"/>
    </row>
    <row r="576" spans="1:13" ht="18" thickTop="1" thickBot="1" x14ac:dyDescent="0.35">
      <c r="A576" s="309" t="s">
        <v>287</v>
      </c>
      <c r="B576" s="1490">
        <v>9</v>
      </c>
      <c r="C576" s="1490">
        <v>9</v>
      </c>
      <c r="D576" s="1490" t="s">
        <v>377</v>
      </c>
      <c r="E576" s="309" t="s">
        <v>963</v>
      </c>
      <c r="F576" s="399"/>
      <c r="G576" s="1491">
        <v>48.692789146558653</v>
      </c>
      <c r="H576" s="1491"/>
      <c r="I576" s="1542">
        <v>0</v>
      </c>
      <c r="J576" s="1491">
        <v>0</v>
      </c>
      <c r="K576" s="1542">
        <v>0</v>
      </c>
      <c r="L576" s="1491">
        <v>0</v>
      </c>
      <c r="M576" s="1492"/>
    </row>
    <row r="577" spans="1:13" ht="18" thickTop="1" thickBot="1" x14ac:dyDescent="0.35">
      <c r="A577" s="309" t="s">
        <v>287</v>
      </c>
      <c r="B577" s="1490">
        <v>9</v>
      </c>
      <c r="C577" s="1490">
        <v>9</v>
      </c>
      <c r="D577" s="1490" t="s">
        <v>377</v>
      </c>
      <c r="E577" s="309" t="s">
        <v>964</v>
      </c>
      <c r="F577" s="399"/>
      <c r="G577" s="1491">
        <v>70.480553676933766</v>
      </c>
      <c r="H577" s="1491"/>
      <c r="I577" s="1542">
        <v>0</v>
      </c>
      <c r="J577" s="1491">
        <v>0</v>
      </c>
      <c r="K577" s="1542">
        <v>0</v>
      </c>
      <c r="L577" s="1491">
        <v>0</v>
      </c>
      <c r="M577" s="1492"/>
    </row>
    <row r="578" spans="1:13" ht="18" thickTop="1" thickBot="1" x14ac:dyDescent="0.35">
      <c r="A578" s="309" t="s">
        <v>287</v>
      </c>
      <c r="B578" s="1490">
        <v>9</v>
      </c>
      <c r="C578" s="1490">
        <v>9</v>
      </c>
      <c r="D578" s="1490" t="s">
        <v>380</v>
      </c>
      <c r="E578" s="309" t="s">
        <v>965</v>
      </c>
      <c r="F578" s="399"/>
      <c r="G578" s="1491">
        <v>157.43355041177011</v>
      </c>
      <c r="H578" s="1491"/>
      <c r="I578" s="1542">
        <v>0</v>
      </c>
      <c r="J578" s="1491">
        <v>0</v>
      </c>
      <c r="K578" s="1542">
        <v>0</v>
      </c>
      <c r="L578" s="1491">
        <v>0</v>
      </c>
      <c r="M578" s="1492"/>
    </row>
    <row r="579" spans="1:13" ht="18" thickTop="1" thickBot="1" x14ac:dyDescent="0.35">
      <c r="A579" s="309" t="s">
        <v>287</v>
      </c>
      <c r="B579" s="1490">
        <v>9</v>
      </c>
      <c r="C579" s="1490">
        <v>9</v>
      </c>
      <c r="D579" s="1490" t="s">
        <v>380</v>
      </c>
      <c r="E579" s="309" t="s">
        <v>966</v>
      </c>
      <c r="F579" s="399"/>
      <c r="G579" s="1491">
        <v>82.838180528685641</v>
      </c>
      <c r="H579" s="1491"/>
      <c r="I579" s="1542">
        <v>0</v>
      </c>
      <c r="J579" s="1491">
        <v>0</v>
      </c>
      <c r="K579" s="1542">
        <v>0</v>
      </c>
      <c r="L579" s="1491">
        <v>0</v>
      </c>
      <c r="M579" s="1492"/>
    </row>
    <row r="580" spans="1:13" ht="18" thickTop="1" thickBot="1" x14ac:dyDescent="0.35">
      <c r="A580" s="309" t="s">
        <v>287</v>
      </c>
      <c r="B580" s="1490">
        <v>9</v>
      </c>
      <c r="C580" s="1490">
        <v>9</v>
      </c>
      <c r="D580" s="1490" t="s">
        <v>374</v>
      </c>
      <c r="E580" s="309" t="s">
        <v>967</v>
      </c>
      <c r="F580" s="399"/>
      <c r="G580" s="1491">
        <v>133.10817647424687</v>
      </c>
      <c r="H580" s="1491"/>
      <c r="I580" s="1542">
        <v>0</v>
      </c>
      <c r="J580" s="1491">
        <v>0</v>
      </c>
      <c r="K580" s="1542">
        <v>0</v>
      </c>
      <c r="L580" s="1491">
        <v>0</v>
      </c>
      <c r="M580" s="1492"/>
    </row>
    <row r="581" spans="1:13" ht="18" thickTop="1" thickBot="1" x14ac:dyDescent="0.35">
      <c r="A581" s="309" t="s">
        <v>287</v>
      </c>
      <c r="B581" s="1490">
        <v>9</v>
      </c>
      <c r="C581" s="1490">
        <v>9</v>
      </c>
      <c r="D581" s="1490" t="s">
        <v>374</v>
      </c>
      <c r="E581" s="309" t="s">
        <v>968</v>
      </c>
      <c r="F581" s="399"/>
      <c r="G581" s="1491">
        <v>102.3825515290025</v>
      </c>
      <c r="H581" s="1491"/>
      <c r="I581" s="1542">
        <v>0</v>
      </c>
      <c r="J581" s="1491">
        <v>0</v>
      </c>
      <c r="K581" s="1542">
        <v>0</v>
      </c>
      <c r="L581" s="1491">
        <v>0</v>
      </c>
      <c r="M581" s="1492"/>
    </row>
    <row r="582" spans="1:13" ht="18" thickTop="1" thickBot="1" x14ac:dyDescent="0.35">
      <c r="A582" s="309" t="s">
        <v>287</v>
      </c>
      <c r="B582" s="1490">
        <v>9</v>
      </c>
      <c r="C582" s="1490">
        <v>9</v>
      </c>
      <c r="D582" s="1490" t="s">
        <v>374</v>
      </c>
      <c r="E582" s="309" t="s">
        <v>969</v>
      </c>
      <c r="F582" s="399"/>
      <c r="G582" s="1491">
        <v>61.173134490517931</v>
      </c>
      <c r="H582" s="1491"/>
      <c r="I582" s="1542">
        <v>0</v>
      </c>
      <c r="J582" s="1491">
        <v>0</v>
      </c>
      <c r="K582" s="1542">
        <v>0</v>
      </c>
      <c r="L582" s="1491">
        <v>0</v>
      </c>
      <c r="M582" s="1492"/>
    </row>
    <row r="583" spans="1:13" ht="18" thickTop="1" thickBot="1" x14ac:dyDescent="0.35">
      <c r="A583" s="309" t="s">
        <v>287</v>
      </c>
      <c r="B583" s="1490">
        <v>9</v>
      </c>
      <c r="C583" s="1490">
        <v>9</v>
      </c>
      <c r="D583" s="1490" t="s">
        <v>380</v>
      </c>
      <c r="E583" s="309" t="s">
        <v>970</v>
      </c>
      <c r="F583" s="399"/>
      <c r="G583" s="1491">
        <v>165.07630833606052</v>
      </c>
      <c r="H583" s="1491"/>
      <c r="I583" s="1542">
        <v>0</v>
      </c>
      <c r="J583" s="1491">
        <v>0</v>
      </c>
      <c r="K583" s="1542">
        <v>0</v>
      </c>
      <c r="L583" s="1491">
        <v>0</v>
      </c>
      <c r="M583" s="1492"/>
    </row>
    <row r="584" spans="1:13" ht="18" thickTop="1" thickBot="1" x14ac:dyDescent="0.35">
      <c r="A584" s="309" t="s">
        <v>287</v>
      </c>
      <c r="B584" s="1490">
        <v>9</v>
      </c>
      <c r="C584" s="1490">
        <v>9</v>
      </c>
      <c r="D584" s="1490" t="s">
        <v>383</v>
      </c>
      <c r="E584" s="309" t="s">
        <v>971</v>
      </c>
      <c r="F584" s="399"/>
      <c r="G584" s="1491">
        <v>48.841745893566603</v>
      </c>
      <c r="H584" s="1491"/>
      <c r="I584" s="1542">
        <v>0</v>
      </c>
      <c r="J584" s="1491">
        <v>0</v>
      </c>
      <c r="K584" s="1542">
        <v>0</v>
      </c>
      <c r="L584" s="1491">
        <v>0</v>
      </c>
      <c r="M584" s="1492"/>
    </row>
    <row r="585" spans="1:13" ht="18" thickTop="1" thickBot="1" x14ac:dyDescent="0.35">
      <c r="A585" s="309" t="s">
        <v>289</v>
      </c>
      <c r="B585" s="1490">
        <v>10</v>
      </c>
      <c r="C585" s="1490">
        <v>10</v>
      </c>
      <c r="D585" s="1490" t="s">
        <v>389</v>
      </c>
      <c r="E585" s="309" t="s">
        <v>972</v>
      </c>
      <c r="F585" s="399"/>
      <c r="G585" s="1491">
        <v>563.29935915303054</v>
      </c>
      <c r="H585" s="1491"/>
      <c r="I585" s="1542">
        <v>0</v>
      </c>
      <c r="J585" s="1491">
        <v>0</v>
      </c>
      <c r="K585" s="1542">
        <v>0</v>
      </c>
      <c r="L585" s="1491">
        <v>0</v>
      </c>
      <c r="M585" s="1492"/>
    </row>
    <row r="586" spans="1:13" ht="18" thickTop="1" thickBot="1" x14ac:dyDescent="0.35">
      <c r="A586" s="309" t="s">
        <v>289</v>
      </c>
      <c r="B586" s="1490">
        <v>10</v>
      </c>
      <c r="C586" s="1490">
        <v>10</v>
      </c>
      <c r="D586" s="1490" t="s">
        <v>386</v>
      </c>
      <c r="E586" s="309" t="s">
        <v>973</v>
      </c>
      <c r="F586" s="399"/>
      <c r="G586" s="1491">
        <v>456.99327309076375</v>
      </c>
      <c r="H586" s="1491"/>
      <c r="I586" s="1542">
        <v>0</v>
      </c>
      <c r="J586" s="1491">
        <v>0</v>
      </c>
      <c r="K586" s="1542">
        <v>0</v>
      </c>
      <c r="L586" s="1491">
        <v>0</v>
      </c>
      <c r="M586" s="1492"/>
    </row>
    <row r="587" spans="1:13" ht="18" thickTop="1" thickBot="1" x14ac:dyDescent="0.35">
      <c r="A587" s="309" t="s">
        <v>289</v>
      </c>
      <c r="B587" s="1490">
        <v>10</v>
      </c>
      <c r="C587" s="1490">
        <v>10</v>
      </c>
      <c r="D587" s="1490" t="s">
        <v>386</v>
      </c>
      <c r="E587" s="309" t="s">
        <v>974</v>
      </c>
      <c r="F587" s="399"/>
      <c r="G587" s="1491">
        <v>741.15626453089999</v>
      </c>
      <c r="H587" s="1491"/>
      <c r="I587" s="1542">
        <v>0</v>
      </c>
      <c r="J587" s="1491">
        <v>0</v>
      </c>
      <c r="K587" s="1542">
        <v>0</v>
      </c>
      <c r="L587" s="1491">
        <v>0</v>
      </c>
      <c r="M587" s="1492"/>
    </row>
    <row r="588" spans="1:13" ht="18" thickTop="1" thickBot="1" x14ac:dyDescent="0.35">
      <c r="A588" s="309" t="s">
        <v>289</v>
      </c>
      <c r="B588" s="1490">
        <v>10</v>
      </c>
      <c r="C588" s="1490">
        <v>10</v>
      </c>
      <c r="D588" s="1490" t="s">
        <v>386</v>
      </c>
      <c r="E588" s="309" t="s">
        <v>975</v>
      </c>
      <c r="F588" s="399"/>
      <c r="G588" s="1491">
        <v>364.25006767864403</v>
      </c>
      <c r="H588" s="1491"/>
      <c r="I588" s="1542">
        <v>0</v>
      </c>
      <c r="J588" s="1491">
        <v>0</v>
      </c>
      <c r="K588" s="1542">
        <v>0</v>
      </c>
      <c r="L588" s="1491">
        <v>0</v>
      </c>
      <c r="M588" s="1492"/>
    </row>
    <row r="589" spans="1:13" ht="18" thickTop="1" thickBot="1" x14ac:dyDescent="0.35">
      <c r="A589" s="309" t="s">
        <v>289</v>
      </c>
      <c r="B589" s="1490">
        <v>10</v>
      </c>
      <c r="C589" s="1490">
        <v>10</v>
      </c>
      <c r="D589" s="1490" t="s">
        <v>393</v>
      </c>
      <c r="E589" s="309" t="s">
        <v>976</v>
      </c>
      <c r="F589" s="399"/>
      <c r="G589" s="1491">
        <v>9.5402857277736661</v>
      </c>
      <c r="H589" s="1491"/>
      <c r="I589" s="1542">
        <v>0</v>
      </c>
      <c r="J589" s="1491">
        <v>0</v>
      </c>
      <c r="K589" s="1542">
        <v>0</v>
      </c>
      <c r="L589" s="1491">
        <v>0</v>
      </c>
      <c r="M589" s="1492"/>
    </row>
    <row r="590" spans="1:13" ht="18" thickTop="1" thickBot="1" x14ac:dyDescent="0.35">
      <c r="A590" s="309" t="s">
        <v>289</v>
      </c>
      <c r="B590" s="1490">
        <v>10</v>
      </c>
      <c r="C590" s="1490">
        <v>10</v>
      </c>
      <c r="D590" s="1490" t="s">
        <v>389</v>
      </c>
      <c r="E590" s="309" t="s">
        <v>977</v>
      </c>
      <c r="F590" s="399"/>
      <c r="G590" s="1491">
        <v>500.5769139450162</v>
      </c>
      <c r="H590" s="1491"/>
      <c r="I590" s="1542">
        <v>0</v>
      </c>
      <c r="J590" s="1491">
        <v>0</v>
      </c>
      <c r="K590" s="1542">
        <v>0</v>
      </c>
      <c r="L590" s="1491">
        <v>0</v>
      </c>
      <c r="M590" s="1492"/>
    </row>
    <row r="591" spans="1:13" ht="18" thickTop="1" thickBot="1" x14ac:dyDescent="0.35">
      <c r="A591" s="309" t="s">
        <v>289</v>
      </c>
      <c r="B591" s="1490">
        <v>10</v>
      </c>
      <c r="C591" s="1490">
        <v>10</v>
      </c>
      <c r="D591" s="1490" t="s">
        <v>389</v>
      </c>
      <c r="E591" s="309" t="s">
        <v>978</v>
      </c>
      <c r="F591" s="399"/>
      <c r="G591" s="1491">
        <v>420.21048254690328</v>
      </c>
      <c r="H591" s="1491"/>
      <c r="I591" s="1542">
        <v>0</v>
      </c>
      <c r="J591" s="1491">
        <v>0</v>
      </c>
      <c r="K591" s="1542">
        <v>0</v>
      </c>
      <c r="L591" s="1491">
        <v>0</v>
      </c>
      <c r="M591" s="1492"/>
    </row>
    <row r="592" spans="1:13" ht="18" thickTop="1" thickBot="1" x14ac:dyDescent="0.35">
      <c r="A592" s="309" t="s">
        <v>289</v>
      </c>
      <c r="B592" s="1490">
        <v>10</v>
      </c>
      <c r="C592" s="1490">
        <v>10</v>
      </c>
      <c r="D592" s="1490" t="s">
        <v>389</v>
      </c>
      <c r="E592" s="309" t="s">
        <v>979</v>
      </c>
      <c r="F592" s="399"/>
      <c r="G592" s="1491">
        <v>1300.7716122505506</v>
      </c>
      <c r="H592" s="1491"/>
      <c r="I592" s="1542">
        <v>0</v>
      </c>
      <c r="J592" s="1491">
        <v>0</v>
      </c>
      <c r="K592" s="1542">
        <v>0</v>
      </c>
      <c r="L592" s="1491">
        <v>0</v>
      </c>
      <c r="M592" s="1492"/>
    </row>
    <row r="593" spans="1:13" ht="18" thickTop="1" thickBot="1" x14ac:dyDescent="0.35">
      <c r="A593" s="309" t="s">
        <v>289</v>
      </c>
      <c r="B593" s="1490">
        <v>10</v>
      </c>
      <c r="C593" s="1490">
        <v>10</v>
      </c>
      <c r="D593" s="1490" t="s">
        <v>389</v>
      </c>
      <c r="E593" s="309" t="s">
        <v>980</v>
      </c>
      <c r="F593" s="399"/>
      <c r="G593" s="1491">
        <v>656.77696098130093</v>
      </c>
      <c r="H593" s="1491"/>
      <c r="I593" s="1542">
        <v>0</v>
      </c>
      <c r="J593" s="1491">
        <v>0</v>
      </c>
      <c r="K593" s="1542">
        <v>0</v>
      </c>
      <c r="L593" s="1491">
        <v>0</v>
      </c>
      <c r="M593" s="1492"/>
    </row>
    <row r="594" spans="1:13" ht="18" thickTop="1" thickBot="1" x14ac:dyDescent="0.35">
      <c r="A594" s="309" t="s">
        <v>289</v>
      </c>
      <c r="B594" s="1490">
        <v>10</v>
      </c>
      <c r="C594" s="1490">
        <v>10</v>
      </c>
      <c r="D594" s="1490" t="s">
        <v>386</v>
      </c>
      <c r="E594" s="309" t="s">
        <v>981</v>
      </c>
      <c r="F594" s="399"/>
      <c r="G594" s="1491">
        <v>435.48049529545511</v>
      </c>
      <c r="H594" s="1491"/>
      <c r="I594" s="1542">
        <v>0</v>
      </c>
      <c r="J594" s="1491">
        <v>0</v>
      </c>
      <c r="K594" s="1542">
        <v>0</v>
      </c>
      <c r="L594" s="1491">
        <v>0</v>
      </c>
      <c r="M594" s="1492"/>
    </row>
    <row r="595" spans="1:13" ht="18" thickTop="1" thickBot="1" x14ac:dyDescent="0.35">
      <c r="A595" s="309" t="s">
        <v>289</v>
      </c>
      <c r="B595" s="1490">
        <v>10</v>
      </c>
      <c r="C595" s="1490">
        <v>10</v>
      </c>
      <c r="D595" s="1490" t="s">
        <v>393</v>
      </c>
      <c r="E595" s="309" t="s">
        <v>982</v>
      </c>
      <c r="F595" s="399"/>
      <c r="G595" s="1491">
        <v>348.978680645623</v>
      </c>
      <c r="H595" s="1491"/>
      <c r="I595" s="1542">
        <v>0</v>
      </c>
      <c r="J595" s="1491">
        <v>0</v>
      </c>
      <c r="K595" s="1542">
        <v>0</v>
      </c>
      <c r="L595" s="1491">
        <v>0</v>
      </c>
      <c r="M595" s="1492"/>
    </row>
    <row r="596" spans="1:13" ht="18" thickTop="1" thickBot="1" x14ac:dyDescent="0.35">
      <c r="A596" s="309" t="s">
        <v>289</v>
      </c>
      <c r="B596" s="1490">
        <v>10</v>
      </c>
      <c r="C596" s="1490">
        <v>10</v>
      </c>
      <c r="D596" s="1490" t="s">
        <v>393</v>
      </c>
      <c r="E596" s="309" t="s">
        <v>983</v>
      </c>
      <c r="F596" s="399"/>
      <c r="G596" s="1491">
        <v>331.63352029078112</v>
      </c>
      <c r="H596" s="1491"/>
      <c r="I596" s="1542">
        <v>0</v>
      </c>
      <c r="J596" s="1491">
        <v>0</v>
      </c>
      <c r="K596" s="1542">
        <v>0</v>
      </c>
      <c r="L596" s="1491">
        <v>0</v>
      </c>
      <c r="M596" s="1492"/>
    </row>
    <row r="597" spans="1:13" ht="18" thickTop="1" thickBot="1" x14ac:dyDescent="0.35">
      <c r="A597" s="309" t="s">
        <v>289</v>
      </c>
      <c r="B597" s="1490">
        <v>10</v>
      </c>
      <c r="C597" s="1490">
        <v>10</v>
      </c>
      <c r="D597" s="1490" t="s">
        <v>393</v>
      </c>
      <c r="E597" s="309" t="s">
        <v>984</v>
      </c>
      <c r="F597" s="399"/>
      <c r="G597" s="1491">
        <v>321.15926524242741</v>
      </c>
      <c r="H597" s="1491"/>
      <c r="I597" s="1542">
        <v>0</v>
      </c>
      <c r="J597" s="1491">
        <v>0</v>
      </c>
      <c r="K597" s="1542">
        <v>0</v>
      </c>
      <c r="L597" s="1491">
        <v>0</v>
      </c>
      <c r="M597" s="1492"/>
    </row>
    <row r="598" spans="1:13" ht="18" thickTop="1" thickBot="1" x14ac:dyDescent="0.35">
      <c r="A598" s="309" t="s">
        <v>289</v>
      </c>
      <c r="B598" s="1490">
        <v>10</v>
      </c>
      <c r="C598" s="1490">
        <v>10</v>
      </c>
      <c r="D598" s="1490" t="s">
        <v>389</v>
      </c>
      <c r="E598" s="309" t="s">
        <v>985</v>
      </c>
      <c r="F598" s="399"/>
      <c r="G598" s="1491">
        <v>636.6053766126754</v>
      </c>
      <c r="H598" s="1491"/>
      <c r="I598" s="1542">
        <v>0</v>
      </c>
      <c r="J598" s="1491">
        <v>0</v>
      </c>
      <c r="K598" s="1542">
        <v>0</v>
      </c>
      <c r="L598" s="1491">
        <v>0</v>
      </c>
      <c r="M598" s="1492"/>
    </row>
    <row r="599" spans="1:13" ht="18" thickTop="1" thickBot="1" x14ac:dyDescent="0.35">
      <c r="A599" s="309" t="s">
        <v>289</v>
      </c>
      <c r="B599" s="1490">
        <v>10</v>
      </c>
      <c r="C599" s="1490">
        <v>10</v>
      </c>
      <c r="D599" s="1490" t="s">
        <v>396</v>
      </c>
      <c r="E599" s="309" t="s">
        <v>986</v>
      </c>
      <c r="F599" s="399"/>
      <c r="G599" s="1491">
        <v>189.86443292246088</v>
      </c>
      <c r="H599" s="1491"/>
      <c r="I599" s="1542">
        <v>0</v>
      </c>
      <c r="J599" s="1491">
        <v>0</v>
      </c>
      <c r="K599" s="1542">
        <v>0</v>
      </c>
      <c r="L599" s="1491">
        <v>0</v>
      </c>
      <c r="M599" s="1492"/>
    </row>
    <row r="600" spans="1:13" ht="18" thickTop="1" thickBot="1" x14ac:dyDescent="0.35">
      <c r="A600" s="309" t="s">
        <v>289</v>
      </c>
      <c r="B600" s="1490">
        <v>10</v>
      </c>
      <c r="C600" s="1490">
        <v>10</v>
      </c>
      <c r="D600" s="1490" t="s">
        <v>386</v>
      </c>
      <c r="E600" s="309" t="s">
        <v>987</v>
      </c>
      <c r="F600" s="399"/>
      <c r="G600" s="1491">
        <v>401.0516520787636</v>
      </c>
      <c r="H600" s="1491"/>
      <c r="I600" s="1542">
        <v>0</v>
      </c>
      <c r="J600" s="1491">
        <v>0</v>
      </c>
      <c r="K600" s="1542">
        <v>0</v>
      </c>
      <c r="L600" s="1491">
        <v>0</v>
      </c>
      <c r="M600" s="1492"/>
    </row>
    <row r="601" spans="1:13" ht="18" thickTop="1" thickBot="1" x14ac:dyDescent="0.35">
      <c r="A601" s="309" t="s">
        <v>289</v>
      </c>
      <c r="B601" s="1490">
        <v>10</v>
      </c>
      <c r="C601" s="1490">
        <v>10</v>
      </c>
      <c r="D601" s="1490" t="s">
        <v>988</v>
      </c>
      <c r="E601" s="309" t="s">
        <v>989</v>
      </c>
      <c r="F601" s="399"/>
      <c r="G601" s="1491">
        <v>458.43989245803624</v>
      </c>
      <c r="H601" s="1491"/>
      <c r="I601" s="1542">
        <v>0</v>
      </c>
      <c r="J601" s="1491">
        <v>0</v>
      </c>
      <c r="K601" s="1542">
        <v>0</v>
      </c>
      <c r="L601" s="1491">
        <v>0</v>
      </c>
      <c r="M601" s="1492"/>
    </row>
    <row r="602" spans="1:13" ht="18" thickTop="1" thickBot="1" x14ac:dyDescent="0.35">
      <c r="A602" s="309" t="s">
        <v>289</v>
      </c>
      <c r="B602" s="1490">
        <v>10</v>
      </c>
      <c r="C602" s="1490">
        <v>10</v>
      </c>
      <c r="D602" s="1490" t="s">
        <v>988</v>
      </c>
      <c r="E602" s="309" t="s">
        <v>990</v>
      </c>
      <c r="F602" s="399"/>
      <c r="G602" s="1491">
        <v>402.20756883981511</v>
      </c>
      <c r="H602" s="1491"/>
      <c r="I602" s="1542">
        <v>0</v>
      </c>
      <c r="J602" s="1491">
        <v>0</v>
      </c>
      <c r="K602" s="1542">
        <v>0</v>
      </c>
      <c r="L602" s="1491">
        <v>0</v>
      </c>
      <c r="M602" s="1492"/>
    </row>
    <row r="603" spans="1:13" ht="18" thickTop="1" thickBot="1" x14ac:dyDescent="0.35">
      <c r="A603" s="309" t="s">
        <v>289</v>
      </c>
      <c r="B603" s="1490">
        <v>10</v>
      </c>
      <c r="C603" s="1490">
        <v>10</v>
      </c>
      <c r="D603" s="1490" t="s">
        <v>988</v>
      </c>
      <c r="E603" s="309" t="s">
        <v>991</v>
      </c>
      <c r="F603" s="399"/>
      <c r="G603" s="1491">
        <v>394.980372480207</v>
      </c>
      <c r="H603" s="1491"/>
      <c r="I603" s="1542">
        <v>0</v>
      </c>
      <c r="J603" s="1491">
        <v>0</v>
      </c>
      <c r="K603" s="1542">
        <v>0</v>
      </c>
      <c r="L603" s="1491">
        <v>0</v>
      </c>
      <c r="M603" s="1492"/>
    </row>
    <row r="604" spans="1:13" ht="18" thickTop="1" thickBot="1" x14ac:dyDescent="0.35">
      <c r="A604" s="309" t="s">
        <v>291</v>
      </c>
      <c r="B604" s="1490">
        <v>11</v>
      </c>
      <c r="C604" s="1490">
        <v>11</v>
      </c>
      <c r="D604" s="1490" t="s">
        <v>400</v>
      </c>
      <c r="E604" s="309" t="s">
        <v>992</v>
      </c>
      <c r="F604" s="399"/>
      <c r="G604" s="1491">
        <v>253.8011518798867</v>
      </c>
      <c r="H604" s="1491"/>
      <c r="I604" s="1542">
        <v>0</v>
      </c>
      <c r="J604" s="1491">
        <v>0</v>
      </c>
      <c r="K604" s="1542">
        <v>0</v>
      </c>
      <c r="L604" s="1491">
        <v>0</v>
      </c>
      <c r="M604" s="1492"/>
    </row>
    <row r="605" spans="1:13" ht="18" thickTop="1" thickBot="1" x14ac:dyDescent="0.35">
      <c r="A605" s="309" t="s">
        <v>291</v>
      </c>
      <c r="B605" s="1490">
        <v>11</v>
      </c>
      <c r="C605" s="1490">
        <v>11</v>
      </c>
      <c r="D605" s="1490" t="s">
        <v>400</v>
      </c>
      <c r="E605" s="309" t="s">
        <v>993</v>
      </c>
      <c r="F605" s="399"/>
      <c r="G605" s="1491">
        <v>70.278704207061125</v>
      </c>
      <c r="H605" s="1491"/>
      <c r="I605" s="1542">
        <v>0</v>
      </c>
      <c r="J605" s="1491">
        <v>0</v>
      </c>
      <c r="K605" s="1542">
        <v>0</v>
      </c>
      <c r="L605" s="1491">
        <v>0</v>
      </c>
      <c r="M605" s="1492"/>
    </row>
    <row r="606" spans="1:13" ht="18" thickTop="1" thickBot="1" x14ac:dyDescent="0.35">
      <c r="A606" s="309" t="s">
        <v>291</v>
      </c>
      <c r="B606" s="1490">
        <v>11</v>
      </c>
      <c r="C606" s="1490">
        <v>11</v>
      </c>
      <c r="D606" s="1490" t="s">
        <v>400</v>
      </c>
      <c r="E606" s="309" t="s">
        <v>994</v>
      </c>
      <c r="F606" s="399"/>
      <c r="G606" s="1491">
        <v>125.40781276998059</v>
      </c>
      <c r="H606" s="1491"/>
      <c r="I606" s="1542">
        <v>0</v>
      </c>
      <c r="J606" s="1491">
        <v>0</v>
      </c>
      <c r="K606" s="1542">
        <v>0</v>
      </c>
      <c r="L606" s="1491">
        <v>0</v>
      </c>
      <c r="M606" s="1492"/>
    </row>
    <row r="607" spans="1:13" ht="18" thickTop="1" thickBot="1" x14ac:dyDescent="0.35">
      <c r="A607" s="309" t="s">
        <v>291</v>
      </c>
      <c r="B607" s="1490">
        <v>11</v>
      </c>
      <c r="C607" s="1490">
        <v>11</v>
      </c>
      <c r="D607" s="1490" t="s">
        <v>404</v>
      </c>
      <c r="E607" s="309" t="s">
        <v>995</v>
      </c>
      <c r="F607" s="399"/>
      <c r="G607" s="1491">
        <v>60.115563926162991</v>
      </c>
      <c r="H607" s="1491"/>
      <c r="I607" s="1542">
        <v>0</v>
      </c>
      <c r="J607" s="1491">
        <v>0</v>
      </c>
      <c r="K607" s="1542">
        <v>0</v>
      </c>
      <c r="L607" s="1491">
        <v>0</v>
      </c>
      <c r="M607" s="1492"/>
    </row>
    <row r="608" spans="1:13" ht="18" thickTop="1" thickBot="1" x14ac:dyDescent="0.35">
      <c r="A608" s="309" t="s">
        <v>293</v>
      </c>
      <c r="B608" s="1490">
        <v>12</v>
      </c>
      <c r="C608" s="1490">
        <v>12</v>
      </c>
      <c r="D608" s="1490" t="s">
        <v>408</v>
      </c>
      <c r="E608" s="309" t="s">
        <v>996</v>
      </c>
      <c r="F608" s="399"/>
      <c r="G608" s="1491">
        <v>88.589170171578246</v>
      </c>
      <c r="H608" s="1491"/>
      <c r="I608" s="1542">
        <v>0</v>
      </c>
      <c r="J608" s="1491">
        <v>0</v>
      </c>
      <c r="K608" s="1542">
        <v>0</v>
      </c>
      <c r="L608" s="1491">
        <v>0</v>
      </c>
      <c r="M608" s="1492"/>
    </row>
    <row r="609" spans="1:13" ht="18" thickTop="1" thickBot="1" x14ac:dyDescent="0.35">
      <c r="A609" s="309" t="s">
        <v>293</v>
      </c>
      <c r="B609" s="1490">
        <v>12</v>
      </c>
      <c r="C609" s="1490">
        <v>12</v>
      </c>
      <c r="D609" s="1490" t="s">
        <v>408</v>
      </c>
      <c r="E609" s="309" t="s">
        <v>997</v>
      </c>
      <c r="F609" s="399"/>
      <c r="G609" s="1491">
        <v>53.880203188914024</v>
      </c>
      <c r="H609" s="1491"/>
      <c r="I609" s="1542">
        <v>0</v>
      </c>
      <c r="J609" s="1491">
        <v>0</v>
      </c>
      <c r="K609" s="1542">
        <v>0</v>
      </c>
      <c r="L609" s="1491">
        <v>0</v>
      </c>
      <c r="M609" s="1492"/>
    </row>
    <row r="610" spans="1:13" ht="18" thickTop="1" thickBot="1" x14ac:dyDescent="0.35">
      <c r="A610" s="309" t="s">
        <v>293</v>
      </c>
      <c r="B610" s="1490">
        <v>12</v>
      </c>
      <c r="C610" s="1490">
        <v>12</v>
      </c>
      <c r="D610" s="1490" t="s">
        <v>412</v>
      </c>
      <c r="E610" s="309" t="s">
        <v>998</v>
      </c>
      <c r="F610" s="399"/>
      <c r="G610" s="1491">
        <v>52.799251712392483</v>
      </c>
      <c r="H610" s="1491"/>
      <c r="I610" s="1542">
        <v>0</v>
      </c>
      <c r="J610" s="1491">
        <v>0</v>
      </c>
      <c r="K610" s="1542">
        <v>0</v>
      </c>
      <c r="L610" s="1491">
        <v>0</v>
      </c>
      <c r="M610" s="1492"/>
    </row>
    <row r="611" spans="1:13" ht="18" thickTop="1" thickBot="1" x14ac:dyDescent="0.35">
      <c r="A611" s="309" t="s">
        <v>293</v>
      </c>
      <c r="B611" s="1490">
        <v>12</v>
      </c>
      <c r="C611" s="1490">
        <v>12</v>
      </c>
      <c r="D611" s="1490" t="s">
        <v>412</v>
      </c>
      <c r="E611" s="309" t="s">
        <v>999</v>
      </c>
      <c r="F611" s="399"/>
      <c r="G611" s="1491">
        <v>101.1037161979294</v>
      </c>
      <c r="H611" s="1491"/>
      <c r="I611" s="1542">
        <v>0</v>
      </c>
      <c r="J611" s="1491">
        <v>0</v>
      </c>
      <c r="K611" s="1542">
        <v>0</v>
      </c>
      <c r="L611" s="1491">
        <v>0</v>
      </c>
      <c r="M611" s="1492"/>
    </row>
    <row r="612" spans="1:13" ht="18" thickTop="1" thickBot="1" x14ac:dyDescent="0.35">
      <c r="A612" s="309" t="s">
        <v>293</v>
      </c>
      <c r="B612" s="1490">
        <v>12</v>
      </c>
      <c r="C612" s="1490">
        <v>12</v>
      </c>
      <c r="D612" s="1490" t="s">
        <v>412</v>
      </c>
      <c r="E612" s="309" t="s">
        <v>1000</v>
      </c>
      <c r="F612" s="399"/>
      <c r="G612" s="1491">
        <v>29.23187109819898</v>
      </c>
      <c r="H612" s="1491"/>
      <c r="I612" s="1542">
        <v>0</v>
      </c>
      <c r="J612" s="1491">
        <v>0</v>
      </c>
      <c r="K612" s="1542">
        <v>0</v>
      </c>
      <c r="L612" s="1491">
        <v>0</v>
      </c>
      <c r="M612" s="1492"/>
    </row>
    <row r="613" spans="1:13" ht="18" thickTop="1" thickBot="1" x14ac:dyDescent="0.35">
      <c r="A613" s="309" t="s">
        <v>293</v>
      </c>
      <c r="B613" s="1490">
        <v>12</v>
      </c>
      <c r="C613" s="1490">
        <v>12</v>
      </c>
      <c r="D613" s="1490" t="s">
        <v>418</v>
      </c>
      <c r="E613" s="309" t="s">
        <v>1001</v>
      </c>
      <c r="F613" s="399"/>
      <c r="G613" s="1491">
        <v>543.45822771679786</v>
      </c>
      <c r="H613" s="1491"/>
      <c r="I613" s="1542">
        <v>0</v>
      </c>
      <c r="J613" s="1491">
        <v>0</v>
      </c>
      <c r="K613" s="1542">
        <v>0</v>
      </c>
      <c r="L613" s="1491">
        <v>0</v>
      </c>
      <c r="M613" s="1492"/>
    </row>
    <row r="614" spans="1:13" ht="18" thickTop="1" thickBot="1" x14ac:dyDescent="0.35">
      <c r="A614" s="309" t="s">
        <v>293</v>
      </c>
      <c r="B614" s="1490">
        <v>12</v>
      </c>
      <c r="C614" s="1490">
        <v>12</v>
      </c>
      <c r="D614" s="1490" t="s">
        <v>415</v>
      </c>
      <c r="E614" s="309" t="s">
        <v>1002</v>
      </c>
      <c r="F614" s="399"/>
      <c r="G614" s="1491">
        <v>11.883430087938493</v>
      </c>
      <c r="H614" s="1491"/>
      <c r="I614" s="1542">
        <v>0</v>
      </c>
      <c r="J614" s="1491">
        <v>0</v>
      </c>
      <c r="K614" s="1542">
        <v>0</v>
      </c>
      <c r="L614" s="1491">
        <v>0</v>
      </c>
      <c r="M614" s="1492"/>
    </row>
    <row r="615" spans="1:13" ht="18" thickTop="1" thickBot="1" x14ac:dyDescent="0.35">
      <c r="A615" s="309" t="s">
        <v>293</v>
      </c>
      <c r="B615" s="1490">
        <v>12</v>
      </c>
      <c r="C615" s="1490">
        <v>12</v>
      </c>
      <c r="D615" s="1490" t="s">
        <v>415</v>
      </c>
      <c r="E615" s="309" t="s">
        <v>1003</v>
      </c>
      <c r="F615" s="399"/>
      <c r="G615" s="1491">
        <v>6.6806827145705023</v>
      </c>
      <c r="H615" s="1491"/>
      <c r="I615" s="1542">
        <v>0</v>
      </c>
      <c r="J615" s="1491">
        <v>0</v>
      </c>
      <c r="K615" s="1542">
        <v>0</v>
      </c>
      <c r="L615" s="1491">
        <v>0</v>
      </c>
      <c r="M615" s="1492"/>
    </row>
    <row r="616" spans="1:13" ht="18" thickTop="1" thickBot="1" x14ac:dyDescent="0.35">
      <c r="A616" s="309" t="s">
        <v>293</v>
      </c>
      <c r="B616" s="1490">
        <v>12</v>
      </c>
      <c r="C616" s="1490">
        <v>12</v>
      </c>
      <c r="D616" s="1490" t="s">
        <v>415</v>
      </c>
      <c r="E616" s="309" t="s">
        <v>1004</v>
      </c>
      <c r="F616" s="399"/>
      <c r="G616" s="1491">
        <v>7.9590692835528625</v>
      </c>
      <c r="H616" s="1491"/>
      <c r="I616" s="1542">
        <v>0</v>
      </c>
      <c r="J616" s="1491">
        <v>0</v>
      </c>
      <c r="K616" s="1542">
        <v>0</v>
      </c>
      <c r="L616" s="1491">
        <v>0</v>
      </c>
      <c r="M616" s="1492"/>
    </row>
    <row r="617" spans="1:13" ht="18" thickTop="1" thickBot="1" x14ac:dyDescent="0.35">
      <c r="A617" s="309" t="s">
        <v>293</v>
      </c>
      <c r="B617" s="1490">
        <v>12</v>
      </c>
      <c r="C617" s="1490">
        <v>12</v>
      </c>
      <c r="D617" s="1490" t="s">
        <v>418</v>
      </c>
      <c r="E617" s="309" t="s">
        <v>1005</v>
      </c>
      <c r="F617" s="399"/>
      <c r="G617" s="1491">
        <v>405.90129708041542</v>
      </c>
      <c r="H617" s="1491"/>
      <c r="I617" s="1542">
        <v>0</v>
      </c>
      <c r="J617" s="1491">
        <v>0</v>
      </c>
      <c r="K617" s="1542">
        <v>0</v>
      </c>
      <c r="L617" s="1491">
        <v>0</v>
      </c>
      <c r="M617" s="1492"/>
    </row>
    <row r="618" spans="1:13" ht="18" thickTop="1" thickBot="1" x14ac:dyDescent="0.35">
      <c r="A618" s="309" t="s">
        <v>293</v>
      </c>
      <c r="B618" s="1490">
        <v>12</v>
      </c>
      <c r="C618" s="1490">
        <v>12</v>
      </c>
      <c r="D618" s="1490" t="s">
        <v>418</v>
      </c>
      <c r="E618" s="309" t="s">
        <v>1006</v>
      </c>
      <c r="F618" s="399"/>
      <c r="G618" s="1491">
        <v>534.94889805536275</v>
      </c>
      <c r="H618" s="1491"/>
      <c r="I618" s="1542">
        <v>0</v>
      </c>
      <c r="J618" s="1491">
        <v>0</v>
      </c>
      <c r="K618" s="1542">
        <v>0</v>
      </c>
      <c r="L618" s="1491">
        <v>0</v>
      </c>
      <c r="M618" s="1492"/>
    </row>
    <row r="619" spans="1:13" ht="18" thickTop="1" thickBot="1" x14ac:dyDescent="0.35">
      <c r="A619" s="309" t="s">
        <v>293</v>
      </c>
      <c r="B619" s="1490">
        <v>12</v>
      </c>
      <c r="C619" s="1490">
        <v>12</v>
      </c>
      <c r="D619" s="1490" t="s">
        <v>418</v>
      </c>
      <c r="E619" s="309" t="s">
        <v>1007</v>
      </c>
      <c r="F619" s="399"/>
      <c r="G619" s="1491">
        <v>516.37971959324784</v>
      </c>
      <c r="H619" s="1491"/>
      <c r="I619" s="1542">
        <v>0</v>
      </c>
      <c r="J619" s="1491">
        <v>0</v>
      </c>
      <c r="K619" s="1542">
        <v>0</v>
      </c>
      <c r="L619" s="1491">
        <v>0</v>
      </c>
      <c r="M619" s="1492"/>
    </row>
    <row r="620" spans="1:13" ht="18" thickTop="1" thickBot="1" x14ac:dyDescent="0.35">
      <c r="A620" s="309" t="s">
        <v>293</v>
      </c>
      <c r="B620" s="1490">
        <v>12</v>
      </c>
      <c r="C620" s="1490">
        <v>12</v>
      </c>
      <c r="D620" s="1490" t="s">
        <v>418</v>
      </c>
      <c r="E620" s="309" t="s">
        <v>1008</v>
      </c>
      <c r="F620" s="399"/>
      <c r="G620" s="1491">
        <v>38.569484025974745</v>
      </c>
      <c r="H620" s="1491"/>
      <c r="I620" s="1542">
        <v>0</v>
      </c>
      <c r="J620" s="1491">
        <v>0</v>
      </c>
      <c r="K620" s="1542">
        <v>0</v>
      </c>
      <c r="L620" s="1491">
        <v>0</v>
      </c>
      <c r="M620" s="1492"/>
    </row>
    <row r="621" spans="1:13" ht="18" thickTop="1" thickBot="1" x14ac:dyDescent="0.35">
      <c r="A621" s="309" t="s">
        <v>293</v>
      </c>
      <c r="B621" s="1490">
        <v>12</v>
      </c>
      <c r="C621" s="1490">
        <v>12</v>
      </c>
      <c r="D621" s="1490" t="s">
        <v>418</v>
      </c>
      <c r="E621" s="309" t="s">
        <v>1009</v>
      </c>
      <c r="F621" s="399"/>
      <c r="G621" s="1491">
        <v>1325.6432074581919</v>
      </c>
      <c r="H621" s="1491"/>
      <c r="I621" s="1542">
        <v>0</v>
      </c>
      <c r="J621" s="1491">
        <v>0</v>
      </c>
      <c r="K621" s="1542">
        <v>0</v>
      </c>
      <c r="L621" s="1491">
        <v>0</v>
      </c>
      <c r="M621" s="1492"/>
    </row>
    <row r="622" spans="1:13" ht="18" thickTop="1" thickBot="1" x14ac:dyDescent="0.35">
      <c r="A622" s="309" t="s">
        <v>293</v>
      </c>
      <c r="B622" s="1490">
        <v>12</v>
      </c>
      <c r="C622" s="1490">
        <v>12</v>
      </c>
      <c r="D622" s="1490" t="s">
        <v>418</v>
      </c>
      <c r="E622" s="309" t="s">
        <v>1010</v>
      </c>
      <c r="F622" s="399"/>
      <c r="G622" s="1491">
        <v>0.75305151328758624</v>
      </c>
      <c r="H622" s="1491"/>
      <c r="I622" s="1542">
        <v>0</v>
      </c>
      <c r="J622" s="1491">
        <v>0</v>
      </c>
      <c r="K622" s="1542">
        <v>0</v>
      </c>
      <c r="L622" s="1491">
        <v>0</v>
      </c>
      <c r="M622" s="1492"/>
    </row>
    <row r="623" spans="1:13" ht="18" thickTop="1" thickBot="1" x14ac:dyDescent="0.35">
      <c r="A623" s="1550" t="s">
        <v>293</v>
      </c>
      <c r="B623" s="1551">
        <v>12</v>
      </c>
      <c r="C623" s="1551">
        <v>12</v>
      </c>
      <c r="D623" s="1551" t="s">
        <v>418</v>
      </c>
      <c r="E623" s="1550" t="s">
        <v>1011</v>
      </c>
      <c r="F623" s="1555"/>
      <c r="G623" s="1491">
        <v>91.805265751411909</v>
      </c>
      <c r="H623" s="1552"/>
      <c r="I623" s="1552">
        <v>0</v>
      </c>
      <c r="J623" s="1552">
        <v>0</v>
      </c>
      <c r="K623" s="1552">
        <v>0</v>
      </c>
      <c r="L623" s="1552">
        <f>G623</f>
        <v>91.805265751411909</v>
      </c>
      <c r="M623" s="1492"/>
    </row>
    <row r="624" spans="1:13" ht="18" thickTop="1" thickBot="1" x14ac:dyDescent="0.35">
      <c r="A624" s="1550" t="s">
        <v>293</v>
      </c>
      <c r="B624" s="1551">
        <v>12</v>
      </c>
      <c r="C624" s="1551">
        <v>12</v>
      </c>
      <c r="D624" s="1551" t="s">
        <v>418</v>
      </c>
      <c r="E624" s="1550" t="s">
        <v>1012</v>
      </c>
      <c r="F624" s="1555"/>
      <c r="G624" s="1491">
        <v>69.440604779360228</v>
      </c>
      <c r="H624" s="1552"/>
      <c r="I624" s="1552">
        <v>0</v>
      </c>
      <c r="J624" s="1552">
        <v>0</v>
      </c>
      <c r="K624" s="1552">
        <v>0</v>
      </c>
      <c r="L624" s="1552">
        <f>G624</f>
        <v>69.440604779360228</v>
      </c>
      <c r="M624" s="1492"/>
    </row>
    <row r="625" spans="1:13" ht="18" thickTop="1" thickBot="1" x14ac:dyDescent="0.35">
      <c r="A625" s="309" t="s">
        <v>293</v>
      </c>
      <c r="B625" s="1490">
        <v>12</v>
      </c>
      <c r="C625" s="1490">
        <v>12</v>
      </c>
      <c r="D625" s="1490" t="s">
        <v>418</v>
      </c>
      <c r="E625" s="309" t="s">
        <v>1013</v>
      </c>
      <c r="F625" s="399"/>
      <c r="G625" s="1491">
        <v>1031.7530190824875</v>
      </c>
      <c r="H625" s="1491"/>
      <c r="I625" s="1542">
        <v>0</v>
      </c>
      <c r="J625" s="1491">
        <v>0</v>
      </c>
      <c r="K625" s="1542">
        <v>0</v>
      </c>
      <c r="L625" s="1491">
        <v>0</v>
      </c>
      <c r="M625" s="1492"/>
    </row>
    <row r="626" spans="1:13" ht="18" thickTop="1" thickBot="1" x14ac:dyDescent="0.35">
      <c r="A626" s="309" t="s">
        <v>293</v>
      </c>
      <c r="B626" s="1490">
        <v>12</v>
      </c>
      <c r="C626" s="1490">
        <v>12</v>
      </c>
      <c r="D626" s="1490" t="s">
        <v>421</v>
      </c>
      <c r="E626" s="309" t="s">
        <v>1014</v>
      </c>
      <c r="F626" s="399"/>
      <c r="G626" s="1491">
        <v>124.45289680332196</v>
      </c>
      <c r="H626" s="1491"/>
      <c r="I626" s="1542">
        <v>0</v>
      </c>
      <c r="J626" s="1491">
        <v>0</v>
      </c>
      <c r="K626" s="1542">
        <v>0</v>
      </c>
      <c r="L626" s="1491">
        <v>0</v>
      </c>
      <c r="M626" s="1492"/>
    </row>
    <row r="627" spans="1:13" ht="18" thickTop="1" thickBot="1" x14ac:dyDescent="0.35">
      <c r="A627" s="309" t="s">
        <v>293</v>
      </c>
      <c r="B627" s="1490">
        <v>12</v>
      </c>
      <c r="C627" s="1490">
        <v>12</v>
      </c>
      <c r="D627" s="1490" t="s">
        <v>421</v>
      </c>
      <c r="E627" s="309" t="s">
        <v>1015</v>
      </c>
      <c r="F627" s="399"/>
      <c r="G627" s="1491">
        <v>81.717822258389461</v>
      </c>
      <c r="H627" s="1491"/>
      <c r="I627" s="1542">
        <v>0</v>
      </c>
      <c r="J627" s="1491">
        <v>0</v>
      </c>
      <c r="K627" s="1542">
        <v>0</v>
      </c>
      <c r="L627" s="1491">
        <v>0</v>
      </c>
      <c r="M627" s="1492"/>
    </row>
    <row r="628" spans="1:13" ht="18" thickTop="1" thickBot="1" x14ac:dyDescent="0.35">
      <c r="A628" s="309" t="s">
        <v>293</v>
      </c>
      <c r="B628" s="1490">
        <v>12</v>
      </c>
      <c r="C628" s="1490">
        <v>12</v>
      </c>
      <c r="D628" s="1490" t="s">
        <v>421</v>
      </c>
      <c r="E628" s="309" t="s">
        <v>1016</v>
      </c>
      <c r="F628" s="399"/>
      <c r="G628" s="1491">
        <v>59.077455095212869</v>
      </c>
      <c r="H628" s="1491"/>
      <c r="I628" s="1542">
        <v>0</v>
      </c>
      <c r="J628" s="1491">
        <v>0</v>
      </c>
      <c r="K628" s="1542">
        <v>0</v>
      </c>
      <c r="L628" s="1491">
        <v>0</v>
      </c>
      <c r="M628" s="1492"/>
    </row>
    <row r="629" spans="1:13" ht="18" thickTop="1" thickBot="1" x14ac:dyDescent="0.35">
      <c r="A629" s="309" t="s">
        <v>293</v>
      </c>
      <c r="B629" s="1490">
        <v>12</v>
      </c>
      <c r="C629" s="1490">
        <v>12</v>
      </c>
      <c r="D629" s="1490" t="s">
        <v>424</v>
      </c>
      <c r="E629" s="309" t="s">
        <v>1017</v>
      </c>
      <c r="F629" s="399"/>
      <c r="G629" s="1491">
        <v>133.18817710076613</v>
      </c>
      <c r="H629" s="1491"/>
      <c r="I629" s="1542">
        <v>0</v>
      </c>
      <c r="J629" s="1491">
        <v>0</v>
      </c>
      <c r="K629" s="1542">
        <v>0</v>
      </c>
      <c r="L629" s="1491">
        <v>0</v>
      </c>
      <c r="M629" s="1492"/>
    </row>
    <row r="630" spans="1:13" ht="18" thickTop="1" thickBot="1" x14ac:dyDescent="0.35">
      <c r="A630" s="309" t="s">
        <v>293</v>
      </c>
      <c r="B630" s="1490">
        <v>12</v>
      </c>
      <c r="C630" s="1490">
        <v>12</v>
      </c>
      <c r="D630" s="1490" t="s">
        <v>424</v>
      </c>
      <c r="E630" s="309" t="s">
        <v>1018</v>
      </c>
      <c r="F630" s="399"/>
      <c r="G630" s="1491">
        <v>82.112086600352427</v>
      </c>
      <c r="H630" s="1491"/>
      <c r="I630" s="1542">
        <v>0</v>
      </c>
      <c r="J630" s="1491">
        <v>0</v>
      </c>
      <c r="K630" s="1542">
        <v>0</v>
      </c>
      <c r="L630" s="1491">
        <v>0</v>
      </c>
      <c r="M630" s="1492"/>
    </row>
    <row r="631" spans="1:13" ht="18" thickTop="1" thickBot="1" x14ac:dyDescent="0.35">
      <c r="A631" s="309" t="s">
        <v>293</v>
      </c>
      <c r="B631" s="1490">
        <v>12</v>
      </c>
      <c r="C631" s="1490">
        <v>12</v>
      </c>
      <c r="D631" s="1490" t="s">
        <v>424</v>
      </c>
      <c r="E631" s="309" t="s">
        <v>1019</v>
      </c>
      <c r="F631" s="399"/>
      <c r="G631" s="1491">
        <v>65.717155141563296</v>
      </c>
      <c r="H631" s="1491"/>
      <c r="I631" s="1542">
        <v>0</v>
      </c>
      <c r="J631" s="1491">
        <v>0</v>
      </c>
      <c r="K631" s="1542">
        <v>0</v>
      </c>
      <c r="L631" s="1491">
        <v>0</v>
      </c>
      <c r="M631" s="1492"/>
    </row>
    <row r="632" spans="1:13" ht="18" thickTop="1" thickBot="1" x14ac:dyDescent="0.35">
      <c r="A632" s="309" t="s">
        <v>295</v>
      </c>
      <c r="B632" s="1490">
        <v>14</v>
      </c>
      <c r="C632" s="1490">
        <v>14</v>
      </c>
      <c r="D632" s="1490" t="s">
        <v>432</v>
      </c>
      <c r="E632" s="309" t="s">
        <v>1020</v>
      </c>
      <c r="F632" s="399"/>
      <c r="G632" s="1491">
        <v>0.66727865048116242</v>
      </c>
      <c r="H632" s="1491"/>
      <c r="I632" s="1542"/>
      <c r="J632" s="1491"/>
      <c r="K632" s="1542"/>
      <c r="L632" s="1491"/>
      <c r="M632" s="1492"/>
    </row>
    <row r="633" spans="1:13" ht="18" thickTop="1" thickBot="1" x14ac:dyDescent="0.35">
      <c r="A633" s="309" t="s">
        <v>295</v>
      </c>
      <c r="B633" s="1490">
        <v>14</v>
      </c>
      <c r="C633" s="1490">
        <v>14</v>
      </c>
      <c r="D633" s="1490" t="s">
        <v>429</v>
      </c>
      <c r="E633" s="309" t="s">
        <v>1021</v>
      </c>
      <c r="F633" s="399"/>
      <c r="G633" s="1491">
        <v>15.32928314037374</v>
      </c>
      <c r="H633" s="1491"/>
      <c r="I633" s="1542">
        <v>0</v>
      </c>
      <c r="J633" s="1491">
        <v>0</v>
      </c>
      <c r="K633" s="1542">
        <v>0</v>
      </c>
      <c r="L633" s="1491">
        <v>0</v>
      </c>
      <c r="M633" s="1492"/>
    </row>
    <row r="634" spans="1:13" ht="18" thickTop="1" thickBot="1" x14ac:dyDescent="0.35">
      <c r="A634" s="309" t="s">
        <v>295</v>
      </c>
      <c r="B634" s="1490">
        <v>14</v>
      </c>
      <c r="C634" s="1490">
        <v>14</v>
      </c>
      <c r="D634" s="1490" t="s">
        <v>432</v>
      </c>
      <c r="E634" s="309" t="s">
        <v>1022</v>
      </c>
      <c r="F634" s="399"/>
      <c r="G634" s="1491">
        <v>289.64690685118728</v>
      </c>
      <c r="H634" s="1491"/>
      <c r="I634" s="1542">
        <v>0</v>
      </c>
      <c r="J634" s="1491">
        <v>0</v>
      </c>
      <c r="K634" s="1542">
        <v>0</v>
      </c>
      <c r="L634" s="1491">
        <v>0</v>
      </c>
      <c r="M634" s="1492"/>
    </row>
    <row r="635" spans="1:13" ht="18" thickTop="1" thickBot="1" x14ac:dyDescent="0.35">
      <c r="A635" s="309" t="s">
        <v>295</v>
      </c>
      <c r="B635" s="1490">
        <v>14</v>
      </c>
      <c r="C635" s="1490">
        <v>14</v>
      </c>
      <c r="D635" s="1490" t="s">
        <v>432</v>
      </c>
      <c r="E635" s="309" t="s">
        <v>1023</v>
      </c>
      <c r="F635" s="399"/>
      <c r="G635" s="1491">
        <v>176.71466529430279</v>
      </c>
      <c r="H635" s="1491"/>
      <c r="I635" s="1542">
        <v>0</v>
      </c>
      <c r="J635" s="1491">
        <v>0</v>
      </c>
      <c r="K635" s="1542">
        <v>0</v>
      </c>
      <c r="L635" s="1491">
        <v>0</v>
      </c>
      <c r="M635" s="1492"/>
    </row>
    <row r="636" spans="1:13" ht="18" thickTop="1" thickBot="1" x14ac:dyDescent="0.35">
      <c r="A636" s="309" t="s">
        <v>295</v>
      </c>
      <c r="B636" s="1490">
        <v>14</v>
      </c>
      <c r="C636" s="1490">
        <v>14</v>
      </c>
      <c r="D636" s="1490" t="s">
        <v>432</v>
      </c>
      <c r="E636" s="309" t="s">
        <v>1024</v>
      </c>
      <c r="F636" s="399"/>
      <c r="G636" s="1491">
        <v>153.50109176354516</v>
      </c>
      <c r="H636" s="1491"/>
      <c r="I636" s="1542">
        <v>0</v>
      </c>
      <c r="J636" s="1491">
        <v>0</v>
      </c>
      <c r="K636" s="1542">
        <v>0</v>
      </c>
      <c r="L636" s="1491">
        <v>0</v>
      </c>
      <c r="M636" s="1492"/>
    </row>
    <row r="637" spans="1:13" ht="18" thickTop="1" thickBot="1" x14ac:dyDescent="0.35">
      <c r="A637" s="309" t="s">
        <v>297</v>
      </c>
      <c r="B637" s="1490">
        <v>15</v>
      </c>
      <c r="C637" s="1490">
        <v>15</v>
      </c>
      <c r="D637" s="1490" t="s">
        <v>435</v>
      </c>
      <c r="E637" s="309" t="s">
        <v>1025</v>
      </c>
      <c r="F637" s="399"/>
      <c r="G637" s="1491">
        <v>42.867496326932724</v>
      </c>
      <c r="H637" s="1491"/>
      <c r="I637" s="1542">
        <v>0</v>
      </c>
      <c r="J637" s="1491">
        <v>0</v>
      </c>
      <c r="K637" s="1542">
        <v>0</v>
      </c>
      <c r="L637" s="1491">
        <v>0</v>
      </c>
      <c r="M637" s="1492"/>
    </row>
    <row r="638" spans="1:13" ht="18" thickTop="1" thickBot="1" x14ac:dyDescent="0.35">
      <c r="A638" s="309" t="s">
        <v>297</v>
      </c>
      <c r="B638" s="1490">
        <v>15</v>
      </c>
      <c r="C638" s="1490">
        <v>15</v>
      </c>
      <c r="D638" s="1490" t="s">
        <v>438</v>
      </c>
      <c r="E638" s="309" t="s">
        <v>1026</v>
      </c>
      <c r="F638" s="399"/>
      <c r="G638" s="1491">
        <v>124.71557296846782</v>
      </c>
      <c r="H638" s="1491"/>
      <c r="I638" s="1542">
        <v>0</v>
      </c>
      <c r="J638" s="1491">
        <v>0</v>
      </c>
      <c r="K638" s="1542">
        <v>0</v>
      </c>
      <c r="L638" s="1491">
        <v>0</v>
      </c>
      <c r="M638" s="1492"/>
    </row>
    <row r="639" spans="1:13" ht="18" thickTop="1" thickBot="1" x14ac:dyDescent="0.35">
      <c r="A639" s="309" t="s">
        <v>297</v>
      </c>
      <c r="B639" s="1490">
        <v>15</v>
      </c>
      <c r="C639" s="1490">
        <v>15</v>
      </c>
      <c r="D639" s="1490" t="s">
        <v>438</v>
      </c>
      <c r="E639" s="309" t="s">
        <v>1027</v>
      </c>
      <c r="F639" s="399"/>
      <c r="G639" s="1491">
        <v>127.18918680800049</v>
      </c>
      <c r="H639" s="1491"/>
      <c r="I639" s="1542">
        <v>0</v>
      </c>
      <c r="J639" s="1491">
        <v>0</v>
      </c>
      <c r="K639" s="1542">
        <v>0</v>
      </c>
      <c r="L639" s="1491">
        <v>0</v>
      </c>
      <c r="M639" s="1492"/>
    </row>
    <row r="640" spans="1:13" ht="18" thickTop="1" thickBot="1" x14ac:dyDescent="0.35">
      <c r="A640" s="309" t="s">
        <v>297</v>
      </c>
      <c r="B640" s="1490">
        <v>15</v>
      </c>
      <c r="C640" s="1490">
        <v>15</v>
      </c>
      <c r="D640" s="1490" t="s">
        <v>438</v>
      </c>
      <c r="E640" s="309" t="s">
        <v>1028</v>
      </c>
      <c r="F640" s="399"/>
      <c r="G640" s="1491">
        <v>100.5685303204328</v>
      </c>
      <c r="H640" s="1491"/>
      <c r="I640" s="1542">
        <v>0</v>
      </c>
      <c r="J640" s="1491">
        <v>0</v>
      </c>
      <c r="K640" s="1542">
        <v>0</v>
      </c>
      <c r="L640" s="1491">
        <v>0</v>
      </c>
      <c r="M640" s="1492"/>
    </row>
    <row r="641" spans="1:13" ht="18" thickTop="1" thickBot="1" x14ac:dyDescent="0.35">
      <c r="A641" s="309" t="s">
        <v>299</v>
      </c>
      <c r="B641" s="1490">
        <v>16</v>
      </c>
      <c r="C641" s="1490">
        <v>16</v>
      </c>
      <c r="D641" s="1490" t="s">
        <v>449</v>
      </c>
      <c r="E641" s="309" t="s">
        <v>1029</v>
      </c>
      <c r="F641" s="399"/>
      <c r="G641" s="1491">
        <v>536.83979601199962</v>
      </c>
      <c r="H641" s="1491"/>
      <c r="I641" s="1542">
        <v>0</v>
      </c>
      <c r="J641" s="1491">
        <v>0</v>
      </c>
      <c r="K641" s="1542">
        <v>0</v>
      </c>
      <c r="L641" s="1491">
        <v>0</v>
      </c>
      <c r="M641" s="1492"/>
    </row>
    <row r="642" spans="1:13" ht="18" thickTop="1" thickBot="1" x14ac:dyDescent="0.35">
      <c r="A642" s="309" t="s">
        <v>299</v>
      </c>
      <c r="B642" s="1490">
        <v>16</v>
      </c>
      <c r="C642" s="1490">
        <v>16</v>
      </c>
      <c r="D642" s="1490" t="s">
        <v>449</v>
      </c>
      <c r="E642" s="309" t="s">
        <v>1030</v>
      </c>
      <c r="F642" s="399"/>
      <c r="G642" s="1491">
        <v>367.39406359758442</v>
      </c>
      <c r="H642" s="1491"/>
      <c r="I642" s="1542">
        <v>0</v>
      </c>
      <c r="J642" s="1491">
        <v>0</v>
      </c>
      <c r="K642" s="1542">
        <v>0</v>
      </c>
      <c r="L642" s="1491">
        <v>0</v>
      </c>
      <c r="M642" s="1492"/>
    </row>
    <row r="643" spans="1:13" ht="18" thickTop="1" thickBot="1" x14ac:dyDescent="0.35">
      <c r="A643" s="309" t="s">
        <v>299</v>
      </c>
      <c r="B643" s="1490">
        <v>16</v>
      </c>
      <c r="C643" s="1490">
        <v>16</v>
      </c>
      <c r="D643" s="1490" t="s">
        <v>449</v>
      </c>
      <c r="E643" s="309" t="s">
        <v>1031</v>
      </c>
      <c r="F643" s="399"/>
      <c r="G643" s="1491">
        <v>381.60250081919213</v>
      </c>
      <c r="H643" s="1491"/>
      <c r="I643" s="1542">
        <v>0</v>
      </c>
      <c r="J643" s="1491">
        <v>0</v>
      </c>
      <c r="K643" s="1542">
        <v>0</v>
      </c>
      <c r="L643" s="1491">
        <v>0</v>
      </c>
      <c r="M643" s="1492"/>
    </row>
    <row r="644" spans="1:13" ht="18" thickTop="1" thickBot="1" x14ac:dyDescent="0.35">
      <c r="A644" s="309" t="s">
        <v>299</v>
      </c>
      <c r="B644" s="1490">
        <v>16</v>
      </c>
      <c r="C644" s="1490">
        <v>16</v>
      </c>
      <c r="D644" s="1490" t="s">
        <v>452</v>
      </c>
      <c r="E644" s="309" t="s">
        <v>1032</v>
      </c>
      <c r="F644" s="399"/>
      <c r="G644" s="1491">
        <v>506.36589662640341</v>
      </c>
      <c r="H644" s="1491"/>
      <c r="I644" s="1542">
        <v>0</v>
      </c>
      <c r="J644" s="1491">
        <v>0</v>
      </c>
      <c r="K644" s="1542">
        <v>0</v>
      </c>
      <c r="L644" s="1491">
        <v>0</v>
      </c>
      <c r="M644" s="1492"/>
    </row>
    <row r="645" spans="1:13" ht="18" thickTop="1" thickBot="1" x14ac:dyDescent="0.35">
      <c r="A645" s="309" t="s">
        <v>299</v>
      </c>
      <c r="B645" s="1490">
        <v>16</v>
      </c>
      <c r="C645" s="1490">
        <v>16</v>
      </c>
      <c r="D645" s="1490" t="s">
        <v>449</v>
      </c>
      <c r="E645" s="309" t="s">
        <v>1033</v>
      </c>
      <c r="F645" s="399"/>
      <c r="G645" s="1491">
        <v>440.07832082196484</v>
      </c>
      <c r="H645" s="1491"/>
      <c r="I645" s="1542">
        <v>0</v>
      </c>
      <c r="J645" s="1491">
        <v>0</v>
      </c>
      <c r="K645" s="1542">
        <v>0</v>
      </c>
      <c r="L645" s="1491">
        <v>0</v>
      </c>
      <c r="M645" s="1492"/>
    </row>
    <row r="646" spans="1:13" ht="18" thickTop="1" thickBot="1" x14ac:dyDescent="0.35">
      <c r="A646" s="309" t="s">
        <v>299</v>
      </c>
      <c r="B646" s="1490">
        <v>16</v>
      </c>
      <c r="C646" s="1490">
        <v>16</v>
      </c>
      <c r="D646" s="1490" t="s">
        <v>449</v>
      </c>
      <c r="E646" s="309" t="s">
        <v>1034</v>
      </c>
      <c r="F646" s="399"/>
      <c r="G646" s="1491">
        <v>306.65406796291433</v>
      </c>
      <c r="H646" s="1491"/>
      <c r="I646" s="1542">
        <v>0</v>
      </c>
      <c r="J646" s="1491">
        <v>0</v>
      </c>
      <c r="K646" s="1542">
        <v>0</v>
      </c>
      <c r="L646" s="1491">
        <v>0</v>
      </c>
      <c r="M646" s="1492"/>
    </row>
    <row r="647" spans="1:13" ht="18" thickTop="1" thickBot="1" x14ac:dyDescent="0.35">
      <c r="A647" s="309" t="s">
        <v>299</v>
      </c>
      <c r="B647" s="1490">
        <v>16</v>
      </c>
      <c r="C647" s="1490">
        <v>16</v>
      </c>
      <c r="D647" s="1490" t="s">
        <v>449</v>
      </c>
      <c r="E647" s="309" t="s">
        <v>1035</v>
      </c>
      <c r="F647" s="399"/>
      <c r="G647" s="1491">
        <v>678.70262735311246</v>
      </c>
      <c r="H647" s="1491"/>
      <c r="I647" s="1542">
        <v>0</v>
      </c>
      <c r="J647" s="1491">
        <v>0</v>
      </c>
      <c r="K647" s="1542">
        <v>0</v>
      </c>
      <c r="L647" s="1491">
        <v>0</v>
      </c>
      <c r="M647" s="1492"/>
    </row>
    <row r="648" spans="1:13" ht="18" thickTop="1" thickBot="1" x14ac:dyDescent="0.35">
      <c r="A648" s="309" t="s">
        <v>299</v>
      </c>
      <c r="B648" s="1490">
        <v>16</v>
      </c>
      <c r="C648" s="1490">
        <v>16</v>
      </c>
      <c r="D648" s="1490" t="s">
        <v>449</v>
      </c>
      <c r="E648" s="309" t="s">
        <v>1036</v>
      </c>
      <c r="F648" s="399"/>
      <c r="G648" s="1491">
        <v>415.94780055364396</v>
      </c>
      <c r="H648" s="1491"/>
      <c r="I648" s="1542">
        <v>0</v>
      </c>
      <c r="J648" s="1491">
        <v>0</v>
      </c>
      <c r="K648" s="1542">
        <v>0</v>
      </c>
      <c r="L648" s="1491">
        <v>0</v>
      </c>
      <c r="M648" s="1492"/>
    </row>
    <row r="649" spans="1:13" ht="18" thickTop="1" thickBot="1" x14ac:dyDescent="0.35">
      <c r="A649" s="309" t="s">
        <v>299</v>
      </c>
      <c r="B649" s="1490">
        <v>16</v>
      </c>
      <c r="C649" s="1490">
        <v>16</v>
      </c>
      <c r="D649" s="1490" t="s">
        <v>449</v>
      </c>
      <c r="E649" s="309" t="s">
        <v>1037</v>
      </c>
      <c r="F649" s="399"/>
      <c r="G649" s="1491">
        <v>922.77484573579397</v>
      </c>
      <c r="H649" s="1491"/>
      <c r="I649" s="1542">
        <v>0</v>
      </c>
      <c r="J649" s="1491">
        <v>0</v>
      </c>
      <c r="K649" s="1542">
        <v>0</v>
      </c>
      <c r="L649" s="1491">
        <v>0</v>
      </c>
      <c r="M649" s="1492"/>
    </row>
    <row r="650" spans="1:13" ht="18" thickTop="1" thickBot="1" x14ac:dyDescent="0.35">
      <c r="A650" s="309" t="s">
        <v>299</v>
      </c>
      <c r="B650" s="1490">
        <v>16</v>
      </c>
      <c r="C650" s="1490">
        <v>16</v>
      </c>
      <c r="D650" s="1490" t="s">
        <v>449</v>
      </c>
      <c r="E650" s="309" t="s">
        <v>1038</v>
      </c>
      <c r="F650" s="399"/>
      <c r="G650" s="1491">
        <v>539.36125693425197</v>
      </c>
      <c r="H650" s="1491"/>
      <c r="I650" s="1542">
        <v>0</v>
      </c>
      <c r="J650" s="1491">
        <v>0</v>
      </c>
      <c r="K650" s="1542">
        <v>0</v>
      </c>
      <c r="L650" s="1491">
        <v>0</v>
      </c>
      <c r="M650" s="1492"/>
    </row>
    <row r="651" spans="1:13" ht="18" thickTop="1" thickBot="1" x14ac:dyDescent="0.35">
      <c r="A651" s="309" t="s">
        <v>299</v>
      </c>
      <c r="B651" s="1490">
        <v>16</v>
      </c>
      <c r="C651" s="1490">
        <v>16</v>
      </c>
      <c r="D651" s="1490" t="s">
        <v>449</v>
      </c>
      <c r="E651" s="309" t="s">
        <v>1039</v>
      </c>
      <c r="F651" s="399"/>
      <c r="G651" s="1491">
        <v>595.24022978859239</v>
      </c>
      <c r="H651" s="1491"/>
      <c r="I651" s="1542">
        <v>0</v>
      </c>
      <c r="J651" s="1491">
        <v>0</v>
      </c>
      <c r="K651" s="1542">
        <v>0</v>
      </c>
      <c r="L651" s="1491">
        <v>0</v>
      </c>
      <c r="M651" s="1492"/>
    </row>
    <row r="652" spans="1:13" ht="18" thickTop="1" thickBot="1" x14ac:dyDescent="0.35">
      <c r="A652" s="309" t="s">
        <v>299</v>
      </c>
      <c r="B652" s="1490">
        <v>16</v>
      </c>
      <c r="C652" s="1490">
        <v>16</v>
      </c>
      <c r="D652" s="1490" t="s">
        <v>449</v>
      </c>
      <c r="E652" s="309" t="s">
        <v>1040</v>
      </c>
      <c r="F652" s="399"/>
      <c r="G652" s="1491">
        <v>455.0844367891894</v>
      </c>
      <c r="H652" s="1491"/>
      <c r="I652" s="1542">
        <v>0</v>
      </c>
      <c r="J652" s="1491">
        <v>0</v>
      </c>
      <c r="K652" s="1542">
        <v>0</v>
      </c>
      <c r="L652" s="1491">
        <v>0</v>
      </c>
      <c r="M652" s="1492"/>
    </row>
    <row r="653" spans="1:13" ht="18" thickTop="1" thickBot="1" x14ac:dyDescent="0.35">
      <c r="A653" s="309" t="s">
        <v>299</v>
      </c>
      <c r="B653" s="1490">
        <v>16</v>
      </c>
      <c r="C653" s="1490">
        <v>16</v>
      </c>
      <c r="D653" s="1490" t="s">
        <v>441</v>
      </c>
      <c r="E653" s="309" t="s">
        <v>1041</v>
      </c>
      <c r="F653" s="399"/>
      <c r="G653" s="1491">
        <v>631.11988336742593</v>
      </c>
      <c r="H653" s="1491"/>
      <c r="I653" s="1542">
        <v>0</v>
      </c>
      <c r="J653" s="1491">
        <v>0</v>
      </c>
      <c r="K653" s="1542">
        <v>0</v>
      </c>
      <c r="L653" s="1491">
        <v>0</v>
      </c>
      <c r="M653" s="1492"/>
    </row>
    <row r="654" spans="1:13" ht="18" thickTop="1" thickBot="1" x14ac:dyDescent="0.35">
      <c r="A654" s="309" t="s">
        <v>299</v>
      </c>
      <c r="B654" s="1490">
        <v>16</v>
      </c>
      <c r="C654" s="1490">
        <v>16</v>
      </c>
      <c r="D654" s="1490" t="s">
        <v>449</v>
      </c>
      <c r="E654" s="309" t="s">
        <v>1042</v>
      </c>
      <c r="F654" s="399"/>
      <c r="G654" s="1491">
        <v>1730.0827067279179</v>
      </c>
      <c r="H654" s="1491"/>
      <c r="I654" s="1542">
        <v>0</v>
      </c>
      <c r="J654" s="1491">
        <v>0</v>
      </c>
      <c r="K654" s="1542">
        <v>0</v>
      </c>
      <c r="L654" s="1491">
        <v>0</v>
      </c>
      <c r="M654" s="1492"/>
    </row>
    <row r="655" spans="1:13" ht="18" thickTop="1" thickBot="1" x14ac:dyDescent="0.35">
      <c r="A655" s="309" t="s">
        <v>299</v>
      </c>
      <c r="B655" s="1490">
        <v>16</v>
      </c>
      <c r="C655" s="1490">
        <v>16</v>
      </c>
      <c r="D655" s="1490" t="s">
        <v>449</v>
      </c>
      <c r="E655" s="309" t="s">
        <v>1043</v>
      </c>
      <c r="F655" s="399"/>
      <c r="G655" s="1491">
        <v>980.91031579498565</v>
      </c>
      <c r="H655" s="1491"/>
      <c r="I655" s="1542">
        <v>0</v>
      </c>
      <c r="J655" s="1491">
        <v>0</v>
      </c>
      <c r="K655" s="1542">
        <v>0</v>
      </c>
      <c r="L655" s="1491">
        <v>0</v>
      </c>
      <c r="M655" s="1492"/>
    </row>
    <row r="656" spans="1:13" ht="18" thickTop="1" thickBot="1" x14ac:dyDescent="0.35">
      <c r="A656" s="309" t="s">
        <v>299</v>
      </c>
      <c r="B656" s="1490">
        <v>16</v>
      </c>
      <c r="C656" s="1490">
        <v>16</v>
      </c>
      <c r="D656" s="1490" t="s">
        <v>449</v>
      </c>
      <c r="E656" s="309" t="s">
        <v>1044</v>
      </c>
      <c r="F656" s="399"/>
      <c r="G656" s="1491">
        <v>492.37169939282825</v>
      </c>
      <c r="H656" s="1491"/>
      <c r="I656" s="1542">
        <v>0</v>
      </c>
      <c r="J656" s="1491">
        <v>0</v>
      </c>
      <c r="K656" s="1542">
        <v>0</v>
      </c>
      <c r="L656" s="1491">
        <v>0</v>
      </c>
      <c r="M656" s="1492"/>
    </row>
    <row r="657" spans="1:13" ht="18" thickTop="1" thickBot="1" x14ac:dyDescent="0.35">
      <c r="A657" s="309" t="s">
        <v>299</v>
      </c>
      <c r="B657" s="1490">
        <v>16</v>
      </c>
      <c r="C657" s="1490">
        <v>16</v>
      </c>
      <c r="D657" s="1490" t="s">
        <v>449</v>
      </c>
      <c r="E657" s="309" t="s">
        <v>1045</v>
      </c>
      <c r="F657" s="399"/>
      <c r="G657" s="1491">
        <v>894.48308573549684</v>
      </c>
      <c r="H657" s="1491"/>
      <c r="I657" s="1542">
        <v>0</v>
      </c>
      <c r="J657" s="1491">
        <v>0</v>
      </c>
      <c r="K657" s="1542">
        <v>0</v>
      </c>
      <c r="L657" s="1491">
        <v>0</v>
      </c>
      <c r="M657" s="1492"/>
    </row>
    <row r="658" spans="1:13" ht="18" thickTop="1" thickBot="1" x14ac:dyDescent="0.35">
      <c r="A658" s="309" t="s">
        <v>299</v>
      </c>
      <c r="B658" s="1490">
        <v>16</v>
      </c>
      <c r="C658" s="1490">
        <v>16</v>
      </c>
      <c r="D658" s="1490" t="s">
        <v>449</v>
      </c>
      <c r="E658" s="309" t="s">
        <v>1046</v>
      </c>
      <c r="F658" s="399"/>
      <c r="G658" s="1491">
        <v>450.53686930650196</v>
      </c>
      <c r="H658" s="1491"/>
      <c r="I658" s="1542">
        <v>0</v>
      </c>
      <c r="J658" s="1491">
        <v>0</v>
      </c>
      <c r="K658" s="1542">
        <v>0</v>
      </c>
      <c r="L658" s="1491">
        <v>0</v>
      </c>
      <c r="M658" s="1492"/>
    </row>
    <row r="659" spans="1:13" ht="18" thickTop="1" thickBot="1" x14ac:dyDescent="0.35">
      <c r="A659" s="309" t="s">
        <v>299</v>
      </c>
      <c r="B659" s="1490">
        <v>16</v>
      </c>
      <c r="C659" s="1490">
        <v>16</v>
      </c>
      <c r="D659" s="1490" t="s">
        <v>449</v>
      </c>
      <c r="E659" s="309" t="s">
        <v>1047</v>
      </c>
      <c r="F659" s="399"/>
      <c r="G659" s="1491">
        <v>247.46311704674648</v>
      </c>
      <c r="H659" s="1491"/>
      <c r="I659" s="1542">
        <v>0</v>
      </c>
      <c r="J659" s="1491">
        <v>0</v>
      </c>
      <c r="K659" s="1542">
        <v>0</v>
      </c>
      <c r="L659" s="1491">
        <v>0</v>
      </c>
      <c r="M659" s="1492"/>
    </row>
    <row r="660" spans="1:13" ht="18" thickTop="1" thickBot="1" x14ac:dyDescent="0.35">
      <c r="A660" s="309" t="s">
        <v>299</v>
      </c>
      <c r="B660" s="1490">
        <v>16</v>
      </c>
      <c r="C660" s="1490">
        <v>16</v>
      </c>
      <c r="D660" s="1490" t="s">
        <v>449</v>
      </c>
      <c r="E660" s="309" t="s">
        <v>1048</v>
      </c>
      <c r="F660" s="399"/>
      <c r="G660" s="1491">
        <v>487.62925117556023</v>
      </c>
      <c r="H660" s="1491"/>
      <c r="I660" s="1542">
        <v>0</v>
      </c>
      <c r="J660" s="1491">
        <v>0</v>
      </c>
      <c r="K660" s="1542">
        <v>0</v>
      </c>
      <c r="L660" s="1491">
        <v>0</v>
      </c>
      <c r="M660" s="1492"/>
    </row>
    <row r="661" spans="1:13" ht="18" thickTop="1" thickBot="1" x14ac:dyDescent="0.35">
      <c r="A661" s="309" t="s">
        <v>299</v>
      </c>
      <c r="B661" s="1490">
        <v>16</v>
      </c>
      <c r="C661" s="1490">
        <v>16</v>
      </c>
      <c r="D661" s="1490" t="s">
        <v>449</v>
      </c>
      <c r="E661" s="309" t="s">
        <v>1049</v>
      </c>
      <c r="F661" s="399"/>
      <c r="G661" s="1491">
        <v>552.3413081253085</v>
      </c>
      <c r="H661" s="1491"/>
      <c r="I661" s="1542">
        <v>0</v>
      </c>
      <c r="J661" s="1491">
        <v>0</v>
      </c>
      <c r="K661" s="1542">
        <v>0</v>
      </c>
      <c r="L661" s="1491">
        <v>0</v>
      </c>
      <c r="M661" s="1492"/>
    </row>
    <row r="662" spans="1:13" ht="18" thickTop="1" thickBot="1" x14ac:dyDescent="0.35">
      <c r="A662" s="309" t="s">
        <v>299</v>
      </c>
      <c r="B662" s="1490">
        <v>16</v>
      </c>
      <c r="C662" s="1490">
        <v>16</v>
      </c>
      <c r="D662" s="1490" t="s">
        <v>449</v>
      </c>
      <c r="E662" s="309" t="s">
        <v>1050</v>
      </c>
      <c r="F662" s="399"/>
      <c r="G662" s="1491">
        <v>1416.1624252676108</v>
      </c>
      <c r="H662" s="1491"/>
      <c r="I662" s="1542">
        <v>0</v>
      </c>
      <c r="J662" s="1491">
        <v>0</v>
      </c>
      <c r="K662" s="1542">
        <v>0</v>
      </c>
      <c r="L662" s="1491">
        <v>0</v>
      </c>
      <c r="M662" s="1492"/>
    </row>
    <row r="663" spans="1:13" ht="18" thickTop="1" thickBot="1" x14ac:dyDescent="0.35">
      <c r="A663" s="309" t="s">
        <v>299</v>
      </c>
      <c r="B663" s="1490">
        <v>16</v>
      </c>
      <c r="C663" s="1490">
        <v>16</v>
      </c>
      <c r="D663" s="1490" t="s">
        <v>449</v>
      </c>
      <c r="E663" s="309" t="s">
        <v>1051</v>
      </c>
      <c r="F663" s="399"/>
      <c r="G663" s="1491">
        <v>337.61756674249347</v>
      </c>
      <c r="H663" s="1491"/>
      <c r="I663" s="1542">
        <v>0</v>
      </c>
      <c r="J663" s="1491">
        <v>0</v>
      </c>
      <c r="K663" s="1542">
        <v>0</v>
      </c>
      <c r="L663" s="1491">
        <v>0</v>
      </c>
      <c r="M663" s="1492"/>
    </row>
    <row r="664" spans="1:13" ht="18" thickTop="1" thickBot="1" x14ac:dyDescent="0.35">
      <c r="A664" s="309" t="s">
        <v>299</v>
      </c>
      <c r="B664" s="1490">
        <v>16</v>
      </c>
      <c r="C664" s="1490">
        <v>16</v>
      </c>
      <c r="D664" s="1490" t="s">
        <v>449</v>
      </c>
      <c r="E664" s="309" t="s">
        <v>1052</v>
      </c>
      <c r="F664" s="399"/>
      <c r="G664" s="1491">
        <v>2032.3625453378479</v>
      </c>
      <c r="H664" s="1491"/>
      <c r="I664" s="1542">
        <v>0</v>
      </c>
      <c r="J664" s="1491">
        <v>0</v>
      </c>
      <c r="K664" s="1542">
        <v>0</v>
      </c>
      <c r="L664" s="1491">
        <v>0</v>
      </c>
      <c r="M664" s="1492"/>
    </row>
    <row r="665" spans="1:13" ht="18" thickTop="1" thickBot="1" x14ac:dyDescent="0.35">
      <c r="A665" s="309" t="s">
        <v>299</v>
      </c>
      <c r="B665" s="1490">
        <v>16</v>
      </c>
      <c r="C665" s="1490">
        <v>16</v>
      </c>
      <c r="D665" s="1490" t="s">
        <v>449</v>
      </c>
      <c r="E665" s="309" t="s">
        <v>1053</v>
      </c>
      <c r="F665" s="399"/>
      <c r="G665" s="1491">
        <v>793.67633074826733</v>
      </c>
      <c r="H665" s="1491"/>
      <c r="I665" s="1542">
        <v>0</v>
      </c>
      <c r="J665" s="1491">
        <v>0</v>
      </c>
      <c r="K665" s="1542">
        <v>0</v>
      </c>
      <c r="L665" s="1491">
        <v>0</v>
      </c>
      <c r="M665" s="1492"/>
    </row>
    <row r="666" spans="1:13" ht="18" thickTop="1" thickBot="1" x14ac:dyDescent="0.35">
      <c r="A666" s="309" t="s">
        <v>299</v>
      </c>
      <c r="B666" s="1490">
        <v>16</v>
      </c>
      <c r="C666" s="1490">
        <v>16</v>
      </c>
      <c r="D666" s="1490" t="s">
        <v>449</v>
      </c>
      <c r="E666" s="309" t="s">
        <v>1054</v>
      </c>
      <c r="F666" s="399"/>
      <c r="G666" s="1491">
        <v>230.86327732349272</v>
      </c>
      <c r="H666" s="1491"/>
      <c r="I666" s="1542">
        <v>0</v>
      </c>
      <c r="J666" s="1491">
        <v>0</v>
      </c>
      <c r="K666" s="1542">
        <v>0</v>
      </c>
      <c r="L666" s="1491">
        <v>0</v>
      </c>
      <c r="M666" s="1492"/>
    </row>
    <row r="667" spans="1:13" ht="18" thickTop="1" thickBot="1" x14ac:dyDescent="0.35">
      <c r="A667" s="309" t="s">
        <v>299</v>
      </c>
      <c r="B667" s="1490">
        <v>16</v>
      </c>
      <c r="C667" s="1490">
        <v>16</v>
      </c>
      <c r="D667" s="1490" t="s">
        <v>449</v>
      </c>
      <c r="E667" s="309" t="s">
        <v>1055</v>
      </c>
      <c r="F667" s="399"/>
      <c r="G667" s="1491">
        <v>388.03686394304475</v>
      </c>
      <c r="H667" s="1491"/>
      <c r="I667" s="1542">
        <v>0</v>
      </c>
      <c r="J667" s="1491">
        <v>0</v>
      </c>
      <c r="K667" s="1542">
        <v>0</v>
      </c>
      <c r="L667" s="1491">
        <v>0</v>
      </c>
      <c r="M667" s="1492"/>
    </row>
    <row r="668" spans="1:13" ht="18" thickTop="1" thickBot="1" x14ac:dyDescent="0.35">
      <c r="A668" s="309" t="s">
        <v>299</v>
      </c>
      <c r="B668" s="1490">
        <v>16</v>
      </c>
      <c r="C668" s="1490">
        <v>16</v>
      </c>
      <c r="D668" s="1490" t="s">
        <v>449</v>
      </c>
      <c r="E668" s="309" t="s">
        <v>1056</v>
      </c>
      <c r="F668" s="399"/>
      <c r="G668" s="1491">
        <v>272.54088743762532</v>
      </c>
      <c r="H668" s="1491"/>
      <c r="I668" s="1542">
        <v>0</v>
      </c>
      <c r="J668" s="1491">
        <v>0</v>
      </c>
      <c r="K668" s="1542">
        <v>0</v>
      </c>
      <c r="L668" s="1491">
        <v>0</v>
      </c>
      <c r="M668" s="1492"/>
    </row>
    <row r="669" spans="1:13" ht="18" thickTop="1" thickBot="1" x14ac:dyDescent="0.35">
      <c r="A669" s="309" t="s">
        <v>299</v>
      </c>
      <c r="B669" s="1490">
        <v>16</v>
      </c>
      <c r="C669" s="1490">
        <v>16</v>
      </c>
      <c r="D669" s="1490" t="s">
        <v>452</v>
      </c>
      <c r="E669" s="309" t="s">
        <v>1057</v>
      </c>
      <c r="F669" s="399"/>
      <c r="G669" s="1491">
        <v>542.0632119617452</v>
      </c>
      <c r="H669" s="1491"/>
      <c r="I669" s="1542">
        <v>0</v>
      </c>
      <c r="J669" s="1491">
        <v>0</v>
      </c>
      <c r="K669" s="1542">
        <v>0</v>
      </c>
      <c r="L669" s="1491">
        <v>0</v>
      </c>
      <c r="M669" s="1492"/>
    </row>
    <row r="670" spans="1:13" ht="18" thickTop="1" thickBot="1" x14ac:dyDescent="0.35">
      <c r="A670" s="309" t="s">
        <v>299</v>
      </c>
      <c r="B670" s="1490">
        <v>16</v>
      </c>
      <c r="C670" s="1490">
        <v>16</v>
      </c>
      <c r="D670" s="1490" t="s">
        <v>449</v>
      </c>
      <c r="E670" s="309" t="s">
        <v>1058</v>
      </c>
      <c r="F670" s="399"/>
      <c r="G670" s="1491">
        <v>243.973421113303</v>
      </c>
      <c r="H670" s="1491"/>
      <c r="I670" s="1542">
        <v>0</v>
      </c>
      <c r="J670" s="1491">
        <v>0</v>
      </c>
      <c r="K670" s="1542">
        <v>0</v>
      </c>
      <c r="L670" s="1491">
        <v>0</v>
      </c>
      <c r="M670" s="1492"/>
    </row>
    <row r="671" spans="1:13" ht="18" thickTop="1" thickBot="1" x14ac:dyDescent="0.35">
      <c r="A671" s="309" t="s">
        <v>299</v>
      </c>
      <c r="B671" s="1490">
        <v>16</v>
      </c>
      <c r="C671" s="1490">
        <v>16</v>
      </c>
      <c r="D671" s="1490" t="s">
        <v>449</v>
      </c>
      <c r="E671" s="309" t="s">
        <v>1059</v>
      </c>
      <c r="F671" s="399"/>
      <c r="G671" s="1491">
        <v>545.5398742660966</v>
      </c>
      <c r="H671" s="1491"/>
      <c r="I671" s="1542">
        <v>0</v>
      </c>
      <c r="J671" s="1491">
        <v>0</v>
      </c>
      <c r="K671" s="1542">
        <v>0</v>
      </c>
      <c r="L671" s="1491">
        <v>0</v>
      </c>
      <c r="M671" s="1492"/>
    </row>
    <row r="672" spans="1:13" ht="18" thickTop="1" thickBot="1" x14ac:dyDescent="0.35">
      <c r="A672" s="309" t="s">
        <v>299</v>
      </c>
      <c r="B672" s="1490">
        <v>16</v>
      </c>
      <c r="C672" s="1490">
        <v>16</v>
      </c>
      <c r="D672" s="1490" t="s">
        <v>449</v>
      </c>
      <c r="E672" s="309" t="s">
        <v>1060</v>
      </c>
      <c r="F672" s="399"/>
      <c r="G672" s="1491">
        <v>1252.7547345755336</v>
      </c>
      <c r="H672" s="1491"/>
      <c r="I672" s="1542">
        <v>0</v>
      </c>
      <c r="J672" s="1491">
        <v>0</v>
      </c>
      <c r="K672" s="1542">
        <v>0</v>
      </c>
      <c r="L672" s="1491">
        <v>0</v>
      </c>
      <c r="M672" s="1492"/>
    </row>
    <row r="673" spans="1:13" ht="18" thickTop="1" thickBot="1" x14ac:dyDescent="0.35">
      <c r="A673" s="309" t="s">
        <v>299</v>
      </c>
      <c r="B673" s="1490">
        <v>16</v>
      </c>
      <c r="C673" s="1490">
        <v>16</v>
      </c>
      <c r="D673" s="1490" t="s">
        <v>449</v>
      </c>
      <c r="E673" s="309" t="s">
        <v>1061</v>
      </c>
      <c r="F673" s="399"/>
      <c r="G673" s="1491">
        <v>594.60104992983702</v>
      </c>
      <c r="H673" s="1491"/>
      <c r="I673" s="1542">
        <v>0</v>
      </c>
      <c r="J673" s="1491">
        <v>0</v>
      </c>
      <c r="K673" s="1542">
        <v>0</v>
      </c>
      <c r="L673" s="1491">
        <v>0</v>
      </c>
      <c r="M673" s="1492"/>
    </row>
    <row r="674" spans="1:13" ht="18" thickTop="1" thickBot="1" x14ac:dyDescent="0.35">
      <c r="A674" s="309" t="s">
        <v>299</v>
      </c>
      <c r="B674" s="1490">
        <v>16</v>
      </c>
      <c r="C674" s="1490">
        <v>16</v>
      </c>
      <c r="D674" s="1490" t="s">
        <v>449</v>
      </c>
      <c r="E674" s="309" t="s">
        <v>1062</v>
      </c>
      <c r="F674" s="399"/>
      <c r="G674" s="1491">
        <v>455.52503914171569</v>
      </c>
      <c r="H674" s="1491"/>
      <c r="I674" s="1542">
        <v>0</v>
      </c>
      <c r="J674" s="1491">
        <v>0</v>
      </c>
      <c r="K674" s="1542">
        <v>0</v>
      </c>
      <c r="L674" s="1491">
        <v>0</v>
      </c>
      <c r="M674" s="1492"/>
    </row>
    <row r="675" spans="1:13" ht="18" thickTop="1" thickBot="1" x14ac:dyDescent="0.35">
      <c r="A675" s="309" t="s">
        <v>299</v>
      </c>
      <c r="B675" s="1490">
        <v>16</v>
      </c>
      <c r="C675" s="1490">
        <v>16</v>
      </c>
      <c r="D675" s="1490" t="s">
        <v>444</v>
      </c>
      <c r="E675" s="309" t="s">
        <v>1063</v>
      </c>
      <c r="F675" s="399"/>
      <c r="G675" s="1491">
        <v>24.345171974615241</v>
      </c>
      <c r="H675" s="1491"/>
      <c r="I675" s="1542">
        <v>0</v>
      </c>
      <c r="J675" s="1491">
        <v>0</v>
      </c>
      <c r="K675" s="1542">
        <v>0</v>
      </c>
      <c r="L675" s="1491">
        <v>0</v>
      </c>
      <c r="M675" s="1492"/>
    </row>
    <row r="676" spans="1:13" ht="18" thickTop="1" thickBot="1" x14ac:dyDescent="0.35">
      <c r="A676" s="309" t="s">
        <v>299</v>
      </c>
      <c r="B676" s="1490">
        <v>16</v>
      </c>
      <c r="C676" s="1490">
        <v>16</v>
      </c>
      <c r="D676" s="1490" t="s">
        <v>449</v>
      </c>
      <c r="E676" s="309" t="s">
        <v>1064</v>
      </c>
      <c r="F676" s="399"/>
      <c r="G676" s="1491">
        <v>334.62874741120049</v>
      </c>
      <c r="H676" s="1491"/>
      <c r="I676" s="1542">
        <v>0</v>
      </c>
      <c r="J676" s="1491">
        <v>0</v>
      </c>
      <c r="K676" s="1542">
        <v>0</v>
      </c>
      <c r="L676" s="1491">
        <v>0</v>
      </c>
      <c r="M676" s="1492"/>
    </row>
    <row r="677" spans="1:13" ht="18" thickTop="1" thickBot="1" x14ac:dyDescent="0.35">
      <c r="A677" s="309" t="s">
        <v>299</v>
      </c>
      <c r="B677" s="1490">
        <v>16</v>
      </c>
      <c r="C677" s="1490">
        <v>16</v>
      </c>
      <c r="D677" s="1490" t="s">
        <v>449</v>
      </c>
      <c r="E677" s="309" t="s">
        <v>1065</v>
      </c>
      <c r="F677" s="399"/>
      <c r="G677" s="1491">
        <v>351.54107418295968</v>
      </c>
      <c r="H677" s="1491"/>
      <c r="I677" s="1542">
        <v>0</v>
      </c>
      <c r="J677" s="1491">
        <v>0</v>
      </c>
      <c r="K677" s="1542">
        <v>0</v>
      </c>
      <c r="L677" s="1491">
        <v>0</v>
      </c>
      <c r="M677" s="1492"/>
    </row>
    <row r="678" spans="1:13" ht="18" thickTop="1" thickBot="1" x14ac:dyDescent="0.35">
      <c r="A678" s="309" t="s">
        <v>299</v>
      </c>
      <c r="B678" s="1490">
        <v>16</v>
      </c>
      <c r="C678" s="1490">
        <v>16</v>
      </c>
      <c r="D678" s="1490" t="s">
        <v>449</v>
      </c>
      <c r="E678" s="309" t="s">
        <v>1066</v>
      </c>
      <c r="F678" s="399"/>
      <c r="G678" s="1491">
        <v>328.27606798536749</v>
      </c>
      <c r="H678" s="1491"/>
      <c r="I678" s="1542">
        <v>0</v>
      </c>
      <c r="J678" s="1491">
        <v>0</v>
      </c>
      <c r="K678" s="1542">
        <v>0</v>
      </c>
      <c r="L678" s="1491">
        <v>0</v>
      </c>
      <c r="M678" s="1492"/>
    </row>
    <row r="679" spans="1:13" ht="18" thickTop="1" thickBot="1" x14ac:dyDescent="0.35">
      <c r="A679" s="309" t="s">
        <v>299</v>
      </c>
      <c r="B679" s="1490">
        <v>16</v>
      </c>
      <c r="C679" s="1490">
        <v>16</v>
      </c>
      <c r="D679" s="1490" t="s">
        <v>449</v>
      </c>
      <c r="E679" s="309" t="s">
        <v>1067</v>
      </c>
      <c r="F679" s="399"/>
      <c r="G679" s="1491">
        <v>221.62472956724943</v>
      </c>
      <c r="H679" s="1491"/>
      <c r="I679" s="1542">
        <v>0</v>
      </c>
      <c r="J679" s="1491">
        <v>0</v>
      </c>
      <c r="K679" s="1542">
        <v>0</v>
      </c>
      <c r="L679" s="1491">
        <v>0</v>
      </c>
      <c r="M679" s="1492"/>
    </row>
    <row r="680" spans="1:13" ht="18" thickTop="1" thickBot="1" x14ac:dyDescent="0.35">
      <c r="A680" s="309" t="s">
        <v>299</v>
      </c>
      <c r="B680" s="1490">
        <v>16</v>
      </c>
      <c r="C680" s="1490">
        <v>16</v>
      </c>
      <c r="D680" s="1490" t="s">
        <v>449</v>
      </c>
      <c r="E680" s="309" t="s">
        <v>1068</v>
      </c>
      <c r="F680" s="399"/>
      <c r="G680" s="1491">
        <v>363.64944817329905</v>
      </c>
      <c r="H680" s="1491"/>
      <c r="I680" s="1542">
        <v>0</v>
      </c>
      <c r="J680" s="1491">
        <v>0</v>
      </c>
      <c r="K680" s="1542">
        <v>0</v>
      </c>
      <c r="L680" s="1491">
        <v>0</v>
      </c>
      <c r="M680" s="1492"/>
    </row>
    <row r="681" spans="1:13" ht="18" thickTop="1" thickBot="1" x14ac:dyDescent="0.35">
      <c r="A681" s="309" t="s">
        <v>299</v>
      </c>
      <c r="B681" s="1490">
        <v>16</v>
      </c>
      <c r="C681" s="1490">
        <v>16</v>
      </c>
      <c r="D681" s="1490" t="s">
        <v>449</v>
      </c>
      <c r="E681" s="309" t="s">
        <v>1069</v>
      </c>
      <c r="F681" s="399"/>
      <c r="G681" s="1491">
        <v>316.17398731807526</v>
      </c>
      <c r="H681" s="1491"/>
      <c r="I681" s="1542">
        <v>0</v>
      </c>
      <c r="J681" s="1491">
        <v>0</v>
      </c>
      <c r="K681" s="1542">
        <v>0</v>
      </c>
      <c r="L681" s="1491">
        <v>0</v>
      </c>
      <c r="M681" s="1492"/>
    </row>
    <row r="682" spans="1:13" ht="18" thickTop="1" thickBot="1" x14ac:dyDescent="0.35">
      <c r="A682" s="309" t="s">
        <v>299</v>
      </c>
      <c r="B682" s="1490">
        <v>16</v>
      </c>
      <c r="C682" s="1490">
        <v>16</v>
      </c>
      <c r="D682" s="1490" t="s">
        <v>447</v>
      </c>
      <c r="E682" s="309" t="s">
        <v>1070</v>
      </c>
      <c r="F682" s="399"/>
      <c r="G682" s="1491">
        <v>231.66235440973199</v>
      </c>
      <c r="H682" s="1491"/>
      <c r="I682" s="1542">
        <v>0</v>
      </c>
      <c r="J682" s="1491">
        <v>0</v>
      </c>
      <c r="K682" s="1542">
        <v>0</v>
      </c>
      <c r="L682" s="1491">
        <v>0</v>
      </c>
      <c r="M682" s="1492"/>
    </row>
    <row r="683" spans="1:13" ht="18" thickTop="1" thickBot="1" x14ac:dyDescent="0.35">
      <c r="A683" s="309" t="s">
        <v>299</v>
      </c>
      <c r="B683" s="1490">
        <v>16</v>
      </c>
      <c r="C683" s="1490">
        <v>16</v>
      </c>
      <c r="D683" s="1490" t="s">
        <v>447</v>
      </c>
      <c r="E683" s="309" t="s">
        <v>1071</v>
      </c>
      <c r="F683" s="399"/>
      <c r="G683" s="1491">
        <v>286.17711688041453</v>
      </c>
      <c r="H683" s="1491"/>
      <c r="I683" s="1542">
        <v>0</v>
      </c>
      <c r="J683" s="1491">
        <v>0</v>
      </c>
      <c r="K683" s="1542">
        <v>0</v>
      </c>
      <c r="L683" s="1491">
        <v>0</v>
      </c>
      <c r="M683" s="1492"/>
    </row>
    <row r="684" spans="1:13" ht="18" thickTop="1" thickBot="1" x14ac:dyDescent="0.35">
      <c r="A684" s="309" t="s">
        <v>299</v>
      </c>
      <c r="B684" s="1490">
        <v>16</v>
      </c>
      <c r="C684" s="1490">
        <v>16</v>
      </c>
      <c r="D684" s="1490" t="s">
        <v>447</v>
      </c>
      <c r="E684" s="309" t="s">
        <v>1072</v>
      </c>
      <c r="F684" s="399"/>
      <c r="G684" s="1491">
        <v>119.67919367523577</v>
      </c>
      <c r="H684" s="1491"/>
      <c r="I684" s="1542">
        <v>0</v>
      </c>
      <c r="J684" s="1491">
        <v>0</v>
      </c>
      <c r="K684" s="1542">
        <v>0</v>
      </c>
      <c r="L684" s="1491">
        <v>0</v>
      </c>
      <c r="M684" s="1492"/>
    </row>
    <row r="685" spans="1:13" ht="18" thickTop="1" thickBot="1" x14ac:dyDescent="0.35">
      <c r="A685" s="309" t="s">
        <v>299</v>
      </c>
      <c r="B685" s="1490">
        <v>16</v>
      </c>
      <c r="C685" s="1490">
        <v>16</v>
      </c>
      <c r="D685" s="1490" t="s">
        <v>449</v>
      </c>
      <c r="E685" s="309" t="s">
        <v>1073</v>
      </c>
      <c r="F685" s="399"/>
      <c r="G685" s="1491">
        <v>124.08025247884862</v>
      </c>
      <c r="H685" s="1491"/>
      <c r="I685" s="1542">
        <v>0</v>
      </c>
      <c r="J685" s="1491">
        <v>0</v>
      </c>
      <c r="K685" s="1542">
        <v>0</v>
      </c>
      <c r="L685" s="1491">
        <v>0</v>
      </c>
      <c r="M685" s="1492"/>
    </row>
    <row r="686" spans="1:13" ht="18" thickTop="1" thickBot="1" x14ac:dyDescent="0.35">
      <c r="A686" s="309" t="s">
        <v>299</v>
      </c>
      <c r="B686" s="1490">
        <v>16</v>
      </c>
      <c r="C686" s="1490">
        <v>16</v>
      </c>
      <c r="D686" s="1490" t="s">
        <v>449</v>
      </c>
      <c r="E686" s="309" t="s">
        <v>1074</v>
      </c>
      <c r="F686" s="399"/>
      <c r="G686" s="1491">
        <v>227.90899392361388</v>
      </c>
      <c r="H686" s="1491"/>
      <c r="I686" s="1542">
        <v>0</v>
      </c>
      <c r="J686" s="1491">
        <v>0</v>
      </c>
      <c r="K686" s="1542">
        <v>0</v>
      </c>
      <c r="L686" s="1491">
        <v>0</v>
      </c>
      <c r="M686" s="1492"/>
    </row>
    <row r="687" spans="1:13" ht="18" thickTop="1" thickBot="1" x14ac:dyDescent="0.35">
      <c r="A687" s="309" t="s">
        <v>299</v>
      </c>
      <c r="B687" s="1490">
        <v>16</v>
      </c>
      <c r="C687" s="1490">
        <v>16</v>
      </c>
      <c r="D687" s="1490" t="s">
        <v>449</v>
      </c>
      <c r="E687" s="309" t="s">
        <v>1075</v>
      </c>
      <c r="F687" s="399"/>
      <c r="G687" s="1491">
        <v>448.64082146301558</v>
      </c>
      <c r="H687" s="1491"/>
      <c r="I687" s="1542">
        <v>0</v>
      </c>
      <c r="J687" s="1491">
        <v>0</v>
      </c>
      <c r="K687" s="1542">
        <v>0</v>
      </c>
      <c r="L687" s="1491">
        <v>0</v>
      </c>
      <c r="M687" s="1492"/>
    </row>
    <row r="688" spans="1:13" ht="18" thickTop="1" thickBot="1" x14ac:dyDescent="0.35">
      <c r="A688" s="309" t="s">
        <v>299</v>
      </c>
      <c r="B688" s="1490">
        <v>16</v>
      </c>
      <c r="C688" s="1490">
        <v>16</v>
      </c>
      <c r="D688" s="1490" t="s">
        <v>449</v>
      </c>
      <c r="E688" s="309" t="s">
        <v>1076</v>
      </c>
      <c r="F688" s="399"/>
      <c r="G688" s="1491">
        <v>451.10253690912157</v>
      </c>
      <c r="H688" s="1491"/>
      <c r="I688" s="1542">
        <v>0</v>
      </c>
      <c r="J688" s="1491">
        <v>0</v>
      </c>
      <c r="K688" s="1542">
        <v>0</v>
      </c>
      <c r="L688" s="1491">
        <v>0</v>
      </c>
      <c r="M688" s="1492"/>
    </row>
    <row r="689" spans="1:13" ht="18" thickTop="1" thickBot="1" x14ac:dyDescent="0.35">
      <c r="A689" s="309" t="s">
        <v>299</v>
      </c>
      <c r="B689" s="1490">
        <v>16</v>
      </c>
      <c r="C689" s="1490">
        <v>16</v>
      </c>
      <c r="D689" s="1490" t="s">
        <v>449</v>
      </c>
      <c r="E689" s="309" t="s">
        <v>1077</v>
      </c>
      <c r="F689" s="309"/>
      <c r="G689" s="1491">
        <v>840.15819581420419</v>
      </c>
      <c r="H689" s="1491"/>
      <c r="I689" s="1542">
        <v>0</v>
      </c>
      <c r="J689" s="1491">
        <v>0</v>
      </c>
      <c r="K689" s="1542">
        <v>0</v>
      </c>
      <c r="L689" s="1491">
        <v>0</v>
      </c>
      <c r="M689" s="1492"/>
    </row>
    <row r="690" spans="1:13" ht="18" thickTop="1" thickBot="1" x14ac:dyDescent="0.35">
      <c r="A690" s="309" t="s">
        <v>299</v>
      </c>
      <c r="B690" s="1490">
        <v>16</v>
      </c>
      <c r="C690" s="1490">
        <v>16</v>
      </c>
      <c r="D690" s="1490" t="s">
        <v>449</v>
      </c>
      <c r="E690" s="309" t="s">
        <v>1078</v>
      </c>
      <c r="F690" s="309"/>
      <c r="G690" s="1491">
        <v>539.60121627458625</v>
      </c>
      <c r="H690" s="1491"/>
      <c r="I690" s="1542">
        <v>0</v>
      </c>
      <c r="J690" s="1491">
        <v>0</v>
      </c>
      <c r="K690" s="1542">
        <v>0</v>
      </c>
      <c r="L690" s="1491">
        <v>0</v>
      </c>
      <c r="M690" s="1492"/>
    </row>
    <row r="691" spans="1:13" ht="18" thickTop="1" thickBot="1" x14ac:dyDescent="0.35">
      <c r="A691" s="309" t="s">
        <v>299</v>
      </c>
      <c r="B691" s="1490">
        <v>16</v>
      </c>
      <c r="C691" s="1490">
        <v>16</v>
      </c>
      <c r="D691" s="1490" t="s">
        <v>449</v>
      </c>
      <c r="E691" s="309" t="s">
        <v>1079</v>
      </c>
      <c r="F691" s="309"/>
      <c r="G691" s="1491">
        <v>189.69098657555662</v>
      </c>
      <c r="H691" s="1491"/>
      <c r="I691" s="1542">
        <v>0</v>
      </c>
      <c r="J691" s="1491">
        <v>0</v>
      </c>
      <c r="K691" s="1542">
        <v>0</v>
      </c>
      <c r="L691" s="1491">
        <v>0</v>
      </c>
      <c r="M691" s="1492"/>
    </row>
    <row r="692" spans="1:13" ht="18" thickTop="1" thickBot="1" x14ac:dyDescent="0.35">
      <c r="A692" s="309" t="s">
        <v>299</v>
      </c>
      <c r="B692" s="1490">
        <v>16</v>
      </c>
      <c r="C692" s="1490">
        <v>16</v>
      </c>
      <c r="D692" s="1490" t="s">
        <v>449</v>
      </c>
      <c r="E692" s="309" t="s">
        <v>1080</v>
      </c>
      <c r="F692" s="309"/>
      <c r="G692" s="1491">
        <v>425.55710959370623</v>
      </c>
      <c r="H692" s="1491"/>
      <c r="I692" s="1542">
        <v>0</v>
      </c>
      <c r="J692" s="1491">
        <v>0</v>
      </c>
      <c r="K692" s="1542">
        <v>0</v>
      </c>
      <c r="L692" s="1491">
        <v>0</v>
      </c>
      <c r="M692" s="1492"/>
    </row>
    <row r="693" spans="1:13" ht="18" thickTop="1" thickBot="1" x14ac:dyDescent="0.35">
      <c r="A693" s="309" t="s">
        <v>299</v>
      </c>
      <c r="B693" s="1490">
        <v>16</v>
      </c>
      <c r="C693" s="1490">
        <v>16</v>
      </c>
      <c r="D693" s="1490" t="s">
        <v>449</v>
      </c>
      <c r="E693" s="309" t="s">
        <v>1081</v>
      </c>
      <c r="F693" s="309"/>
      <c r="G693" s="1491">
        <v>857.43412601740988</v>
      </c>
      <c r="H693" s="1491"/>
      <c r="I693" s="1542">
        <v>0</v>
      </c>
      <c r="J693" s="1491">
        <v>0</v>
      </c>
      <c r="K693" s="1542">
        <v>0</v>
      </c>
      <c r="L693" s="1491">
        <v>0</v>
      </c>
      <c r="M693" s="1492"/>
    </row>
    <row r="694" spans="1:13" ht="18" thickTop="1" thickBot="1" x14ac:dyDescent="0.35">
      <c r="A694" s="309" t="s">
        <v>299</v>
      </c>
      <c r="B694" s="1490">
        <v>16</v>
      </c>
      <c r="C694" s="1490">
        <v>16</v>
      </c>
      <c r="D694" s="1490" t="s">
        <v>449</v>
      </c>
      <c r="E694" s="309" t="s">
        <v>1082</v>
      </c>
      <c r="F694" s="309"/>
      <c r="G694" s="1491">
        <v>629.53598740928214</v>
      </c>
      <c r="H694" s="1491"/>
      <c r="I694" s="1542">
        <v>0</v>
      </c>
      <c r="J694" s="1491">
        <v>0</v>
      </c>
      <c r="K694" s="1542">
        <v>0</v>
      </c>
      <c r="L694" s="1491">
        <v>0</v>
      </c>
      <c r="M694" s="1492"/>
    </row>
    <row r="695" spans="1:13" ht="18" thickTop="1" thickBot="1" x14ac:dyDescent="0.35">
      <c r="A695" s="309" t="s">
        <v>299</v>
      </c>
      <c r="B695" s="1490">
        <v>16</v>
      </c>
      <c r="C695" s="1490">
        <v>16</v>
      </c>
      <c r="D695" s="1490" t="s">
        <v>449</v>
      </c>
      <c r="E695" s="309" t="s">
        <v>1083</v>
      </c>
      <c r="F695" s="309"/>
      <c r="G695" s="1491">
        <v>375.86921911817325</v>
      </c>
      <c r="H695" s="1491"/>
      <c r="I695" s="1542">
        <v>0</v>
      </c>
      <c r="J695" s="1491">
        <v>0</v>
      </c>
      <c r="K695" s="1542">
        <v>0</v>
      </c>
      <c r="L695" s="1491">
        <v>0</v>
      </c>
      <c r="M695" s="1492"/>
    </row>
    <row r="696" spans="1:13" ht="18" thickTop="1" thickBot="1" x14ac:dyDescent="0.35">
      <c r="A696" s="309" t="s">
        <v>299</v>
      </c>
      <c r="B696" s="1490">
        <v>16</v>
      </c>
      <c r="C696" s="1490">
        <v>16</v>
      </c>
      <c r="D696" s="1490" t="s">
        <v>449</v>
      </c>
      <c r="E696" s="309" t="s">
        <v>1084</v>
      </c>
      <c r="F696" s="309"/>
      <c r="G696" s="1491">
        <v>341.6282788008653</v>
      </c>
      <c r="H696" s="1491"/>
      <c r="I696" s="1542">
        <v>0</v>
      </c>
      <c r="J696" s="1491">
        <v>0</v>
      </c>
      <c r="K696" s="1542">
        <v>0</v>
      </c>
      <c r="L696" s="1491">
        <v>0</v>
      </c>
      <c r="M696" s="1492"/>
    </row>
    <row r="697" spans="1:13" ht="18" thickTop="1" thickBot="1" x14ac:dyDescent="0.35">
      <c r="A697" s="309" t="s">
        <v>299</v>
      </c>
      <c r="B697" s="1490">
        <v>16</v>
      </c>
      <c r="C697" s="1490">
        <v>16</v>
      </c>
      <c r="D697" s="1490" t="s">
        <v>449</v>
      </c>
      <c r="E697" s="309" t="s">
        <v>1085</v>
      </c>
      <c r="F697" s="309"/>
      <c r="G697" s="1491">
        <v>410.50837120464831</v>
      </c>
      <c r="H697" s="1491"/>
      <c r="I697" s="1542">
        <v>0</v>
      </c>
      <c r="J697" s="1491">
        <v>0</v>
      </c>
      <c r="K697" s="1542">
        <v>0</v>
      </c>
      <c r="L697" s="1491">
        <v>0</v>
      </c>
      <c r="M697" s="1492"/>
    </row>
    <row r="698" spans="1:13" ht="18" thickTop="1" thickBot="1" x14ac:dyDescent="0.35">
      <c r="A698" s="309" t="s">
        <v>299</v>
      </c>
      <c r="B698" s="1490">
        <v>16</v>
      </c>
      <c r="C698" s="1490">
        <v>16</v>
      </c>
      <c r="D698" s="1490" t="s">
        <v>449</v>
      </c>
      <c r="E698" s="309" t="s">
        <v>1086</v>
      </c>
      <c r="F698" s="309"/>
      <c r="G698" s="1491">
        <v>332.97669597945963</v>
      </c>
      <c r="H698" s="1491"/>
      <c r="I698" s="1542">
        <v>0</v>
      </c>
      <c r="J698" s="1491">
        <v>0</v>
      </c>
      <c r="K698" s="1542">
        <v>0</v>
      </c>
      <c r="L698" s="1491">
        <v>0</v>
      </c>
      <c r="M698" s="1492"/>
    </row>
    <row r="699" spans="1:13" ht="18" thickTop="1" thickBot="1" x14ac:dyDescent="0.35">
      <c r="A699" s="309" t="s">
        <v>299</v>
      </c>
      <c r="B699" s="1490">
        <v>16</v>
      </c>
      <c r="C699" s="1490">
        <v>16</v>
      </c>
      <c r="D699" s="1490" t="s">
        <v>449</v>
      </c>
      <c r="E699" s="309" t="s">
        <v>1087</v>
      </c>
      <c r="F699" s="309"/>
      <c r="G699" s="1491">
        <v>442.77598293584475</v>
      </c>
      <c r="H699" s="1491"/>
      <c r="I699" s="1542">
        <v>0</v>
      </c>
      <c r="J699" s="1491">
        <v>0</v>
      </c>
      <c r="K699" s="1542">
        <v>0</v>
      </c>
      <c r="L699" s="1491">
        <v>0</v>
      </c>
      <c r="M699" s="1492"/>
    </row>
    <row r="700" spans="1:13" ht="18" thickTop="1" thickBot="1" x14ac:dyDescent="0.35">
      <c r="A700" s="309" t="s">
        <v>299</v>
      </c>
      <c r="B700" s="1490">
        <v>16</v>
      </c>
      <c r="C700" s="1490">
        <v>16</v>
      </c>
      <c r="D700" s="1490" t="s">
        <v>449</v>
      </c>
      <c r="E700" s="309" t="s">
        <v>1088</v>
      </c>
      <c r="F700" s="309"/>
      <c r="G700" s="1491">
        <v>878.73676256540762</v>
      </c>
      <c r="H700" s="1491"/>
      <c r="I700" s="1542">
        <v>0</v>
      </c>
      <c r="J700" s="1491">
        <v>0</v>
      </c>
      <c r="K700" s="1542">
        <v>0</v>
      </c>
      <c r="L700" s="1491">
        <v>0</v>
      </c>
      <c r="M700" s="1492"/>
    </row>
    <row r="701" spans="1:13" ht="18" thickTop="1" thickBot="1" x14ac:dyDescent="0.35">
      <c r="A701" s="309" t="s">
        <v>299</v>
      </c>
      <c r="B701" s="1490">
        <v>16</v>
      </c>
      <c r="C701" s="1490">
        <v>16</v>
      </c>
      <c r="D701" s="1490" t="s">
        <v>449</v>
      </c>
      <c r="E701" s="309" t="s">
        <v>1089</v>
      </c>
      <c r="F701" s="309"/>
      <c r="G701" s="1491">
        <v>296.38002003298976</v>
      </c>
      <c r="H701" s="1491"/>
      <c r="I701" s="1542">
        <v>0</v>
      </c>
      <c r="J701" s="1491">
        <v>0</v>
      </c>
      <c r="K701" s="1542">
        <v>0</v>
      </c>
      <c r="L701" s="1491">
        <v>0</v>
      </c>
      <c r="M701" s="1492"/>
    </row>
    <row r="702" spans="1:13" ht="18" thickTop="1" thickBot="1" x14ac:dyDescent="0.35">
      <c r="A702" s="309" t="s">
        <v>299</v>
      </c>
      <c r="B702" s="1490">
        <v>16</v>
      </c>
      <c r="C702" s="1490">
        <v>16</v>
      </c>
      <c r="D702" s="1490" t="s">
        <v>449</v>
      </c>
      <c r="E702" s="309" t="s">
        <v>1090</v>
      </c>
      <c r="F702" s="309"/>
      <c r="G702" s="1491">
        <v>834.77619484076297</v>
      </c>
      <c r="H702" s="1491"/>
      <c r="I702" s="1542"/>
      <c r="J702" s="1491"/>
      <c r="K702" s="1542"/>
      <c r="L702" s="1491"/>
      <c r="M702" s="1492"/>
    </row>
    <row r="703" spans="1:13" ht="18" thickTop="1" thickBot="1" x14ac:dyDescent="0.35">
      <c r="A703" s="309" t="s">
        <v>299</v>
      </c>
      <c r="B703" s="1490">
        <v>16</v>
      </c>
      <c r="C703" s="1490">
        <v>16</v>
      </c>
      <c r="D703" s="1490" t="s">
        <v>449</v>
      </c>
      <c r="E703" s="309" t="s">
        <v>1091</v>
      </c>
      <c r="F703" s="309"/>
      <c r="G703" s="1491">
        <v>318.72060641905802</v>
      </c>
      <c r="H703" s="1491"/>
      <c r="I703" s="1542">
        <v>0</v>
      </c>
      <c r="J703" s="1491">
        <v>0</v>
      </c>
      <c r="K703" s="1542">
        <v>0</v>
      </c>
      <c r="L703" s="1491">
        <v>0</v>
      </c>
      <c r="M703" s="1492"/>
    </row>
    <row r="704" spans="1:13" ht="18" thickTop="1" thickBot="1" x14ac:dyDescent="0.35">
      <c r="A704" s="309" t="s">
        <v>299</v>
      </c>
      <c r="B704" s="1490">
        <v>16</v>
      </c>
      <c r="C704" s="1490">
        <v>16</v>
      </c>
      <c r="D704" s="1490" t="s">
        <v>449</v>
      </c>
      <c r="E704" s="309" t="s">
        <v>1092</v>
      </c>
      <c r="F704" s="309"/>
      <c r="G704" s="1491">
        <v>81.822057433053786</v>
      </c>
      <c r="H704" s="1491"/>
      <c r="I704" s="1542">
        <v>0</v>
      </c>
      <c r="J704" s="1491">
        <v>0</v>
      </c>
      <c r="K704" s="1542">
        <v>0</v>
      </c>
      <c r="L704" s="1491">
        <v>0</v>
      </c>
      <c r="M704" s="1492"/>
    </row>
    <row r="705" spans="1:13" ht="18" thickTop="1" thickBot="1" x14ac:dyDescent="0.35">
      <c r="A705" s="309" t="s">
        <v>299</v>
      </c>
      <c r="B705" s="1490">
        <v>16</v>
      </c>
      <c r="C705" s="1490">
        <v>16</v>
      </c>
      <c r="D705" s="1490" t="s">
        <v>441</v>
      </c>
      <c r="E705" s="309" t="s">
        <v>1093</v>
      </c>
      <c r="F705" s="309"/>
      <c r="G705" s="1491">
        <v>474.84931422321807</v>
      </c>
      <c r="H705" s="1491"/>
      <c r="I705" s="1542"/>
      <c r="J705" s="1491"/>
      <c r="K705" s="1542"/>
      <c r="L705" s="1491"/>
      <c r="M705" s="1492"/>
    </row>
    <row r="706" spans="1:13" ht="18" thickTop="1" thickBot="1" x14ac:dyDescent="0.35">
      <c r="A706" s="309" t="s">
        <v>299</v>
      </c>
      <c r="B706" s="1490">
        <v>16</v>
      </c>
      <c r="C706" s="1490">
        <v>16</v>
      </c>
      <c r="D706" s="1490" t="s">
        <v>449</v>
      </c>
      <c r="E706" s="309" t="s">
        <v>1094</v>
      </c>
      <c r="F706" s="399"/>
      <c r="G706" s="1491">
        <v>526.96817581463336</v>
      </c>
      <c r="H706" s="1491"/>
      <c r="I706" s="1542">
        <v>0</v>
      </c>
      <c r="J706" s="1491">
        <v>0</v>
      </c>
      <c r="K706" s="1542">
        <v>0</v>
      </c>
      <c r="L706" s="1491">
        <v>0</v>
      </c>
      <c r="M706" s="1492"/>
    </row>
    <row r="707" spans="1:13" ht="18" thickTop="1" thickBot="1" x14ac:dyDescent="0.35">
      <c r="A707" s="309" t="s">
        <v>299</v>
      </c>
      <c r="B707" s="1490">
        <v>16</v>
      </c>
      <c r="C707" s="1490">
        <v>16</v>
      </c>
      <c r="D707" s="1490" t="s">
        <v>449</v>
      </c>
      <c r="E707" s="309" t="s">
        <v>1095</v>
      </c>
      <c r="F707" s="399"/>
      <c r="G707" s="1491">
        <v>406.19642431440309</v>
      </c>
      <c r="H707" s="1491"/>
      <c r="I707" s="1542">
        <v>0</v>
      </c>
      <c r="J707" s="1491">
        <v>0</v>
      </c>
      <c r="K707" s="1542">
        <v>0</v>
      </c>
      <c r="L707" s="1491">
        <v>0</v>
      </c>
      <c r="M707" s="1492"/>
    </row>
    <row r="708" spans="1:13" ht="18" thickTop="1" thickBot="1" x14ac:dyDescent="0.35">
      <c r="A708" s="309" t="s">
        <v>299</v>
      </c>
      <c r="B708" s="1490">
        <v>16</v>
      </c>
      <c r="C708" s="1490">
        <v>16</v>
      </c>
      <c r="D708" s="1490" t="s">
        <v>441</v>
      </c>
      <c r="E708" s="309" t="s">
        <v>1096</v>
      </c>
      <c r="F708" s="399"/>
      <c r="G708" s="1491">
        <v>256.89063854612635</v>
      </c>
      <c r="H708" s="1491"/>
      <c r="I708" s="1542">
        <v>0</v>
      </c>
      <c r="J708" s="1491">
        <v>0</v>
      </c>
      <c r="K708" s="1542">
        <v>0</v>
      </c>
      <c r="L708" s="1491">
        <v>0</v>
      </c>
      <c r="M708" s="1492"/>
    </row>
    <row r="709" spans="1:13" ht="18" thickTop="1" thickBot="1" x14ac:dyDescent="0.35">
      <c r="A709" s="309" t="s">
        <v>299</v>
      </c>
      <c r="B709" s="1490">
        <v>16</v>
      </c>
      <c r="C709" s="1490">
        <v>16</v>
      </c>
      <c r="D709" s="1490" t="s">
        <v>458</v>
      </c>
      <c r="E709" s="309" t="s">
        <v>1097</v>
      </c>
      <c r="F709" s="399"/>
      <c r="G709" s="1491">
        <v>112.48999243432719</v>
      </c>
      <c r="H709" s="1491"/>
      <c r="I709" s="1542">
        <v>0</v>
      </c>
      <c r="J709" s="1491">
        <v>0</v>
      </c>
      <c r="K709" s="1542">
        <v>0</v>
      </c>
      <c r="L709" s="1491">
        <v>0</v>
      </c>
      <c r="M709" s="1492"/>
    </row>
    <row r="710" spans="1:13" ht="18" thickTop="1" thickBot="1" x14ac:dyDescent="0.35">
      <c r="A710" s="309" t="s">
        <v>299</v>
      </c>
      <c r="B710" s="1490">
        <v>16</v>
      </c>
      <c r="C710" s="1490">
        <v>16</v>
      </c>
      <c r="D710" s="1490" t="s">
        <v>449</v>
      </c>
      <c r="E710" s="309" t="s">
        <v>1098</v>
      </c>
      <c r="F710" s="399"/>
      <c r="G710" s="1491">
        <v>511.31049712729407</v>
      </c>
      <c r="H710" s="1491"/>
      <c r="I710" s="1542">
        <v>0</v>
      </c>
      <c r="J710" s="1491">
        <v>0</v>
      </c>
      <c r="K710" s="1542">
        <v>0</v>
      </c>
      <c r="L710" s="1491">
        <v>0</v>
      </c>
      <c r="M710" s="1492"/>
    </row>
    <row r="711" spans="1:13" ht="18" thickTop="1" thickBot="1" x14ac:dyDescent="0.35">
      <c r="A711" s="1550" t="s">
        <v>299</v>
      </c>
      <c r="B711" s="1551">
        <v>16</v>
      </c>
      <c r="C711" s="1551">
        <v>16</v>
      </c>
      <c r="D711" s="1551" t="s">
        <v>449</v>
      </c>
      <c r="E711" s="1550" t="s">
        <v>1099</v>
      </c>
      <c r="F711" s="1555"/>
      <c r="G711" s="1491">
        <v>574.84482766713779</v>
      </c>
      <c r="H711" s="1552"/>
      <c r="I711" s="1552">
        <v>0</v>
      </c>
      <c r="J711" s="1552">
        <v>0</v>
      </c>
      <c r="K711" s="1552">
        <v>0</v>
      </c>
      <c r="L711" s="1552">
        <f>G711</f>
        <v>574.84482766713779</v>
      </c>
      <c r="M711" s="1492"/>
    </row>
    <row r="712" spans="1:13" ht="18" thickTop="1" thickBot="1" x14ac:dyDescent="0.35">
      <c r="A712" s="309" t="s">
        <v>299</v>
      </c>
      <c r="B712" s="1490">
        <v>16</v>
      </c>
      <c r="C712" s="1490">
        <v>16</v>
      </c>
      <c r="D712" s="1490" t="s">
        <v>452</v>
      </c>
      <c r="E712" s="309" t="s">
        <v>1100</v>
      </c>
      <c r="F712" s="399"/>
      <c r="G712" s="1491">
        <v>2224.7273128863872</v>
      </c>
      <c r="H712" s="1491"/>
      <c r="I712" s="1542">
        <v>0</v>
      </c>
      <c r="J712" s="1491">
        <v>0</v>
      </c>
      <c r="K712" s="1542">
        <v>0</v>
      </c>
      <c r="L712" s="1491">
        <v>0</v>
      </c>
      <c r="M712" s="1492"/>
    </row>
    <row r="713" spans="1:13" ht="18" thickTop="1" thickBot="1" x14ac:dyDescent="0.35">
      <c r="A713" s="309" t="s">
        <v>299</v>
      </c>
      <c r="B713" s="1490">
        <v>16</v>
      </c>
      <c r="C713" s="1490">
        <v>16</v>
      </c>
      <c r="D713" s="1490" t="s">
        <v>449</v>
      </c>
      <c r="E713" s="309" t="s">
        <v>942</v>
      </c>
      <c r="F713" s="399"/>
      <c r="G713" s="1491">
        <v>127.04684672890362</v>
      </c>
      <c r="H713" s="1491"/>
      <c r="I713" s="1542">
        <v>0</v>
      </c>
      <c r="J713" s="1491">
        <v>0</v>
      </c>
      <c r="K713" s="1542">
        <v>0</v>
      </c>
      <c r="L713" s="1491">
        <v>0</v>
      </c>
      <c r="M713" s="1492"/>
    </row>
    <row r="714" spans="1:13" ht="18" thickTop="1" thickBot="1" x14ac:dyDescent="0.35">
      <c r="A714" s="309" t="s">
        <v>299</v>
      </c>
      <c r="B714" s="1490">
        <v>16</v>
      </c>
      <c r="C714" s="1490">
        <v>16</v>
      </c>
      <c r="D714" s="1490" t="s">
        <v>449</v>
      </c>
      <c r="E714" s="309" t="s">
        <v>1101</v>
      </c>
      <c r="F714" s="399"/>
      <c r="G714" s="1491">
        <v>343.46242883394262</v>
      </c>
      <c r="H714" s="1491"/>
      <c r="I714" s="1542">
        <v>0</v>
      </c>
      <c r="J714" s="1491">
        <v>0</v>
      </c>
      <c r="K714" s="1542">
        <v>0</v>
      </c>
      <c r="L714" s="1491">
        <v>0</v>
      </c>
      <c r="M714" s="1492"/>
    </row>
    <row r="715" spans="1:13" ht="18" thickTop="1" thickBot="1" x14ac:dyDescent="0.35">
      <c r="A715" s="309" t="s">
        <v>299</v>
      </c>
      <c r="B715" s="1490">
        <v>16</v>
      </c>
      <c r="C715" s="1490">
        <v>16</v>
      </c>
      <c r="D715" s="1490" t="s">
        <v>1102</v>
      </c>
      <c r="E715" s="309" t="s">
        <v>1103</v>
      </c>
      <c r="F715" s="399"/>
      <c r="G715" s="1491">
        <v>314.56616803964442</v>
      </c>
      <c r="H715" s="1491"/>
      <c r="I715" s="1542">
        <v>0</v>
      </c>
      <c r="J715" s="1491">
        <v>0</v>
      </c>
      <c r="K715" s="1542">
        <v>0</v>
      </c>
      <c r="L715" s="1491">
        <v>0</v>
      </c>
      <c r="M715" s="1492"/>
    </row>
    <row r="716" spans="1:13" ht="18" thickTop="1" thickBot="1" x14ac:dyDescent="0.35">
      <c r="A716" s="309" t="s">
        <v>299</v>
      </c>
      <c r="B716" s="1490">
        <v>16</v>
      </c>
      <c r="C716" s="1490">
        <v>16</v>
      </c>
      <c r="D716" s="1490" t="s">
        <v>449</v>
      </c>
      <c r="E716" s="309" t="s">
        <v>1104</v>
      </c>
      <c r="F716" s="399"/>
      <c r="G716" s="1491">
        <v>2002.5510967830692</v>
      </c>
      <c r="H716" s="1491"/>
      <c r="I716" s="1542">
        <v>0</v>
      </c>
      <c r="J716" s="1491">
        <v>0</v>
      </c>
      <c r="K716" s="1542">
        <v>0</v>
      </c>
      <c r="L716" s="1491">
        <v>0</v>
      </c>
      <c r="M716" s="1492"/>
    </row>
    <row r="717" spans="1:13" ht="18" thickTop="1" thickBot="1" x14ac:dyDescent="0.35">
      <c r="A717" s="309" t="s">
        <v>299</v>
      </c>
      <c r="B717" s="1490">
        <v>16</v>
      </c>
      <c r="C717" s="1490">
        <v>16</v>
      </c>
      <c r="D717" s="1490" t="s">
        <v>449</v>
      </c>
      <c r="E717" s="309" t="s">
        <v>1105</v>
      </c>
      <c r="F717" s="399"/>
      <c r="G717" s="1491">
        <v>1713.458397525483</v>
      </c>
      <c r="H717" s="1491"/>
      <c r="I717" s="1542">
        <v>0</v>
      </c>
      <c r="J717" s="1491">
        <v>0</v>
      </c>
      <c r="K717" s="1542">
        <v>0</v>
      </c>
      <c r="L717" s="1491">
        <v>0</v>
      </c>
      <c r="M717" s="1492"/>
    </row>
    <row r="718" spans="1:13" ht="18" thickTop="1" thickBot="1" x14ac:dyDescent="0.35">
      <c r="A718" s="309" t="s">
        <v>299</v>
      </c>
      <c r="B718" s="1490">
        <v>16</v>
      </c>
      <c r="C718" s="1490">
        <v>16</v>
      </c>
      <c r="D718" s="1490" t="s">
        <v>449</v>
      </c>
      <c r="E718" s="309" t="s">
        <v>1106</v>
      </c>
      <c r="F718" s="399"/>
      <c r="G718" s="1491">
        <v>379.96348242385875</v>
      </c>
      <c r="H718" s="1491"/>
      <c r="I718" s="1542">
        <v>0</v>
      </c>
      <c r="J718" s="1491">
        <v>0</v>
      </c>
      <c r="K718" s="1542">
        <v>0</v>
      </c>
      <c r="L718" s="1491">
        <v>0</v>
      </c>
      <c r="M718" s="1492"/>
    </row>
    <row r="719" spans="1:13" ht="18" thickTop="1" thickBot="1" x14ac:dyDescent="0.35">
      <c r="A719" s="309" t="s">
        <v>299</v>
      </c>
      <c r="B719" s="1490">
        <v>16</v>
      </c>
      <c r="C719" s="1490">
        <v>16</v>
      </c>
      <c r="D719" s="1490" t="s">
        <v>449</v>
      </c>
      <c r="E719" s="309" t="s">
        <v>1107</v>
      </c>
      <c r="F719" s="399"/>
      <c r="G719" s="1491">
        <v>1668.5429618038484</v>
      </c>
      <c r="H719" s="1491"/>
      <c r="I719" s="1542">
        <v>0</v>
      </c>
      <c r="J719" s="1491">
        <v>0</v>
      </c>
      <c r="K719" s="1542">
        <v>0</v>
      </c>
      <c r="L719" s="1491">
        <v>0</v>
      </c>
      <c r="M719" s="1492"/>
    </row>
    <row r="720" spans="1:13" ht="18" thickTop="1" thickBot="1" x14ac:dyDescent="0.35">
      <c r="A720" s="309" t="s">
        <v>299</v>
      </c>
      <c r="B720" s="1490">
        <v>16</v>
      </c>
      <c r="C720" s="1490">
        <v>16</v>
      </c>
      <c r="D720" s="1490" t="s">
        <v>449</v>
      </c>
      <c r="E720" s="309" t="s">
        <v>1108</v>
      </c>
      <c r="F720" s="399"/>
      <c r="G720" s="1491">
        <v>297.75462452470458</v>
      </c>
      <c r="H720" s="1491"/>
      <c r="I720" s="1542">
        <v>0</v>
      </c>
      <c r="J720" s="1491">
        <v>0</v>
      </c>
      <c r="K720" s="1542">
        <v>0</v>
      </c>
      <c r="L720" s="1491">
        <v>0</v>
      </c>
      <c r="M720" s="1492"/>
    </row>
    <row r="721" spans="1:13" ht="18" thickTop="1" thickBot="1" x14ac:dyDescent="0.35">
      <c r="A721" s="309" t="s">
        <v>299</v>
      </c>
      <c r="B721" s="1490">
        <v>16</v>
      </c>
      <c r="C721" s="1490">
        <v>16</v>
      </c>
      <c r="D721" s="1490" t="s">
        <v>449</v>
      </c>
      <c r="E721" s="309" t="s">
        <v>1109</v>
      </c>
      <c r="F721" s="399"/>
      <c r="G721" s="1491">
        <v>323.11237597755974</v>
      </c>
      <c r="H721" s="1491"/>
      <c r="I721" s="1542">
        <v>0</v>
      </c>
      <c r="J721" s="1491">
        <v>0</v>
      </c>
      <c r="K721" s="1542">
        <v>0</v>
      </c>
      <c r="L721" s="1491">
        <v>0</v>
      </c>
      <c r="M721" s="1492"/>
    </row>
    <row r="722" spans="1:13" ht="18" thickTop="1" thickBot="1" x14ac:dyDescent="0.35">
      <c r="A722" s="309" t="s">
        <v>299</v>
      </c>
      <c r="B722" s="1490">
        <v>16</v>
      </c>
      <c r="C722" s="1490">
        <v>16</v>
      </c>
      <c r="D722" s="1490" t="s">
        <v>449</v>
      </c>
      <c r="E722" s="309" t="s">
        <v>1110</v>
      </c>
      <c r="F722" s="399"/>
      <c r="G722" s="1491">
        <v>498.34941490685549</v>
      </c>
      <c r="H722" s="1491"/>
      <c r="I722" s="1542">
        <v>0</v>
      </c>
      <c r="J722" s="1491">
        <v>0</v>
      </c>
      <c r="K722" s="1542">
        <v>0</v>
      </c>
      <c r="L722" s="1491">
        <v>0</v>
      </c>
      <c r="M722" s="1492"/>
    </row>
    <row r="723" spans="1:13" ht="18" thickTop="1" thickBot="1" x14ac:dyDescent="0.35">
      <c r="A723" s="309" t="s">
        <v>299</v>
      </c>
      <c r="B723" s="1490">
        <v>16</v>
      </c>
      <c r="C723" s="1490">
        <v>16</v>
      </c>
      <c r="D723" s="1490" t="s">
        <v>449</v>
      </c>
      <c r="E723" s="309" t="s">
        <v>1111</v>
      </c>
      <c r="F723" s="399"/>
      <c r="G723" s="1491">
        <v>400.76169939972107</v>
      </c>
      <c r="H723" s="1491"/>
      <c r="I723" s="1542">
        <v>0</v>
      </c>
      <c r="J723" s="1491">
        <v>0</v>
      </c>
      <c r="K723" s="1542">
        <v>0</v>
      </c>
      <c r="L723" s="1491">
        <v>0</v>
      </c>
      <c r="M723" s="1492"/>
    </row>
    <row r="724" spans="1:13" ht="18" thickTop="1" thickBot="1" x14ac:dyDescent="0.35">
      <c r="A724" s="309" t="s">
        <v>299</v>
      </c>
      <c r="B724" s="1490">
        <v>16</v>
      </c>
      <c r="C724" s="1490">
        <v>16</v>
      </c>
      <c r="D724" s="1490" t="s">
        <v>449</v>
      </c>
      <c r="E724" s="309" t="s">
        <v>1112</v>
      </c>
      <c r="F724" s="399"/>
      <c r="G724" s="1491">
        <v>488.13020887672536</v>
      </c>
      <c r="H724" s="1491"/>
      <c r="I724" s="1542">
        <v>0</v>
      </c>
      <c r="J724" s="1491">
        <v>0</v>
      </c>
      <c r="K724" s="1542">
        <v>0</v>
      </c>
      <c r="L724" s="1491">
        <v>0</v>
      </c>
      <c r="M724" s="1492"/>
    </row>
    <row r="725" spans="1:13" ht="18" thickTop="1" thickBot="1" x14ac:dyDescent="0.35">
      <c r="A725" s="309" t="s">
        <v>299</v>
      </c>
      <c r="B725" s="1490">
        <v>16</v>
      </c>
      <c r="C725" s="1490">
        <v>16</v>
      </c>
      <c r="D725" s="1490" t="s">
        <v>452</v>
      </c>
      <c r="E725" s="309" t="s">
        <v>1113</v>
      </c>
      <c r="F725" s="399"/>
      <c r="G725" s="1491">
        <v>423.22801997927735</v>
      </c>
      <c r="H725" s="1491"/>
      <c r="I725" s="1542">
        <v>0</v>
      </c>
      <c r="J725" s="1491">
        <v>0</v>
      </c>
      <c r="K725" s="1542">
        <v>0</v>
      </c>
      <c r="L725" s="1491">
        <v>0</v>
      </c>
      <c r="M725" s="1492"/>
    </row>
    <row r="726" spans="1:13" ht="18" thickTop="1" thickBot="1" x14ac:dyDescent="0.35">
      <c r="A726" s="309" t="s">
        <v>299</v>
      </c>
      <c r="B726" s="1490">
        <v>16</v>
      </c>
      <c r="C726" s="1490">
        <v>16</v>
      </c>
      <c r="D726" s="1490" t="s">
        <v>449</v>
      </c>
      <c r="E726" s="309" t="s">
        <v>1114</v>
      </c>
      <c r="F726" s="399"/>
      <c r="G726" s="1491">
        <v>1325.8644827685694</v>
      </c>
      <c r="H726" s="1491"/>
      <c r="I726" s="1542">
        <v>0</v>
      </c>
      <c r="J726" s="1491">
        <v>0</v>
      </c>
      <c r="K726" s="1542">
        <v>0</v>
      </c>
      <c r="L726" s="1491">
        <v>0</v>
      </c>
      <c r="M726" s="1492"/>
    </row>
    <row r="727" spans="1:13" ht="18" thickTop="1" thickBot="1" x14ac:dyDescent="0.35">
      <c r="A727" s="309" t="s">
        <v>299</v>
      </c>
      <c r="B727" s="1490">
        <v>16</v>
      </c>
      <c r="C727" s="1490">
        <v>16</v>
      </c>
      <c r="D727" s="1490" t="s">
        <v>449</v>
      </c>
      <c r="E727" s="309" t="s">
        <v>1115</v>
      </c>
      <c r="F727" s="399"/>
      <c r="G727" s="1491">
        <v>483.47443654018224</v>
      </c>
      <c r="H727" s="1491"/>
      <c r="I727" s="1542">
        <v>0</v>
      </c>
      <c r="J727" s="1491">
        <v>0</v>
      </c>
      <c r="K727" s="1542">
        <v>0</v>
      </c>
      <c r="L727" s="1491">
        <v>0</v>
      </c>
      <c r="M727" s="1492"/>
    </row>
    <row r="728" spans="1:13" ht="18" thickTop="1" thickBot="1" x14ac:dyDescent="0.35">
      <c r="A728" s="309" t="s">
        <v>299</v>
      </c>
      <c r="B728" s="1490">
        <v>16</v>
      </c>
      <c r="C728" s="1490">
        <v>16</v>
      </c>
      <c r="D728" s="1490" t="s">
        <v>449</v>
      </c>
      <c r="E728" s="309" t="s">
        <v>1116</v>
      </c>
      <c r="F728" s="399"/>
      <c r="G728" s="1491">
        <v>439.86733230185604</v>
      </c>
      <c r="H728" s="1491"/>
      <c r="I728" s="1542">
        <v>0</v>
      </c>
      <c r="J728" s="1491">
        <v>0</v>
      </c>
      <c r="K728" s="1542">
        <v>0</v>
      </c>
      <c r="L728" s="1491">
        <v>0</v>
      </c>
      <c r="M728" s="1492"/>
    </row>
    <row r="729" spans="1:13" ht="18" thickTop="1" thickBot="1" x14ac:dyDescent="0.35">
      <c r="A729" s="309" t="s">
        <v>299</v>
      </c>
      <c r="B729" s="1490">
        <v>16</v>
      </c>
      <c r="C729" s="1490">
        <v>16</v>
      </c>
      <c r="D729" s="1490" t="s">
        <v>449</v>
      </c>
      <c r="E729" s="309" t="s">
        <v>1117</v>
      </c>
      <c r="F729" s="399"/>
      <c r="G729" s="1491">
        <v>2002.4847605549683</v>
      </c>
      <c r="H729" s="1491"/>
      <c r="I729" s="1542">
        <v>0</v>
      </c>
      <c r="J729" s="1491">
        <v>0</v>
      </c>
      <c r="K729" s="1542">
        <v>0</v>
      </c>
      <c r="L729" s="1491">
        <v>0</v>
      </c>
      <c r="M729" s="1492"/>
    </row>
    <row r="730" spans="1:13" ht="18" thickTop="1" thickBot="1" x14ac:dyDescent="0.35">
      <c r="A730" s="309" t="s">
        <v>299</v>
      </c>
      <c r="B730" s="1490">
        <v>16</v>
      </c>
      <c r="C730" s="1490">
        <v>16</v>
      </c>
      <c r="D730" s="1490" t="s">
        <v>449</v>
      </c>
      <c r="E730" s="309" t="s">
        <v>1118</v>
      </c>
      <c r="F730" s="399"/>
      <c r="G730" s="1491">
        <v>1221.5262363199138</v>
      </c>
      <c r="H730" s="1491"/>
      <c r="I730" s="1542">
        <v>0</v>
      </c>
      <c r="J730" s="1491">
        <v>0</v>
      </c>
      <c r="K730" s="1542">
        <v>0</v>
      </c>
      <c r="L730" s="1491">
        <v>0</v>
      </c>
      <c r="M730" s="1492"/>
    </row>
    <row r="731" spans="1:13" ht="18" thickTop="1" thickBot="1" x14ac:dyDescent="0.35">
      <c r="A731" s="1531" t="s">
        <v>299</v>
      </c>
      <c r="B731" s="1532">
        <v>16</v>
      </c>
      <c r="C731" s="1532">
        <v>16</v>
      </c>
      <c r="D731" s="1532" t="s">
        <v>449</v>
      </c>
      <c r="E731" s="1531" t="s">
        <v>1119</v>
      </c>
      <c r="F731" s="1531"/>
      <c r="G731" s="1491">
        <v>628.58401072551749</v>
      </c>
      <c r="H731" s="1491"/>
      <c r="I731" s="1491">
        <v>0</v>
      </c>
      <c r="J731" s="1491">
        <v>0</v>
      </c>
      <c r="K731" s="1491">
        <v>0</v>
      </c>
      <c r="L731" s="1491">
        <v>0</v>
      </c>
      <c r="M731" s="1492"/>
    </row>
    <row r="732" spans="1:13" ht="18" thickTop="1" thickBot="1" x14ac:dyDescent="0.35">
      <c r="A732" s="309" t="s">
        <v>299</v>
      </c>
      <c r="B732" s="1490">
        <v>16</v>
      </c>
      <c r="C732" s="1490">
        <v>16</v>
      </c>
      <c r="D732" s="1490" t="s">
        <v>452</v>
      </c>
      <c r="E732" s="309" t="s">
        <v>1120</v>
      </c>
      <c r="F732" s="399"/>
      <c r="G732" s="1491">
        <v>654.37456331935209</v>
      </c>
      <c r="H732" s="1491"/>
      <c r="I732" s="1542">
        <v>0</v>
      </c>
      <c r="J732" s="1491">
        <v>0</v>
      </c>
      <c r="K732" s="1542">
        <v>0</v>
      </c>
      <c r="L732" s="1491">
        <v>0</v>
      </c>
      <c r="M732" s="1492"/>
    </row>
    <row r="733" spans="1:13" ht="18" thickTop="1" thickBot="1" x14ac:dyDescent="0.35">
      <c r="A733" s="309" t="s">
        <v>299</v>
      </c>
      <c r="B733" s="1490">
        <v>16</v>
      </c>
      <c r="C733" s="1490">
        <v>16</v>
      </c>
      <c r="D733" s="1490" t="s">
        <v>449</v>
      </c>
      <c r="E733" s="309" t="s">
        <v>1121</v>
      </c>
      <c r="F733" s="399"/>
      <c r="G733" s="1491">
        <v>484.35739727103635</v>
      </c>
      <c r="H733" s="1491"/>
      <c r="I733" s="1542">
        <v>0</v>
      </c>
      <c r="J733" s="1491">
        <v>0</v>
      </c>
      <c r="K733" s="1542">
        <v>0</v>
      </c>
      <c r="L733" s="1491">
        <v>0</v>
      </c>
      <c r="M733" s="1492"/>
    </row>
    <row r="734" spans="1:13" ht="18" thickTop="1" thickBot="1" x14ac:dyDescent="0.35">
      <c r="A734" s="309" t="s">
        <v>299</v>
      </c>
      <c r="B734" s="1490">
        <v>16</v>
      </c>
      <c r="C734" s="1490">
        <v>16</v>
      </c>
      <c r="D734" s="1490" t="s">
        <v>449</v>
      </c>
      <c r="E734" s="309" t="s">
        <v>1122</v>
      </c>
      <c r="F734" s="399"/>
      <c r="G734" s="1491">
        <v>595.88550442104099</v>
      </c>
      <c r="H734" s="1491"/>
      <c r="I734" s="1542">
        <v>0</v>
      </c>
      <c r="J734" s="1491">
        <v>0</v>
      </c>
      <c r="K734" s="1542">
        <v>0</v>
      </c>
      <c r="L734" s="1491">
        <v>0</v>
      </c>
      <c r="M734" s="1492"/>
    </row>
    <row r="735" spans="1:13" ht="18" thickTop="1" thickBot="1" x14ac:dyDescent="0.35">
      <c r="A735" s="309" t="s">
        <v>299</v>
      </c>
      <c r="B735" s="1490">
        <v>16</v>
      </c>
      <c r="C735" s="1490">
        <v>16</v>
      </c>
      <c r="D735" s="1490" t="s">
        <v>449</v>
      </c>
      <c r="E735" s="309" t="s">
        <v>1123</v>
      </c>
      <c r="F735" s="399"/>
      <c r="G735" s="1491">
        <v>232.53442377011783</v>
      </c>
      <c r="H735" s="1491"/>
      <c r="I735" s="1542">
        <v>0</v>
      </c>
      <c r="J735" s="1491">
        <v>0</v>
      </c>
      <c r="K735" s="1542">
        <v>0</v>
      </c>
      <c r="L735" s="1491">
        <v>0</v>
      </c>
      <c r="M735" s="1492"/>
    </row>
    <row r="736" spans="1:13" ht="18" thickTop="1" thickBot="1" x14ac:dyDescent="0.35">
      <c r="A736" s="309" t="s">
        <v>299</v>
      </c>
      <c r="B736" s="1490">
        <v>16</v>
      </c>
      <c r="C736" s="1490">
        <v>16</v>
      </c>
      <c r="D736" s="1490" t="s">
        <v>449</v>
      </c>
      <c r="E736" s="309" t="s">
        <v>1124</v>
      </c>
      <c r="F736" s="399"/>
      <c r="G736" s="1491">
        <v>15.79903881374503</v>
      </c>
      <c r="H736" s="1491"/>
      <c r="I736" s="1542">
        <v>0</v>
      </c>
      <c r="J736" s="1491">
        <v>0</v>
      </c>
      <c r="K736" s="1542">
        <v>0</v>
      </c>
      <c r="L736" s="1491">
        <v>0</v>
      </c>
      <c r="M736" s="1492"/>
    </row>
    <row r="737" spans="1:21" ht="18" thickTop="1" thickBot="1" x14ac:dyDescent="0.35">
      <c r="A737" s="309" t="s">
        <v>299</v>
      </c>
      <c r="B737" s="1490">
        <v>16</v>
      </c>
      <c r="C737" s="1490">
        <v>16</v>
      </c>
      <c r="D737" s="1490" t="s">
        <v>449</v>
      </c>
      <c r="E737" s="309" t="s">
        <v>1125</v>
      </c>
      <c r="F737" s="399"/>
      <c r="G737" s="1491">
        <v>543.92815127029792</v>
      </c>
      <c r="H737" s="1491"/>
      <c r="I737" s="1542">
        <v>0</v>
      </c>
      <c r="J737" s="1491">
        <v>0</v>
      </c>
      <c r="K737" s="1542">
        <v>0</v>
      </c>
      <c r="L737" s="1491">
        <v>0</v>
      </c>
      <c r="M737" s="1492"/>
    </row>
    <row r="738" spans="1:21" ht="18" thickTop="1" thickBot="1" x14ac:dyDescent="0.35">
      <c r="A738" s="309" t="s">
        <v>299</v>
      </c>
      <c r="B738" s="1490">
        <v>16</v>
      </c>
      <c r="C738" s="1490">
        <v>16</v>
      </c>
      <c r="D738" s="1490" t="s">
        <v>455</v>
      </c>
      <c r="E738" s="309" t="s">
        <v>1126</v>
      </c>
      <c r="F738" s="399"/>
      <c r="G738" s="1491">
        <v>222.49154626003153</v>
      </c>
      <c r="H738" s="1491"/>
      <c r="I738" s="1542">
        <v>0</v>
      </c>
      <c r="J738" s="1491">
        <v>0</v>
      </c>
      <c r="K738" s="1542">
        <v>0</v>
      </c>
      <c r="L738" s="1491">
        <v>0</v>
      </c>
      <c r="M738" s="1492"/>
    </row>
    <row r="739" spans="1:21" ht="18" thickTop="1" thickBot="1" x14ac:dyDescent="0.35">
      <c r="A739" s="309" t="s">
        <v>299</v>
      </c>
      <c r="B739" s="1490">
        <v>16</v>
      </c>
      <c r="C739" s="1490">
        <v>16</v>
      </c>
      <c r="D739" s="1490" t="s">
        <v>449</v>
      </c>
      <c r="E739" s="309" t="s">
        <v>1127</v>
      </c>
      <c r="F739" s="399"/>
      <c r="G739" s="1491">
        <v>265.57790206932424</v>
      </c>
      <c r="H739" s="1491"/>
      <c r="I739" s="1542">
        <v>0</v>
      </c>
      <c r="J739" s="1491">
        <v>0</v>
      </c>
      <c r="K739" s="1542">
        <v>0</v>
      </c>
      <c r="L739" s="1491">
        <v>0</v>
      </c>
      <c r="M739" s="1492"/>
    </row>
    <row r="740" spans="1:21" ht="18" thickTop="1" thickBot="1" x14ac:dyDescent="0.35">
      <c r="A740" s="309" t="s">
        <v>299</v>
      </c>
      <c r="B740" s="1490">
        <v>16</v>
      </c>
      <c r="C740" s="1490">
        <v>16</v>
      </c>
      <c r="D740" s="1490" t="s">
        <v>449</v>
      </c>
      <c r="E740" s="309" t="s">
        <v>1128</v>
      </c>
      <c r="F740" s="399"/>
      <c r="G740" s="1491">
        <v>396.87786650277695</v>
      </c>
      <c r="H740" s="1491"/>
      <c r="I740" s="1542">
        <v>0</v>
      </c>
      <c r="J740" s="1491">
        <v>0</v>
      </c>
      <c r="K740" s="1542">
        <v>0</v>
      </c>
      <c r="L740" s="1491">
        <v>0</v>
      </c>
      <c r="M740" s="1492"/>
    </row>
    <row r="741" spans="1:21" ht="18" thickTop="1" thickBot="1" x14ac:dyDescent="0.35">
      <c r="A741" s="309" t="s">
        <v>299</v>
      </c>
      <c r="B741" s="1490">
        <v>16</v>
      </c>
      <c r="C741" s="1490">
        <v>16</v>
      </c>
      <c r="D741" s="1490" t="s">
        <v>449</v>
      </c>
      <c r="E741" s="309" t="s">
        <v>1129</v>
      </c>
      <c r="F741" s="399"/>
      <c r="G741" s="1491">
        <v>126.31847533947776</v>
      </c>
      <c r="H741" s="1491"/>
      <c r="I741" s="1542">
        <v>0</v>
      </c>
      <c r="J741" s="1491">
        <v>0</v>
      </c>
      <c r="K741" s="1542">
        <v>0</v>
      </c>
      <c r="L741" s="1491">
        <v>0</v>
      </c>
      <c r="M741" s="1492"/>
    </row>
    <row r="742" spans="1:21" ht="18" thickTop="1" thickBot="1" x14ac:dyDescent="0.35">
      <c r="A742" s="309" t="s">
        <v>299</v>
      </c>
      <c r="B742" s="1490">
        <v>16</v>
      </c>
      <c r="C742" s="1490">
        <v>16</v>
      </c>
      <c r="D742" s="1490" t="s">
        <v>449</v>
      </c>
      <c r="E742" s="309" t="s">
        <v>1130</v>
      </c>
      <c r="F742" s="399"/>
      <c r="G742" s="1491">
        <v>1036.1240345189519</v>
      </c>
      <c r="H742" s="1491"/>
      <c r="I742" s="1542">
        <v>0</v>
      </c>
      <c r="J742" s="1491">
        <v>0</v>
      </c>
      <c r="K742" s="1542">
        <v>0</v>
      </c>
      <c r="L742" s="1491">
        <v>0</v>
      </c>
      <c r="M742" s="1492"/>
    </row>
    <row r="743" spans="1:21" ht="18" thickTop="1" thickBot="1" x14ac:dyDescent="0.35">
      <c r="A743" s="309" t="s">
        <v>299</v>
      </c>
      <c r="B743" s="1490">
        <v>16</v>
      </c>
      <c r="C743" s="1490">
        <v>16</v>
      </c>
      <c r="D743" s="1490" t="s">
        <v>449</v>
      </c>
      <c r="E743" s="309" t="s">
        <v>1131</v>
      </c>
      <c r="F743" s="399"/>
      <c r="G743" s="1491">
        <v>727.08031168382718</v>
      </c>
      <c r="H743" s="1491"/>
      <c r="I743" s="1542">
        <v>0</v>
      </c>
      <c r="J743" s="1491">
        <v>0</v>
      </c>
      <c r="K743" s="1542">
        <v>0</v>
      </c>
      <c r="L743" s="1491">
        <v>0</v>
      </c>
      <c r="M743" s="1492"/>
    </row>
    <row r="744" spans="1:21" ht="18" thickTop="1" thickBot="1" x14ac:dyDescent="0.35">
      <c r="A744" s="309" t="s">
        <v>301</v>
      </c>
      <c r="B744" s="1556">
        <v>17</v>
      </c>
      <c r="C744" s="1556">
        <v>17</v>
      </c>
      <c r="D744" s="1490" t="s">
        <v>462</v>
      </c>
      <c r="E744" s="309" t="s">
        <v>1132</v>
      </c>
      <c r="F744" s="399"/>
      <c r="G744" s="1491">
        <v>2.1943232547095333</v>
      </c>
      <c r="H744" s="1491"/>
      <c r="I744" s="1542">
        <v>0</v>
      </c>
      <c r="J744" s="1491">
        <v>0</v>
      </c>
      <c r="K744" s="1542">
        <v>0</v>
      </c>
      <c r="L744" s="1491">
        <v>0</v>
      </c>
      <c r="M744" s="1492"/>
    </row>
    <row r="745" spans="1:21" ht="18" thickTop="1" thickBot="1" x14ac:dyDescent="0.35">
      <c r="A745" s="309" t="s">
        <v>301</v>
      </c>
      <c r="B745" s="1556">
        <v>17</v>
      </c>
      <c r="C745" s="1556">
        <v>17</v>
      </c>
      <c r="D745" s="1490" t="s">
        <v>425</v>
      </c>
      <c r="E745" s="309" t="s">
        <v>1133</v>
      </c>
      <c r="F745" s="399"/>
      <c r="G745" s="1491">
        <v>337.54651731352902</v>
      </c>
      <c r="H745" s="1491"/>
      <c r="I745" s="1542">
        <v>0</v>
      </c>
      <c r="J745" s="1491">
        <v>0</v>
      </c>
      <c r="K745" s="1542">
        <v>0</v>
      </c>
      <c r="L745" s="1491">
        <v>0</v>
      </c>
      <c r="M745" s="1492"/>
    </row>
    <row r="746" spans="1:21" ht="18" thickTop="1" thickBot="1" x14ac:dyDescent="0.35">
      <c r="A746" s="309" t="s">
        <v>301</v>
      </c>
      <c r="B746" s="1556">
        <v>17</v>
      </c>
      <c r="C746" s="1556">
        <v>17</v>
      </c>
      <c r="D746" s="1490" t="s">
        <v>470</v>
      </c>
      <c r="E746" s="309" t="s">
        <v>910</v>
      </c>
      <c r="F746" s="399"/>
      <c r="G746" s="1491">
        <v>10.799130011210666</v>
      </c>
      <c r="H746" s="1491"/>
      <c r="I746" s="1542">
        <v>0</v>
      </c>
      <c r="J746" s="1491">
        <v>0</v>
      </c>
      <c r="K746" s="1542">
        <v>0</v>
      </c>
      <c r="L746" s="1491">
        <v>0</v>
      </c>
      <c r="M746" s="1492"/>
    </row>
    <row r="747" spans="1:21" ht="18" thickTop="1" thickBot="1" x14ac:dyDescent="0.35">
      <c r="A747" s="309" t="s">
        <v>301</v>
      </c>
      <c r="B747" s="1556">
        <v>17</v>
      </c>
      <c r="C747" s="1556">
        <v>17</v>
      </c>
      <c r="D747" s="1490" t="s">
        <v>467</v>
      </c>
      <c r="E747" s="309" t="s">
        <v>1134</v>
      </c>
      <c r="F747" s="399"/>
      <c r="G747" s="1491">
        <v>53.725883496834072</v>
      </c>
      <c r="H747" s="1491"/>
      <c r="I747" s="1542">
        <v>0</v>
      </c>
      <c r="J747" s="1491">
        <v>0</v>
      </c>
      <c r="K747" s="1542">
        <v>0</v>
      </c>
      <c r="L747" s="1491">
        <v>0</v>
      </c>
      <c r="M747" s="1492"/>
    </row>
    <row r="748" spans="1:21" s="4" customFormat="1" ht="18" thickTop="1" thickBot="1" x14ac:dyDescent="0.35">
      <c r="A748" s="309" t="s">
        <v>301</v>
      </c>
      <c r="B748" s="1556">
        <v>17</v>
      </c>
      <c r="C748" s="1556">
        <v>17</v>
      </c>
      <c r="D748" s="1490" t="s">
        <v>467</v>
      </c>
      <c r="E748" s="309" t="s">
        <v>1135</v>
      </c>
      <c r="F748" s="399"/>
      <c r="G748" s="1491">
        <v>59.366335340782157</v>
      </c>
      <c r="H748" s="1491"/>
      <c r="I748" s="1542">
        <v>0</v>
      </c>
      <c r="J748" s="1491">
        <v>0</v>
      </c>
      <c r="K748" s="1542">
        <v>0</v>
      </c>
      <c r="L748" s="1491">
        <v>0</v>
      </c>
      <c r="M748" s="1492"/>
      <c r="N748" s="9"/>
      <c r="O748" s="9"/>
      <c r="P748" s="9"/>
      <c r="Q748" s="9"/>
      <c r="R748" s="9"/>
      <c r="S748" s="9"/>
      <c r="T748" s="9"/>
      <c r="U748" s="9"/>
    </row>
    <row r="749" spans="1:21" ht="18" thickTop="1" thickBot="1" x14ac:dyDescent="0.35">
      <c r="A749" s="309" t="s">
        <v>301</v>
      </c>
      <c r="B749" s="1556">
        <v>17</v>
      </c>
      <c r="C749" s="1556">
        <v>17</v>
      </c>
      <c r="D749" s="1490" t="s">
        <v>470</v>
      </c>
      <c r="E749" s="309" t="s">
        <v>1136</v>
      </c>
      <c r="F749" s="399"/>
      <c r="G749" s="1491">
        <v>116.05419140189933</v>
      </c>
      <c r="H749" s="1491"/>
      <c r="I749" s="1542">
        <v>0</v>
      </c>
      <c r="J749" s="1491">
        <v>0</v>
      </c>
      <c r="K749" s="1542">
        <v>0</v>
      </c>
      <c r="L749" s="1491">
        <v>0</v>
      </c>
      <c r="M749" s="1492"/>
    </row>
    <row r="750" spans="1:21" ht="18" thickTop="1" thickBot="1" x14ac:dyDescent="0.35">
      <c r="A750" s="309" t="s">
        <v>301</v>
      </c>
      <c r="B750" s="1556">
        <v>17</v>
      </c>
      <c r="C750" s="1556">
        <v>17</v>
      </c>
      <c r="D750" s="1490" t="s">
        <v>425</v>
      </c>
      <c r="E750" s="309" t="s">
        <v>942</v>
      </c>
      <c r="F750" s="399"/>
      <c r="G750" s="1491">
        <v>26.967545276557875</v>
      </c>
      <c r="H750" s="1491"/>
      <c r="I750" s="1542">
        <v>0</v>
      </c>
      <c r="J750" s="1491">
        <v>0</v>
      </c>
      <c r="K750" s="1542">
        <v>0</v>
      </c>
      <c r="L750" s="1491">
        <v>0</v>
      </c>
      <c r="M750" s="1492"/>
    </row>
    <row r="751" spans="1:21" ht="18" thickTop="1" thickBot="1" x14ac:dyDescent="0.35">
      <c r="A751" s="309" t="s">
        <v>301</v>
      </c>
      <c r="B751" s="1556">
        <v>17</v>
      </c>
      <c r="C751" s="1556">
        <v>17</v>
      </c>
      <c r="D751" s="1490" t="s">
        <v>425</v>
      </c>
      <c r="E751" s="309" t="s">
        <v>1137</v>
      </c>
      <c r="F751" s="399"/>
      <c r="G751" s="1491">
        <v>360.83570404954264</v>
      </c>
      <c r="H751" s="1491"/>
      <c r="I751" s="1542">
        <v>0</v>
      </c>
      <c r="J751" s="1491">
        <v>0</v>
      </c>
      <c r="K751" s="1542">
        <v>0</v>
      </c>
      <c r="L751" s="1491">
        <v>0</v>
      </c>
      <c r="M751" s="1492"/>
    </row>
    <row r="752" spans="1:21" ht="18" thickTop="1" thickBot="1" x14ac:dyDescent="0.35">
      <c r="A752" s="309" t="s">
        <v>301</v>
      </c>
      <c r="B752" s="1556">
        <v>17</v>
      </c>
      <c r="C752" s="1556">
        <v>17</v>
      </c>
      <c r="D752" s="1490" t="s">
        <v>425</v>
      </c>
      <c r="E752" s="309" t="s">
        <v>1138</v>
      </c>
      <c r="F752" s="399"/>
      <c r="G752" s="1491">
        <v>242.56414644256526</v>
      </c>
      <c r="H752" s="1491"/>
      <c r="I752" s="1542">
        <v>0</v>
      </c>
      <c r="J752" s="1491">
        <v>0</v>
      </c>
      <c r="K752" s="1542">
        <v>0</v>
      </c>
      <c r="L752" s="1491">
        <v>0</v>
      </c>
      <c r="M752" s="1492"/>
    </row>
    <row r="753" spans="1:12" ht="18" thickTop="1" thickBot="1" x14ac:dyDescent="0.35">
      <c r="A753" s="1535" t="s">
        <v>301</v>
      </c>
      <c r="B753" s="1543">
        <v>17</v>
      </c>
      <c r="C753" s="1543">
        <v>17</v>
      </c>
      <c r="D753" s="1536" t="s">
        <v>425</v>
      </c>
      <c r="E753" s="1535" t="s">
        <v>1139</v>
      </c>
      <c r="F753" s="1557"/>
      <c r="G753" s="1491">
        <v>20.970205372331733</v>
      </c>
      <c r="H753" s="1491"/>
      <c r="I753" s="1542">
        <v>0</v>
      </c>
      <c r="J753" s="1491">
        <v>0</v>
      </c>
      <c r="K753" s="1542">
        <v>0</v>
      </c>
      <c r="L753" s="1491">
        <v>0</v>
      </c>
    </row>
    <row r="754" spans="1:12" ht="18" thickTop="1" thickBot="1" x14ac:dyDescent="0.35">
      <c r="A754" s="4"/>
      <c r="B754" s="5"/>
      <c r="C754" s="5"/>
      <c r="D754" s="5"/>
      <c r="E754" s="4" t="s">
        <v>1140</v>
      </c>
      <c r="F754" s="4"/>
      <c r="G754" s="1537">
        <f>SUM(G119:G753)</f>
        <v>391282.46487056476</v>
      </c>
      <c r="H754" s="1537"/>
      <c r="I754" s="1538">
        <f>SUM(I119:I753)</f>
        <v>0</v>
      </c>
      <c r="J754" s="1537">
        <f>SUM(J119:J753)</f>
        <v>0</v>
      </c>
      <c r="K754" s="1538">
        <f>SUM(K119:K753)</f>
        <v>0</v>
      </c>
      <c r="L754" s="1537">
        <f>SUM(L119:L753)</f>
        <v>5099.6467794391629</v>
      </c>
    </row>
    <row r="755" spans="1:12" ht="17.25" thickTop="1" x14ac:dyDescent="0.3"/>
    <row r="756" spans="1:12" x14ac:dyDescent="0.3">
      <c r="A756" s="4"/>
    </row>
    <row r="757" spans="1:12" x14ac:dyDescent="0.3">
      <c r="A757" s="4"/>
    </row>
  </sheetData>
  <sortState xmlns:xlrd2="http://schemas.microsoft.com/office/spreadsheetml/2017/richdata2" ref="T14:T15">
    <sortCondition ref="T14:T15"/>
  </sortState>
  <phoneticPr fontId="74" type="noConversion"/>
  <dataValidations disablePrompts="1" count="1">
    <dataValidation type="list" allowBlank="1" showInputMessage="1" showErrorMessage="1" sqref="G4:H4" xr:uid="{0575FD96-B498-49A4-AA51-7306C88D498D}">
      <formula1>$P$4:$P$5</formula1>
    </dataValidation>
  </dataValidations>
  <pageMargins left="0.7" right="0.7" top="0.75" bottom="0.75" header="0.3" footer="0.3"/>
  <pageSetup scale="44" orientation="portrait" r:id="rId1"/>
  <rowBreaks count="13" manualBreakCount="13">
    <brk id="38" max="16383" man="1"/>
    <brk id="101" max="16383" man="1"/>
    <brk id="163" max="16383" man="1"/>
    <brk id="218" max="16383" man="1"/>
    <brk id="274" max="16383" man="1"/>
    <brk id="329" max="16383" man="1"/>
    <brk id="386" max="16383" man="1"/>
    <brk id="441" max="16383" man="1"/>
    <brk id="493" max="16383" man="1"/>
    <brk id="549" max="16383" man="1"/>
    <brk id="600" max="16383" man="1"/>
    <brk id="653" max="16383" man="1"/>
    <brk id="70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ADEA2-173F-4806-8F19-C64FEE86A44C}">
  <sheetPr codeName="Sheet294">
    <tabColor rgb="FFFF0000"/>
    <pageSetUpPr autoPageBreaks="0" fitToPage="1"/>
  </sheetPr>
  <dimension ref="A1:Z49"/>
  <sheetViews>
    <sheetView zoomScale="85" zoomScaleNormal="85" workbookViewId="0">
      <selection activeCell="A7" sqref="A7"/>
    </sheetView>
  </sheetViews>
  <sheetFormatPr defaultColWidth="8.7109375" defaultRowHeight="16.5" x14ac:dyDescent="0.3"/>
  <cols>
    <col min="1" max="1" width="9.42578125" style="35" customWidth="1"/>
    <col min="2" max="2" width="104.140625" style="9" bestFit="1" customWidth="1"/>
    <col min="3" max="3" width="25.5703125" style="10" bestFit="1" customWidth="1"/>
    <col min="4" max="4" width="15.140625" style="9" bestFit="1" customWidth="1"/>
    <col min="5" max="5" width="33.7109375" style="9" customWidth="1"/>
    <col min="6" max="6" width="22.42578125" style="9" customWidth="1"/>
    <col min="7" max="7" width="18.7109375" style="9" bestFit="1" customWidth="1"/>
    <col min="8" max="8" width="18" style="9" bestFit="1" customWidth="1"/>
    <col min="9" max="9" width="18" style="9" customWidth="1"/>
    <col min="10" max="10" width="29.140625" style="9" hidden="1" customWidth="1"/>
    <col min="11" max="11" width="12.5703125" style="9" hidden="1" customWidth="1"/>
    <col min="12" max="12" width="8.140625" style="9" hidden="1" customWidth="1"/>
    <col min="13" max="13" width="8" style="9" hidden="1" customWidth="1"/>
    <col min="14" max="14" width="6" style="9" hidden="1" customWidth="1"/>
    <col min="15" max="15" width="113.140625" style="9" hidden="1" customWidth="1"/>
    <col min="16" max="17" width="15.140625" style="9" hidden="1" customWidth="1"/>
    <col min="18" max="18" width="16" style="9" hidden="1" customWidth="1"/>
    <col min="19" max="19" width="8.7109375" style="9" hidden="1" customWidth="1"/>
    <col min="20" max="20" width="113.140625" style="9" hidden="1" customWidth="1"/>
    <col min="21" max="21" width="18" style="9" hidden="1" customWidth="1"/>
    <col min="22" max="22" width="33.140625" style="9" hidden="1" customWidth="1"/>
    <col min="23" max="23" width="17" style="9" bestFit="1" customWidth="1"/>
    <col min="24" max="24" width="10" style="9" bestFit="1" customWidth="1"/>
    <col min="25" max="25" width="14.7109375" style="9" bestFit="1" customWidth="1"/>
    <col min="26" max="26" width="10.7109375" style="9" bestFit="1" customWidth="1"/>
    <col min="27" max="16384" width="8.7109375" style="9"/>
  </cols>
  <sheetData>
    <row r="1" spans="1:26" s="4" customFormat="1" x14ac:dyDescent="0.3">
      <c r="A1" s="1484" t="s">
        <v>15</v>
      </c>
      <c r="B1" s="6"/>
      <c r="E1" s="300"/>
      <c r="F1" s="1996" t="s">
        <v>1141</v>
      </c>
      <c r="G1" s="227" t="s">
        <v>1142</v>
      </c>
      <c r="H1" s="1996"/>
      <c r="I1" s="5"/>
    </row>
    <row r="2" spans="1:26" x14ac:dyDescent="0.3">
      <c r="A2" s="34" t="str">
        <f>CONCATENATE("Pupil Center Funding Plan | FY",'1.1 Assumption Control YR1'!D5)</f>
        <v>Pupil Center Funding Plan | FY2026</v>
      </c>
      <c r="B2" s="10"/>
      <c r="C2" s="1695"/>
      <c r="E2" s="1696" t="s">
        <v>1143</v>
      </c>
      <c r="F2" s="1697">
        <v>0</v>
      </c>
      <c r="G2" s="1698">
        <v>1487995964</v>
      </c>
      <c r="H2" s="117"/>
      <c r="I2" s="15"/>
    </row>
    <row r="3" spans="1:26" x14ac:dyDescent="0.3">
      <c r="A3" s="9" t="s">
        <v>1144</v>
      </c>
      <c r="B3" s="10"/>
      <c r="C3" s="35"/>
      <c r="D3" s="1699" t="s">
        <v>240</v>
      </c>
      <c r="E3" s="300"/>
      <c r="F3" s="1996" t="s">
        <v>1145</v>
      </c>
      <c r="G3" s="1700" t="s">
        <v>1146</v>
      </c>
      <c r="H3" s="1996" t="str">
        <f>IF(H2=H4,"Balanced","")</f>
        <v/>
      </c>
      <c r="I3" s="5"/>
    </row>
    <row r="4" spans="1:26" x14ac:dyDescent="0.3">
      <c r="D4" s="1699" t="s">
        <v>241</v>
      </c>
      <c r="E4" s="1701" t="s">
        <v>1147</v>
      </c>
      <c r="F4" s="1997">
        <v>1487995964</v>
      </c>
      <c r="G4" s="1870">
        <f>F4</f>
        <v>1487995964</v>
      </c>
      <c r="H4" s="1998">
        <f>F4+G4</f>
        <v>2975991928</v>
      </c>
      <c r="I4" s="15"/>
      <c r="W4" s="10"/>
    </row>
    <row r="5" spans="1:26" x14ac:dyDescent="0.3">
      <c r="A5" s="1702">
        <v>2501</v>
      </c>
      <c r="B5" s="1703" t="s">
        <v>1148</v>
      </c>
      <c r="C5" s="1865">
        <f>F8</f>
        <v>1732915153</v>
      </c>
      <c r="D5" s="1704"/>
      <c r="E5" s="1705"/>
      <c r="F5" s="141">
        <f>ROUND('1.1 Assumption Control YR1'!E20,0)</f>
        <v>244919189</v>
      </c>
      <c r="G5" s="141">
        <f>'5.1 Assumption Control YR2'!E22</f>
        <v>244971220</v>
      </c>
      <c r="H5" s="164"/>
      <c r="W5" s="12"/>
    </row>
    <row r="6" spans="1:26" x14ac:dyDescent="0.3">
      <c r="A6" s="1704"/>
      <c r="B6" s="1960" t="s">
        <v>1149</v>
      </c>
      <c r="C6" s="1958">
        <f>C5-F5-F6</f>
        <v>1487995964</v>
      </c>
      <c r="D6" s="1979"/>
      <c r="E6" s="1707"/>
      <c r="F6" s="1246">
        <v>0</v>
      </c>
      <c r="G6" s="1246">
        <f>'5.1 Assumption Control YR2'!E33</f>
        <v>0</v>
      </c>
      <c r="H6" s="1414"/>
      <c r="W6" s="12"/>
    </row>
    <row r="7" spans="1:26" ht="17.25" thickBot="1" x14ac:dyDescent="0.35">
      <c r="B7" s="17"/>
      <c r="C7" s="155"/>
      <c r="D7" s="1704"/>
      <c r="E7" s="1705" t="s">
        <v>247</v>
      </c>
      <c r="F7" s="141"/>
      <c r="G7" s="141"/>
      <c r="H7" s="1414"/>
      <c r="I7" s="15"/>
      <c r="W7" s="12"/>
    </row>
    <row r="8" spans="1:26" ht="18" thickTop="1" thickBot="1" x14ac:dyDescent="0.35">
      <c r="A8" s="1845" t="s">
        <v>1150</v>
      </c>
      <c r="B8" s="1854" t="s">
        <v>1151</v>
      </c>
      <c r="C8" s="1706" t="s">
        <v>1152</v>
      </c>
      <c r="D8" s="1855" t="s">
        <v>1153</v>
      </c>
      <c r="E8" s="319" t="s">
        <v>1154</v>
      </c>
      <c r="F8" s="426">
        <f>SUM(F4:F7)</f>
        <v>1732915153</v>
      </c>
      <c r="G8" s="426">
        <f>SUM(G4:G6)</f>
        <v>1732967184</v>
      </c>
      <c r="H8" s="1708"/>
      <c r="I8" s="15"/>
    </row>
    <row r="9" spans="1:26" ht="17.25" thickTop="1" x14ac:dyDescent="0.3">
      <c r="A9" s="1846">
        <v>2501</v>
      </c>
      <c r="B9" s="1856" t="s">
        <v>1155</v>
      </c>
      <c r="C9" s="2335">
        <f>1605338575-8000000-143941393-56891418</f>
        <v>1396505764</v>
      </c>
      <c r="D9" s="1712">
        <f t="shared" ref="D9:D34" si="0">C9/$C$43</f>
        <v>0.24395282047111289</v>
      </c>
      <c r="I9" s="1980"/>
    </row>
    <row r="10" spans="1:26" ht="17.25" thickBot="1" x14ac:dyDescent="0.35">
      <c r="A10" s="1846">
        <v>4782</v>
      </c>
      <c r="B10" s="1856" t="s">
        <v>2326</v>
      </c>
      <c r="C10" s="2334">
        <v>115701395</v>
      </c>
      <c r="D10" s="1712">
        <f t="shared" si="0"/>
        <v>2.0211647076805277E-2</v>
      </c>
      <c r="I10" s="1980"/>
    </row>
    <row r="11" spans="1:26" x14ac:dyDescent="0.3">
      <c r="A11" s="1847">
        <v>2511</v>
      </c>
      <c r="B11" s="1857" t="s">
        <v>1156</v>
      </c>
      <c r="C11" s="2300">
        <v>26052000</v>
      </c>
      <c r="D11" s="1710">
        <f t="shared" si="0"/>
        <v>4.5509721783815234E-3</v>
      </c>
      <c r="E11" s="15"/>
      <c r="F11" s="294"/>
      <c r="G11" s="2095" t="s">
        <v>1157</v>
      </c>
      <c r="H11" s="329"/>
      <c r="I11" s="15"/>
      <c r="W11" s="15"/>
    </row>
    <row r="12" spans="1:26" ht="17.25" thickBot="1" x14ac:dyDescent="0.35">
      <c r="A12" s="1848">
        <v>2511</v>
      </c>
      <c r="B12" s="1858" t="s">
        <v>1158</v>
      </c>
      <c r="C12" s="1866">
        <v>0</v>
      </c>
      <c r="D12" s="1711">
        <f t="shared" si="0"/>
        <v>0</v>
      </c>
      <c r="F12" s="289" t="s">
        <v>1159</v>
      </c>
      <c r="G12" s="2096"/>
      <c r="H12" s="329"/>
      <c r="I12" s="15"/>
      <c r="W12" s="15"/>
      <c r="X12" s="35"/>
      <c r="Y12" s="15"/>
    </row>
    <row r="13" spans="1:26" x14ac:dyDescent="0.3">
      <c r="A13" s="1846">
        <v>3064</v>
      </c>
      <c r="B13" s="1856" t="s">
        <v>1160</v>
      </c>
      <c r="C13" s="2318">
        <v>97972000</v>
      </c>
      <c r="D13" s="1712">
        <f t="shared" si="0"/>
        <v>1.7114534249209067E-2</v>
      </c>
      <c r="F13" s="106" t="s">
        <v>1161</v>
      </c>
      <c r="G13" s="1999">
        <f>ROUND($G$30*H13,2)</f>
        <v>0</v>
      </c>
      <c r="H13" s="663">
        <v>0</v>
      </c>
      <c r="I13" s="15"/>
      <c r="W13" s="15"/>
      <c r="X13" s="1713"/>
      <c r="Y13" s="15"/>
      <c r="Z13" s="15"/>
    </row>
    <row r="14" spans="1:26" s="76" customFormat="1" ht="18" customHeight="1" x14ac:dyDescent="0.3">
      <c r="A14" s="1849">
        <v>3074</v>
      </c>
      <c r="B14" s="1859" t="s">
        <v>1162</v>
      </c>
      <c r="C14" s="2318">
        <v>105187000</v>
      </c>
      <c r="D14" s="1714">
        <f t="shared" si="0"/>
        <v>1.8374908280647063E-2</v>
      </c>
      <c r="F14" s="106" t="s">
        <v>271</v>
      </c>
      <c r="G14" s="1715">
        <f t="shared" ref="G14:G29" si="1">$G$30*H14</f>
        <v>289437.72000000003</v>
      </c>
      <c r="H14" s="663">
        <v>1.111E-2</v>
      </c>
      <c r="I14" s="15"/>
      <c r="N14" s="1716"/>
      <c r="O14" s="1717"/>
      <c r="P14" s="2349"/>
      <c r="Q14" s="2350"/>
      <c r="R14" s="2351"/>
      <c r="W14" s="15"/>
      <c r="X14" s="1713"/>
      <c r="Y14" s="15"/>
      <c r="Z14" s="15"/>
    </row>
    <row r="15" spans="1:26" x14ac:dyDescent="0.3">
      <c r="A15" s="1846">
        <v>3324</v>
      </c>
      <c r="B15" s="1856" t="s">
        <v>1164</v>
      </c>
      <c r="C15" s="2318">
        <v>140862000</v>
      </c>
      <c r="D15" s="1712">
        <f t="shared" si="0"/>
        <v>2.4606903231658917E-2</v>
      </c>
      <c r="E15" s="76"/>
      <c r="F15" s="106" t="s">
        <v>273</v>
      </c>
      <c r="G15" s="1715">
        <f t="shared" si="1"/>
        <v>71121.959999999992</v>
      </c>
      <c r="H15" s="663">
        <v>2.7299999999999998E-3</v>
      </c>
      <c r="I15" s="15"/>
      <c r="N15" s="106"/>
      <c r="O15" s="112"/>
      <c r="P15" s="106"/>
      <c r="R15" s="112"/>
      <c r="U15" s="162"/>
      <c r="V15" s="15"/>
      <c r="W15" s="15"/>
      <c r="X15" s="1713"/>
      <c r="Y15" s="15"/>
      <c r="Z15" s="15"/>
    </row>
    <row r="16" spans="1:26" x14ac:dyDescent="0.3">
      <c r="A16" s="1849">
        <v>3325</v>
      </c>
      <c r="B16" s="1859" t="s">
        <v>1165</v>
      </c>
      <c r="C16" s="2318">
        <v>73955000</v>
      </c>
      <c r="D16" s="1714">
        <f t="shared" si="0"/>
        <v>1.2919052182258773E-2</v>
      </c>
      <c r="E16" s="76"/>
      <c r="F16" s="106" t="s">
        <v>275</v>
      </c>
      <c r="G16" s="1715">
        <f t="shared" si="1"/>
        <v>0</v>
      </c>
      <c r="H16" s="663">
        <v>0</v>
      </c>
      <c r="I16" s="15"/>
      <c r="J16" s="1484"/>
      <c r="K16" s="202"/>
      <c r="P16" s="12"/>
      <c r="Q16" s="89"/>
      <c r="R16" s="12"/>
      <c r="U16" s="115"/>
      <c r="V16" s="15"/>
      <c r="W16" s="15"/>
      <c r="X16" s="1713"/>
      <c r="Y16" s="15"/>
      <c r="Z16" s="15"/>
    </row>
    <row r="17" spans="1:26" x14ac:dyDescent="0.3">
      <c r="A17" s="1846">
        <v>3328</v>
      </c>
      <c r="B17" s="1856" t="s">
        <v>1166</v>
      </c>
      <c r="C17" s="2317">
        <v>2277369000</v>
      </c>
      <c r="D17" s="1712">
        <f t="shared" si="0"/>
        <v>0.39782907104669701</v>
      </c>
      <c r="F17" s="106" t="s">
        <v>277</v>
      </c>
      <c r="G17" s="1715">
        <f t="shared" si="1"/>
        <v>768012.96</v>
      </c>
      <c r="H17" s="663">
        <v>2.9479999999999999E-2</v>
      </c>
      <c r="I17" s="15"/>
      <c r="J17" s="309"/>
      <c r="K17" s="1718"/>
      <c r="L17" s="841"/>
      <c r="M17" s="1709"/>
      <c r="P17" s="12"/>
      <c r="Q17" s="89"/>
      <c r="R17" s="12"/>
      <c r="U17" s="115"/>
      <c r="V17" s="15"/>
      <c r="W17" s="15"/>
      <c r="X17" s="1713"/>
      <c r="Y17" s="15"/>
      <c r="Z17" s="15"/>
    </row>
    <row r="18" spans="1:26" x14ac:dyDescent="0.3">
      <c r="A18" s="1849">
        <v>3329</v>
      </c>
      <c r="B18" s="1859" t="s">
        <v>1167</v>
      </c>
      <c r="C18" s="2318">
        <v>25011000</v>
      </c>
      <c r="D18" s="1714">
        <f t="shared" si="0"/>
        <v>4.3691219543029432E-3</v>
      </c>
      <c r="E18" s="15"/>
      <c r="F18" s="106" t="s">
        <v>279</v>
      </c>
      <c r="G18" s="1715">
        <f t="shared" si="1"/>
        <v>1206468.1199999999</v>
      </c>
      <c r="H18" s="663">
        <v>4.6309999999999997E-2</v>
      </c>
      <c r="I18" s="15"/>
      <c r="J18" s="309"/>
      <c r="K18" s="1718"/>
      <c r="L18" s="841"/>
      <c r="M18" s="1709"/>
      <c r="P18" s="12"/>
      <c r="Q18" s="89"/>
      <c r="R18" s="12"/>
      <c r="U18" s="115"/>
      <c r="V18" s="15"/>
      <c r="W18" s="15"/>
      <c r="X18" s="1713"/>
      <c r="Y18" s="15"/>
      <c r="Z18" s="15"/>
    </row>
    <row r="19" spans="1:26" x14ac:dyDescent="0.3">
      <c r="A19" s="1846">
        <v>3335</v>
      </c>
      <c r="B19" s="1856" t="s">
        <v>1168</v>
      </c>
      <c r="C19" s="2317">
        <v>236249000</v>
      </c>
      <c r="D19" s="1712">
        <f t="shared" si="0"/>
        <v>4.1269868960941827E-2</v>
      </c>
      <c r="F19" s="106" t="s">
        <v>281</v>
      </c>
      <c r="G19" s="1715">
        <f t="shared" si="1"/>
        <v>7544138.1600000001</v>
      </c>
      <c r="H19" s="663">
        <v>0.28958</v>
      </c>
      <c r="I19" s="15"/>
      <c r="J19" s="309"/>
      <c r="K19" s="1718"/>
      <c r="L19" s="841"/>
      <c r="M19" s="1709"/>
      <c r="P19" s="12"/>
      <c r="Q19" s="89"/>
      <c r="R19" s="12"/>
      <c r="U19" s="115"/>
      <c r="V19" s="15"/>
      <c r="W19" s="15"/>
      <c r="X19" s="1713"/>
      <c r="Y19" s="15"/>
      <c r="Z19" s="15"/>
    </row>
    <row r="20" spans="1:26" x14ac:dyDescent="0.3">
      <c r="A20" s="1849">
        <v>3340</v>
      </c>
      <c r="B20" s="1859" t="s">
        <v>1169</v>
      </c>
      <c r="C20" s="2318">
        <v>1187234000</v>
      </c>
      <c r="D20" s="1714">
        <f t="shared" si="0"/>
        <v>0.20739555132921117</v>
      </c>
      <c r="F20" s="106" t="s">
        <v>283</v>
      </c>
      <c r="G20" s="1715">
        <f t="shared" si="1"/>
        <v>5940377.04</v>
      </c>
      <c r="H20" s="663">
        <v>0.22802</v>
      </c>
      <c r="I20" s="15"/>
      <c r="J20" s="309"/>
      <c r="K20" s="1718"/>
      <c r="L20" s="841"/>
      <c r="M20" s="1709"/>
      <c r="P20" s="12"/>
      <c r="Q20" s="89"/>
      <c r="R20" s="12"/>
      <c r="U20" s="115"/>
      <c r="V20" s="15"/>
      <c r="W20" s="15"/>
      <c r="X20" s="1713"/>
      <c r="Y20" s="15"/>
      <c r="Z20" s="15"/>
    </row>
    <row r="21" spans="1:26" x14ac:dyDescent="0.3">
      <c r="A21" s="1849">
        <v>3536</v>
      </c>
      <c r="B21" s="1859" t="s">
        <v>1170</v>
      </c>
      <c r="C21" s="2318">
        <v>7000000</v>
      </c>
      <c r="D21" s="1714">
        <f t="shared" si="0"/>
        <v>1.2228161081172524E-3</v>
      </c>
      <c r="F21" s="106" t="s">
        <v>285</v>
      </c>
      <c r="G21" s="1715">
        <f t="shared" si="1"/>
        <v>8247542.1599999992</v>
      </c>
      <c r="H21" s="663">
        <v>0.31657999999999997</v>
      </c>
      <c r="I21" s="15"/>
      <c r="J21" s="309"/>
      <c r="K21" s="1718"/>
      <c r="L21" s="841"/>
      <c r="M21" s="1709"/>
      <c r="P21" s="12"/>
      <c r="Q21" s="89"/>
      <c r="R21" s="12"/>
      <c r="U21" s="115"/>
      <c r="V21" s="15"/>
      <c r="W21" s="15"/>
      <c r="X21" s="1713"/>
      <c r="Y21" s="15"/>
      <c r="Z21" s="15"/>
    </row>
    <row r="22" spans="1:26" ht="17.25" thickBot="1" x14ac:dyDescent="0.35">
      <c r="A22" s="1846">
        <v>3867</v>
      </c>
      <c r="B22" s="1856" t="s">
        <v>1171</v>
      </c>
      <c r="C22" s="2317">
        <v>3000000</v>
      </c>
      <c r="D22" s="1712">
        <f t="shared" si="0"/>
        <v>5.2406404633596531E-4</v>
      </c>
      <c r="F22" s="106" t="s">
        <v>287</v>
      </c>
      <c r="G22" s="1715">
        <f t="shared" si="1"/>
        <v>0</v>
      </c>
      <c r="H22" s="663">
        <v>0</v>
      </c>
      <c r="I22" s="15"/>
      <c r="J22" s="309"/>
      <c r="K22" s="1718"/>
      <c r="L22" s="841"/>
      <c r="M22" s="1709"/>
      <c r="P22" s="12"/>
      <c r="Q22" s="89"/>
      <c r="R22" s="12"/>
      <c r="U22" s="115"/>
      <c r="V22" s="15"/>
      <c r="W22" s="15"/>
      <c r="X22" s="1713"/>
      <c r="Y22" s="15"/>
      <c r="Z22" s="15"/>
    </row>
    <row r="23" spans="1:26" ht="17.25" thickBot="1" x14ac:dyDescent="0.35">
      <c r="A23" s="1850">
        <v>3868</v>
      </c>
      <c r="B23" s="1860" t="s">
        <v>1172</v>
      </c>
      <c r="C23" s="2315">
        <v>31930000</v>
      </c>
      <c r="D23" s="1719">
        <f t="shared" si="0"/>
        <v>5.5777883331691244E-3</v>
      </c>
      <c r="F23" s="106" t="s">
        <v>289</v>
      </c>
      <c r="G23" s="1715">
        <f t="shared" si="1"/>
        <v>2865.7200000000003</v>
      </c>
      <c r="H23" s="663">
        <v>1.1E-4</v>
      </c>
      <c r="I23" s="15"/>
      <c r="J23" s="309"/>
      <c r="K23" s="1718"/>
      <c r="L23" s="841"/>
      <c r="M23" s="1709"/>
      <c r="P23" s="12"/>
      <c r="Q23" s="89"/>
      <c r="R23" s="12"/>
      <c r="U23" s="115"/>
      <c r="V23" s="15"/>
      <c r="W23" s="15"/>
      <c r="X23" s="1713"/>
      <c r="Y23" s="15"/>
      <c r="Z23" s="15"/>
    </row>
    <row r="24" spans="1:26" x14ac:dyDescent="0.3">
      <c r="A24" s="1846">
        <v>4152</v>
      </c>
      <c r="B24" s="1856" t="s">
        <v>1173</v>
      </c>
      <c r="C24" s="2317">
        <v>300000</v>
      </c>
      <c r="D24" s="1712">
        <f t="shared" si="0"/>
        <v>5.2406404633596533E-5</v>
      </c>
      <c r="F24" s="106" t="s">
        <v>291</v>
      </c>
      <c r="G24" s="1715">
        <f t="shared" si="1"/>
        <v>423084.48000000004</v>
      </c>
      <c r="H24" s="663">
        <v>1.6240000000000001E-2</v>
      </c>
      <c r="I24" s="15"/>
      <c r="J24" s="309"/>
      <c r="K24" s="1718"/>
      <c r="L24" s="841"/>
      <c r="M24" s="1709"/>
      <c r="P24" s="12"/>
      <c r="Q24" s="154"/>
      <c r="R24" s="12"/>
      <c r="U24" s="115"/>
      <c r="V24" s="15"/>
      <c r="W24" s="15"/>
      <c r="X24" s="1713"/>
      <c r="Y24" s="15"/>
      <c r="Z24" s="15"/>
    </row>
    <row r="25" spans="1:26" x14ac:dyDescent="0.3">
      <c r="A25" s="1849">
        <v>4157</v>
      </c>
      <c r="B25" s="1859" t="s">
        <v>1174</v>
      </c>
      <c r="C25" s="2318">
        <v>70000</v>
      </c>
      <c r="D25" s="1714">
        <f t="shared" si="0"/>
        <v>1.2228161081172525E-5</v>
      </c>
      <c r="F25" s="106" t="s">
        <v>293</v>
      </c>
      <c r="G25" s="1715">
        <f t="shared" si="1"/>
        <v>542402.64</v>
      </c>
      <c r="H25" s="663">
        <v>2.0820000000000002E-2</v>
      </c>
      <c r="I25" s="15"/>
      <c r="J25" s="1531"/>
      <c r="K25" s="1720"/>
      <c r="L25" s="841"/>
      <c r="M25" s="1709"/>
      <c r="P25" s="12"/>
      <c r="Q25" s="89"/>
      <c r="R25" s="12"/>
      <c r="U25" s="115"/>
      <c r="V25" s="15"/>
      <c r="W25" s="15"/>
      <c r="X25" s="1713"/>
      <c r="Y25" s="15"/>
      <c r="Z25" s="15"/>
    </row>
    <row r="26" spans="1:26" s="36" customFormat="1" x14ac:dyDescent="0.3">
      <c r="A26" s="1846">
        <v>4203</v>
      </c>
      <c r="B26" s="1856" t="s">
        <v>1175</v>
      </c>
      <c r="C26" s="2318">
        <v>0</v>
      </c>
      <c r="D26" s="1712">
        <f t="shared" si="0"/>
        <v>0</v>
      </c>
      <c r="E26" s="2319">
        <f>C26+'5.3 Budgeted Revenues YR2'!C26</f>
        <v>0</v>
      </c>
      <c r="F26" s="106" t="s">
        <v>295</v>
      </c>
      <c r="G26" s="1715">
        <f t="shared" si="1"/>
        <v>99518.64</v>
      </c>
      <c r="H26" s="663">
        <v>3.82E-3</v>
      </c>
      <c r="I26" s="15"/>
      <c r="J26" s="309"/>
      <c r="K26" s="1718"/>
      <c r="L26" s="841"/>
      <c r="M26" s="1709"/>
      <c r="N26" s="9"/>
      <c r="O26" s="9"/>
      <c r="P26" s="12"/>
      <c r="Q26" s="1721"/>
      <c r="R26" s="12"/>
      <c r="T26" s="9"/>
      <c r="U26" s="115"/>
      <c r="V26" s="15"/>
      <c r="W26" s="15"/>
      <c r="X26" s="1713"/>
      <c r="Y26" s="15"/>
      <c r="Z26" s="15"/>
    </row>
    <row r="27" spans="1:26" x14ac:dyDescent="0.3">
      <c r="A27" s="1849">
        <v>4251</v>
      </c>
      <c r="B27" s="1861" t="s">
        <v>1176</v>
      </c>
      <c r="C27" s="2318">
        <v>1000</v>
      </c>
      <c r="D27" s="2316">
        <f t="shared" si="0"/>
        <v>1.7468801544532179E-7</v>
      </c>
      <c r="F27" s="106" t="s">
        <v>297</v>
      </c>
      <c r="G27" s="1715">
        <f t="shared" si="1"/>
        <v>0</v>
      </c>
      <c r="H27" s="663">
        <v>0</v>
      </c>
      <c r="I27" s="15"/>
      <c r="J27" s="309"/>
      <c r="K27" s="1718"/>
      <c r="L27" s="841"/>
      <c r="M27" s="1709"/>
      <c r="P27" s="12"/>
      <c r="Q27" s="89"/>
      <c r="R27" s="12"/>
      <c r="U27" s="115"/>
      <c r="V27" s="15"/>
      <c r="W27" s="15"/>
      <c r="X27" s="1713"/>
      <c r="Y27" s="15"/>
      <c r="Z27" s="15"/>
    </row>
    <row r="28" spans="1:26" x14ac:dyDescent="0.3">
      <c r="A28" s="1846">
        <v>4326</v>
      </c>
      <c r="B28" s="1856" t="s">
        <v>1177</v>
      </c>
      <c r="C28" s="2317">
        <v>7872000</v>
      </c>
      <c r="D28" s="1712">
        <f t="shared" si="0"/>
        <v>1.375144057585573E-3</v>
      </c>
      <c r="F28" s="106" t="s">
        <v>299</v>
      </c>
      <c r="G28" s="1715">
        <f t="shared" si="1"/>
        <v>66172.08</v>
      </c>
      <c r="H28" s="663">
        <v>2.5400000000000002E-3</v>
      </c>
      <c r="I28" s="15"/>
      <c r="J28" s="309"/>
      <c r="K28" s="1718"/>
      <c r="L28" s="841"/>
      <c r="M28" s="1709"/>
      <c r="P28" s="12"/>
      <c r="Q28" s="89"/>
      <c r="R28" s="12"/>
      <c r="U28" s="1722"/>
      <c r="V28" s="15"/>
      <c r="W28" s="15"/>
      <c r="X28" s="1713"/>
      <c r="Y28" s="15"/>
      <c r="Z28" s="15"/>
    </row>
    <row r="29" spans="1:26" x14ac:dyDescent="0.3">
      <c r="A29" s="1849">
        <v>4588</v>
      </c>
      <c r="B29" s="1859" t="s">
        <v>1178</v>
      </c>
      <c r="C29" s="2318">
        <v>5000</v>
      </c>
      <c r="D29" s="1714">
        <f t="shared" si="0"/>
        <v>8.7344007722660893E-7</v>
      </c>
      <c r="F29" s="106" t="s">
        <v>301</v>
      </c>
      <c r="G29" s="1723">
        <f t="shared" si="1"/>
        <v>850858.32000000007</v>
      </c>
      <c r="H29" s="663">
        <v>3.2660000000000002E-2</v>
      </c>
      <c r="I29" s="15"/>
      <c r="J29" s="309"/>
      <c r="K29" s="1718"/>
      <c r="L29" s="841"/>
      <c r="M29" s="1709"/>
      <c r="P29" s="12"/>
      <c r="Q29" s="89"/>
      <c r="R29" s="12"/>
      <c r="U29" s="115"/>
      <c r="V29" s="15"/>
      <c r="W29" s="15"/>
      <c r="X29" s="1713"/>
      <c r="Y29" s="15"/>
      <c r="Z29" s="15"/>
    </row>
    <row r="30" spans="1:26" x14ac:dyDescent="0.3">
      <c r="A30" s="1846">
        <v>4621</v>
      </c>
      <c r="B30" s="1856" t="s">
        <v>1179</v>
      </c>
      <c r="C30" s="2317">
        <v>100000</v>
      </c>
      <c r="D30" s="1712">
        <f t="shared" si="0"/>
        <v>1.746880154453218E-5</v>
      </c>
      <c r="E30" s="9">
        <v>56891418</v>
      </c>
      <c r="F30" s="1724" t="s">
        <v>1180</v>
      </c>
      <c r="G30" s="388">
        <f>C11</f>
        <v>26052000</v>
      </c>
      <c r="H30" s="2173">
        <f>SUM(H13:H29)</f>
        <v>1</v>
      </c>
      <c r="I30" s="15"/>
      <c r="J30" s="309"/>
      <c r="K30" s="1718"/>
      <c r="L30" s="841"/>
      <c r="M30" s="1709"/>
      <c r="P30" s="12"/>
      <c r="Q30" s="89"/>
      <c r="R30" s="12"/>
      <c r="U30" s="115"/>
      <c r="V30" s="15"/>
      <c r="W30" s="15"/>
      <c r="X30" s="2174"/>
      <c r="Y30" s="15"/>
    </row>
    <row r="31" spans="1:26" x14ac:dyDescent="0.3">
      <c r="A31" s="1849">
        <v>4669</v>
      </c>
      <c r="B31" s="1859" t="s">
        <v>1181</v>
      </c>
      <c r="C31" s="2318">
        <v>0</v>
      </c>
      <c r="D31" s="1714">
        <f t="shared" si="0"/>
        <v>0</v>
      </c>
      <c r="E31" s="36"/>
      <c r="F31" s="156"/>
      <c r="G31" s="149">
        <f>G30-C31</f>
        <v>26052000</v>
      </c>
      <c r="H31" s="112"/>
      <c r="I31" s="15"/>
      <c r="J31" s="1531"/>
      <c r="K31" s="1720"/>
      <c r="L31" s="841"/>
      <c r="M31" s="1709"/>
      <c r="P31" s="12"/>
      <c r="Q31" s="89"/>
      <c r="R31" s="12"/>
      <c r="U31" s="115"/>
      <c r="V31" s="15"/>
      <c r="W31" s="15"/>
      <c r="Y31" s="15"/>
    </row>
    <row r="32" spans="1:26" x14ac:dyDescent="0.3">
      <c r="A32" s="1846">
        <v>4770</v>
      </c>
      <c r="B32" s="1856" t="s">
        <v>1182</v>
      </c>
      <c r="C32" s="2317">
        <v>750000</v>
      </c>
      <c r="D32" s="1712">
        <f t="shared" si="0"/>
        <v>1.3101601158399133E-4</v>
      </c>
      <c r="F32" s="142"/>
      <c r="G32" s="1725">
        <f>G30-SUM(G13:G29)</f>
        <v>0</v>
      </c>
      <c r="H32" s="128"/>
      <c r="I32" s="15"/>
      <c r="J32" s="309"/>
      <c r="K32" s="1718"/>
      <c r="L32" s="841"/>
      <c r="M32" s="1709"/>
      <c r="P32" s="12"/>
      <c r="Q32" s="89"/>
      <c r="R32" s="12"/>
      <c r="U32" s="115"/>
      <c r="V32" s="15"/>
      <c r="W32" s="15"/>
    </row>
    <row r="33" spans="1:23" s="36" customFormat="1" x14ac:dyDescent="0.3">
      <c r="A33" s="1849">
        <v>4771</v>
      </c>
      <c r="B33" s="1859" t="s">
        <v>1183</v>
      </c>
      <c r="C33" s="2318">
        <v>15189000</v>
      </c>
      <c r="D33" s="1714">
        <f t="shared" si="0"/>
        <v>2.6533362665989925E-3</v>
      </c>
      <c r="E33" s="9"/>
      <c r="G33" s="1623"/>
      <c r="I33" s="15"/>
      <c r="J33" s="309"/>
      <c r="K33" s="1718"/>
      <c r="L33" s="841"/>
      <c r="M33" s="1709"/>
      <c r="N33" s="9"/>
      <c r="O33" s="9"/>
      <c r="P33" s="12"/>
      <c r="Q33" s="1721"/>
      <c r="R33" s="12"/>
      <c r="T33" s="9"/>
      <c r="U33" s="1722"/>
      <c r="V33" s="15"/>
      <c r="W33" s="15"/>
    </row>
    <row r="34" spans="1:23" ht="17.25" thickBot="1" x14ac:dyDescent="0.35">
      <c r="A34" s="1846">
        <v>4869</v>
      </c>
      <c r="B34" s="1856" t="s">
        <v>1184</v>
      </c>
      <c r="C34" s="2317">
        <v>8106000</v>
      </c>
      <c r="D34" s="1712">
        <f t="shared" si="0"/>
        <v>1.4160210531997783E-3</v>
      </c>
      <c r="E34" s="22"/>
      <c r="I34" s="15"/>
      <c r="J34" s="142"/>
      <c r="K34" s="1726"/>
      <c r="L34" s="1727"/>
      <c r="M34" s="1728"/>
      <c r="N34" s="106"/>
      <c r="O34" s="112"/>
      <c r="P34" s="1393"/>
      <c r="Q34" s="89"/>
      <c r="R34" s="116"/>
      <c r="U34" s="162"/>
      <c r="V34" s="15"/>
      <c r="W34" s="15"/>
    </row>
    <row r="35" spans="1:23" x14ac:dyDescent="0.3">
      <c r="A35" s="1851">
        <v>3868</v>
      </c>
      <c r="B35" s="1862" t="s">
        <v>1185</v>
      </c>
      <c r="C35" s="2208">
        <f>-C23</f>
        <v>-31930000</v>
      </c>
      <c r="D35" s="1729"/>
      <c r="E35" s="22"/>
      <c r="F35" s="12"/>
      <c r="G35" s="12"/>
      <c r="H35" s="12"/>
      <c r="I35" s="15"/>
      <c r="N35" s="106"/>
      <c r="O35" s="112"/>
      <c r="P35" s="1393"/>
      <c r="Q35" s="89"/>
      <c r="R35" s="116"/>
      <c r="U35" s="162"/>
      <c r="V35" s="15"/>
    </row>
    <row r="36" spans="1:23" x14ac:dyDescent="0.3">
      <c r="A36" s="1852">
        <v>4869</v>
      </c>
      <c r="B36" s="1863" t="s">
        <v>1186</v>
      </c>
      <c r="C36" s="1867"/>
      <c r="D36" s="1730"/>
      <c r="E36" s="22"/>
      <c r="I36" s="15"/>
      <c r="N36" s="106"/>
      <c r="O36" s="112"/>
      <c r="P36" s="1393"/>
      <c r="Q36" s="89"/>
      <c r="R36" s="116"/>
      <c r="U36" s="162"/>
      <c r="V36" s="15"/>
    </row>
    <row r="37" spans="1:23" x14ac:dyDescent="0.3">
      <c r="A37" s="1852">
        <v>4771</v>
      </c>
      <c r="B37" s="1863" t="s">
        <v>1187</v>
      </c>
      <c r="C37" s="1867"/>
      <c r="D37" s="1730"/>
      <c r="E37" s="22"/>
      <c r="N37" s="106"/>
      <c r="O37" s="112"/>
      <c r="P37" s="1393"/>
      <c r="Q37" s="89"/>
      <c r="R37" s="116"/>
      <c r="U37" s="162"/>
      <c r="V37" s="15"/>
    </row>
    <row r="38" spans="1:23" x14ac:dyDescent="0.3">
      <c r="A38" s="1852">
        <v>3328</v>
      </c>
      <c r="B38" s="1863" t="s">
        <v>1188</v>
      </c>
      <c r="C38" s="1867"/>
      <c r="D38" s="1730"/>
      <c r="E38" s="22"/>
      <c r="N38" s="106">
        <f t="shared" ref="N38:P39" si="2">A29</f>
        <v>4588</v>
      </c>
      <c r="O38" s="112" t="str">
        <f t="shared" si="2"/>
        <v>FINE COLLECTIONS (FUEL VIOLATIONS) - DEPARTMENT OF AGRICULTURE - AGRICULTURE FINES</v>
      </c>
      <c r="P38" s="1393">
        <f t="shared" si="2"/>
        <v>5000</v>
      </c>
      <c r="Q38" s="89">
        <v>11297403</v>
      </c>
      <c r="R38" s="116">
        <f t="shared" ref="R38" si="3">P38-Q38</f>
        <v>-11292403</v>
      </c>
      <c r="T38" s="9" t="str">
        <f>B29</f>
        <v>FINE COLLECTIONS (FUEL VIOLATIONS) - DEPARTMENT OF AGRICULTURE - AGRICULTURE FINES</v>
      </c>
      <c r="U38" s="162">
        <v>11577000</v>
      </c>
      <c r="V38" s="15">
        <f>C29-U38</f>
        <v>-11572000</v>
      </c>
    </row>
    <row r="39" spans="1:23" ht="17.25" thickBot="1" x14ac:dyDescent="0.35">
      <c r="A39" s="1853">
        <v>3340</v>
      </c>
      <c r="B39" s="1864" t="s">
        <v>1189</v>
      </c>
      <c r="C39" s="1868"/>
      <c r="D39" s="1731"/>
      <c r="E39" s="22"/>
      <c r="N39" s="106">
        <f t="shared" si="2"/>
        <v>4621</v>
      </c>
      <c r="O39" s="112" t="str">
        <f t="shared" si="2"/>
        <v>TRANS FROM UNCLAIMED PROPERTY</v>
      </c>
      <c r="P39" s="1393">
        <f t="shared" si="2"/>
        <v>100000</v>
      </c>
      <c r="Q39" s="89">
        <v>11297403</v>
      </c>
      <c r="R39" s="116">
        <f t="shared" ref="R39:R40" si="4">P39-Q39</f>
        <v>-11197403</v>
      </c>
      <c r="T39" s="9" t="str">
        <f>B30</f>
        <v>TRANS FROM UNCLAIMED PROPERTY</v>
      </c>
      <c r="U39" s="162">
        <v>11577000</v>
      </c>
      <c r="V39" s="15">
        <f>C30-U39</f>
        <v>-11477000</v>
      </c>
    </row>
    <row r="40" spans="1:23" ht="17.25" thickTop="1" x14ac:dyDescent="0.3">
      <c r="A40" s="1732"/>
      <c r="B40" s="135" t="s">
        <v>1190</v>
      </c>
      <c r="C40" s="1869">
        <f>SUM(C9:C39)</f>
        <v>5724491159</v>
      </c>
      <c r="D40" s="1733">
        <f>SUM(D9:D34)</f>
        <v>1.0055777883331691</v>
      </c>
      <c r="E40" s="22"/>
      <c r="N40" s="142"/>
      <c r="O40" s="128"/>
      <c r="P40" s="1394">
        <f>C33</f>
        <v>15189000</v>
      </c>
      <c r="Q40" s="127">
        <v>0</v>
      </c>
      <c r="R40" s="1414">
        <f t="shared" si="4"/>
        <v>15189000</v>
      </c>
      <c r="T40" s="9" t="str">
        <f>B33</f>
        <v>TRANSFER FROM CCB</v>
      </c>
      <c r="U40" s="162"/>
      <c r="V40" s="15">
        <f>SUM(V15:V39)</f>
        <v>-23049000</v>
      </c>
    </row>
    <row r="41" spans="1:23" x14ac:dyDescent="0.3">
      <c r="C41" s="162"/>
      <c r="E41" s="74"/>
      <c r="P41" s="12">
        <f>C34</f>
        <v>8106000</v>
      </c>
      <c r="Q41" s="89"/>
      <c r="R41" s="12"/>
      <c r="T41" s="9" t="str">
        <f>B34</f>
        <v>TRANS FROM PERMNT SCHOOL FUND</v>
      </c>
      <c r="U41" s="162"/>
      <c r="V41" s="15"/>
    </row>
    <row r="42" spans="1:23" x14ac:dyDescent="0.3">
      <c r="B42" s="17" t="s">
        <v>1191</v>
      </c>
      <c r="C42" s="16">
        <f>SUM(C35:C39)</f>
        <v>-31930000</v>
      </c>
      <c r="J42" s="4"/>
      <c r="K42" s="4"/>
      <c r="L42" s="4"/>
      <c r="M42" s="4"/>
      <c r="N42" s="4"/>
    </row>
    <row r="43" spans="1:23" x14ac:dyDescent="0.3">
      <c r="B43" s="17" t="s">
        <v>1192</v>
      </c>
      <c r="C43" s="1901">
        <f>SUM(C9:C34)+C35</f>
        <v>5724491159</v>
      </c>
      <c r="E43" s="15"/>
      <c r="F43" s="12"/>
    </row>
    <row r="44" spans="1:23" x14ac:dyDescent="0.3">
      <c r="B44" s="17"/>
      <c r="C44" s="1990">
        <f>C43+F5+F6+F7</f>
        <v>5969410348</v>
      </c>
      <c r="E44" s="15"/>
      <c r="F44" s="12"/>
    </row>
    <row r="45" spans="1:23" ht="82.5" x14ac:dyDescent="0.3">
      <c r="A45" s="1921" t="s">
        <v>73</v>
      </c>
      <c r="B45" s="1922" t="s">
        <v>1193</v>
      </c>
      <c r="C45" s="162"/>
      <c r="E45" s="12"/>
    </row>
    <row r="46" spans="1:23" x14ac:dyDescent="0.3">
      <c r="A46" s="17"/>
      <c r="E46" s="15"/>
      <c r="H46" s="4"/>
      <c r="I46" s="4"/>
    </row>
    <row r="47" spans="1:23" x14ac:dyDescent="0.3">
      <c r="A47" s="13"/>
      <c r="C47" s="15"/>
    </row>
    <row r="48" spans="1:23" x14ac:dyDescent="0.3">
      <c r="A48" s="13"/>
      <c r="B48" s="13"/>
      <c r="C48" s="1959"/>
    </row>
    <row r="49" spans="1:1" x14ac:dyDescent="0.3">
      <c r="A49" s="13"/>
    </row>
  </sheetData>
  <sortState xmlns:xlrd2="http://schemas.microsoft.com/office/spreadsheetml/2017/richdata2" ref="A13:B40">
    <sortCondition descending="1" ref="B13:B40"/>
  </sortState>
  <customSheetViews>
    <customSheetView guid="{CA1C9262-C0F9-4BBB-95C8-A52990BD1149}" scale="80" showPageBreaks="1" fitToPage="1" printArea="1">
      <pane xSplit="1" ySplit="5" topLeftCell="B36" activePane="bottomRight" state="frozen"/>
      <selection pane="bottomRight" activeCell="A4" sqref="A4"/>
      <pageMargins left="0" right="0" top="0" bottom="0" header="0" footer="0"/>
      <pageSetup paperSize="3" fitToHeight="0" orientation="landscape" r:id="rId1"/>
      <headerFooter>
        <oddHeader>&amp;R&amp;"Arial Narrow,Regular"&amp;10&amp;A
&amp;P</oddHeader>
        <oddFooter>&amp;L&amp;"Arial Narrow,Regular"&amp;10This is a draft document. It is intended for discussion purposes only.&amp;R&amp;G</oddFooter>
      </headerFooter>
    </customSheetView>
    <customSheetView guid="{9F71BA88-74DF-4B45-811C-93ABE8314534}" scale="80" showPageBreaks="1" fitToPage="1" printArea="1">
      <pane xSplit="1" ySplit="5" topLeftCell="B36" activePane="bottomRight" state="frozen"/>
      <selection pane="bottomRight" activeCell="A4" sqref="A4"/>
      <pageMargins left="0" right="0" top="0" bottom="0" header="0" footer="0"/>
      <pageSetup paperSize="3" fitToHeight="0" orientation="landscape" r:id="rId2"/>
      <headerFooter>
        <oddHeader>&amp;R&amp;"Arial Narrow,Regular"&amp;10&amp;A
&amp;P</oddHeader>
        <oddFooter>&amp;L&amp;"Arial Narrow,Regular"&amp;10This is a draft document. It is intended for discussion purposes only.&amp;R&amp;G</oddFooter>
      </headerFooter>
    </customSheetView>
    <customSheetView guid="{92EB2B16-3546-4CC6-AF3A-0019867B62A7}" scale="80" fitToPage="1">
      <pane xSplit="1" ySplit="5" topLeftCell="B6" activePane="bottomRight" state="frozen"/>
      <selection pane="bottomRight" activeCell="A9" sqref="A9"/>
      <pageMargins left="0" right="0" top="0" bottom="0" header="0" footer="0"/>
      <pageSetup paperSize="3" fitToHeight="0" orientation="landscape" r:id="rId3"/>
      <headerFooter>
        <oddHeader>&amp;R&amp;"Arial Narrow,Regular"&amp;10&amp;A
&amp;P</oddHeader>
        <oddFooter>&amp;L&amp;"Arial Narrow,Regular"&amp;10This is a draft document. It is intended for discussion purposes only.&amp;R&amp;G</oddFooter>
      </headerFooter>
    </customSheetView>
  </customSheetViews>
  <mergeCells count="1">
    <mergeCell ref="P14:R14"/>
  </mergeCells>
  <phoneticPr fontId="74" type="noConversion"/>
  <conditionalFormatting sqref="H3:I3">
    <cfRule type="cellIs" dxfId="44" priority="1" operator="equal">
      <formula>"Balanced"</formula>
    </cfRule>
  </conditionalFormatting>
  <dataValidations disablePrompts="1" count="1">
    <dataValidation type="list" allowBlank="1" showInputMessage="1" showErrorMessage="1" sqref="C3" xr:uid="{FD186A84-FD54-48B2-9C5B-AE0525C4DD51}">
      <formula1>$D$3:$D$4</formula1>
    </dataValidation>
  </dataValidations>
  <pageMargins left="0" right="0" top="0.75" bottom="0.75" header="0.3" footer="0.3"/>
  <pageSetup scale="54" fitToHeight="0" orientation="landscape" r:id="rId4"/>
  <headerFooter>
    <oddHeader>&amp;R&amp;"Arial Narrow,Regular"&amp;10&amp;A
&amp;P</oddHeader>
  </headerFooter>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745ED7084C994A990EC16A0193002E" ma:contentTypeVersion="20" ma:contentTypeDescription="Create a new document." ma:contentTypeScope="" ma:versionID="cdeefe5d51de4c5d89da6d34d583a68d">
  <xsd:schema xmlns:xsd="http://www.w3.org/2001/XMLSchema" xmlns:xs="http://www.w3.org/2001/XMLSchema" xmlns:p="http://schemas.microsoft.com/office/2006/metadata/properties" xmlns:ns2="d1e9a9e8-9e51-4e83-9b2c-ade5232f9864" xmlns:ns3="77900820-a2c8-40b3-941b-171d132f6aa3" targetNamespace="http://schemas.microsoft.com/office/2006/metadata/properties" ma:root="true" ma:fieldsID="4bcab5e6ad65a0cb018c6086a881a9dd" ns2:_="" ns3:_="">
    <xsd:import namespace="d1e9a9e8-9e51-4e83-9b2c-ade5232f9864"/>
    <xsd:import namespace="77900820-a2c8-40b3-941b-171d132f6aa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e9a9e8-9e51-4e83-9b2c-ade5232f986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list="UserInfo" ma:SearchPeopleOnly="false" ma:internalName="SharedWithUsers"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9cc0d402-1312-4b60-aff2-df3b3a303298}" ma:internalName="TaxCatchAll" ma:showField="CatchAllData" ma:web="d1e9a9e8-9e51-4e83-9b2c-ade5232f986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7900820-a2c8-40b3-941b-171d132f6aa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b905f4b-cac0-4323-8d45-02f3d1bb55c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Notes" ma:index="25" nillable="true" ma:displayName="Notes" ma:format="Dropdown" ma:internalName="Note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d1e9a9e8-9e51-4e83-9b2c-ade5232f9864" xsi:nil="true"/>
    <lcf76f155ced4ddcb4097134ff3c332f xmlns="77900820-a2c8-40b3-941b-171d132f6aa3">
      <Terms xmlns="http://schemas.microsoft.com/office/infopath/2007/PartnerControls"/>
    </lcf76f155ced4ddcb4097134ff3c332f>
    <_dlc_DocId xmlns="d1e9a9e8-9e51-4e83-9b2c-ade5232f9864">2Z527WAYFRJC-1100285985-17294</_dlc_DocId>
    <_dlc_DocIdUrl xmlns="d1e9a9e8-9e51-4e83-9b2c-ade5232f9864">
      <Url>https://nvlcb.sharepoint.com/sites/LCBFiscal/_layouts/15/DocIdRedir.aspx?ID=2Z527WAYFRJC-1100285985-17294</Url>
      <Description>2Z527WAYFRJC-1100285985-17294</Description>
    </_dlc_DocIdUrl>
    <Notes xmlns="77900820-a2c8-40b3-941b-171d132f6aa3" xsi:nil="true"/>
  </documentManagement>
</p:properties>
</file>

<file path=customXml/itemProps1.xml><?xml version="1.0" encoding="utf-8"?>
<ds:datastoreItem xmlns:ds="http://schemas.openxmlformats.org/officeDocument/2006/customXml" ds:itemID="{5A91708F-E7D7-438C-958A-29F533D90397}">
  <ds:schemaRefs>
    <ds:schemaRef ds:uri="http://schemas.microsoft.com/sharepoint/events"/>
  </ds:schemaRefs>
</ds:datastoreItem>
</file>

<file path=customXml/itemProps2.xml><?xml version="1.0" encoding="utf-8"?>
<ds:datastoreItem xmlns:ds="http://schemas.openxmlformats.org/officeDocument/2006/customXml" ds:itemID="{35069664-618C-401F-9874-941769378A94}">
  <ds:schemaRefs>
    <ds:schemaRef ds:uri="http://schemas.microsoft.com/sharepoint/v3/contenttype/forms"/>
  </ds:schemaRefs>
</ds:datastoreItem>
</file>

<file path=customXml/itemProps3.xml><?xml version="1.0" encoding="utf-8"?>
<ds:datastoreItem xmlns:ds="http://schemas.openxmlformats.org/officeDocument/2006/customXml" ds:itemID="{2939B91A-0825-4B4C-9B02-A0FB945CA1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e9a9e8-9e51-4e83-9b2c-ade5232f9864"/>
    <ds:schemaRef ds:uri="77900820-a2c8-40b3-941b-171d132f6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5DA481-E35B-41C6-9EEA-EE4E1D107D95}">
  <ds:schemaRefs>
    <ds:schemaRef ds:uri="77900820-a2c8-40b3-941b-171d132f6aa3"/>
    <ds:schemaRef ds:uri="http://purl.org/dc/dcmitype/"/>
    <ds:schemaRef ds:uri="http://schemas.microsoft.com/office/2006/documentManagement/types"/>
    <ds:schemaRef ds:uri="d1e9a9e8-9e51-4e83-9b2c-ade5232f9864"/>
    <ds:schemaRef ds:uri="http://schemas.microsoft.com/office/infopath/2007/PartnerControls"/>
    <ds:schemaRef ds:uri="http://schemas.microsoft.com/office/2006/metadata/properties"/>
    <ds:schemaRef ds:uri="http://www.w3.org/XML/1998/namespace"/>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61</vt:i4>
      </vt:variant>
    </vt:vector>
  </HeadingPairs>
  <TitlesOfParts>
    <vt:vector size="114" baseType="lpstr">
      <vt:lpstr>Summary Model Revisions</vt:lpstr>
      <vt:lpstr>Table of Contents</vt:lpstr>
      <vt:lpstr>1.1A Assumptions Control_Admin </vt:lpstr>
      <vt:lpstr>1.2A Enrollment Assump_Admin</vt:lpstr>
      <vt:lpstr>BLS Data Series</vt:lpstr>
      <vt:lpstr>Inflation and Caseload Dis.</vt:lpstr>
      <vt:lpstr>1.1 Assumption Control YR1</vt:lpstr>
      <vt:lpstr>1.2 Budgeted Enrollment YR1</vt:lpstr>
      <vt:lpstr>1.3 Budgeted Revenues YR1</vt:lpstr>
      <vt:lpstr>1.3A Net Proceeds_Admin</vt:lpstr>
      <vt:lpstr>1.4A HH 2020 Freeze_Admin</vt:lpstr>
      <vt:lpstr>1.4 FY 2020 Revenue Received</vt:lpstr>
      <vt:lpstr>2.1A State Education Fund_Admin</vt:lpstr>
      <vt:lpstr>2.2A NDE Admin, Non-District_Ad</vt:lpstr>
      <vt:lpstr>2.1 Auxiliary Services YR1</vt:lpstr>
      <vt:lpstr>2.3A Auxilary Services_Admin</vt:lpstr>
      <vt:lpstr>2.4A Statewide Base Funding_Adm</vt:lpstr>
      <vt:lpstr>2.2 Spec Ed Local YR1</vt:lpstr>
      <vt:lpstr>2.3 Statewide Base Funding YR1</vt:lpstr>
      <vt:lpstr>2.4 District Size Adj. YR1</vt:lpstr>
      <vt:lpstr>2.5 NCEI Adj. YR1</vt:lpstr>
      <vt:lpstr>2.6 Adj. Base Summary YR1</vt:lpstr>
      <vt:lpstr>2.5A Adjusted Base Funding_Adm</vt:lpstr>
      <vt:lpstr>2.7 Weighted Funding YR1</vt:lpstr>
      <vt:lpstr>2.6A Weighted Funding, Init_Adm</vt:lpstr>
      <vt:lpstr>2.7A Weighted Funding, Inc._Adm</vt:lpstr>
      <vt:lpstr>2.8A Excess Fundng_Admin</vt:lpstr>
      <vt:lpstr>2.8 Alloc of Residual Rev. YR1</vt:lpstr>
      <vt:lpstr>2.9 PCFP Funding Comparison YR1</vt:lpstr>
      <vt:lpstr>2.9A Hold Harmless_Admin</vt:lpstr>
      <vt:lpstr>3.1a Initial Allocations YR1</vt:lpstr>
      <vt:lpstr>3.1b Allocation Adj. YR1 </vt:lpstr>
      <vt:lpstr>4.0 PCFP Allocation Summary</vt:lpstr>
      <vt:lpstr>5.1 Assumption Control YR2</vt:lpstr>
      <vt:lpstr>5.2 Budgeted Enrollment YR2</vt:lpstr>
      <vt:lpstr>5.3 Budgeted Revenues YR2</vt:lpstr>
      <vt:lpstr>6.1 Auxiliary Services YR2</vt:lpstr>
      <vt:lpstr>6.2 Spec Ed Local YR2</vt:lpstr>
      <vt:lpstr>6.3 Statewide Base Funding YR2</vt:lpstr>
      <vt:lpstr>6.4 District Size Adj. YR2</vt:lpstr>
      <vt:lpstr>6.5 NCEI Adj. YR2</vt:lpstr>
      <vt:lpstr>6.6 Adj. Base Summary YR2</vt:lpstr>
      <vt:lpstr>6.7 Weighted Funding YR2</vt:lpstr>
      <vt:lpstr>6.8 Alloc of Residual Rev. YR2</vt:lpstr>
      <vt:lpstr>6.9 PCFP Funding Comparison YR2</vt:lpstr>
      <vt:lpstr>7.1a Initial Allocations YR2</vt:lpstr>
      <vt:lpstr>7.1b Allocation Adj. YR2</vt:lpstr>
      <vt:lpstr>8.0 Mid biennial weighted adj.</vt:lpstr>
      <vt:lpstr>Biennial Comparison</vt:lpstr>
      <vt:lpstr>BA by DU</vt:lpstr>
      <vt:lpstr>SEF-FY23FY24FY25 Forecast-May23</vt:lpstr>
      <vt:lpstr>SEF-FY23FY24FY25 Forecast-Dec22</vt:lpstr>
      <vt:lpstr>RGL Download</vt:lpstr>
      <vt:lpstr>'2.1A State Education Fund_Admin'!OLE_LINK1</vt:lpstr>
      <vt:lpstr>'1.1 Assumption Control YR1'!Print_Area</vt:lpstr>
      <vt:lpstr>'1.2 Budgeted Enrollment YR1'!Print_Area</vt:lpstr>
      <vt:lpstr>'1.3 Budgeted Revenues YR1'!Print_Area</vt:lpstr>
      <vt:lpstr>'1.4 FY 2020 Revenue Received'!Print_Area</vt:lpstr>
      <vt:lpstr>'2.1 Auxiliary Services YR1'!Print_Area</vt:lpstr>
      <vt:lpstr>'2.2 Spec Ed Local YR1'!Print_Area</vt:lpstr>
      <vt:lpstr>'2.3 Statewide Base Funding YR1'!Print_Area</vt:lpstr>
      <vt:lpstr>'2.4 District Size Adj. YR1'!Print_Area</vt:lpstr>
      <vt:lpstr>'2.5 NCEI Adj. YR1'!Print_Area</vt:lpstr>
      <vt:lpstr>'2.6 Adj. Base Summary YR1'!Print_Area</vt:lpstr>
      <vt:lpstr>'2.7 Weighted Funding YR1'!Print_Area</vt:lpstr>
      <vt:lpstr>'2.8 Alloc of Residual Rev. YR1'!Print_Area</vt:lpstr>
      <vt:lpstr>'2.9 PCFP Funding Comparison YR1'!Print_Area</vt:lpstr>
      <vt:lpstr>'3.1a Initial Allocations YR1'!Print_Area</vt:lpstr>
      <vt:lpstr>'3.1b Allocation Adj. YR1 '!Print_Area</vt:lpstr>
      <vt:lpstr>'4.0 PCFP Allocation Summary'!Print_Area</vt:lpstr>
      <vt:lpstr>'5.1 Assumption Control YR2'!Print_Area</vt:lpstr>
      <vt:lpstr>'5.2 Budgeted Enrollment YR2'!Print_Area</vt:lpstr>
      <vt:lpstr>'5.3 Budgeted Revenues YR2'!Print_Area</vt:lpstr>
      <vt:lpstr>'6.1 Auxiliary Services YR2'!Print_Area</vt:lpstr>
      <vt:lpstr>'6.2 Spec Ed Local YR2'!Print_Area</vt:lpstr>
      <vt:lpstr>'6.3 Statewide Base Funding YR2'!Print_Area</vt:lpstr>
      <vt:lpstr>'6.4 District Size Adj. YR2'!Print_Area</vt:lpstr>
      <vt:lpstr>'6.5 NCEI Adj. YR2'!Print_Area</vt:lpstr>
      <vt:lpstr>'6.6 Adj. Base Summary YR2'!Print_Area</vt:lpstr>
      <vt:lpstr>'6.7 Weighted Funding YR2'!Print_Area</vt:lpstr>
      <vt:lpstr>'6.8 Alloc of Residual Rev. YR2'!Print_Area</vt:lpstr>
      <vt:lpstr>'6.9 PCFP Funding Comparison YR2'!Print_Area</vt:lpstr>
      <vt:lpstr>'7.1a Initial Allocations YR2'!Print_Area</vt:lpstr>
      <vt:lpstr>'7.1b Allocation Adj. YR2'!Print_Area</vt:lpstr>
      <vt:lpstr>'8.0 Mid biennial weighted adj.'!Print_Area</vt:lpstr>
      <vt:lpstr>'SEF-FY23FY24FY25 Forecast-May23'!Print_Area</vt:lpstr>
      <vt:lpstr>'Summary Model Revisions'!Print_Area</vt:lpstr>
      <vt:lpstr>'Table of Contents'!Print_Area</vt:lpstr>
      <vt:lpstr>'1.2 Budgeted Enrollment YR1'!Print_Titles</vt:lpstr>
      <vt:lpstr>'1.4 FY 2020 Revenue Received'!Print_Titles</vt:lpstr>
      <vt:lpstr>'2.1 Auxiliary Services YR1'!Print_Titles</vt:lpstr>
      <vt:lpstr>'2.2 Spec Ed Local YR1'!Print_Titles</vt:lpstr>
      <vt:lpstr>'2.3 Statewide Base Funding YR1'!Print_Titles</vt:lpstr>
      <vt:lpstr>'2.4 District Size Adj. YR1'!Print_Titles</vt:lpstr>
      <vt:lpstr>'2.5 NCEI Adj. YR1'!Print_Titles</vt:lpstr>
      <vt:lpstr>'2.6 Adj. Base Summary YR1'!Print_Titles</vt:lpstr>
      <vt:lpstr>'2.7 Weighted Funding YR1'!Print_Titles</vt:lpstr>
      <vt:lpstr>'2.8 Alloc of Residual Rev. YR1'!Print_Titles</vt:lpstr>
      <vt:lpstr>'3.1a Initial Allocations YR1'!Print_Titles</vt:lpstr>
      <vt:lpstr>'3.1b Allocation Adj. YR1 '!Print_Titles</vt:lpstr>
      <vt:lpstr>'5.2 Budgeted Enrollment YR2'!Print_Titles</vt:lpstr>
      <vt:lpstr>'6.1 Auxiliary Services YR2'!Print_Titles</vt:lpstr>
      <vt:lpstr>'6.2 Spec Ed Local YR2'!Print_Titles</vt:lpstr>
      <vt:lpstr>'6.3 Statewide Base Funding YR2'!Print_Titles</vt:lpstr>
      <vt:lpstr>'6.4 District Size Adj. YR2'!Print_Titles</vt:lpstr>
      <vt:lpstr>'6.5 NCEI Adj. YR2'!Print_Titles</vt:lpstr>
      <vt:lpstr>'6.6 Adj. Base Summary YR2'!Print_Titles</vt:lpstr>
      <vt:lpstr>'6.7 Weighted Funding YR2'!Print_Titles</vt:lpstr>
      <vt:lpstr>'6.8 Alloc of Residual Rev. YR2'!Print_Titles</vt:lpstr>
      <vt:lpstr>'7.1b Allocation Adj. YR2'!Print_Titles</vt:lpstr>
      <vt:lpstr>'BA by DU'!Print_Titles</vt:lpstr>
      <vt:lpstr>'SEF-FY23FY24FY25 Forecast-Dec22'!Print_Titles</vt:lpstr>
      <vt:lpstr>'SEF-FY23FY24FY25 Forecast-May23'!Print_Titles</vt:lpstr>
      <vt:lpstr>'Table of Contents'!Print_Titles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Megan Hanke</dc:creator>
  <cp:keywords/>
  <dc:description/>
  <cp:lastModifiedBy>Melissa Willis</cp:lastModifiedBy>
  <cp:revision/>
  <cp:lastPrinted>2025-05-08T13:13:01Z</cp:lastPrinted>
  <dcterms:created xsi:type="dcterms:W3CDTF">2018-11-20T15:42:27Z</dcterms:created>
  <dcterms:modified xsi:type="dcterms:W3CDTF">2025-07-07T20:43:52Z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0x010100A4745ED7084C994A990EC16A0193002E</vt:lpwstr>
  </property>
  <property fmtid="{D5CDD505-2E9C-101B-9397-08002B2CF9AE}" pid="3" name="_dlc_DocIdItemGuid">
    <vt:lpwstr>75d2b62e-c474-4137-a82f-8210550b0f0a</vt:lpwstr>
  </property>
  <property fmtid="{D5CDD505-2E9C-101B-9397-08002B2CF9AE}" pid="4" name="MediaServiceImageTags">
    <vt:lpwstr/>
  </property>
  <property fmtid="{D5CDD505-2E9C-101B-9397-08002B2CF9AE}" pid="5" name="_MarkAsFinal">
    <vt:bool>true</vt:bool>
  </property>
</Properties>
</file>